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전자입찰(2026)\서울에너지공사\입찰\직접시공계획서 관련\"/>
    </mc:Choice>
  </mc:AlternateContent>
  <bookViews>
    <workbookView xWindow="0" yWindow="0" windowWidth="24720" windowHeight="12540" tabRatio="918" firstSheet="1" activeTab="1"/>
  </bookViews>
  <sheets>
    <sheet name="갑지" sheetId="26" state="hidden" r:id="rId1"/>
    <sheet name="설계서표지" sheetId="31" r:id="rId2"/>
    <sheet name="원가계산서(양지사)" sheetId="16" r:id="rId3"/>
    <sheet name="원가계산서(서부지사)" sheetId="17" r:id="rId4"/>
    <sheet name="내역서(서부지사)-0차" sheetId="18" state="hidden" r:id="rId5"/>
    <sheet name="내역서(서부지사)-1차" sheetId="19" r:id="rId6"/>
    <sheet name="내역서(서부지사)-2차" sheetId="20" r:id="rId7"/>
    <sheet name="원가계산서(동부지사)" sheetId="21" r:id="rId8"/>
    <sheet name="내역서(동부지사)-0차" sheetId="22" state="hidden" r:id="rId9"/>
    <sheet name="내역서(동부지사)-1차" sheetId="23" r:id="rId10"/>
    <sheet name="내역서(동부지사)-2차" sheetId="24" r:id="rId11"/>
    <sheet name="수량집계" sheetId="25" r:id="rId12"/>
    <sheet name="내역서" sheetId="1" state="hidden" r:id="rId13"/>
    <sheet name="표지" sheetId="14" state="hidden" r:id="rId14"/>
    <sheet name="원가계산" sheetId="15" state="hidden" r:id="rId15"/>
    <sheet name="일위대가목록" sheetId="2" r:id="rId16"/>
    <sheet name="일위대가_호표" sheetId="3" state="hidden" r:id="rId17"/>
    <sheet name="일위대가_산근" sheetId="4" state="hidden" r:id="rId18"/>
    <sheet name="중기사용료목록" sheetId="5" state="hidden" r:id="rId19"/>
    <sheet name="중기사용료" sheetId="6" state="hidden" r:id="rId20"/>
    <sheet name="중기기초자료" sheetId="7" state="hidden" r:id="rId21"/>
    <sheet name="자재" sheetId="8" state="hidden" r:id="rId22"/>
    <sheet name="노임" sheetId="9" state="hidden" r:id="rId23"/>
    <sheet name="경비" sheetId="10" state="hidden" r:id="rId24"/>
    <sheet name="자재조서" sheetId="11" state="hidden" r:id="rId25"/>
    <sheet name="전역변수" sheetId="12" state="hidden" r:id="rId26"/>
    <sheet name="중기전역변수" sheetId="13" state="hidden" r:id="rId27"/>
    <sheet name="제비율표" sheetId="30" state="hidden" r:id="rId28"/>
    <sheet name="시공장비중량" sheetId="28" state="hidden" r:id="rId29"/>
  </sheets>
  <externalReferences>
    <externalReference r:id="rId30"/>
    <externalReference r:id="rId31"/>
  </externalReferences>
  <definedNames>
    <definedName name="_____MCC3" hidden="1">{#N/A,#N/A,FALSE,"CCTV"}</definedName>
    <definedName name="____MCC3" hidden="1">{#N/A,#N/A,FALSE,"CCTV"}</definedName>
    <definedName name="___MCC3" hidden="1">{#N/A,#N/A,FALSE,"CCTV"}</definedName>
    <definedName name="__123Graph_A" localSheetId="0" hidden="1">#REF!</definedName>
    <definedName name="__123Graph_A" hidden="1">#REF!</definedName>
    <definedName name="__IntlFixup" hidden="1">TRUE</definedName>
    <definedName name="__MCC3" hidden="1">{#N/A,#N/A,FALSE,"CCTV"}</definedName>
    <definedName name="_42" hidden="1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Order1" hidden="1">0</definedName>
    <definedName name="_Order2" hidden="1">0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1" localSheetId="0" hidden="1">#REF!</definedName>
    <definedName name="_SORT1" hidden="1">#REF!</definedName>
    <definedName name="_Sortt" localSheetId="0" hidden="1">#REF!</definedName>
    <definedName name="_Sort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ㄱ123" hidden="1">#REF!</definedName>
    <definedName name="_ㄷㄷ" hidden="1">#REF!</definedName>
    <definedName name="_ㅁ낭ㄹ" hidden="1">#REF!</definedName>
    <definedName name="aa" hidden="1">{#N/A,#N/A,FALSE,"부대1"}</definedName>
    <definedName name="aaa" hidden="1">#REF!</definedName>
    <definedName name="aaaa" hidden="1">{#N/A,#N/A,FALSE,"현장 NCR 분석";#N/A,#N/A,FALSE,"현장품질감사";#N/A,#N/A,FALSE,"현장품질감사"}</definedName>
    <definedName name="aaaaa" hidden="1">{#N/A,#N/A,FALSE,"조골재"}</definedName>
    <definedName name="aaaaaa" hidden="1">#REF!</definedName>
    <definedName name="aaaaaaaaaa" hidden="1">{#N/A,#N/A,FALSE,"운반시간"}</definedName>
    <definedName name="aaaaaaaaaaaaaaaaaaaa" hidden="1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S" localSheetId="0" hidden="1">{#N/A,#N/A,FALSE,"전력간선"}</definedName>
    <definedName name="ABS" hidden="1">{#N/A,#N/A,FALSE,"전력간선"}</definedName>
    <definedName name="Access_Button" hidden="1">"S굴착부_250연장__2__List"</definedName>
    <definedName name="AccessDatabase" hidden="1">"E:\내 문서\요금\KT과금거리 지역좌표_970827.mdb"</definedName>
    <definedName name="ADFV" hidden="1">{#N/A,#N/A,FALSE,"전력간선"}</definedName>
    <definedName name="anscount">1</definedName>
    <definedName name="AREA0002" hidden="1">#REF!</definedName>
    <definedName name="ASDA" hidden="1">#REF!</definedName>
    <definedName name="asp두께">0.15</definedName>
    <definedName name="BC" hidden="1">{#N/A,#N/A,FALSE,"이태원철근"}</definedName>
    <definedName name="BI" hidden="1">{#N/A,#N/A,FALSE,"이태원철근"}</definedName>
    <definedName name="BM" localSheetId="0" hidden="1">#REF!</definedName>
    <definedName name="BM" hidden="1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CTV" localSheetId="0" hidden="1">{#N/A,#N/A,FALSE,"전력간선"}</definedName>
    <definedName name="CCTV" hidden="1">{#N/A,#N/A,FALSE,"전력간선"}</definedName>
    <definedName name="CM_증가원인" localSheetId="0" hidden="1">{"'con_010'!$A$1:$AN$63"}</definedName>
    <definedName name="CM_증가원인" hidden="1">{"'con_010'!$A$1:$AN$63"}</definedName>
    <definedName name="_xlnm.Database">#REF!</definedName>
    <definedName name="DDD" hidden="1">#REF!</definedName>
    <definedName name="ddddd" localSheetId="0" hidden="1">#REF!</definedName>
    <definedName name="ddddd" hidden="1">#REF!</definedName>
    <definedName name="df" hidden="1">#REF!</definedName>
    <definedName name="DFD" hidden="1">{#N/A,#N/A,FALSE,"명세표"}</definedName>
    <definedName name="DFF" localSheetId="0" hidden="1">{"'Firr(선)'!$AS$1:$AY$62","'Firr(사)'!$AS$1:$AY$62","'Firr(회)'!$AS$1:$AY$62","'Firr(선)'!$L$1:$V$62","'Firr(사)'!$L$1:$V$62","'Firr(회)'!$L$1:$V$62"}</definedName>
    <definedName name="DFF" hidden="1">{"'Firr(선)'!$AS$1:$AY$62","'Firr(사)'!$AS$1:$AY$62","'Firr(회)'!$AS$1:$AY$62","'Firr(선)'!$L$1:$V$62","'Firr(사)'!$L$1:$V$62","'Firr(회)'!$L$1:$V$62"}</definedName>
    <definedName name="DFG" hidden="1">{#N/A,#N/A,FALSE,"전력간선"}</definedName>
    <definedName name="DirectLabor" hidden="1">{#N/A,#N/A,FALSE,"CCTV"}</definedName>
    <definedName name="DirectLobor" hidden="1">{#N/A,#N/A,FALSE,"CCTV"}</definedName>
    <definedName name="dj" hidden="1">#REF!</definedName>
    <definedName name="dkdkdkdkd" localSheetId="0" hidden="1">{#N/A,#N/A,FALSE,"명세표"}</definedName>
    <definedName name="dkdkdkdkd" hidden="1">{#N/A,#N/A,FALSE,"명세표"}</definedName>
    <definedName name="dn" hidden="1">{#N/A,#N/A,FALSE,"혼합골재"}</definedName>
    <definedName name="dns" hidden="1">{#N/A,#N/A,FALSE,"운반시간"}</definedName>
    <definedName name="dsaf" hidden="1">{#N/A,#N/A,FALSE,"조골재"}</definedName>
    <definedName name="DSF" hidden="1">{#N/A,#N/A,FALSE,"골재소요량";#N/A,#N/A,FALSE,"골재소요량"}</definedName>
    <definedName name="DWD" localSheetId="0" hidden="1">{#N/A,#N/A,FALSE,"전력간선"}</definedName>
    <definedName name="DWD" hidden="1">{#N/A,#N/A,FALSE,"전력간선"}</definedName>
    <definedName name="E" hidden="1">{#N/A,#N/A,FALSE,"CCTV"}</definedName>
    <definedName name="ED" hidden="1">{#N/A,#N/A,FALSE,"CCTV"}</definedName>
    <definedName name="ee" hidden="1">{#N/A,#N/A,FALSE,"단가표지"}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NG_증가원인" localSheetId="0" hidden="1">{"'con_010'!$A$1:$AN$63"}</definedName>
    <definedName name="ENG_증가원인" hidden="1">{"'con_010'!$A$1:$AN$63"}</definedName>
    <definedName name="ENG_추가" localSheetId="0" hidden="1">{"'con_010'!$A$1:$AN$63"}</definedName>
    <definedName name="ENG_추가" hidden="1">{"'con_010'!$A$1:$AN$63"}</definedName>
    <definedName name="FD" hidden="1">{#N/A,#N/A,FALSE,"명세표"}</definedName>
    <definedName name="FFF" hidden="1">{#N/A,#N/A,FALSE,"CCTV"}</definedName>
    <definedName name="FGFDSG" localSheetId="0" hidden="1">{"'Firr(선)'!$AS$1:$AY$62","'Firr(사)'!$AS$1:$AY$62","'Firr(회)'!$AS$1:$AY$62","'Firr(선)'!$L$1:$V$62","'Firr(사)'!$L$1:$V$62","'Firr(회)'!$L$1:$V$62"}</definedName>
    <definedName name="FGFDSG" hidden="1">{"'Firr(선)'!$AS$1:$AY$62","'Firr(사)'!$AS$1:$AY$62","'Firr(회)'!$AS$1:$AY$62","'Firr(선)'!$L$1:$V$62","'Firr(사)'!$L$1:$V$62","'Firr(회)'!$L$1:$V$62"}</definedName>
    <definedName name="FI" hidden="1">#REF!</definedName>
    <definedName name="fjgfj" localSheetId="0" hidden="1">{"'con_010'!$A$1:$AN$63"}</definedName>
    <definedName name="fjgfj" hidden="1">{"'con_010'!$A$1:$AN$63"}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OR" hidden="1">{#N/A,#N/A,FALSE,"CCTV"}</definedName>
    <definedName name="FORMAT" hidden="1">{#N/A,#N/A,FALSE,"CCTV"}</definedName>
    <definedName name="fv" localSheetId="0" hidden="1">{#N/A,#N/A,FALSE,"전력간선"}</definedName>
    <definedName name="fv" hidden="1">{#N/A,#N/A,FALSE,"전력간선"}</definedName>
    <definedName name="GEMCO" localSheetId="0" hidden="1">#REF!</definedName>
    <definedName name="GEMCO" hidden="1">#REF!</definedName>
    <definedName name="grew" localSheetId="0" hidden="1">#REF!</definedName>
    <definedName name="grew" hidden="1">#REF!</definedName>
    <definedName name="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han" localSheetId="0" hidden="1">#REF!</definedName>
    <definedName name="han" hidden="1">#REF!</definedName>
    <definedName name="hh" hidden="1">{#N/A,#N/A,FALSE,"명세표"}</definedName>
    <definedName name="HJK" hidden="1">{#N/A,#N/A,FALSE,"이태원철근"}</definedName>
    <definedName name="HTML_CodePage" hidden="1">949</definedName>
    <definedName name="HTML_Control" localSheetId="0" hidden="1">{"'220승압(공문첨부)'!$A$3:$E$123"}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"공사부문"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"C:\WINNT\Profiles\Administrator\Personal\MyHTML.htm"</definedName>
    <definedName name="HTML_PathTemplate" hidden="1">"C:\My Documents\Const_Sov_REV\HTMLTemp.htm"</definedName>
    <definedName name="HTML_Title" hidden="1">"시중노임단가"</definedName>
    <definedName name="HTML1_1" hidden="1">"'[엑셀95-따라하기 문제.xls]인터넷 어시스턴트'!$A$1:$J$18"</definedName>
    <definedName name="HTML1_10">"Marihan@hitel.kol.co.kr"</definedName>
    <definedName name="HTML1_11">1</definedName>
    <definedName name="HTML1_12" hidden="1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TR" hidden="1">{#N/A,#N/A,FALSE,"이태원철근"}</definedName>
    <definedName name="ins" localSheetId="0" hidden="1">{"'con_010'!$A$1:$AN$63"}</definedName>
    <definedName name="ins" hidden="1">{"'con_010'!$A$1:$AN$63"}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fjfj" localSheetId="0" hidden="1">{"'con_010'!$A$1:$AN$63"}</definedName>
    <definedName name="jfjfj" hidden="1">{"'con_010'!$A$1:$AN$63"}</definedName>
    <definedName name="jfkg" hidden="1">{#N/A,#N/A,TRUE,"총괄"}</definedName>
    <definedName name="kk" hidden="1">#REF!</definedName>
    <definedName name="KKKKK" localSheetId="0" hidden="1">#REF!</definedName>
    <definedName name="KKKKK" hidden="1">#REF!</definedName>
    <definedName name="Labor" hidden="1">{#N/A,#N/A,FALSE,"CCTV"}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K" hidden="1">{#N/A,#N/A,TRUE,"총괄"}</definedName>
    <definedName name="mm" localSheetId="0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MMM" hidden="1">#REF!</definedName>
    <definedName name="mmmm" hidden="1">{#N/A,#N/A,FALSE,"포장단가"}</definedName>
    <definedName name="name_one" hidden="1">#REF!</definedName>
    <definedName name="name_three" hidden="1">#REF!</definedName>
    <definedName name="name_two" hidden="1">#REF!</definedName>
    <definedName name="NEWNAME" hidden="1">{#N/A,#N/A,FALSE,"CCTV"}</definedName>
    <definedName name="o" hidden="1">{#N/A,#N/A,FALSE,"조골재"}</definedName>
    <definedName name="PaymentBreakdown" hidden="1">{#N/A,#N/A,FALSE,"CCTV"}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xlnm.Print_Area" localSheetId="12">내역서!$A$1:$BG$1496</definedName>
    <definedName name="_xlnm.Print_Area" localSheetId="8">'내역서(동부지사)-0차'!$A$1:$AT$31</definedName>
    <definedName name="_xlnm.Print_Area" localSheetId="9">'내역서(동부지사)-1차'!$A$1:$AT$21</definedName>
    <definedName name="_xlnm.Print_Area" localSheetId="10">'내역서(동부지사)-2차'!$A$1:$AT$21</definedName>
    <definedName name="_xlnm.Print_Area" localSheetId="4">'내역서(서부지사)-0차'!$A$1:$AT$31</definedName>
    <definedName name="_xlnm.Print_Area" localSheetId="5">'내역서(서부지사)-1차'!$A$1:$AT$21</definedName>
    <definedName name="_xlnm.Print_Area" localSheetId="6">'내역서(서부지사)-2차'!$A$1:$AT$21</definedName>
    <definedName name="_xlnm.Print_Area" localSheetId="22">노임!$A$1:$E$22</definedName>
    <definedName name="_xlnm.Print_Area" localSheetId="1">설계서표지!$A$1:$G$16</definedName>
    <definedName name="_xlnm.Print_Area" localSheetId="11">수량집계!$A$1:$L$12</definedName>
    <definedName name="_xlnm.Print_Area" localSheetId="14">원가계산!$A$1:$F$31</definedName>
    <definedName name="_xlnm.Print_Area" localSheetId="7">'원가계산서(동부지사)'!$A$1:$O$31</definedName>
    <definedName name="_xlnm.Print_Area" localSheetId="3">'원가계산서(서부지사)'!$A$1:$O$31</definedName>
    <definedName name="_xlnm.Print_Area" localSheetId="2">'원가계산서(양지사)'!$A$1:$O$31</definedName>
    <definedName name="_xlnm.Print_Area" localSheetId="17">일위대가_산근!$A$1:$W$3580</definedName>
    <definedName name="_xlnm.Print_Area" localSheetId="16">일위대가_호표!$A$1:$BG$271</definedName>
    <definedName name="_xlnm.Print_Area" localSheetId="15">일위대가목록!$A$1:$S$40</definedName>
    <definedName name="_xlnm.Print_Area" localSheetId="25">전역변수!$A$1:$E$11</definedName>
    <definedName name="_xlnm.Print_Area" localSheetId="27">제비율표!$B$2:$FG$121</definedName>
    <definedName name="_xlnm.Print_Area" localSheetId="19">중기사용료!$A$1:$X$85</definedName>
    <definedName name="_xlnm.Print_Area" localSheetId="18">중기사용료목록!$A$1:$M$9</definedName>
    <definedName name="_xlnm.Print_Area" localSheetId="13">표지!$A$1:$K$69</definedName>
    <definedName name="_xlnm.Print_Area">#REF!</definedName>
    <definedName name="_xlnm.Print_Titles" localSheetId="0">#REF!</definedName>
    <definedName name="_xlnm.Print_Titles" localSheetId="23">경비!$1:$2</definedName>
    <definedName name="_xlnm.Print_Titles" localSheetId="12">내역서!$1:$3</definedName>
    <definedName name="_xlnm.Print_Titles" localSheetId="8">'내역서(동부지사)-0차'!$1:$3</definedName>
    <definedName name="_xlnm.Print_Titles" localSheetId="9">'내역서(동부지사)-1차'!$1:$3</definedName>
    <definedName name="_xlnm.Print_Titles" localSheetId="10">'내역서(동부지사)-2차'!$1:$3</definedName>
    <definedName name="_xlnm.Print_Titles" localSheetId="4">'내역서(서부지사)-0차'!$1:$3</definedName>
    <definedName name="_xlnm.Print_Titles" localSheetId="5">'내역서(서부지사)-1차'!$1:$3</definedName>
    <definedName name="_xlnm.Print_Titles" localSheetId="6">'내역서(서부지사)-2차'!$1:$3</definedName>
    <definedName name="_xlnm.Print_Titles" localSheetId="22">노임!$1:$2</definedName>
    <definedName name="_xlnm.Print_Titles" localSheetId="11">수량집계!$1:$3</definedName>
    <definedName name="_xlnm.Print_Titles" localSheetId="28">#REF!</definedName>
    <definedName name="_xlnm.Print_Titles" localSheetId="17">일위대가_산근!$1:$2</definedName>
    <definedName name="_xlnm.Print_Titles" localSheetId="16">일위대가_호표!$1:$3</definedName>
    <definedName name="_xlnm.Print_Titles" localSheetId="15">일위대가목록!$1:$2</definedName>
    <definedName name="_xlnm.Print_Titles" localSheetId="21">자재!$1:$2</definedName>
    <definedName name="_xlnm.Print_Titles" localSheetId="24">자재조서!$1:$3</definedName>
    <definedName name="_xlnm.Print_Titles" localSheetId="25">전역변수!$1:$2</definedName>
    <definedName name="_xlnm.Print_Titles" localSheetId="20">중기기초자료!$1:$2</definedName>
    <definedName name="_xlnm.Print_Titles" localSheetId="18">중기사용료목록!$1:$2</definedName>
    <definedName name="_xlnm.Print_Titles" localSheetId="26">중기전역변수!$1:$2</definedName>
    <definedName name="_xlnm.Print_Titles">#REF!</definedName>
    <definedName name="PRO_증가원인" localSheetId="0" hidden="1">{"'con_010'!$A$1:$AN$63"}</definedName>
    <definedName name="PRO_증가원인" hidden="1">{"'con_010'!$A$1:$AN$63"}</definedName>
    <definedName name="Q3WEE" hidden="1">{#N/A,#N/A,FALSE,"조골재"}</definedName>
    <definedName name="QA" hidden="1">{#N/A,#N/A,FALSE,"전력간선"}</definedName>
    <definedName name="qkqh1" localSheetId="0" hidden="1">{#N/A,#N/A,FALSE,"명세표"}</definedName>
    <definedName name="qkqh1" hidden="1">{#N/A,#N/A,FALSE,"명세표"}</definedName>
    <definedName name="qq" hidden="1">{#N/A,#N/A,FALSE,"단가표지"}</definedName>
    <definedName name="qqqq" localSheetId="0" hidden="1">{"'con_010'!$A$1:$AN$63"}</definedName>
    <definedName name="qqqq" hidden="1">{"'con_010'!$A$1:$AN$63"}</definedName>
    <definedName name="qw" localSheetId="0" hidden="1">{#N/A,#N/A,FALSE,"단가표지"}</definedName>
    <definedName name="QW" hidden="1">{#N/A,#N/A,FALSE,"이태원철근"}</definedName>
    <definedName name="QWER" hidden="1">{#N/A,#N/A,FALSE,"이태원철근"}</definedName>
    <definedName name="qwerqerwr" localSheetId="0" hidden="1">#REF!</definedName>
    <definedName name="qwerqerwr" hidden="1">#REF!</definedName>
    <definedName name="QWS" localSheetId="0" hidden="1">#REF!</definedName>
    <definedName name="QWS" hidden="1">#REF!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kd" hidden="1">{#N/A,#N/A,FALSE,"CCTV"}</definedName>
    <definedName name="Royalty" hidden="1">{#N/A,#N/A,FALSE,"Sheet1"}</definedName>
    <definedName name="S" hidden="1">{#N/A,#N/A,FALSE,"CCTV"}</definedName>
    <definedName name="SAFDAF" localSheetId="0" hidden="1">{"'Firr(선)'!$AS$1:$AY$62","'Firr(사)'!$AS$1:$AY$62","'Firr(회)'!$AS$1:$AY$62","'Firr(선)'!$L$1:$V$62","'Firr(사)'!$L$1:$V$62","'Firr(회)'!$L$1:$V$62"}</definedName>
    <definedName name="SAFDAF" hidden="1">{"'Firr(선)'!$AS$1:$AY$62","'Firr(사)'!$AS$1:$AY$62","'Firr(회)'!$AS$1:$AY$62","'Firr(선)'!$L$1:$V$62","'Firr(사)'!$L$1:$V$62","'Firr(회)'!$L$1:$V$62"}</definedName>
    <definedName name="SDAS" localSheetId="0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CFG\" localSheetId="0" hidden="1">{#N/A,#N/A,FALSE,"운반시간"}</definedName>
    <definedName name="SDCFG\" hidden="1">{#N/A,#N/A,FALSE,"운반시간"}</definedName>
    <definedName name="SDF" localSheetId="0" hidden="1">{#N/A,#N/A,FALSE,"혼합골재"}</definedName>
    <definedName name="SDF" hidden="1">{#N/A,#N/A,FALSE,"혼합골재"}</definedName>
    <definedName name="sdg" localSheetId="0" hidden="1">#REF!</definedName>
    <definedName name="sdg" hidden="1">#REF!</definedName>
    <definedName name="SDS" hidden="1">{#N/A,#N/A,FALSE,"2~8번"}</definedName>
    <definedName name="sdsd" hidden="1">#REF!</definedName>
    <definedName name="SERVICE" hidden="1">{#N/A,#N/A,FALSE,"이태원철근"}</definedName>
    <definedName name="sheet" hidden="1">{#N/A,#N/A,FALSE,"골재소요량";#N/A,#N/A,FALSE,"골재소요량"}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s" hidden="1">{#N/A,#N/A,FALSE,"전력간선"}</definedName>
    <definedName name="SSSS" localSheetId="0" hidden="1">{#N/A,#N/A,FALSE,"전력간선"}</definedName>
    <definedName name="SSSS" hidden="1">{#N/A,#N/A,FALSE,"전력간선"}</definedName>
    <definedName name="Summary" hidden="1">{#N/A,#N/A,FALSE,"CCTV"}</definedName>
    <definedName name="tr" localSheetId="0" hidden="1">#REF!</definedName>
    <definedName name="tr" hidden="1">#REF!</definedName>
    <definedName name="ttt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B" hidden="1">{#N/A,#N/A,FALSE,"이태원철근"}</definedName>
    <definedName name="VBN" hidden="1">{#N/A,#N/A,FALSE,"이태원철근"}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" hidden="1">{#N/A,#N/A,FALSE,"골재소요량";#N/A,#N/A,FALSE,"골재소요량"}</definedName>
    <definedName name="WLQ" localSheetId="0" hidden="1">{#N/A,#N/A,FALSE,"명세표"}</definedName>
    <definedName name="WLQ" hidden="1">{#N/A,#N/A,FALSE,"명세표"}</definedName>
    <definedName name="WLTL" hidden="1">{#N/A,#N/A,FALSE,"현장 NCR 분석";#N/A,#N/A,FALSE,"현장품질감사";#N/A,#N/A,FALSE,"현장품질감사"}</definedName>
    <definedName name="wm.조골재1" localSheetId="0" hidden="1">{#N/A,#N/A,FALSE,"조골재"}</definedName>
    <definedName name="wm.조골재1" hidden="1">{#N/A,#N/A,FALSE,"조골재"}</definedName>
    <definedName name="WRITE" hidden="1">{#N/A,#N/A,FALSE,"CCTV"}</definedName>
    <definedName name="WRN" hidden="1">{#N/A,#N/A,FALSE,"CCTV"}</definedName>
    <definedName name="wrn.2번." localSheetId="0" hidden="1">{#N/A,#N/A,FALSE,"2~8번"}</definedName>
    <definedName name="wrn.2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BM." hidden="1">{#N/A,#N/A,FALSE,"CCTV"}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est1." localSheetId="0" hidden="1">{#N/A,#N/A,FALSE,"명세표"}</definedName>
    <definedName name="wrn.test1." hidden="1">{#N/A,#N/A,FALSE,"명세표"}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ㅁㅁㅁ." hidden="1">{#N/A,#N/A,FALSE,"월공사비집계표양식 (7)";#N/A,#N/A,FALSE,"월공사비집계표양식 (7)"}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연동제." hidden="1">{#N/A,#N/A,TRUE,"총괄"}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hidden="1">{#N/A,#N/A,FALSE,"포장단가"}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hidden="1">{#N/A,#N/A,FALSE,"포장단가"}</definedName>
    <definedName name="xx" localSheetId="0" hidden="1">#REF!</definedName>
    <definedName name="xx" hidden="1">#REF!</definedName>
    <definedName name="ZXC" hidden="1">{#N/A,#N/A,FALSE,"이태원철근"}</definedName>
    <definedName name="φ406.4" hidden="1">{#N/A,#N/A,FALSE,"2~8번"}</definedName>
    <definedName name="ㄱㄱ" hidden="1">{#N/A,#N/A,FALSE,"명세표"}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가설공사" hidden="1">#REF!</definedName>
    <definedName name="감독2" localSheetId="0" hidden="1">{#N/A,#N/A,FALSE,"단가표지"}</definedName>
    <definedName name="감독2" hidden="1">{#N/A,#N/A,FALSE,"단가표지"}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정희" hidden="1">{#N/A,#N/A,FALSE,"표지목차"}</definedName>
    <definedName name="개소표지" hidden="1">{#N/A,#N/A,TRUE,"총괄"}</definedName>
    <definedName name="건축" localSheetId="0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겨격" hidden="1">#REF!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서" hidden="1">{#N/A,#N/A,FALSE,"구조2"}</definedName>
    <definedName name="계약여부">#REF!</definedName>
    <definedName name="계전2" hidden="1">#REF!</definedName>
    <definedName name="곡동" localSheetId="0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1" localSheetId="0" hidden="1">{"'Firr(선)'!$AS$1:$AY$62","'Firr(사)'!$AS$1:$AY$62","'Firr(회)'!$AS$1:$AY$62","'Firr(선)'!$L$1:$V$62","'Firr(사)'!$L$1:$V$62","'Firr(회)'!$L$1:$V$62"}</definedName>
    <definedName name="곡동1" hidden="1">{"'Firr(선)'!$AS$1:$AY$62","'Firr(사)'!$AS$1:$AY$62","'Firr(회)'!$AS$1:$AY$62","'Firr(선)'!$L$1:$V$62","'Firr(사)'!$L$1:$V$62","'Firr(회)'!$L$1:$V$62"}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명" localSheetId="0">#REF!</definedName>
    <definedName name="공사명" localSheetId="9">#REF!</definedName>
    <definedName name="공사명" localSheetId="10">#REF!</definedName>
    <definedName name="공사명" localSheetId="4">#REF!</definedName>
    <definedName name="공사명" localSheetId="5">#REF!</definedName>
    <definedName name="공사명" localSheetId="6">#REF!</definedName>
    <definedName name="공사명" localSheetId="1">#REF!</definedName>
    <definedName name="공사명" localSheetId="11">#REF!</definedName>
    <definedName name="공사명" localSheetId="28">#REF!</definedName>
    <definedName name="공사명" localSheetId="7">#REF!</definedName>
    <definedName name="공사명" localSheetId="2">#REF!</definedName>
    <definedName name="공사명">#REF!</definedName>
    <definedName name="공사원" hidden="1">0</definedName>
    <definedName name="공사원가" hidden="1">0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사형태">#REF!</definedName>
    <definedName name="공종간지" hidden="1">#REF!</definedName>
    <definedName name="곽동준" localSheetId="0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중" localSheetId="0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비2" hidden="1">{#N/A,#N/A,FALSE,"구조2"}</definedName>
    <definedName name="교대펄근집계" localSheetId="0" hidden="1">{#N/A,#N/A,FALSE,"배수1"}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localSheetId="0" hidden="1">#REF!</definedName>
    <definedName name="구산갑지" hidden="1">#REF!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물공" hidden="1">{#N/A,#N/A,FALSE,"이정표"}</definedName>
    <definedName name="그림" localSheetId="0" hidden="1">{#N/A,#N/A,FALSE,"전력간선"}</definedName>
    <definedName name="그림" hidden="1">{#N/A,#N/A,FALSE,"전력간선"}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실행" hidden="1">{#N/A,#N/A,FALSE,"CCTV"}</definedName>
    <definedName name="기기기" hidden="1">#REF!</definedName>
    <definedName name="기전1" localSheetId="0" hidden="1">#REF!</definedName>
    <definedName name="기전1" hidden="1">#REF!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김" localSheetId="0" hidden="1">{#N/A,#N/A,FALSE,"명세표"}</definedName>
    <definedName name="김" hidden="1">{#N/A,#N/A,FALSE,"명세표"}</definedName>
    <definedName name="김동" localSheetId="0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localSheetId="0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선미" localSheetId="0" hidden="1">{"'Firr(선)'!$AS$1:$AY$62","'Firr(사)'!$AS$1:$AY$62","'Firr(회)'!$AS$1:$AY$62","'Firr(선)'!$L$1:$V$62","'Firr(사)'!$L$1:$V$62","'Firr(회)'!$L$1:$V$62"}</definedName>
    <definedName name="김선미" hidden="1">{"'Firr(선)'!$AS$1:$AY$62","'Firr(사)'!$AS$1:$AY$62","'Firr(회)'!$AS$1:$AY$62","'Firr(선)'!$L$1:$V$62","'Firr(사)'!$L$1:$V$62","'Firr(회)'!$L$1:$V$62"}</definedName>
    <definedName name="ㄳㅅ" hidden="1">#REF!</definedName>
    <definedName name="ㄴ" hidden="1">#REF!</definedName>
    <definedName name="ㄴㄴㄴ" localSheetId="0" hidden="1">{#N/A,#N/A,FALSE,"명세표"}</definedName>
    <definedName name="ㄴㄴㄴ" hidden="1">{#N/A,#N/A,FALSE,"명세표"}</definedName>
    <definedName name="ㄴㄴㄴㄴ" hidden="1">#REF!</definedName>
    <definedName name="ㄴㄴㄴㄴㄴ" hidden="1">#REF!</definedName>
    <definedName name="ㄴㅁ" localSheetId="0" hidden="1">#REF!</definedName>
    <definedName name="ㄴㅁ" hidden="1">#REF!</definedName>
    <definedName name="ㄴㅇㅎ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나그네" hidden="1">{#N/A,#N/A,FALSE,"구조2"}</definedName>
    <definedName name="난간철거" hidden="1">{#N/A,#N/A,FALSE,"골재소요량";#N/A,#N/A,FALSE,"골재소요량"}</definedName>
    <definedName name="날개벽단면검토" hidden="1">#REF!</definedName>
    <definedName name="내역서" hidden="1">{#N/A,#N/A,FALSE,"명세표"}</definedName>
    <definedName name="너니ㅏㄴ" hidden="1">{#N/A,#N/A,FALSE,"현장 NCR 분석";#N/A,#N/A,FALSE,"현장품질감사";#N/A,#N/A,FALSE,"현장품질감사"}</definedName>
    <definedName name="노야즈" hidden="1">{#N/A,#N/A,FALSE,"현장 NCR 분석";#N/A,#N/A,FALSE,"현장품질감사";#N/A,#N/A,FALSE,"현장품질감사"}</definedName>
    <definedName name="ㄷ" hidden="1">{#N/A,#N/A,TRUE,"토적및재료집계";#N/A,#N/A,TRUE,"토적및재료집계";#N/A,#N/A,TRUE,"단위량"}</definedName>
    <definedName name="ㄷㄱㄷ" localSheetId="0" hidden="1">{#N/A,#N/A,FALSE,"전력간선"}</definedName>
    <definedName name="ㄷㄱㄷ" hidden="1">{#N/A,#N/A,FALSE,"전력간선"}</definedName>
    <definedName name="다람쥐" localSheetId="0" hidden="1">#REF!</definedName>
    <definedName name="다람쥐" hidden="1">#REF!</definedName>
    <definedName name="다짐계수">0.875</definedName>
    <definedName name="단가산출서총체" hidden="1">{#N/A,#N/A,TRUE,"총괄"}</definedName>
    <definedName name="대관공사비" localSheetId="0" hidden="1">{"'건축내역'!$A$1:$L$413"}</definedName>
    <definedName name="대관공사비" hidden="1">{"'건축내역'!$A$1:$L$413"}</definedName>
    <definedName name="도급" hidden="1">{#N/A,#N/A,FALSE,"구조2"}</definedName>
    <definedName name="동준" localSheetId="0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ㄹ" localSheetId="0" hidden="1">{#N/A,#N/A,FALSE,"명세표"}</definedName>
    <definedName name="ㄹ" hidden="1">{#N/A,#N/A,FALSE,"명세표"}</definedName>
    <definedName name="ㄹㄹㄹ" hidden="1">{#N/A,#N/A,FALSE,"명세표"}</definedName>
    <definedName name="ㄹㄹㄹㄹ" localSheetId="0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ㄹㄹ" hidden="1">{#N/A,#N/A,FALSE,"2~8번"}</definedName>
    <definedName name="ㄹㅇㄴㅁㄹㅇㅁㄴㄹ" hidden="1">{#N/A,#N/A,FALSE,"속도"}</definedName>
    <definedName name="ㄹㅇㄶ" localSheetId="0" hidden="1">#REF!</definedName>
    <definedName name="ㄹㅇㄶ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hidden="1">{#N/A,#N/A,FALSE,"CCTV"}</definedName>
    <definedName name="류효정" localSheetId="0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ㄻㄴㅇㄹ" hidden="1">{#N/A,#N/A,FALSE,"2~8번"}</definedName>
    <definedName name="ㄻㄴㅇㄻㅇㄴㄹㅇㄴㅁㄹㅇㅁㄴㄹ" hidden="1">{#N/A,#N/A,FALSE,"부대1"}</definedName>
    <definedName name="ㅀ" localSheetId="0" hidden="1">{#N/A,#N/A,TRUE,"토적및재료집계";#N/A,#N/A,TRUE,"토적및재료집계";#N/A,#N/A,TRUE,"단위량"}</definedName>
    <definedName name="ㅀ" hidden="1">#REF!</definedName>
    <definedName name="ㅀㄹㄹ" hidden="1">{#N/A,#N/A,FALSE,"조골재"}</definedName>
    <definedName name="ㅀ오ㅓㅎ롱ㄶㄹㄴ" hidden="1">{#N/A,#N/A,FALSE,"2~8번"}</definedName>
    <definedName name="ㅁ1" localSheetId="0">#REF!</definedName>
    <definedName name="ㅁ1" localSheetId="9">#REF!</definedName>
    <definedName name="ㅁ1" localSheetId="10">#REF!</definedName>
    <definedName name="ㅁ1" localSheetId="4">#REF!</definedName>
    <definedName name="ㅁ1" localSheetId="5">#REF!</definedName>
    <definedName name="ㅁ1" localSheetId="6">#REF!</definedName>
    <definedName name="ㅁ1" localSheetId="11">#REF!</definedName>
    <definedName name="ㅁ1" localSheetId="28">#REF!</definedName>
    <definedName name="ㅁ1" localSheetId="7">#REF!</definedName>
    <definedName name="ㅁ1" localSheetId="2">#REF!</definedName>
    <definedName name="ㅁ1">#REF!</definedName>
    <definedName name="ㅁㄴ" hidden="1">#REF!</definedName>
    <definedName name="ㅁㄴㅁㅇ" hidden="1">#REF!</definedName>
    <definedName name="ㅁㄴㅇ" hidden="1">{#N/A,#N/A,FALSE,"운반시간"}</definedName>
    <definedName name="ㅁㄴㅇㅁㄴㅇ" hidden="1">#REF!</definedName>
    <definedName name="ㅁㄴㅇㅁㄹ" localSheetId="0" hidden="1">{#N/A,#N/A,FALSE,"운반시간"}</definedName>
    <definedName name="ㅁㄴㅇㅁㄹ" hidden="1">{#N/A,#N/A,FALSE,"운반시간"}</definedName>
    <definedName name="ㅁㄷㅅㄷ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ㄹㅇㄴ" hidden="1">{#N/A,#N/A,FALSE,"포장2"}</definedName>
    <definedName name="ㅁㅁ" hidden="1">#REF!</definedName>
    <definedName name="ㅁㅁㅁ" localSheetId="0" hidden="1">#REF!</definedName>
    <definedName name="ㅁㅁㅁ" hidden="1">#REF!</definedName>
    <definedName name="ㅁㅇㄹ" hidden="1">{#N/A,#N/A,FALSE,"2~8번"}</definedName>
    <definedName name="만득이" hidden="1">{#N/A,#N/A,FALSE,"2~8번"}</definedName>
    <definedName name="맨홀집계표" hidden="1">{#N/A,#N/A,FALSE,"포장단가"}</definedName>
    <definedName name="머" localSheetId="0" hidden="1">{#N/A,#N/A,FALSE,"명세표"}</definedName>
    <definedName name="머" hidden="1">{#N/A,#N/A,FALSE,"명세표"}</definedName>
    <definedName name="문진식" localSheetId="0" hidden="1">{"'Firr(선)'!$AS$1:$AY$62","'Firr(사)'!$AS$1:$AY$62","'Firr(회)'!$AS$1:$AY$62","'Firr(선)'!$L$1:$V$62","'Firr(사)'!$L$1:$V$62","'Firr(회)'!$L$1:$V$62"}</definedName>
    <definedName name="문진식" hidden="1">{"'Firr(선)'!$AS$1:$AY$62","'Firr(사)'!$AS$1:$AY$62","'Firr(회)'!$AS$1:$AY$62","'Firr(선)'!$L$1:$V$62","'Firr(사)'!$L$1:$V$62","'Firr(회)'!$L$1:$V$62"}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ㅂ" hidden="1">{#N/A,#N/A,TRUE,"토적및재료집계";#N/A,#N/A,TRUE,"토적및재료집계";#N/A,#N/A,TRUE,"단위량"}</definedName>
    <definedName name="ㅂㅂㅂ" hidden="1">{#N/A,#N/A,FALSE,"2~8번"}</definedName>
    <definedName name="ㅂㅂㅂㅂ" localSheetId="0" hidden="1">{#N/A,#N/A,FALSE,"명세표"}</definedName>
    <definedName name="ㅂㅂㅂㅂ" hidden="1">{#N/A,#N/A,FALSE,"명세표"}</definedName>
    <definedName name="ㅂㅂㅂㅂㅂㅂㅂ" localSheetId="0" hidden="1">{#N/A,#N/A,FALSE,"명세표"}</definedName>
    <definedName name="ㅂㅂㅂㅂㅂㅂㅂ" hidden="1">{#N/A,#N/A,FALSE,"명세표"}</definedName>
    <definedName name="ㅂㅈ" hidden="1">{#N/A,#N/A,FALSE,"2~8번"}</definedName>
    <definedName name="ㅂ쟈ㅕㅑㅂ1" hidden="1">{#N/A,#N/A,FALSE,"배수1"}</definedName>
    <definedName name="배수공" hidden="1">{#N/A,#N/A,FALSE,"부대1"}</definedName>
    <definedName name="배수공집계_주요자재" hidden="1">{#N/A,#N/A,FALSE,"포장단가"}</definedName>
    <definedName name="벽체" hidden="1">{#N/A,#N/A,FALSE,"혼합골재"}</definedName>
    <definedName name="벽체1" hidden="1">{#N/A,#N/A,FALSE,"혼합골재"}</definedName>
    <definedName name="변경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도복구단면도ㅓ" hidden="1">#REF!</definedName>
    <definedName name="보조기층두께">0.2</definedName>
    <definedName name="보중" localSheetId="0" hidden="1">{#N/A,#N/A,FALSE,"전력간선"}</definedName>
    <definedName name="보중" hidden="1">{#N/A,#N/A,FALSE,"전력간선"}</definedName>
    <definedName name="복공판1" hidden="1">{#N/A,#N/A,FALSE,"Sheet1"}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가내역" hidden="1">{#N/A,#N/A,TRUE,"총괄"}</definedName>
    <definedName name="부대a" hidden="1">{#N/A,#N/A,FALSE,"골재소요량";#N/A,#N/A,FALSE,"골재소요량"}</definedName>
    <definedName name="부대건축2" hidden="1">#REF!</definedName>
    <definedName name="부대공사" localSheetId="0" hidden="1">#REF!</definedName>
    <definedName name="부대공사" hidden="1">#REF!</definedName>
    <definedName name="부대공총괄수량집계" hidden="1">{#N/A,#N/A,FALSE,"2~8번"}</definedName>
    <definedName name="부대원본" localSheetId="0" hidden="1">{#N/A,#N/A,FALSE,"토공2"}</definedName>
    <definedName name="부대원본" hidden="1">{#N/A,#N/A,FALSE,"토공2"}</definedName>
    <definedName name="부부손일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전반제조총괄표" localSheetId="0" hidden="1">{"'건축내역'!$A$1:$L$413"}</definedName>
    <definedName name="분전반제조총괄표" hidden="1">{"'건축내역'!$A$1:$L$413"}</definedName>
    <definedName name="비목1" localSheetId="0">#REF!</definedName>
    <definedName name="비목1" localSheetId="9">#REF!</definedName>
    <definedName name="비목1" localSheetId="10">#REF!</definedName>
    <definedName name="비목1" localSheetId="4">#REF!</definedName>
    <definedName name="비목1" localSheetId="5">#REF!</definedName>
    <definedName name="비목1" localSheetId="6">#REF!</definedName>
    <definedName name="비목1" localSheetId="1">#REF!</definedName>
    <definedName name="비목1" localSheetId="11">#REF!</definedName>
    <definedName name="비목1" localSheetId="28">#REF!</definedName>
    <definedName name="비목1" localSheetId="7">#REF!</definedName>
    <definedName name="비목1" localSheetId="2">#REF!</definedName>
    <definedName name="비목1">#REF!</definedName>
    <definedName name="비목2" localSheetId="0">#REF!</definedName>
    <definedName name="비목2" localSheetId="9">#REF!</definedName>
    <definedName name="비목2" localSheetId="10">#REF!</definedName>
    <definedName name="비목2" localSheetId="4">#REF!</definedName>
    <definedName name="비목2" localSheetId="5">#REF!</definedName>
    <definedName name="비목2" localSheetId="6">#REF!</definedName>
    <definedName name="비목2" localSheetId="1">#REF!</definedName>
    <definedName name="비목2" localSheetId="11">#REF!</definedName>
    <definedName name="비목2" localSheetId="28">#REF!</definedName>
    <definedName name="비목2" localSheetId="7">#REF!</definedName>
    <definedName name="비목2" localSheetId="2">#REF!</definedName>
    <definedName name="비목2">#REF!</definedName>
    <definedName name="비목3" localSheetId="0">#REF!</definedName>
    <definedName name="비목3" localSheetId="9">#REF!</definedName>
    <definedName name="비목3" localSheetId="10">#REF!</definedName>
    <definedName name="비목3" localSheetId="4">#REF!</definedName>
    <definedName name="비목3" localSheetId="5">#REF!</definedName>
    <definedName name="비목3" localSheetId="6">#REF!</definedName>
    <definedName name="비목3" localSheetId="1">#REF!</definedName>
    <definedName name="비목3" localSheetId="11">#REF!</definedName>
    <definedName name="비목3" localSheetId="28">#REF!</definedName>
    <definedName name="비목3" localSheetId="7">#REF!</definedName>
    <definedName name="비목3" localSheetId="2">#REF!</definedName>
    <definedName name="비목3">#REF!</definedName>
    <definedName name="비목4" localSheetId="0">#REF!</definedName>
    <definedName name="비목4" localSheetId="9">#REF!</definedName>
    <definedName name="비목4" localSheetId="10">#REF!</definedName>
    <definedName name="비목4" localSheetId="4">#REF!</definedName>
    <definedName name="비목4" localSheetId="5">#REF!</definedName>
    <definedName name="비목4" localSheetId="6">#REF!</definedName>
    <definedName name="비목4" localSheetId="1">#REF!</definedName>
    <definedName name="비목4" localSheetId="11">#REF!</definedName>
    <definedName name="비목4" localSheetId="28">#REF!</definedName>
    <definedName name="비목4" localSheetId="7">#REF!</definedName>
    <definedName name="비목4" localSheetId="2">#REF!</definedName>
    <definedName name="비목4">#REF!</definedName>
    <definedName name="ㅅ" hidden="1">{#N/A,#N/A,TRUE,"토적및재료집계";#N/A,#N/A,TRUE,"토적및재료집계";#N/A,#N/A,TRUE,"단위량"}</definedName>
    <definedName name="ㅅㅅ" localSheetId="0" hidden="1">{#N/A,#N/A,FALSE,"전력간선"}</definedName>
    <definedName name="ㅅㅅ" hidden="1">{#N/A,#N/A,FALSE,"전력간선"}</definedName>
    <definedName name="ㅅ오" hidden="1">{#N/A,#N/A,FALSE,"현장 NCR 분석";#N/A,#N/A,FALSE,"현장품질감사";#N/A,#N/A,FALSE,"현장품질감사"}</definedName>
    <definedName name="사" localSheetId="0" hidden="1">#REF!</definedName>
    <definedName name="사" hidden="1">#REF!</definedName>
    <definedName name="새공통" hidden="1">{#N/A,#N/A,FALSE,"이태원철근"}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" hidden="1">#REF!</definedName>
    <definedName name="석항" localSheetId="0" hidden="1">{#N/A,#N/A,FALSE,"명세표"}</definedName>
    <definedName name="석항" hidden="1">{#N/A,#N/A,FALSE,"명세표"}</definedName>
    <definedName name="선택층두께">0.2</definedName>
    <definedName name="설비" hidden="1">{#N/A,#N/A,FALSE,"이태원철근"}</definedName>
    <definedName name="설비원가집계표" hidden="1">#REF!</definedName>
    <definedName name="설치여부">#REF!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소화갑지" hidden="1">{#N/A,#N/A,FALSE,"CCTV"}</definedName>
    <definedName name="손익신규2" localSheetId="0" hidden="1">#REF!</definedName>
    <definedName name="손익신규2" hidden="1">#REF!</definedName>
    <definedName name="수량산" localSheetId="0" hidden="1">{"'220승압(공문첨부)'!$A$3:$E$123"}</definedName>
    <definedName name="수량산" hidden="1">{"'220승압(공문첨부)'!$A$3:$E$123"}</definedName>
    <definedName name="수량산출세부3" localSheetId="0" hidden="1">{#N/A,#N/A,FALSE,"단가표지"}</definedName>
    <definedName name="수량산출세부3" hidden="1">{#N/A,#N/A,FALSE,"단가표지"}</definedName>
    <definedName name="수량집계" hidden="1">#REF!</definedName>
    <definedName name="수정" hidden="1">{#N/A,#N/A,TRUE,"총괄"}</definedName>
    <definedName name="승용교" hidden="1">{#N/A,#N/A,FALSE,"2~8번"}</definedName>
    <definedName name="시행" hidden="1">{#N/A,#N/A,FALSE,"이태원철근"}</definedName>
    <definedName name="신설" localSheetId="0" hidden="1">{#N/A,#N/A,FALSE,"명세표"}</definedName>
    <definedName name="신설" hidden="1">{#N/A,#N/A,FALSE,"명세표"}</definedName>
    <definedName name="실적보고1" hidden="1">{#N/A,#N/A,TRUE,"총괄"}</definedName>
    <definedName name="쏘" hidden="1">{#N/A,#N/A,TRUE,"총괄"}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ㄴ" localSheetId="0" hidden="1">{"'건축내역'!$A$1:$L$413"}</definedName>
    <definedName name="ㅇㄴ" hidden="1">{"'건축내역'!$A$1:$L$413"}</definedName>
    <definedName name="ㅇㄴㅇㄴ" hidden="1">{#N/A,#N/A,FALSE,"CCTV"}</definedName>
    <definedName name="ㅇㄹㄴㅁㄹㅇㅁ" hidden="1">{#N/A,#N/A,FALSE,"속도"}</definedName>
    <definedName name="ㅇㄹㄹ" localSheetId="0" hidden="1">#REF!</definedName>
    <definedName name="ㅇㄹㄹ" hidden="1">#REF!</definedName>
    <definedName name="ㅇㄹㅇㄴㄹ">#REF!</definedName>
    <definedName name="ㅇㄹㅇㄹ" hidden="1">#REF!</definedName>
    <definedName name="ㅇㅁㄴㅇ" hidden="1">{#N/A,#N/A,FALSE,"단가표지"}</definedName>
    <definedName name="ㅇㅇ" hidden="1">#REF!</definedName>
    <definedName name="ㅇㅇㅇ" hidden="1">#REF!</definedName>
    <definedName name="ㅇㅇㅇㅇ" localSheetId="0" hidden="1">#REF!</definedName>
    <definedName name="ㅇㅇㅇㅇ" hidden="1">#REF!</definedName>
    <definedName name="양기용" hidden="1">{#N/A,#N/A,FALSE,"월공사비집계표양식 (7)";#N/A,#N/A,FALSE,"월공사비집계표양식 (7)"}</definedName>
    <definedName name="양산현장가설" hidden="1">{#N/A,#N/A,FALSE,"표지";#N/A,#N/A,FALSE,"목차";#N/A,#N/A,FALSE,"내용1";#N/A,#N/A,FALSE,"내용2";#N/A,#N/A,FALSE,"결론";#N/A,#N/A,FALSE,"첨부";#N/A,#N/A,FALSE,"진공도달시간";#N/A,#N/A,FALSE,"배가스속도"}</definedName>
    <definedName name="양식" localSheetId="0" hidden="1">{#N/A,#N/A,FALSE,"전력간선"}</definedName>
    <definedName name="양식" hidden="1">{#N/A,#N/A,FALSE,"전력간선"}</definedName>
    <definedName name="어떤거" hidden="1">{#N/A,#N/A,FALSE,"이정표"}</definedName>
    <definedName name="억이상" hidden="1">{#N/A,#N/A,FALSE,"2~8번"}</definedName>
    <definedName name="엉랄에" hidden="1">{#N/A,#N/A,FALSE,"현장 NCR 분석";#N/A,#N/A,FALSE,"현장품질감사";#N/A,#N/A,FALSE,"현장품질감사"}</definedName>
    <definedName name="연습" localSheetId="0" hidden="1">{#N/A,#N/A,FALSE,"전력간선"}</definedName>
    <definedName name="연습" hidden="1">{#N/A,#N/A,FALSE,"전력간선"}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예상도급내역" hidden="1">{#N/A,#N/A,FALSE,"CCTV"}</definedName>
    <definedName name="옥외공사" hidden="1">{#N/A,#N/A,FALSE,"이태원철근"}</definedName>
    <definedName name="옥외대비" hidden="1">{#N/A,#N/A,FALSE,"이태원철근"}</definedName>
    <definedName name="옹" hidden="1">{#N/A,#N/A,FALSE,"골재소요량";#N/A,#N/A,FALSE,"골재소요량"}</definedName>
    <definedName name="옹벽수량집계표" hidden="1">{#N/A,#N/A,FALSE,"2~8번"}</definedName>
    <definedName name="옹벽수량집계표총괄" hidden="1">{#N/A,#N/A,FALSE,"혼합골재"}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운반" hidden="1">{#N/A,#N/A,FALSE,"운반시간"}</definedName>
    <definedName name="원가계산서1" hidden="1">{#N/A,#N/A,TRUE,"총괄"}</definedName>
    <definedName name="월드건설" hidden="1">{#N/A,#N/A,FALSE,"이태원철근"}</definedName>
    <definedName name="유관기관협의서" localSheetId="0" hidden="1">{#N/A,#N/A,FALSE,"현장 NCR 분석";#N/A,#N/A,FALSE,"현장품질감사";#N/A,#N/A,FALSE,"현장품질감사"}</definedName>
    <definedName name="유관기관협의서" hidden="1">{#N/A,#N/A,FALSE,"현장 NCR 분석";#N/A,#N/A,FALSE,"현장품질감사";#N/A,#N/A,FALSE,"현장품질감사"}</definedName>
    <definedName name="을지" hidden="1">{#N/A,#N/A,FALSE,"이태원철근"}</definedName>
    <definedName name="의" hidden="1">{#N/A,#N/A,FALSE,"운반시간"}</definedName>
    <definedName name="이" localSheetId="0" hidden="1">{#N/A,#N/A,FALSE,"명세표"}</definedName>
    <definedName name="이" hidden="1">{#N/A,#N/A,FALSE,"명세표"}</definedName>
    <definedName name="이가" localSheetId="0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릉" localSheetId="0" hidden="1">#REF!</definedName>
    <definedName name="이릉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" localSheetId="0" hidden="1">{#N/A,#N/A,FALSE,"2~8번"}</definedName>
    <definedName name="이정" hidden="1">{#N/A,#N/A,FALSE,"2~8번"}</definedName>
    <definedName name="인천공항고속도로" localSheetId="0" hidden="1">{#N/A,#N/A,FALSE,"단가표지"}</definedName>
    <definedName name="인천공항고속도로" hidden="1">{#N/A,#N/A,FALSE,"단가표지"}</definedName>
    <definedName name="일반부" hidden="1">{#N/A,#N/A,FALSE,"조골재"}</definedName>
    <definedName name="임" localSheetId="0" hidden="1">{#N/A,#N/A,FALSE,"현장 NCR 분석";#N/A,#N/A,FALSE,"현장품질감사";#N/A,#N/A,FALSE,"현장품질감사"}</definedName>
    <definedName name="임" hidden="1">{#N/A,#N/A,FALSE,"현장 NCR 분석";#N/A,#N/A,FALSE,"현장품질감사";#N/A,#N/A,FALSE,"현장품질감사"}</definedName>
    <definedName name="ㅈ" hidden="1">{#N/A,#N/A,FALSE,"명세표"}</definedName>
    <definedName name="ㅈㄱ" hidden="1">{#N/A,#N/A,FALSE,"조골재"}</definedName>
    <definedName name="ㅈㅈㅈ" hidden="1">{#N/A,#N/A,FALSE,"골재소요량";#N/A,#N/A,FALSE,"골재소요량"}</definedName>
    <definedName name="ㅈㅈㅈㅈ" hidden="1">{#N/A,#N/A,FALSE,"명세표"}</definedName>
    <definedName name="자미" localSheetId="0" hidden="1">{#N/A,#N/A,FALSE,"명세표"}</definedName>
    <definedName name="자미" hidden="1">{#N/A,#N/A,FALSE,"명세표"}</definedName>
    <definedName name="자재업" localSheetId="0" hidden="1">#REF!</definedName>
    <definedName name="자재업" hidden="1">#REF!</definedName>
    <definedName name="재료노무합계" localSheetId="0" hidden="1">{"'건축내역'!$A$1:$L$413"}</definedName>
    <definedName name="재료노무합계" hidden="1">{"'건축내역'!$A$1:$L$413"}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체제조총괄표" localSheetId="0" hidden="1">{"'건축내역'!$A$1:$L$413"}</definedName>
    <definedName name="전체제조총괄표" hidden="1">{"'건축내역'!$A$1:$L$413"}</definedName>
    <definedName name="절" hidden="1">#REF!</definedName>
    <definedName name="조" localSheetId="0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효" localSheetId="0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석" localSheetId="0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좌3" hidden="1">{#N/A,#N/A,FALSE,"월공사비집계표양식 (7)";#N/A,#N/A,FALSE,"월공사비집계표양식 (7)"}</definedName>
    <definedName name="주간" localSheetId="0" hidden="1">{#N/A,#N/A,FALSE,"운반시간"}</definedName>
    <definedName name="주간" hidden="1">{#N/A,#N/A,FALSE,"운반시간"}</definedName>
    <definedName name="주야">#REF!</definedName>
    <definedName name="지우기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집계" hidden="1">{#N/A,#N/A,FALSE,"명세표"}</definedName>
    <definedName name="집수정" hidden="1">#REF!</definedName>
    <definedName name="ㅊ" hidden="1">{#N/A,#N/A,TRUE,"총괄"}</definedName>
    <definedName name="차선내역서" localSheetId="0" hidden="1">{#N/A,#N/A,FALSE,"전력간선"}</definedName>
    <definedName name="차선내역서" hidden="1">{#N/A,#N/A,FALSE,"전력간선"}</definedName>
    <definedName name="철거수량" localSheetId="0" hidden="1">#REF!</definedName>
    <definedName name="철거수량" hidden="1">#REF!</definedName>
    <definedName name="초" localSheetId="0" hidden="1">{#N/A,#N/A,FALSE,"현장 NCR 분석";#N/A,#N/A,FALSE,"현장품질감사";#N/A,#N/A,FALSE,"현장품질감사"}</definedName>
    <definedName name="초" hidden="1">{#N/A,#N/A,FALSE,"현장 NCR 분석";#N/A,#N/A,FALSE,"현장품질감사";#N/A,#N/A,FALSE,"현장품질감사"}</definedName>
    <definedName name="총공" localSheetId="0" hidden="1">{#N/A,#N/A,FALSE,"운반시간"}</definedName>
    <definedName name="총공" hidden="1">{#N/A,#N/A,FALSE,"운반시간"}</definedName>
    <definedName name="총괄표" localSheetId="0" hidden="1">#REF!</definedName>
    <definedName name="총괄표" hidden="1">#REF!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향란" hidden="1">{#N/A,#N/A,FALSE,"이태원철근"}</definedName>
    <definedName name="충돌" localSheetId="0" hidden="1">{#N/A,#N/A,FALSE,"전력간선"}</definedName>
    <definedName name="충돌" hidden="1">{#N/A,#N/A,FALSE,"전력간선"}</definedName>
    <definedName name="ㅋ" hidden="1">{#N/A,#N/A,FALSE,"조골재"}</definedName>
    <definedName name="ㅋㄴㅇㄹ">#REF!</definedName>
    <definedName name="ㅋㅁ" localSheetId="0" hidden="1">{#N/A,#N/A,FALSE,"명세표"}</definedName>
    <definedName name="ㅋㅁ" hidden="1">{#N/A,#N/A,FALSE,"명세표"}</definedName>
    <definedName name="ㅋㅋ" hidden="1">{#N/A,#N/A,FALSE,"운반시간"}</definedName>
    <definedName name="ㅋㅋㅋ" hidden="1">{#N/A,#N/A,FALSE,"명세표"}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ㅌ" hidden="1">{#N/A,#N/A,FALSE,"2~8번"}</definedName>
    <definedName name="ㅌㅌ" hidden="1">{#N/A,#N/A,FALSE,"명세표"}</definedName>
    <definedName name="터널" hidden="1">{#N/A,#N/A,TRUE,"총괄"}</definedName>
    <definedName name="테스트" hidden="1">#REF!</definedName>
    <definedName name="토\40" hidden="1">{#N/A,#N/A,FALSE,"토공2"}</definedName>
    <definedName name="토1" hidden="1">{#N/A,#N/A,FALSE,"이정표"}</definedName>
    <definedName name="토2" hidden="1">{#N/A,#N/A,FALSE,"조골재"}</definedName>
    <definedName name="토3" hidden="1">{#N/A,#N/A,FALSE,"구조1"}</definedName>
    <definedName name="토공이수" hidden="1">#REF!</definedName>
    <definedName name="토공집계" hidden="1">#REF!</definedName>
    <definedName name="토목공사" hidden="1">{#N/A,#N/A,FALSE,"이태원철근"}</definedName>
    <definedName name="토목공사강릉" hidden="1">#REF!</definedName>
    <definedName name="토목공정보고" hidden="1">{#N/A,#N/A,FALSE,"골재소요량";#N/A,#N/A,FALSE,"골재소요량"}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hidden="1">{#N/A,#N/A,FALSE,"이태원철근"}</definedName>
    <definedName name="토적표" hidden="1">#REF!</definedName>
    <definedName name="토적표01" hidden="1">#REF!</definedName>
    <definedName name="ㅍ" hidden="1">{#N/A,#N/A,FALSE,"명세표"}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파일" localSheetId="0" hidden="1">#REF!</definedName>
    <definedName name="파일" hidden="1">#REF!</definedName>
    <definedName name="팔" localSheetId="0" hidden="1">#REF!</definedName>
    <definedName name="팔" hidden="1">#REF!</definedName>
    <definedName name="페이지" localSheetId="0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편지기초" hidden="1">{#N/A,#N/A,FALSE,"배수2"}</definedName>
    <definedName name="포지머ㅗㄱㄷㅌ킹1" hidden="1">{#N/A,#N/A,FALSE,"표지목차"}</definedName>
    <definedName name="폽장2" hidden="1">{#N/A,#N/A,FALSE,"포장1";#N/A,#N/A,FALSE,"포장1"}</definedName>
    <definedName name="풍납동" hidden="1">#REF!</definedName>
    <definedName name="풍납동아파트" hidden="1">#REF!</definedName>
    <definedName name="피로티" hidden="1">{#N/A,#N/A,FALSE,"이태원철근"}</definedName>
    <definedName name="피로티1" hidden="1">{#N/A,#N/A,FALSE,"이태원철근"}</definedName>
    <definedName name="ㅎ5" hidden="1">{#N/A,#N/A,FALSE,"골재소요량";#N/A,#N/A,FALSE,"골재소요량"}</definedName>
    <definedName name="ㅎㄱㅇ" hidden="1">{#N/A,#N/A,FALSE,"현장 NCR 분석";#N/A,#N/A,FALSE,"현장품질감사";#N/A,#N/A,FALSE,"현장품질감사"}</definedName>
    <definedName name="ㅎㄷㅇ" hidden="1">{#N/A,#N/A,FALSE,"골재소요량";#N/A,#N/A,FALSE,"골재소요량"}</definedName>
    <definedName name="ㅎ로낟안" hidden="1">{#N/A,#N/A,FALSE,"혼합골재"}</definedName>
    <definedName name="ㅎ불럭" hidden="1">{#N/A,#N/A,FALSE,"현장 NCR 분석";#N/A,#N/A,FALSE,"현장품질감사";#N/A,#N/A,FALSE,"현장품질감사"}</definedName>
    <definedName name="ㅎㅎㅎㅎㅎㅎㅎㅎㅎㅎㅎㅎㅎㅎ" hidden="1">{#N/A,#N/A,FALSE,"포장2"}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{#N/A,#N/A,FALSE,"명세표"}</definedName>
    <definedName name="하하하" hidden="1">{#N/A,#N/A,FALSE,"명세표"}</definedName>
    <definedName name="학교" localSheetId="0" hidden="1">{#N/A,#N/A,FALSE,"전력간선"}</definedName>
    <definedName name="학교" hidden="1">{#N/A,#N/A,FALSE,"전력간선"}</definedName>
    <definedName name="한" hidden="1">#REF!</definedName>
    <definedName name="한동" hidden="1">{#N/A,#N/A,FALSE,"단가표지"}</definedName>
    <definedName name="협조전" hidden="1">#REF!</definedName>
    <definedName name="호호" hidden="1">{#N/A,#N/A,FALSE,"포장1";#N/A,#N/A,FALSE,"포장1"}</definedName>
    <definedName name="호호호" localSheetId="0" hidden="1">{#N/A,#N/A,FALSE,"명세표"}</definedName>
    <definedName name="호호호" hidden="1">{#N/A,#N/A,FALSE,"명세표"}</definedName>
    <definedName name="호ㅓ" hidden="1">#REF!</definedName>
    <definedName name="효석" localSheetId="0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ㅏ" localSheetId="0" hidden="1">{#N/A,#N/A,FALSE,"명세표"}</definedName>
    <definedName name="ㅏ" hidden="1">{#N/A,#N/A,FALSE,"명세표"}</definedName>
    <definedName name="ㅏㅏㅏ" hidden="1">{#N/A,#N/A,FALSE,"명세표"}</definedName>
    <definedName name="ㅐ" hidden="1">{#N/A,#N/A,FALSE,"이태원철근"}</definedName>
    <definedName name="ㅑ" hidden="1">{#N/A,#N/A,FALSE,"조골재"}</definedName>
    <definedName name="ㅑㅕㅑ" localSheetId="0" hidden="1">{#N/A,#N/A,FALSE,"전력간선"}</definedName>
    <definedName name="ㅑㅕㅑ" hidden="1">{#N/A,#N/A,FALSE,"전력간선"}</definedName>
    <definedName name="ㅓ7" hidden="1">{#N/A,#N/A,FALSE,"단가표지"}</definedName>
    <definedName name="ㅓㅓㅓ" localSheetId="0" hidden="1">{#N/A,#N/A,FALSE,"전력간선"}</definedName>
    <definedName name="ㅓㅓㅓ" hidden="1">{#N/A,#N/A,FALSE,"전력간선"}</definedName>
    <definedName name="ㅔ" hidden="1">{#N/A,#N/A,FALSE,"이태원철근"}</definedName>
    <definedName name="ㅔㅔㅔ" hidden="1">{#N/A,#N/A,TRUE,"총괄"}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" localSheetId="0" hidden="1">{#N/A,#N/A,FALSE,"명세표"}</definedName>
    <definedName name="ㅕ" hidden="1">{#N/A,#N/A,FALSE,"명세표"}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11">[1]총괄표!$M$37</definedName>
    <definedName name="ㅗㅗ" localSheetId="0" hidden="1">{#N/A,#N/A,FALSE,"명세표"}</definedName>
    <definedName name="ㅗㅗ" hidden="1">{#N/A,#N/A,FALSE,"명세표"}</definedName>
    <definedName name="ㅘㅗ허ㅎ" localSheetId="0" hidden="1">#REF!</definedName>
    <definedName name="ㅘㅗ허ㅎ" hidden="1">#REF!</definedName>
    <definedName name="ㅛ" hidden="1">{#N/A,#N/A,FALSE,"이태원철근"}</definedName>
    <definedName name="ㅜ" localSheetId="0" hidden="1">{#N/A,#N/A,FALSE,"명세표"}</definedName>
    <definedName name="ㅜ" hidden="1">{#N/A,#N/A,FALSE,"명세표"}</definedName>
    <definedName name="ㅜㅏ" hidden="1">{#N/A,#N/A,TRUE,"총괄"}</definedName>
    <definedName name="ㅡ" hidden="1">{#N/A,#N/A,FALSE,"이태원철근"}</definedName>
    <definedName name="ㅡㅡ" localSheetId="0" hidden="1">{#N/A,#N/A,FALSE,"명세표"}</definedName>
    <definedName name="ㅡㅡ" hidden="1">{#N/A,#N/A,FALSE,"명세표"}</definedName>
    <definedName name="ㅡㅡㅡ" hidden="1">{#N/A,#N/A,FALSE,"포장단가"}</definedName>
    <definedName name="ㅣㅣ" hidden="1">{#N/A,#N/A,FALSE,"골재소요량";#N/A,#N/A,FALSE,"골재소요량"}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25" l="1"/>
  <c r="O7" i="25"/>
  <c r="O8" i="25"/>
  <c r="O9" i="25"/>
  <c r="O10" i="25"/>
  <c r="O11" i="25"/>
  <c r="O6" i="25"/>
  <c r="I27" i="17" l="1"/>
  <c r="I27" i="21"/>
  <c r="N30" i="21"/>
  <c r="N27" i="21"/>
  <c r="N11" i="21"/>
  <c r="D38" i="16" l="1"/>
  <c r="AD1" i="2" l="1"/>
  <c r="AI3" i="2"/>
  <c r="G3" i="2" s="1"/>
  <c r="AJ3" i="2"/>
  <c r="H3" i="2" s="1"/>
  <c r="AI4" i="2"/>
  <c r="G4" i="2" s="1"/>
  <c r="AJ4" i="2"/>
  <c r="H4" i="2" s="1"/>
  <c r="AI5" i="2"/>
  <c r="G5" i="2" s="1"/>
  <c r="AJ5" i="2"/>
  <c r="H5" i="2" s="1"/>
  <c r="AI6" i="2"/>
  <c r="G6" i="2" s="1"/>
  <c r="AJ6" i="2"/>
  <c r="H6" i="2" s="1"/>
  <c r="AI7" i="2"/>
  <c r="G7" i="2" s="1"/>
  <c r="AJ7" i="2"/>
  <c r="H7" i="2" s="1"/>
  <c r="AI8" i="2"/>
  <c r="G8" i="2" s="1"/>
  <c r="AJ8" i="2"/>
  <c r="H8" i="2" s="1"/>
  <c r="AI9" i="2"/>
  <c r="G9" i="2" s="1"/>
  <c r="AJ9" i="2"/>
  <c r="H9" i="2" s="1"/>
  <c r="AI10" i="2"/>
  <c r="G10" i="2" s="1"/>
  <c r="AJ10" i="2"/>
  <c r="H10" i="2" s="1"/>
  <c r="AI11" i="2"/>
  <c r="G11" i="2" s="1"/>
  <c r="AJ11" i="2"/>
  <c r="H11" i="2" s="1"/>
  <c r="AI12" i="2"/>
  <c r="G12" i="2" s="1"/>
  <c r="AJ12" i="2"/>
  <c r="H12" i="2" s="1"/>
  <c r="AI13" i="2"/>
  <c r="G13" i="2" s="1"/>
  <c r="AJ13" i="2"/>
  <c r="H13" i="2" s="1"/>
  <c r="AI14" i="2"/>
  <c r="G14" i="2" s="1"/>
  <c r="AJ14" i="2"/>
  <c r="H14" i="2" s="1"/>
  <c r="AI15" i="2"/>
  <c r="G15" i="2" s="1"/>
  <c r="AJ15" i="2"/>
  <c r="H15" i="2" s="1"/>
  <c r="AH4" i="2"/>
  <c r="F4" i="2" s="1"/>
  <c r="AH5" i="2"/>
  <c r="F5" i="2" s="1"/>
  <c r="AH6" i="2"/>
  <c r="F6" i="2" s="1"/>
  <c r="AH7" i="2"/>
  <c r="F7" i="2" s="1"/>
  <c r="AH8" i="2"/>
  <c r="F8" i="2" s="1"/>
  <c r="AH9" i="2"/>
  <c r="F9" i="2" s="1"/>
  <c r="AH10" i="2"/>
  <c r="F10" i="2" s="1"/>
  <c r="AH11" i="2"/>
  <c r="F11" i="2" s="1"/>
  <c r="AH12" i="2"/>
  <c r="F12" i="2" s="1"/>
  <c r="AH13" i="2"/>
  <c r="F13" i="2" s="1"/>
  <c r="AH14" i="2"/>
  <c r="F14" i="2" s="1"/>
  <c r="AH15" i="2"/>
  <c r="F15" i="2" s="1"/>
  <c r="AH3" i="2"/>
  <c r="F3" i="2" s="1"/>
  <c r="K26" i="31" l="1"/>
  <c r="N7" i="21" l="1"/>
  <c r="N7" i="16" s="1"/>
  <c r="D7" i="21"/>
  <c r="D7" i="17"/>
  <c r="I7" i="16"/>
  <c r="D7" i="16" l="1"/>
  <c r="L14" i="31" l="1"/>
  <c r="L13" i="31"/>
  <c r="D15" i="9" l="1"/>
  <c r="D14" i="9"/>
  <c r="D13" i="9"/>
  <c r="D12" i="9"/>
  <c r="D11" i="9"/>
  <c r="D10" i="9"/>
  <c r="D9" i="9"/>
  <c r="D8" i="9"/>
  <c r="D7" i="9"/>
  <c r="D6" i="9"/>
  <c r="D5" i="9"/>
  <c r="D4" i="9"/>
  <c r="D3" i="9"/>
  <c r="P26" i="17"/>
  <c r="P17" i="17"/>
  <c r="P16" i="17"/>
  <c r="P15" i="17"/>
  <c r="J30" i="16"/>
  <c r="J27" i="16"/>
  <c r="O30" i="16"/>
  <c r="O27" i="16"/>
  <c r="O26" i="16"/>
  <c r="O22" i="16"/>
  <c r="O21" i="16"/>
  <c r="O20" i="16"/>
  <c r="O19" i="16"/>
  <c r="O18" i="16"/>
  <c r="O17" i="16"/>
  <c r="O16" i="16"/>
  <c r="O15" i="16"/>
  <c r="O14" i="16"/>
  <c r="O13" i="16"/>
  <c r="O10" i="16"/>
  <c r="J22" i="16"/>
  <c r="J21" i="16"/>
  <c r="J20" i="16"/>
  <c r="J19" i="16"/>
  <c r="J18" i="16"/>
  <c r="J17" i="16"/>
  <c r="J16" i="16"/>
  <c r="J15" i="16"/>
  <c r="J14" i="16"/>
  <c r="J10" i="16"/>
  <c r="J10" i="17" s="1"/>
  <c r="P26" i="16"/>
  <c r="P17" i="16"/>
  <c r="P16" i="16"/>
  <c r="P15" i="16"/>
  <c r="AQ53" i="30" l="1"/>
  <c r="AH53" i="30"/>
  <c r="AQ51" i="30"/>
  <c r="AH51" i="30"/>
  <c r="AQ49" i="30"/>
  <c r="AH49" i="30"/>
  <c r="AQ47" i="30"/>
  <c r="AH47" i="30"/>
  <c r="AQ45" i="30"/>
  <c r="AH45" i="30"/>
  <c r="AQ43" i="30"/>
  <c r="AH43" i="30"/>
  <c r="AQ41" i="30"/>
  <c r="AH41" i="30"/>
  <c r="AQ39" i="30"/>
  <c r="AH39" i="30"/>
  <c r="AQ37" i="30"/>
  <c r="AH37" i="30"/>
  <c r="AQ35" i="30"/>
  <c r="AH35" i="30"/>
  <c r="AQ33" i="30"/>
  <c r="AH33" i="30"/>
  <c r="AQ31" i="30"/>
  <c r="AH31" i="30"/>
  <c r="AQ29" i="30"/>
  <c r="AH29" i="30"/>
  <c r="AQ27" i="30"/>
  <c r="AH27" i="30"/>
  <c r="AQ25" i="30"/>
  <c r="AH25" i="30"/>
  <c r="AQ23" i="30"/>
  <c r="AH23" i="30"/>
  <c r="AQ21" i="30"/>
  <c r="AH21" i="30"/>
  <c r="AQ19" i="30"/>
  <c r="AH19" i="30"/>
  <c r="AQ17" i="30"/>
  <c r="AH17" i="30"/>
  <c r="AQ15" i="30"/>
  <c r="AH15" i="30"/>
  <c r="J16" i="17" l="1"/>
  <c r="D13" i="7" l="1"/>
  <c r="P744" i="11"/>
  <c r="P753" i="11"/>
  <c r="P752" i="11"/>
  <c r="P751" i="11"/>
  <c r="P750" i="11"/>
  <c r="P749" i="11"/>
  <c r="P748" i="11"/>
  <c r="P747" i="11"/>
  <c r="P746" i="11"/>
  <c r="P745" i="11"/>
  <c r="P743" i="11"/>
  <c r="P742" i="11"/>
  <c r="P741" i="11"/>
  <c r="P740" i="11"/>
  <c r="P739" i="11"/>
  <c r="L754" i="11"/>
  <c r="L798" i="11" l="1"/>
  <c r="L797" i="11"/>
  <c r="L796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71" i="11"/>
  <c r="L770" i="11"/>
  <c r="L769" i="11"/>
  <c r="L768" i="11"/>
  <c r="L767" i="11"/>
  <c r="L766" i="11"/>
  <c r="L765" i="11"/>
  <c r="L764" i="11"/>
  <c r="L763" i="11"/>
  <c r="L762" i="11"/>
  <c r="L761" i="11"/>
  <c r="L760" i="11"/>
  <c r="L759" i="11"/>
  <c r="L758" i="11"/>
  <c r="L757" i="11"/>
  <c r="L756" i="11"/>
  <c r="L755" i="11"/>
  <c r="L753" i="11"/>
  <c r="L752" i="11"/>
  <c r="L751" i="11"/>
  <c r="L750" i="11"/>
  <c r="L749" i="11"/>
  <c r="L748" i="11"/>
  <c r="L747" i="11"/>
  <c r="L746" i="11"/>
  <c r="L745" i="11"/>
  <c r="L744" i="11"/>
  <c r="L743" i="11"/>
  <c r="L742" i="11"/>
  <c r="L741" i="11"/>
  <c r="L740" i="11"/>
  <c r="L739" i="11"/>
  <c r="N798" i="11"/>
  <c r="N797" i="11"/>
  <c r="N796" i="11"/>
  <c r="N795" i="11"/>
  <c r="N794" i="11"/>
  <c r="N793" i="11"/>
  <c r="N792" i="11"/>
  <c r="N791" i="11"/>
  <c r="N790" i="11"/>
  <c r="N789" i="11"/>
  <c r="N788" i="11"/>
  <c r="N787" i="11"/>
  <c r="N786" i="11"/>
  <c r="N785" i="11"/>
  <c r="N784" i="11"/>
  <c r="N783" i="11"/>
  <c r="N782" i="11"/>
  <c r="N781" i="11"/>
  <c r="N780" i="11"/>
  <c r="N779" i="11"/>
  <c r="N778" i="11"/>
  <c r="N777" i="11"/>
  <c r="N776" i="11"/>
  <c r="N775" i="11"/>
  <c r="N774" i="11"/>
  <c r="N773" i="11"/>
  <c r="N772" i="11"/>
  <c r="N771" i="11"/>
  <c r="N770" i="11"/>
  <c r="N769" i="11"/>
  <c r="N768" i="11"/>
  <c r="N767" i="11"/>
  <c r="N766" i="11"/>
  <c r="N765" i="11"/>
  <c r="N764" i="11"/>
  <c r="N763" i="11"/>
  <c r="N762" i="11"/>
  <c r="N761" i="11"/>
  <c r="N760" i="11"/>
  <c r="N759" i="11"/>
  <c r="N758" i="11"/>
  <c r="N757" i="11"/>
  <c r="N756" i="11"/>
  <c r="N755" i="11"/>
  <c r="N754" i="11"/>
  <c r="N753" i="11"/>
  <c r="N752" i="11"/>
  <c r="N751" i="11"/>
  <c r="N750" i="11"/>
  <c r="N749" i="11"/>
  <c r="N748" i="11"/>
  <c r="N747" i="11"/>
  <c r="N746" i="11"/>
  <c r="N745" i="11"/>
  <c r="N744" i="11"/>
  <c r="N743" i="11"/>
  <c r="N742" i="11"/>
  <c r="N741" i="11"/>
  <c r="N740" i="11"/>
  <c r="N739" i="11"/>
  <c r="C56" i="6" l="1"/>
  <c r="B56" i="6"/>
  <c r="C44" i="6"/>
  <c r="B44" i="6"/>
  <c r="C32" i="6"/>
  <c r="B32" i="6"/>
  <c r="C20" i="6"/>
  <c r="B20" i="6"/>
  <c r="C8" i="6"/>
  <c r="B8" i="6"/>
  <c r="G4" i="7"/>
  <c r="G5" i="7"/>
  <c r="G6" i="7"/>
  <c r="G7" i="7"/>
  <c r="G8" i="7"/>
  <c r="G9" i="7"/>
  <c r="G3" i="7"/>
  <c r="G13" i="7"/>
  <c r="D6" i="6" l="1"/>
  <c r="F6" i="6"/>
  <c r="AG6" i="6"/>
  <c r="F8" i="6"/>
  <c r="G8" i="6" s="1"/>
  <c r="AG8" i="6"/>
  <c r="AG11" i="6"/>
  <c r="E12" i="7"/>
  <c r="G12" i="7" s="1"/>
  <c r="E11" i="7"/>
  <c r="G11" i="7" s="1"/>
  <c r="E10" i="7"/>
  <c r="G10" i="7" l="1"/>
  <c r="G6" i="6"/>
  <c r="G7" i="6" s="1"/>
  <c r="G9" i="6"/>
  <c r="G10" i="6" s="1"/>
  <c r="E753" i="11"/>
  <c r="E741" i="11"/>
  <c r="E740" i="11"/>
  <c r="E742" i="11"/>
  <c r="E743" i="11"/>
  <c r="E744" i="11"/>
  <c r="E745" i="11"/>
  <c r="E746" i="11"/>
  <c r="E747" i="11"/>
  <c r="E748" i="11"/>
  <c r="E749" i="11"/>
  <c r="E750" i="11"/>
  <c r="E751" i="11"/>
  <c r="E752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39" i="11"/>
  <c r="J26" i="16" l="1"/>
  <c r="P27" i="16" l="1"/>
  <c r="P22" i="16"/>
  <c r="P21" i="16"/>
  <c r="P20" i="16"/>
  <c r="P18" i="16"/>
  <c r="P14" i="16"/>
  <c r="P13" i="16"/>
  <c r="P27" i="17"/>
  <c r="P22" i="17"/>
  <c r="P21" i="17"/>
  <c r="P20" i="17"/>
  <c r="P18" i="17"/>
  <c r="P14" i="17"/>
  <c r="P13" i="17"/>
  <c r="P27" i="21"/>
  <c r="P21" i="21"/>
  <c r="P22" i="21"/>
  <c r="P20" i="21"/>
  <c r="P18" i="21"/>
  <c r="P14" i="21"/>
  <c r="P13" i="21"/>
  <c r="P17" i="21"/>
  <c r="P16" i="21"/>
  <c r="P15" i="21"/>
  <c r="E30" i="28"/>
  <c r="E29" i="28"/>
  <c r="E28" i="28"/>
  <c r="E24" i="28"/>
  <c r="E23" i="28"/>
  <c r="E22" i="28"/>
  <c r="E21" i="28"/>
  <c r="E20" i="28"/>
  <c r="E19" i="28"/>
  <c r="E18" i="28"/>
  <c r="N13" i="28"/>
  <c r="E13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54" i="6"/>
  <c r="F54" i="6"/>
  <c r="AG54" i="6"/>
  <c r="F56" i="6"/>
  <c r="G56" i="6" s="1"/>
  <c r="AG56" i="6"/>
  <c r="AG59" i="6"/>
  <c r="D18" i="6"/>
  <c r="F18" i="6"/>
  <c r="AG18" i="6"/>
  <c r="F20" i="6"/>
  <c r="G20" i="6" s="1"/>
  <c r="G21" i="6" s="1"/>
  <c r="AG20" i="6"/>
  <c r="AG23" i="6"/>
  <c r="D30" i="6"/>
  <c r="F30" i="6"/>
  <c r="AG30" i="6"/>
  <c r="F32" i="6"/>
  <c r="G32" i="6" s="1"/>
  <c r="G33" i="6" s="1"/>
  <c r="AG32" i="6"/>
  <c r="AG35" i="6"/>
  <c r="D42" i="6"/>
  <c r="F42" i="6"/>
  <c r="AG42" i="6"/>
  <c r="F44" i="6"/>
  <c r="G44" i="6" s="1"/>
  <c r="AG44" i="6"/>
  <c r="AG47" i="6"/>
  <c r="O4" i="5"/>
  <c r="O5" i="5"/>
  <c r="O6" i="5"/>
  <c r="O7" i="5"/>
  <c r="E14" i="28" l="1"/>
  <c r="N14" i="28"/>
  <c r="N15" i="28" s="1"/>
  <c r="E25" i="28"/>
  <c r="E15" i="28"/>
  <c r="E26" i="28"/>
  <c r="M13" i="28" s="1"/>
  <c r="G42" i="6"/>
  <c r="G43" i="6" s="1"/>
  <c r="G54" i="6"/>
  <c r="G55" i="6" s="1"/>
  <c r="G30" i="6"/>
  <c r="G31" i="6" s="1"/>
  <c r="G57" i="6"/>
  <c r="G58" i="6" s="1"/>
  <c r="G18" i="6"/>
  <c r="G19" i="6" s="1"/>
  <c r="G34" i="6"/>
  <c r="G45" i="6"/>
  <c r="G46" i="6" s="1"/>
  <c r="G22" i="6"/>
  <c r="C8" i="25"/>
  <c r="C9" i="25"/>
  <c r="E27" i="28" l="1"/>
  <c r="O13" i="28"/>
  <c r="M14" i="28"/>
  <c r="M15" i="28" s="1"/>
  <c r="L13" i="28"/>
  <c r="G7" i="25"/>
  <c r="G6" i="25"/>
  <c r="F11" i="25"/>
  <c r="F10" i="25"/>
  <c r="F9" i="25"/>
  <c r="K13" i="28" l="1"/>
  <c r="L14" i="28"/>
  <c r="L15" i="28" s="1"/>
  <c r="O14" i="28"/>
  <c r="O15" i="28" s="1"/>
  <c r="P13" i="28"/>
  <c r="N23" i="17"/>
  <c r="N23" i="16" s="1"/>
  <c r="P14" i="28" l="1"/>
  <c r="P15" i="28" s="1"/>
  <c r="Q13" i="28"/>
  <c r="K14" i="28"/>
  <c r="K15" i="28" s="1"/>
  <c r="J13" i="28"/>
  <c r="E10" i="17"/>
  <c r="E13" i="17"/>
  <c r="E14" i="17"/>
  <c r="E15" i="17"/>
  <c r="E16" i="17"/>
  <c r="E17" i="17"/>
  <c r="E18" i="17"/>
  <c r="E19" i="17"/>
  <c r="E20" i="17"/>
  <c r="E21" i="17"/>
  <c r="E22" i="17"/>
  <c r="E26" i="17"/>
  <c r="E27" i="17"/>
  <c r="E30" i="17"/>
  <c r="C13" i="19"/>
  <c r="C14" i="19"/>
  <c r="E10" i="21"/>
  <c r="J10" i="21" s="1"/>
  <c r="E13" i="21"/>
  <c r="E14" i="21"/>
  <c r="E15" i="21"/>
  <c r="E16" i="21"/>
  <c r="E17" i="21"/>
  <c r="E18" i="21"/>
  <c r="E19" i="21"/>
  <c r="E20" i="21"/>
  <c r="E21" i="21"/>
  <c r="E22" i="21"/>
  <c r="E26" i="21"/>
  <c r="E27" i="21"/>
  <c r="E30" i="21"/>
  <c r="C11" i="24"/>
  <c r="C12" i="24"/>
  <c r="C14" i="24"/>
  <c r="C14" i="23"/>
  <c r="C15" i="23"/>
  <c r="C16" i="23"/>
  <c r="H9" i="25"/>
  <c r="O26" i="21" l="1"/>
  <c r="J26" i="21"/>
  <c r="O30" i="21"/>
  <c r="J30" i="21"/>
  <c r="O27" i="21"/>
  <c r="J27" i="21"/>
  <c r="O26" i="17"/>
  <c r="J26" i="17"/>
  <c r="J14" i="28"/>
  <c r="J15" i="28" s="1"/>
  <c r="I13" i="28"/>
  <c r="R13" i="28"/>
  <c r="Q14" i="28"/>
  <c r="Q15" i="28" s="1"/>
  <c r="C30" i="22"/>
  <c r="C20" i="23"/>
  <c r="L19" i="23"/>
  <c r="K19" i="23"/>
  <c r="C20" i="19"/>
  <c r="H13" i="28" l="1"/>
  <c r="I14" i="28"/>
  <c r="I15" i="28" s="1"/>
  <c r="R14" i="28"/>
  <c r="R15" i="28" s="1"/>
  <c r="S13" i="28"/>
  <c r="T13" i="28" l="1"/>
  <c r="S14" i="28"/>
  <c r="S15" i="28" s="1"/>
  <c r="H14" i="28"/>
  <c r="H15" i="28" s="1"/>
  <c r="G13" i="28"/>
  <c r="G8" i="25"/>
  <c r="C13" i="24" l="1"/>
  <c r="F13" i="28"/>
  <c r="F14" i="28" s="1"/>
  <c r="F15" i="28" s="1"/>
  <c r="G14" i="28"/>
  <c r="G15" i="28" s="1"/>
  <c r="T14" i="28"/>
  <c r="T15" i="28" s="1"/>
  <c r="U13" i="28"/>
  <c r="U14" i="28" s="1"/>
  <c r="U15" i="28" s="1"/>
  <c r="G10" i="25"/>
  <c r="G11" i="25"/>
  <c r="G12" i="25" l="1"/>
  <c r="C16" i="24"/>
  <c r="H11" i="25"/>
  <c r="H10" i="25"/>
  <c r="C15" i="24"/>
  <c r="C30" i="18"/>
  <c r="D11" i="25" l="1"/>
  <c r="C11" i="25"/>
  <c r="E11" i="25" s="1"/>
  <c r="D10" i="25"/>
  <c r="C10" i="25"/>
  <c r="E10" i="25" s="1"/>
  <c r="D9" i="25"/>
  <c r="E9" i="25" s="1"/>
  <c r="F8" i="25"/>
  <c r="C22" i="22"/>
  <c r="D8" i="25"/>
  <c r="E8" i="25" s="1"/>
  <c r="I8" i="25"/>
  <c r="C21" i="22"/>
  <c r="F7" i="25"/>
  <c r="D7" i="25"/>
  <c r="C12" i="20" s="1"/>
  <c r="C7" i="25"/>
  <c r="C19" i="18"/>
  <c r="C17" i="18"/>
  <c r="F6" i="25"/>
  <c r="C16" i="22"/>
  <c r="D6" i="25"/>
  <c r="C6" i="25"/>
  <c r="C15" i="22"/>
  <c r="C13" i="18"/>
  <c r="L20" i="24"/>
  <c r="K20" i="24"/>
  <c r="L19" i="24"/>
  <c r="K19" i="24"/>
  <c r="L18" i="24"/>
  <c r="K18" i="24"/>
  <c r="BI16" i="24"/>
  <c r="BI15" i="24"/>
  <c r="BI14" i="24"/>
  <c r="BI13" i="24"/>
  <c r="BI12" i="24"/>
  <c r="BI11" i="24"/>
  <c r="L10" i="24"/>
  <c r="K10" i="24"/>
  <c r="AB9" i="24"/>
  <c r="AA9" i="24"/>
  <c r="Z9" i="24"/>
  <c r="L7" i="24"/>
  <c r="K7" i="24"/>
  <c r="K6" i="24"/>
  <c r="BI5" i="24"/>
  <c r="L18" i="23"/>
  <c r="K18" i="23"/>
  <c r="BI16" i="23"/>
  <c r="BI15" i="23"/>
  <c r="BI14" i="23"/>
  <c r="BI13" i="23"/>
  <c r="BI12" i="23"/>
  <c r="BI11" i="23"/>
  <c r="L10" i="23"/>
  <c r="K10" i="23"/>
  <c r="AB9" i="23"/>
  <c r="AA9" i="23"/>
  <c r="Z9" i="23"/>
  <c r="L7" i="23"/>
  <c r="K7" i="23"/>
  <c r="K6" i="23"/>
  <c r="BI5" i="23"/>
  <c r="J30" i="22"/>
  <c r="G30" i="22"/>
  <c r="K30" i="22" s="1"/>
  <c r="F30" i="22"/>
  <c r="L28" i="22"/>
  <c r="K28" i="22"/>
  <c r="L27" i="22"/>
  <c r="K27" i="22"/>
  <c r="K26" i="22"/>
  <c r="BI25" i="22"/>
  <c r="C25" i="22"/>
  <c r="BI24" i="22"/>
  <c r="C24" i="22"/>
  <c r="BI23" i="22"/>
  <c r="BI22" i="22"/>
  <c r="BI21" i="22"/>
  <c r="BI20" i="22"/>
  <c r="BI19" i="22"/>
  <c r="BI18" i="22"/>
  <c r="C18" i="22"/>
  <c r="BI17" i="22"/>
  <c r="BI16" i="22"/>
  <c r="BI15" i="22"/>
  <c r="BI14" i="22"/>
  <c r="BI13" i="22"/>
  <c r="BI12" i="22"/>
  <c r="C12" i="22"/>
  <c r="BI11" i="22"/>
  <c r="L10" i="22"/>
  <c r="K10" i="22"/>
  <c r="AB9" i="22"/>
  <c r="AA9" i="22"/>
  <c r="Z9" i="22"/>
  <c r="L7" i="22"/>
  <c r="K7" i="22"/>
  <c r="K6" i="22"/>
  <c r="BI5" i="22"/>
  <c r="L20" i="20"/>
  <c r="K20" i="20"/>
  <c r="L19" i="20"/>
  <c r="K19" i="20"/>
  <c r="L18" i="20"/>
  <c r="K18" i="20"/>
  <c r="BI16" i="20"/>
  <c r="BI15" i="20"/>
  <c r="BI14" i="20"/>
  <c r="BI13" i="20"/>
  <c r="BI12" i="20"/>
  <c r="BI11" i="20"/>
  <c r="L10" i="20"/>
  <c r="K10" i="20"/>
  <c r="AB9" i="20"/>
  <c r="AA9" i="20"/>
  <c r="Z9" i="20"/>
  <c r="K6" i="20"/>
  <c r="BI5" i="20"/>
  <c r="L19" i="19"/>
  <c r="K19" i="19"/>
  <c r="L18" i="19"/>
  <c r="K18" i="19"/>
  <c r="BI16" i="19"/>
  <c r="BI15" i="19"/>
  <c r="BI14" i="19"/>
  <c r="BI13" i="19"/>
  <c r="BI12" i="19"/>
  <c r="BI11" i="19"/>
  <c r="L10" i="19"/>
  <c r="K10" i="19"/>
  <c r="AB9" i="19"/>
  <c r="AA9" i="19"/>
  <c r="Z9" i="19"/>
  <c r="L7" i="19"/>
  <c r="K7" i="19"/>
  <c r="K6" i="19"/>
  <c r="BI5" i="19"/>
  <c r="J30" i="18"/>
  <c r="G30" i="18"/>
  <c r="F30" i="18"/>
  <c r="L28" i="18"/>
  <c r="K28" i="18"/>
  <c r="L27" i="18"/>
  <c r="K27" i="18"/>
  <c r="K26" i="18"/>
  <c r="BI25" i="18"/>
  <c r="C25" i="18"/>
  <c r="BI24" i="18"/>
  <c r="BI23" i="18"/>
  <c r="BI22" i="18"/>
  <c r="BI21" i="18"/>
  <c r="C21" i="18"/>
  <c r="BI20" i="18"/>
  <c r="BI19" i="18"/>
  <c r="BI18" i="18"/>
  <c r="BI17" i="18"/>
  <c r="BI16" i="18"/>
  <c r="BI15" i="18"/>
  <c r="C15" i="18"/>
  <c r="BI14" i="18"/>
  <c r="BI13" i="18"/>
  <c r="BI12" i="18"/>
  <c r="BI11" i="18"/>
  <c r="C11" i="18"/>
  <c r="L10" i="18"/>
  <c r="K10" i="18"/>
  <c r="AB9" i="18"/>
  <c r="AA9" i="18"/>
  <c r="Z9" i="18"/>
  <c r="L7" i="18"/>
  <c r="K7" i="18"/>
  <c r="K6" i="18"/>
  <c r="BI5" i="18"/>
  <c r="O22" i="17"/>
  <c r="J22" i="17"/>
  <c r="O20" i="17"/>
  <c r="J20" i="17"/>
  <c r="O18" i="17"/>
  <c r="J18" i="17"/>
  <c r="O17" i="17"/>
  <c r="J17" i="17"/>
  <c r="O15" i="17"/>
  <c r="J15" i="17"/>
  <c r="O14" i="17"/>
  <c r="J14" i="17"/>
  <c r="O10" i="17"/>
  <c r="O21" i="17"/>
  <c r="J21" i="17"/>
  <c r="O19" i="17"/>
  <c r="J19" i="17"/>
  <c r="O16" i="17"/>
  <c r="O13" i="17"/>
  <c r="J13" i="16"/>
  <c r="J13" i="17" s="1"/>
  <c r="E7" i="25" l="1"/>
  <c r="C11" i="19"/>
  <c r="E6" i="25"/>
  <c r="E12" i="25" s="1"/>
  <c r="D12" i="25"/>
  <c r="F12" i="25"/>
  <c r="J6" i="25"/>
  <c r="C11" i="20"/>
  <c r="J9" i="25"/>
  <c r="C14" i="20"/>
  <c r="J8" i="25"/>
  <c r="C13" i="20"/>
  <c r="H6" i="25"/>
  <c r="C11" i="23"/>
  <c r="I7" i="25"/>
  <c r="C12" i="19"/>
  <c r="I10" i="25"/>
  <c r="C15" i="19"/>
  <c r="C16" i="18"/>
  <c r="J10" i="25"/>
  <c r="C15" i="20"/>
  <c r="C12" i="23"/>
  <c r="H7" i="25"/>
  <c r="I11" i="25"/>
  <c r="C16" i="19"/>
  <c r="C13" i="23"/>
  <c r="H8" i="25"/>
  <c r="C23" i="18"/>
  <c r="J11" i="25"/>
  <c r="C16" i="20"/>
  <c r="O11" i="21"/>
  <c r="O12" i="21"/>
  <c r="C20" i="18"/>
  <c r="I6" i="25"/>
  <c r="C12" i="18"/>
  <c r="C22" i="18"/>
  <c r="C18" i="18"/>
  <c r="C19" i="22"/>
  <c r="C13" i="22"/>
  <c r="C14" i="18"/>
  <c r="I9" i="25"/>
  <c r="C24" i="18"/>
  <c r="J7" i="25"/>
  <c r="H30" i="22"/>
  <c r="L30" i="22" s="1"/>
  <c r="O14" i="21"/>
  <c r="J14" i="21"/>
  <c r="O17" i="21"/>
  <c r="J17" i="21"/>
  <c r="O20" i="21"/>
  <c r="J20" i="21"/>
  <c r="O22" i="21"/>
  <c r="J22" i="21"/>
  <c r="O10" i="21"/>
  <c r="K30" i="18"/>
  <c r="H30" i="18"/>
  <c r="L30" i="18" s="1"/>
  <c r="J15" i="21"/>
  <c r="O15" i="21"/>
  <c r="J18" i="21"/>
  <c r="O18" i="21"/>
  <c r="C14" i="22"/>
  <c r="C20" i="22"/>
  <c r="C12" i="25"/>
  <c r="K10" i="25"/>
  <c r="K11" i="25"/>
  <c r="C11" i="22"/>
  <c r="C17" i="22"/>
  <c r="C23" i="22"/>
  <c r="F25" i="15"/>
  <c r="F24" i="15"/>
  <c r="F21" i="15"/>
  <c r="F20" i="15"/>
  <c r="F19" i="15"/>
  <c r="F18" i="15"/>
  <c r="F17" i="15"/>
  <c r="F16" i="15"/>
  <c r="F15" i="15"/>
  <c r="F14" i="15"/>
  <c r="F13" i="15"/>
  <c r="F10" i="15"/>
  <c r="H12" i="25" l="1"/>
  <c r="I12" i="25"/>
  <c r="J12" i="25"/>
  <c r="K9" i="25"/>
  <c r="K7" i="25"/>
  <c r="O16" i="21"/>
  <c r="J16" i="21"/>
  <c r="K8" i="25"/>
  <c r="O13" i="21"/>
  <c r="J13" i="21"/>
  <c r="O19" i="21"/>
  <c r="J19" i="21"/>
  <c r="J21" i="21"/>
  <c r="O21" i="21"/>
  <c r="K6" i="25"/>
  <c r="G3" i="10"/>
  <c r="G4" i="10"/>
  <c r="G5" i="10"/>
  <c r="G6" i="10"/>
  <c r="G7" i="10"/>
  <c r="G8" i="10"/>
  <c r="G9" i="10"/>
  <c r="G10" i="10"/>
  <c r="G11" i="10"/>
  <c r="G12" i="10"/>
  <c r="G13" i="10"/>
  <c r="BI5" i="1"/>
  <c r="K6" i="1"/>
  <c r="K7" i="1"/>
  <c r="L7" i="1"/>
  <c r="K10" i="1"/>
  <c r="L10" i="1"/>
  <c r="K11" i="1"/>
  <c r="L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AA38" i="1"/>
  <c r="AB38" i="1"/>
  <c r="BI38" i="1"/>
  <c r="AA39" i="1"/>
  <c r="AB39" i="1"/>
  <c r="BI39" i="1"/>
  <c r="AA40" i="1"/>
  <c r="AB40" i="1"/>
  <c r="BI40" i="1"/>
  <c r="AA41" i="1"/>
  <c r="AB41" i="1"/>
  <c r="BI41" i="1"/>
  <c r="AA42" i="1"/>
  <c r="AB42" i="1"/>
  <c r="BI42" i="1"/>
  <c r="AA43" i="1"/>
  <c r="AB43" i="1"/>
  <c r="BI43" i="1"/>
  <c r="K44" i="1"/>
  <c r="AA44" i="1"/>
  <c r="AB44" i="1"/>
  <c r="K45" i="1"/>
  <c r="L45" i="1"/>
  <c r="AA45" i="1"/>
  <c r="AB45" i="1"/>
  <c r="K46" i="1"/>
  <c r="L46" i="1"/>
  <c r="AA46" i="1"/>
  <c r="AB46" i="1"/>
  <c r="AA47" i="1"/>
  <c r="AB47" i="1"/>
  <c r="BI47" i="1"/>
  <c r="AA48" i="1"/>
  <c r="AB48" i="1"/>
  <c r="BI48" i="1"/>
  <c r="AA49" i="1"/>
  <c r="AB49" i="1"/>
  <c r="BI49" i="1"/>
  <c r="AA50" i="1"/>
  <c r="AB50" i="1"/>
  <c r="BI50" i="1"/>
  <c r="AA51" i="1"/>
  <c r="AB51" i="1"/>
  <c r="BI51" i="1"/>
  <c r="AA52" i="1"/>
  <c r="AB52" i="1"/>
  <c r="BI52" i="1"/>
  <c r="AA53" i="1"/>
  <c r="AB53" i="1"/>
  <c r="BI53" i="1"/>
  <c r="AA54" i="1"/>
  <c r="AB54" i="1"/>
  <c r="BI54" i="1"/>
  <c r="AA55" i="1"/>
  <c r="AB55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K87" i="1"/>
  <c r="K88" i="1"/>
  <c r="L88" i="1"/>
  <c r="K89" i="1"/>
  <c r="L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K112" i="1"/>
  <c r="K113" i="1"/>
  <c r="L113" i="1"/>
  <c r="K114" i="1"/>
  <c r="L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K159" i="1"/>
  <c r="K160" i="1"/>
  <c r="L160" i="1"/>
  <c r="K161" i="1"/>
  <c r="L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K206" i="1"/>
  <c r="K207" i="1"/>
  <c r="L207" i="1"/>
  <c r="K208" i="1"/>
  <c r="L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K253" i="1"/>
  <c r="K254" i="1"/>
  <c r="L254" i="1"/>
  <c r="K255" i="1"/>
  <c r="L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K300" i="1"/>
  <c r="K301" i="1"/>
  <c r="L301" i="1"/>
  <c r="K302" i="1"/>
  <c r="L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K347" i="1"/>
  <c r="K348" i="1"/>
  <c r="L348" i="1"/>
  <c r="K349" i="1"/>
  <c r="L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K394" i="1"/>
  <c r="K395" i="1"/>
  <c r="L395" i="1"/>
  <c r="K396" i="1"/>
  <c r="L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K441" i="1"/>
  <c r="K442" i="1"/>
  <c r="L442" i="1"/>
  <c r="K443" i="1"/>
  <c r="L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K466" i="1"/>
  <c r="K467" i="1"/>
  <c r="L467" i="1"/>
  <c r="K468" i="1"/>
  <c r="L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K601" i="1"/>
  <c r="K602" i="1"/>
  <c r="L602" i="1"/>
  <c r="K603" i="1"/>
  <c r="L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K736" i="1"/>
  <c r="K737" i="1"/>
  <c r="L737" i="1"/>
  <c r="K738" i="1"/>
  <c r="L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K751" i="1"/>
  <c r="K752" i="1"/>
  <c r="L752" i="1"/>
  <c r="K753" i="1"/>
  <c r="L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K766" i="1"/>
  <c r="K767" i="1"/>
  <c r="L767" i="1"/>
  <c r="K768" i="1"/>
  <c r="L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K799" i="1"/>
  <c r="K800" i="1"/>
  <c r="L800" i="1"/>
  <c r="K801" i="1"/>
  <c r="L801" i="1"/>
  <c r="BI802" i="1"/>
  <c r="BI803" i="1"/>
  <c r="BI804" i="1"/>
  <c r="BI805" i="1"/>
  <c r="BI806" i="1"/>
  <c r="BI807" i="1"/>
  <c r="BI808" i="1"/>
  <c r="BI809" i="1"/>
  <c r="K810" i="1"/>
  <c r="K811" i="1"/>
  <c r="L811" i="1"/>
  <c r="K812" i="1"/>
  <c r="L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K835" i="1"/>
  <c r="K836" i="1"/>
  <c r="L836" i="1"/>
  <c r="K837" i="1"/>
  <c r="L837" i="1"/>
  <c r="K838" i="1"/>
  <c r="L838" i="1"/>
  <c r="BI839" i="1"/>
  <c r="BI840" i="1"/>
  <c r="BI841" i="1"/>
  <c r="BI842" i="1"/>
  <c r="BI843" i="1"/>
  <c r="BI844" i="1"/>
  <c r="BI845" i="1"/>
  <c r="BI846" i="1"/>
  <c r="BI847" i="1"/>
  <c r="BI848" i="1"/>
  <c r="BI849" i="1"/>
  <c r="BI850" i="1"/>
  <c r="BI851" i="1"/>
  <c r="K852" i="1"/>
  <c r="K853" i="1"/>
  <c r="L853" i="1"/>
  <c r="K854" i="1"/>
  <c r="L854" i="1"/>
  <c r="BI855" i="1"/>
  <c r="BI856" i="1"/>
  <c r="BI857" i="1"/>
  <c r="BI858" i="1"/>
  <c r="BI859" i="1"/>
  <c r="BI860" i="1"/>
  <c r="BI861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K877" i="1"/>
  <c r="K878" i="1"/>
  <c r="L878" i="1"/>
  <c r="K879" i="1"/>
  <c r="L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2" i="1"/>
  <c r="BI893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K906" i="1"/>
  <c r="K907" i="1"/>
  <c r="L907" i="1"/>
  <c r="K908" i="1"/>
  <c r="L908" i="1"/>
  <c r="BI909" i="1"/>
  <c r="BI910" i="1"/>
  <c r="BI911" i="1"/>
  <c r="BI912" i="1"/>
  <c r="BI913" i="1"/>
  <c r="BI914" i="1"/>
  <c r="BI915" i="1"/>
  <c r="BI916" i="1"/>
  <c r="BI917" i="1"/>
  <c r="BI918" i="1"/>
  <c r="BI919" i="1"/>
  <c r="BI920" i="1"/>
  <c r="BI921" i="1"/>
  <c r="BI922" i="1"/>
  <c r="BI923" i="1"/>
  <c r="BI924" i="1"/>
  <c r="BI925" i="1"/>
  <c r="BI926" i="1"/>
  <c r="BI927" i="1"/>
  <c r="BI928" i="1"/>
  <c r="BI929" i="1"/>
  <c r="BI930" i="1"/>
  <c r="BI931" i="1"/>
  <c r="BI932" i="1"/>
  <c r="BI933" i="1"/>
  <c r="BI934" i="1"/>
  <c r="BI935" i="1"/>
  <c r="BI936" i="1"/>
  <c r="BI937" i="1"/>
  <c r="BI938" i="1"/>
  <c r="BI939" i="1"/>
  <c r="BI940" i="1"/>
  <c r="BI941" i="1"/>
  <c r="BI942" i="1"/>
  <c r="BI943" i="1"/>
  <c r="BI944" i="1"/>
  <c r="K945" i="1"/>
  <c r="K946" i="1"/>
  <c r="K947" i="1"/>
  <c r="L947" i="1"/>
  <c r="K948" i="1"/>
  <c r="L948" i="1"/>
  <c r="K949" i="1"/>
  <c r="L949" i="1"/>
  <c r="E950" i="1"/>
  <c r="F950" i="1" s="1"/>
  <c r="L950" i="1" s="1"/>
  <c r="BI950" i="1"/>
  <c r="E951" i="1"/>
  <c r="BI951" i="1"/>
  <c r="E952" i="1"/>
  <c r="BI952" i="1"/>
  <c r="E953" i="1"/>
  <c r="K953" i="1" s="1"/>
  <c r="BI953" i="1"/>
  <c r="K954" i="1"/>
  <c r="E954" i="1"/>
  <c r="F954" i="1" s="1"/>
  <c r="L954" i="1" s="1"/>
  <c r="BI954" i="1"/>
  <c r="E955" i="1"/>
  <c r="K955" i="1" s="1"/>
  <c r="BI955" i="1"/>
  <c r="E956" i="1"/>
  <c r="F956" i="1" s="1"/>
  <c r="L956" i="1" s="1"/>
  <c r="BI956" i="1"/>
  <c r="E957" i="1"/>
  <c r="BI957" i="1"/>
  <c r="E958" i="1"/>
  <c r="K958" i="1" s="1"/>
  <c r="BI958" i="1"/>
  <c r="E959" i="1"/>
  <c r="K959" i="1" s="1"/>
  <c r="BI959" i="1"/>
  <c r="E960" i="1"/>
  <c r="K960" i="1" s="1"/>
  <c r="BI960" i="1"/>
  <c r="E961" i="1"/>
  <c r="K961" i="1" s="1"/>
  <c r="BI961" i="1"/>
  <c r="E962" i="1"/>
  <c r="F962" i="1" s="1"/>
  <c r="L962" i="1" s="1"/>
  <c r="BI962" i="1"/>
  <c r="E963" i="1"/>
  <c r="BI963" i="1"/>
  <c r="E964" i="1"/>
  <c r="K964" i="1" s="1"/>
  <c r="BI964" i="1"/>
  <c r="E965" i="1"/>
  <c r="K965" i="1" s="1"/>
  <c r="BI965" i="1"/>
  <c r="E966" i="1"/>
  <c r="K966" i="1" s="1"/>
  <c r="BI966" i="1"/>
  <c r="E967" i="1"/>
  <c r="K967" i="1" s="1"/>
  <c r="BI967" i="1"/>
  <c r="E968" i="1"/>
  <c r="F968" i="1" s="1"/>
  <c r="L968" i="1" s="1"/>
  <c r="BI968" i="1"/>
  <c r="E969" i="1"/>
  <c r="BI969" i="1"/>
  <c r="E970" i="1"/>
  <c r="K970" i="1" s="1"/>
  <c r="BI970" i="1"/>
  <c r="E971" i="1"/>
  <c r="BI971" i="1"/>
  <c r="K972" i="1"/>
  <c r="H972" i="1"/>
  <c r="J972" i="1"/>
  <c r="K973" i="1"/>
  <c r="L973" i="1"/>
  <c r="K974" i="1"/>
  <c r="L974" i="1"/>
  <c r="E975" i="1"/>
  <c r="BI975" i="1"/>
  <c r="E976" i="1"/>
  <c r="BI976" i="1"/>
  <c r="E977" i="1"/>
  <c r="K977" i="1" s="1"/>
  <c r="BI977" i="1"/>
  <c r="E978" i="1"/>
  <c r="K978" i="1" s="1"/>
  <c r="BI978" i="1"/>
  <c r="E979" i="1"/>
  <c r="BI979" i="1"/>
  <c r="E980" i="1"/>
  <c r="BI980" i="1"/>
  <c r="E981" i="1"/>
  <c r="BI981" i="1"/>
  <c r="E982" i="1"/>
  <c r="BI982" i="1"/>
  <c r="E983" i="1"/>
  <c r="K983" i="1" s="1"/>
  <c r="BI983" i="1"/>
  <c r="E984" i="1"/>
  <c r="K984" i="1" s="1"/>
  <c r="BI984" i="1"/>
  <c r="E985" i="1"/>
  <c r="F985" i="1" s="1"/>
  <c r="L985" i="1" s="1"/>
  <c r="BI985" i="1"/>
  <c r="E986" i="1"/>
  <c r="BI986" i="1"/>
  <c r="E987" i="1"/>
  <c r="BI987" i="1"/>
  <c r="E988" i="1"/>
  <c r="BI988" i="1"/>
  <c r="E989" i="1"/>
  <c r="BI989" i="1"/>
  <c r="E990" i="1"/>
  <c r="K990" i="1" s="1"/>
  <c r="BI990" i="1"/>
  <c r="E991" i="1"/>
  <c r="BI991" i="1"/>
  <c r="E992" i="1"/>
  <c r="BI992" i="1"/>
  <c r="E993" i="1"/>
  <c r="BI993" i="1"/>
  <c r="E994" i="1"/>
  <c r="K994" i="1" s="1"/>
  <c r="BI994" i="1"/>
  <c r="E995" i="1"/>
  <c r="BI995" i="1"/>
  <c r="E996" i="1"/>
  <c r="K996" i="1" s="1"/>
  <c r="BI996" i="1"/>
  <c r="K997" i="1"/>
  <c r="H997" i="1"/>
  <c r="J997" i="1"/>
  <c r="K998" i="1"/>
  <c r="L998" i="1"/>
  <c r="K999" i="1"/>
  <c r="L999" i="1"/>
  <c r="E1000" i="1"/>
  <c r="BI1000" i="1"/>
  <c r="E1001" i="1"/>
  <c r="K1001" i="1" s="1"/>
  <c r="BI1001" i="1"/>
  <c r="E1002" i="1"/>
  <c r="K1002" i="1" s="1"/>
  <c r="BI1002" i="1"/>
  <c r="E1003" i="1"/>
  <c r="BI1003" i="1"/>
  <c r="E1004" i="1"/>
  <c r="F1004" i="1" s="1"/>
  <c r="L1004" i="1" s="1"/>
  <c r="BI1004" i="1"/>
  <c r="E1005" i="1"/>
  <c r="BI1005" i="1"/>
  <c r="E1006" i="1"/>
  <c r="BI1006" i="1"/>
  <c r="E1007" i="1"/>
  <c r="K1007" i="1" s="1"/>
  <c r="BI1007" i="1"/>
  <c r="E1008" i="1"/>
  <c r="K1008" i="1" s="1"/>
  <c r="BI1008" i="1"/>
  <c r="E1009" i="1"/>
  <c r="F1009" i="1" s="1"/>
  <c r="L1009" i="1" s="1"/>
  <c r="BI1009" i="1"/>
  <c r="E1010" i="1"/>
  <c r="F1010" i="1" s="1"/>
  <c r="L1010" i="1" s="1"/>
  <c r="BI1010" i="1"/>
  <c r="E1011" i="1"/>
  <c r="BI1011" i="1"/>
  <c r="E1012" i="1"/>
  <c r="K1012" i="1" s="1"/>
  <c r="BI1012" i="1"/>
  <c r="E1013" i="1"/>
  <c r="K1013" i="1" s="1"/>
  <c r="BI1013" i="1"/>
  <c r="E1014" i="1"/>
  <c r="K1014" i="1" s="1"/>
  <c r="BI1014" i="1"/>
  <c r="E1015" i="1"/>
  <c r="BI1015" i="1"/>
  <c r="E1016" i="1"/>
  <c r="BI1016" i="1"/>
  <c r="E1017" i="1"/>
  <c r="BI1017" i="1"/>
  <c r="E1018" i="1"/>
  <c r="K1018" i="1" s="1"/>
  <c r="BI1018" i="1"/>
  <c r="E1019" i="1"/>
  <c r="BI1019" i="1"/>
  <c r="E1020" i="1"/>
  <c r="K1020" i="1" s="1"/>
  <c r="BI1020" i="1"/>
  <c r="E1021" i="1"/>
  <c r="BI1021" i="1"/>
  <c r="K1022" i="1"/>
  <c r="H1022" i="1"/>
  <c r="J1022" i="1"/>
  <c r="K1023" i="1"/>
  <c r="L1023" i="1"/>
  <c r="K1024" i="1"/>
  <c r="L1024" i="1"/>
  <c r="E1025" i="1"/>
  <c r="K1025" i="1" s="1"/>
  <c r="BI1025" i="1"/>
  <c r="E1026" i="1"/>
  <c r="K1026" i="1" s="1"/>
  <c r="BI1026" i="1"/>
  <c r="E1027" i="1"/>
  <c r="K1027" i="1" s="1"/>
  <c r="BI1027" i="1"/>
  <c r="E1028" i="1"/>
  <c r="BI1028" i="1"/>
  <c r="E1029" i="1"/>
  <c r="BI1029" i="1"/>
  <c r="E1030" i="1"/>
  <c r="K1030" i="1" s="1"/>
  <c r="BI1030" i="1"/>
  <c r="E1031" i="1"/>
  <c r="F1031" i="1" s="1"/>
  <c r="L1031" i="1" s="1"/>
  <c r="BI1031" i="1"/>
  <c r="E1032" i="1"/>
  <c r="K1032" i="1" s="1"/>
  <c r="BI1032" i="1"/>
  <c r="E1033" i="1"/>
  <c r="BI1033" i="1"/>
  <c r="E1034" i="1"/>
  <c r="F1034" i="1" s="1"/>
  <c r="L1034" i="1" s="1"/>
  <c r="BI1034" i="1"/>
  <c r="E1035" i="1"/>
  <c r="BI1035" i="1"/>
  <c r="E1036" i="1"/>
  <c r="F1036" i="1" s="1"/>
  <c r="L1036" i="1" s="1"/>
  <c r="BI1036" i="1"/>
  <c r="E1037" i="1"/>
  <c r="BI1037" i="1"/>
  <c r="E1038" i="1"/>
  <c r="K1038" i="1" s="1"/>
  <c r="BI1038" i="1"/>
  <c r="E1039" i="1"/>
  <c r="BI1039" i="1"/>
  <c r="E1040" i="1"/>
  <c r="K1040" i="1" s="1"/>
  <c r="BI1040" i="1"/>
  <c r="E1041" i="1"/>
  <c r="BI1041" i="1"/>
  <c r="E1042" i="1"/>
  <c r="K1042" i="1" s="1"/>
  <c r="BI1042" i="1"/>
  <c r="E1043" i="1"/>
  <c r="K1043" i="1" s="1"/>
  <c r="BI1043" i="1"/>
  <c r="E1044" i="1"/>
  <c r="K1044" i="1" s="1"/>
  <c r="BI1044" i="1"/>
  <c r="E1045" i="1"/>
  <c r="K1045" i="1" s="1"/>
  <c r="BI1045" i="1"/>
  <c r="E1046" i="1"/>
  <c r="BI1046" i="1"/>
  <c r="K1047" i="1"/>
  <c r="H1047" i="1"/>
  <c r="J1047" i="1"/>
  <c r="K1048" i="1"/>
  <c r="L1048" i="1"/>
  <c r="K1049" i="1"/>
  <c r="L1049" i="1"/>
  <c r="E1050" i="1"/>
  <c r="K1050" i="1" s="1"/>
  <c r="BI1050" i="1"/>
  <c r="E1051" i="1"/>
  <c r="BI1051" i="1"/>
  <c r="E1052" i="1"/>
  <c r="F1052" i="1" s="1"/>
  <c r="L1052" i="1" s="1"/>
  <c r="BI1052" i="1"/>
  <c r="E1053" i="1"/>
  <c r="BI1053" i="1"/>
  <c r="E1054" i="1"/>
  <c r="F1054" i="1" s="1"/>
  <c r="L1054" i="1" s="1"/>
  <c r="BI1054" i="1"/>
  <c r="E1055" i="1"/>
  <c r="BI1055" i="1"/>
  <c r="E1056" i="1"/>
  <c r="K1056" i="1" s="1"/>
  <c r="BI1056" i="1"/>
  <c r="E1057" i="1"/>
  <c r="F1057" i="1" s="1"/>
  <c r="BI1057" i="1"/>
  <c r="E1058" i="1"/>
  <c r="F1058" i="1" s="1"/>
  <c r="L1058" i="1" s="1"/>
  <c r="BI1058" i="1"/>
  <c r="E1059" i="1"/>
  <c r="BI1059" i="1"/>
  <c r="E1060" i="1"/>
  <c r="F1060" i="1" s="1"/>
  <c r="L1060" i="1" s="1"/>
  <c r="BI1060" i="1"/>
  <c r="E1061" i="1"/>
  <c r="BI1061" i="1"/>
  <c r="E1062" i="1"/>
  <c r="K1062" i="1" s="1"/>
  <c r="BI1062" i="1"/>
  <c r="E1063" i="1"/>
  <c r="BI1063" i="1"/>
  <c r="E1064" i="1"/>
  <c r="K1064" i="1" s="1"/>
  <c r="BI1064" i="1"/>
  <c r="E1065" i="1"/>
  <c r="BI1065" i="1"/>
  <c r="E1066" i="1"/>
  <c r="K1066" i="1" s="1"/>
  <c r="BI1066" i="1"/>
  <c r="E1067" i="1"/>
  <c r="K1067" i="1" s="1"/>
  <c r="BI1067" i="1"/>
  <c r="E1068" i="1"/>
  <c r="K1068" i="1" s="1"/>
  <c r="BI1068" i="1"/>
  <c r="E1069" i="1"/>
  <c r="BI1069" i="1"/>
  <c r="E1070" i="1"/>
  <c r="BI1070" i="1"/>
  <c r="E1071" i="1"/>
  <c r="BI1071" i="1"/>
  <c r="E1072" i="1"/>
  <c r="BI1072" i="1"/>
  <c r="E1073" i="1"/>
  <c r="BI1073" i="1"/>
  <c r="E1074" i="1"/>
  <c r="K1074" i="1" s="1"/>
  <c r="BI1074" i="1"/>
  <c r="E1075" i="1"/>
  <c r="F1075" i="1" s="1"/>
  <c r="L1075" i="1" s="1"/>
  <c r="BI1075" i="1"/>
  <c r="K1076" i="1"/>
  <c r="E1076" i="1"/>
  <c r="F1076" i="1" s="1"/>
  <c r="L1076" i="1" s="1"/>
  <c r="BI1076" i="1"/>
  <c r="E1077" i="1"/>
  <c r="BI1077" i="1"/>
  <c r="E1078" i="1"/>
  <c r="BI1078" i="1"/>
  <c r="E1079" i="1"/>
  <c r="BI1079" i="1"/>
  <c r="E1080" i="1"/>
  <c r="K1080" i="1" s="1"/>
  <c r="BI1080" i="1"/>
  <c r="E1081" i="1"/>
  <c r="BI1081" i="1"/>
  <c r="E1082" i="1"/>
  <c r="K1082" i="1" s="1"/>
  <c r="BI1082" i="1"/>
  <c r="E1083" i="1"/>
  <c r="BI1083" i="1"/>
  <c r="E1084" i="1"/>
  <c r="K1084" i="1" s="1"/>
  <c r="BI1084" i="1"/>
  <c r="E1085" i="1"/>
  <c r="K1085" i="1" s="1"/>
  <c r="BI1085" i="1"/>
  <c r="E1086" i="1"/>
  <c r="K1086" i="1" s="1"/>
  <c r="BI1086" i="1"/>
  <c r="E1087" i="1"/>
  <c r="K1087" i="1" s="1"/>
  <c r="BI1087" i="1"/>
  <c r="E1088" i="1"/>
  <c r="K1088" i="1" s="1"/>
  <c r="BI1088" i="1"/>
  <c r="E1089" i="1"/>
  <c r="BI1089" i="1"/>
  <c r="E1090" i="1"/>
  <c r="K1090" i="1" s="1"/>
  <c r="BI1090" i="1"/>
  <c r="E1091" i="1"/>
  <c r="F1091" i="1" s="1"/>
  <c r="L1091" i="1" s="1"/>
  <c r="BI1091" i="1"/>
  <c r="E1092" i="1"/>
  <c r="K1092" i="1" s="1"/>
  <c r="BI1092" i="1"/>
  <c r="E1093" i="1"/>
  <c r="F1093" i="1" s="1"/>
  <c r="L1093" i="1" s="1"/>
  <c r="BI1093" i="1"/>
  <c r="E1094" i="1"/>
  <c r="F1094" i="1" s="1"/>
  <c r="L1094" i="1" s="1"/>
  <c r="BI1094" i="1"/>
  <c r="E1095" i="1"/>
  <c r="BI1095" i="1"/>
  <c r="E1096" i="1"/>
  <c r="F1096" i="1" s="1"/>
  <c r="L1096" i="1" s="1"/>
  <c r="BI1096" i="1"/>
  <c r="E1097" i="1"/>
  <c r="BI1097" i="1"/>
  <c r="E1098" i="1"/>
  <c r="K1098" i="1" s="1"/>
  <c r="BI1098" i="1"/>
  <c r="E1099" i="1"/>
  <c r="BI1099" i="1"/>
  <c r="E1100" i="1"/>
  <c r="K1100" i="1" s="1"/>
  <c r="BI1100" i="1"/>
  <c r="E1101" i="1"/>
  <c r="BI1101" i="1"/>
  <c r="E1102" i="1"/>
  <c r="K1102" i="1" s="1"/>
  <c r="F1102" i="1"/>
  <c r="L1102" i="1" s="1"/>
  <c r="BI1102" i="1"/>
  <c r="E1103" i="1"/>
  <c r="BI1103" i="1"/>
  <c r="E1104" i="1"/>
  <c r="K1104" i="1" s="1"/>
  <c r="BI1104" i="1"/>
  <c r="E1105" i="1"/>
  <c r="F1105" i="1" s="1"/>
  <c r="L1105" i="1" s="1"/>
  <c r="BI1105" i="1"/>
  <c r="E1106" i="1"/>
  <c r="F1106" i="1" s="1"/>
  <c r="L1106" i="1" s="1"/>
  <c r="BI1106" i="1"/>
  <c r="E1107" i="1"/>
  <c r="BI1107" i="1"/>
  <c r="E1108" i="1"/>
  <c r="BI1108" i="1"/>
  <c r="E1109" i="1"/>
  <c r="K1109" i="1" s="1"/>
  <c r="BI1109" i="1"/>
  <c r="E1110" i="1"/>
  <c r="K1110" i="1" s="1"/>
  <c r="BI1110" i="1"/>
  <c r="E1111" i="1"/>
  <c r="K1111" i="1" s="1"/>
  <c r="BI1111" i="1"/>
  <c r="E1112" i="1"/>
  <c r="K1112" i="1" s="1"/>
  <c r="BI1112" i="1"/>
  <c r="E1113" i="1"/>
  <c r="BI1113" i="1"/>
  <c r="E1114" i="1"/>
  <c r="K1114" i="1" s="1"/>
  <c r="BI1114" i="1"/>
  <c r="E1115" i="1"/>
  <c r="F1115" i="1" s="1"/>
  <c r="L1115" i="1" s="1"/>
  <c r="BI1115" i="1"/>
  <c r="E1116" i="1"/>
  <c r="K1116" i="1" s="1"/>
  <c r="BI1116" i="1"/>
  <c r="E1117" i="1"/>
  <c r="F1117" i="1" s="1"/>
  <c r="L1117" i="1" s="1"/>
  <c r="BI1117" i="1"/>
  <c r="E1118" i="1"/>
  <c r="F1118" i="1" s="1"/>
  <c r="L1118" i="1" s="1"/>
  <c r="BI1118" i="1"/>
  <c r="E1119" i="1"/>
  <c r="BI1119" i="1"/>
  <c r="E1120" i="1"/>
  <c r="F1120" i="1" s="1"/>
  <c r="L1120" i="1" s="1"/>
  <c r="BI1120" i="1"/>
  <c r="E1121" i="1"/>
  <c r="BI1121" i="1"/>
  <c r="E1122" i="1"/>
  <c r="K1122" i="1" s="1"/>
  <c r="BI1122" i="1"/>
  <c r="E1123" i="1"/>
  <c r="BI1123" i="1"/>
  <c r="E1124" i="1"/>
  <c r="K1124" i="1" s="1"/>
  <c r="BI1124" i="1"/>
  <c r="E1125" i="1"/>
  <c r="BI1125" i="1"/>
  <c r="E1126" i="1"/>
  <c r="K1126" i="1" s="1"/>
  <c r="BI1126" i="1"/>
  <c r="E1127" i="1"/>
  <c r="K1127" i="1" s="1"/>
  <c r="BI1127" i="1"/>
  <c r="E1128" i="1"/>
  <c r="K1128" i="1" s="1"/>
  <c r="BI1128" i="1"/>
  <c r="E1129" i="1"/>
  <c r="BI1129" i="1"/>
  <c r="E1130" i="1"/>
  <c r="K1130" i="1" s="1"/>
  <c r="BI1130" i="1"/>
  <c r="E1131" i="1"/>
  <c r="BI1131" i="1"/>
  <c r="E1132" i="1"/>
  <c r="K1132" i="1" s="1"/>
  <c r="BI1132" i="1"/>
  <c r="E1133" i="1"/>
  <c r="F1133" i="1" s="1"/>
  <c r="L1133" i="1" s="1"/>
  <c r="BI1133" i="1"/>
  <c r="E1134" i="1"/>
  <c r="K1134" i="1" s="1"/>
  <c r="BI1134" i="1"/>
  <c r="E1135" i="1"/>
  <c r="F1135" i="1" s="1"/>
  <c r="L1135" i="1" s="1"/>
  <c r="BI1135" i="1"/>
  <c r="E1136" i="1"/>
  <c r="F1136" i="1" s="1"/>
  <c r="L1136" i="1" s="1"/>
  <c r="BI1136" i="1"/>
  <c r="E1137" i="1"/>
  <c r="BI1137" i="1"/>
  <c r="E1138" i="1"/>
  <c r="F1138" i="1" s="1"/>
  <c r="L1138" i="1" s="1"/>
  <c r="BI1138" i="1"/>
  <c r="E1139" i="1"/>
  <c r="BI1139" i="1"/>
  <c r="E1140" i="1"/>
  <c r="K1140" i="1" s="1"/>
  <c r="BI1140" i="1"/>
  <c r="E1141" i="1"/>
  <c r="BI1141" i="1"/>
  <c r="E1142" i="1"/>
  <c r="K1142" i="1" s="1"/>
  <c r="BI1142" i="1"/>
  <c r="E1143" i="1"/>
  <c r="BI1143" i="1"/>
  <c r="E1144" i="1"/>
  <c r="K1144" i="1" s="1"/>
  <c r="BI1144" i="1"/>
  <c r="E1145" i="1"/>
  <c r="K1145" i="1" s="1"/>
  <c r="BI1145" i="1"/>
  <c r="E1146" i="1"/>
  <c r="K1146" i="1" s="1"/>
  <c r="BI1146" i="1"/>
  <c r="E1147" i="1"/>
  <c r="K1147" i="1" s="1"/>
  <c r="BI1147" i="1"/>
  <c r="E1148" i="1"/>
  <c r="BI1148" i="1"/>
  <c r="E1149" i="1"/>
  <c r="BI1149" i="1"/>
  <c r="E1150" i="1"/>
  <c r="K1150" i="1" s="1"/>
  <c r="BI1150" i="1"/>
  <c r="E1151" i="1"/>
  <c r="F1151" i="1" s="1"/>
  <c r="L1151" i="1" s="1"/>
  <c r="BI1151" i="1"/>
  <c r="E1152" i="1"/>
  <c r="K1152" i="1" s="1"/>
  <c r="BI1152" i="1"/>
  <c r="E1153" i="1"/>
  <c r="F1153" i="1" s="1"/>
  <c r="L1153" i="1" s="1"/>
  <c r="BI1153" i="1"/>
  <c r="E1154" i="1"/>
  <c r="F1154" i="1" s="1"/>
  <c r="L1154" i="1" s="1"/>
  <c r="BI1154" i="1"/>
  <c r="E1155" i="1"/>
  <c r="BI1155" i="1"/>
  <c r="E1156" i="1"/>
  <c r="F1156" i="1" s="1"/>
  <c r="L1156" i="1" s="1"/>
  <c r="BI1156" i="1"/>
  <c r="E1157" i="1"/>
  <c r="BI1157" i="1"/>
  <c r="E1158" i="1"/>
  <c r="K1158" i="1" s="1"/>
  <c r="BI1158" i="1"/>
  <c r="E1159" i="1"/>
  <c r="BI1159" i="1"/>
  <c r="E1160" i="1"/>
  <c r="K1160" i="1" s="1"/>
  <c r="BI1160" i="1"/>
  <c r="E1161" i="1"/>
  <c r="BI1161" i="1"/>
  <c r="E1162" i="1"/>
  <c r="K1162" i="1" s="1"/>
  <c r="BI1162" i="1"/>
  <c r="E1163" i="1"/>
  <c r="K1163" i="1" s="1"/>
  <c r="BI1163" i="1"/>
  <c r="E1164" i="1"/>
  <c r="K1164" i="1" s="1"/>
  <c r="BI1164" i="1"/>
  <c r="E1165" i="1"/>
  <c r="BI1165" i="1"/>
  <c r="E1166" i="1"/>
  <c r="K1166" i="1" s="1"/>
  <c r="BI1166" i="1"/>
  <c r="E1167" i="1"/>
  <c r="BI1167" i="1"/>
  <c r="E1168" i="1"/>
  <c r="K1168" i="1" s="1"/>
  <c r="BI1168" i="1"/>
  <c r="E1169" i="1"/>
  <c r="K1169" i="1" s="1"/>
  <c r="BI1169" i="1"/>
  <c r="E1170" i="1"/>
  <c r="K1170" i="1" s="1"/>
  <c r="BI1170" i="1"/>
  <c r="E1171" i="1"/>
  <c r="K1171" i="1" s="1"/>
  <c r="BI1171" i="1"/>
  <c r="E1172" i="1"/>
  <c r="F1172" i="1" s="1"/>
  <c r="L1172" i="1" s="1"/>
  <c r="BI1172" i="1"/>
  <c r="E1173" i="1"/>
  <c r="BI1173" i="1"/>
  <c r="E1174" i="1"/>
  <c r="F1174" i="1" s="1"/>
  <c r="L1174" i="1" s="1"/>
  <c r="BI1174" i="1"/>
  <c r="E1175" i="1"/>
  <c r="BI1175" i="1"/>
  <c r="E1176" i="1"/>
  <c r="K1176" i="1" s="1"/>
  <c r="BI1176" i="1"/>
  <c r="E1177" i="1"/>
  <c r="BI1177" i="1"/>
  <c r="E1178" i="1"/>
  <c r="BI1178" i="1"/>
  <c r="E1179" i="1"/>
  <c r="BI1179" i="1"/>
  <c r="E1180" i="1"/>
  <c r="K1180" i="1" s="1"/>
  <c r="BI1180" i="1"/>
  <c r="E1181" i="1"/>
  <c r="K1181" i="1" s="1"/>
  <c r="BI1181" i="1"/>
  <c r="E1182" i="1"/>
  <c r="K1182" i="1" s="1"/>
  <c r="BI1182" i="1"/>
  <c r="E1183" i="1"/>
  <c r="BI1183" i="1"/>
  <c r="E1184" i="1"/>
  <c r="BI1184" i="1"/>
  <c r="E1185" i="1"/>
  <c r="BI1185" i="1"/>
  <c r="E1186" i="1"/>
  <c r="K1186" i="1" s="1"/>
  <c r="BI1186" i="1"/>
  <c r="E1187" i="1"/>
  <c r="BI1187" i="1"/>
  <c r="E1188" i="1"/>
  <c r="K1188" i="1" s="1"/>
  <c r="BI1188" i="1"/>
  <c r="E1189" i="1"/>
  <c r="K1189" i="1" s="1"/>
  <c r="BI1189" i="1"/>
  <c r="E1190" i="1"/>
  <c r="F1190" i="1" s="1"/>
  <c r="L1190" i="1" s="1"/>
  <c r="BI1190" i="1"/>
  <c r="E1191" i="1"/>
  <c r="BI1191" i="1"/>
  <c r="E1192" i="1"/>
  <c r="F1192" i="1" s="1"/>
  <c r="L1192" i="1" s="1"/>
  <c r="BI1192" i="1"/>
  <c r="E1193" i="1"/>
  <c r="BI1193" i="1"/>
  <c r="E1194" i="1"/>
  <c r="K1194" i="1" s="1"/>
  <c r="BI1194" i="1"/>
  <c r="E1195" i="1"/>
  <c r="BI1195" i="1"/>
  <c r="E1196" i="1"/>
  <c r="K1196" i="1" s="1"/>
  <c r="BI1196" i="1"/>
  <c r="E1197" i="1"/>
  <c r="BI1197" i="1"/>
  <c r="E1198" i="1"/>
  <c r="K1198" i="1" s="1"/>
  <c r="BI1198" i="1"/>
  <c r="E1199" i="1"/>
  <c r="K1199" i="1" s="1"/>
  <c r="BI1199" i="1"/>
  <c r="E1200" i="1"/>
  <c r="K1200" i="1" s="1"/>
  <c r="BI1200" i="1"/>
  <c r="E1201" i="1"/>
  <c r="K1201" i="1" s="1"/>
  <c r="BI1201" i="1"/>
  <c r="E1202" i="1"/>
  <c r="K1202" i="1" s="1"/>
  <c r="BI1202" i="1"/>
  <c r="E1203" i="1"/>
  <c r="BI1203" i="1"/>
  <c r="E1204" i="1"/>
  <c r="K1204" i="1" s="1"/>
  <c r="BI1204" i="1"/>
  <c r="E1205" i="1"/>
  <c r="K1205" i="1" s="1"/>
  <c r="BI1205" i="1"/>
  <c r="E1206" i="1"/>
  <c r="K1206" i="1" s="1"/>
  <c r="BI1206" i="1"/>
  <c r="E1207" i="1"/>
  <c r="BI1207" i="1"/>
  <c r="E1208" i="1"/>
  <c r="F1208" i="1" s="1"/>
  <c r="L1208" i="1" s="1"/>
  <c r="BI1208" i="1"/>
  <c r="E1209" i="1"/>
  <c r="BI1209" i="1"/>
  <c r="E1210" i="1"/>
  <c r="F1210" i="1" s="1"/>
  <c r="L1210" i="1" s="1"/>
  <c r="BI1210" i="1"/>
  <c r="E1211" i="1"/>
  <c r="BI1211" i="1"/>
  <c r="E1212" i="1"/>
  <c r="K1212" i="1" s="1"/>
  <c r="BI1212" i="1"/>
  <c r="E1213" i="1"/>
  <c r="BI1213" i="1"/>
  <c r="E1214" i="1"/>
  <c r="K1214" i="1" s="1"/>
  <c r="BI1214" i="1"/>
  <c r="K1215" i="1"/>
  <c r="AG1215" i="1"/>
  <c r="AH1215" i="1"/>
  <c r="K1216" i="1"/>
  <c r="L1216" i="1"/>
  <c r="AG1216" i="1"/>
  <c r="AH1216" i="1"/>
  <c r="K1217" i="1"/>
  <c r="L1217" i="1"/>
  <c r="AG1217" i="1"/>
  <c r="AH1217" i="1"/>
  <c r="E1218" i="1"/>
  <c r="AG1218" i="1"/>
  <c r="AH1218" i="1"/>
  <c r="BI1218" i="1"/>
  <c r="E1219" i="1"/>
  <c r="F1219" i="1" s="1"/>
  <c r="L1219" i="1" s="1"/>
  <c r="AG1219" i="1"/>
  <c r="AH1219" i="1"/>
  <c r="BI1219" i="1"/>
  <c r="E1220" i="1"/>
  <c r="K1220" i="1" s="1"/>
  <c r="AG1220" i="1"/>
  <c r="AH1220" i="1"/>
  <c r="BI1220" i="1"/>
  <c r="E1221" i="1"/>
  <c r="AG1221" i="1"/>
  <c r="AH1221" i="1"/>
  <c r="BI1221" i="1"/>
  <c r="E1222" i="1"/>
  <c r="BI1222" i="1"/>
  <c r="E1223" i="1"/>
  <c r="BI1223" i="1"/>
  <c r="E1224" i="1"/>
  <c r="BI1224" i="1"/>
  <c r="E1225" i="1"/>
  <c r="BI1225" i="1"/>
  <c r="E1226" i="1"/>
  <c r="K1226" i="1" s="1"/>
  <c r="BI1226" i="1"/>
  <c r="E1227" i="1"/>
  <c r="K1227" i="1" s="1"/>
  <c r="BI1227" i="1"/>
  <c r="E1228" i="1"/>
  <c r="F1228" i="1" s="1"/>
  <c r="L1228" i="1" s="1"/>
  <c r="BI1228" i="1"/>
  <c r="E1229" i="1"/>
  <c r="BI1229" i="1"/>
  <c r="E1230" i="1"/>
  <c r="BI1230" i="1"/>
  <c r="E1231" i="1"/>
  <c r="K1231" i="1" s="1"/>
  <c r="BI1231" i="1"/>
  <c r="E1232" i="1"/>
  <c r="F1232" i="1" s="1"/>
  <c r="L1232" i="1" s="1"/>
  <c r="BI1232" i="1"/>
  <c r="E1233" i="1"/>
  <c r="K1233" i="1" s="1"/>
  <c r="BI1233" i="1"/>
  <c r="E1234" i="1"/>
  <c r="F1234" i="1" s="1"/>
  <c r="L1234" i="1" s="1"/>
  <c r="BI1234" i="1"/>
  <c r="E1235" i="1"/>
  <c r="K1235" i="1" s="1"/>
  <c r="BI1235" i="1"/>
  <c r="E1236" i="1"/>
  <c r="BI1236" i="1"/>
  <c r="E1237" i="1"/>
  <c r="K1237" i="1" s="1"/>
  <c r="BI1237" i="1"/>
  <c r="E1238" i="1"/>
  <c r="BI1238" i="1"/>
  <c r="E1239" i="1"/>
  <c r="K1239" i="1" s="1"/>
  <c r="BI1239" i="1"/>
  <c r="E1240" i="1"/>
  <c r="F1240" i="1" s="1"/>
  <c r="L1240" i="1" s="1"/>
  <c r="BI1240" i="1"/>
  <c r="E1241" i="1"/>
  <c r="F1241" i="1" s="1"/>
  <c r="L1241" i="1" s="1"/>
  <c r="BI1241" i="1"/>
  <c r="E1242" i="1"/>
  <c r="BI1242" i="1"/>
  <c r="E1243" i="1"/>
  <c r="BI1243" i="1"/>
  <c r="E1244" i="1"/>
  <c r="BI1244" i="1"/>
  <c r="E1245" i="1"/>
  <c r="K1245" i="1" s="1"/>
  <c r="BI1245" i="1"/>
  <c r="E1246" i="1"/>
  <c r="BI1246" i="1"/>
  <c r="E1247" i="1"/>
  <c r="K1247" i="1" s="1"/>
  <c r="BI1247" i="1"/>
  <c r="E1248" i="1"/>
  <c r="BI1248" i="1"/>
  <c r="E1249" i="1"/>
  <c r="K1249" i="1" s="1"/>
  <c r="BI1249" i="1"/>
  <c r="E1250" i="1"/>
  <c r="K1250" i="1" s="1"/>
  <c r="BI1250" i="1"/>
  <c r="E1251" i="1"/>
  <c r="K1251" i="1" s="1"/>
  <c r="BI1251" i="1"/>
  <c r="E1252" i="1"/>
  <c r="F1252" i="1" s="1"/>
  <c r="L1252" i="1" s="1"/>
  <c r="BI1252" i="1"/>
  <c r="E1253" i="1"/>
  <c r="BI1253" i="1"/>
  <c r="E1254" i="1"/>
  <c r="BI1254" i="1"/>
  <c r="E1255" i="1"/>
  <c r="BI1255" i="1"/>
  <c r="E1256" i="1"/>
  <c r="K1256" i="1" s="1"/>
  <c r="BI1256" i="1"/>
  <c r="E1257" i="1"/>
  <c r="BI1257" i="1"/>
  <c r="E1258" i="1"/>
  <c r="BI1258" i="1"/>
  <c r="E1259" i="1"/>
  <c r="F1259" i="1" s="1"/>
  <c r="L1259" i="1" s="1"/>
  <c r="BI1259" i="1"/>
  <c r="E1260" i="1"/>
  <c r="BI1260" i="1"/>
  <c r="E1261" i="1"/>
  <c r="K1261" i="1" s="1"/>
  <c r="BI1261" i="1"/>
  <c r="E1262" i="1"/>
  <c r="K1262" i="1" s="1"/>
  <c r="BI1262" i="1"/>
  <c r="E1263" i="1"/>
  <c r="BI1263" i="1"/>
  <c r="E1264" i="1"/>
  <c r="K1264" i="1" s="1"/>
  <c r="BI1264" i="1"/>
  <c r="E1265" i="1"/>
  <c r="K1265" i="1" s="1"/>
  <c r="BI1265" i="1"/>
  <c r="E1266" i="1"/>
  <c r="BI1266" i="1"/>
  <c r="E1267" i="1"/>
  <c r="BI1267" i="1"/>
  <c r="E1268" i="1"/>
  <c r="F1268" i="1" s="1"/>
  <c r="L1268" i="1" s="1"/>
  <c r="BI1268" i="1"/>
  <c r="E1269" i="1"/>
  <c r="BI1269" i="1"/>
  <c r="E1270" i="1"/>
  <c r="K1270" i="1" s="1"/>
  <c r="BI1270" i="1"/>
  <c r="E1271" i="1"/>
  <c r="K1271" i="1" s="1"/>
  <c r="BI1271" i="1"/>
  <c r="E1272" i="1"/>
  <c r="BI1272" i="1"/>
  <c r="E1273" i="1"/>
  <c r="K1273" i="1" s="1"/>
  <c r="BI1273" i="1"/>
  <c r="E1274" i="1"/>
  <c r="F1274" i="1" s="1"/>
  <c r="L1274" i="1" s="1"/>
  <c r="BI1274" i="1"/>
  <c r="E1275" i="1"/>
  <c r="BI1275" i="1"/>
  <c r="E1276" i="1"/>
  <c r="F1276" i="1" s="1"/>
  <c r="L1276" i="1" s="1"/>
  <c r="BI1276" i="1"/>
  <c r="E1277" i="1"/>
  <c r="BI1277" i="1"/>
  <c r="E1278" i="1"/>
  <c r="BI1278" i="1"/>
  <c r="E1279" i="1"/>
  <c r="BI1279" i="1"/>
  <c r="E1280" i="1"/>
  <c r="BI1280" i="1"/>
  <c r="E1281" i="1"/>
  <c r="BI1281" i="1"/>
  <c r="E1282" i="1"/>
  <c r="K1282" i="1" s="1"/>
  <c r="BI1282" i="1"/>
  <c r="E1283" i="1"/>
  <c r="K1283" i="1" s="1"/>
  <c r="BI1283" i="1"/>
  <c r="E1284" i="1"/>
  <c r="BI1284" i="1"/>
  <c r="E1285" i="1"/>
  <c r="K1285" i="1" s="1"/>
  <c r="BI1285" i="1"/>
  <c r="E1286" i="1"/>
  <c r="K1286" i="1" s="1"/>
  <c r="BI1286" i="1"/>
  <c r="E1287" i="1"/>
  <c r="BI1287" i="1"/>
  <c r="E1288" i="1"/>
  <c r="K1288" i="1" s="1"/>
  <c r="BI1288" i="1"/>
  <c r="E1289" i="1"/>
  <c r="F1289" i="1" s="1"/>
  <c r="L1289" i="1" s="1"/>
  <c r="BI1289" i="1"/>
  <c r="E1290" i="1"/>
  <c r="BI1290" i="1"/>
  <c r="E1291" i="1"/>
  <c r="BI1291" i="1"/>
  <c r="E1292" i="1"/>
  <c r="F1292" i="1" s="1"/>
  <c r="L1292" i="1" s="1"/>
  <c r="BI1292" i="1"/>
  <c r="E1293" i="1"/>
  <c r="BI1293" i="1"/>
  <c r="E1294" i="1"/>
  <c r="K1294" i="1" s="1"/>
  <c r="F1294" i="1"/>
  <c r="L1294" i="1" s="1"/>
  <c r="BI1294" i="1"/>
  <c r="E1295" i="1"/>
  <c r="BI1295" i="1"/>
  <c r="E1296" i="1"/>
  <c r="BI1296" i="1"/>
  <c r="E1297" i="1"/>
  <c r="BI1297" i="1"/>
  <c r="E1298" i="1"/>
  <c r="BI1298" i="1"/>
  <c r="E1299" i="1"/>
  <c r="BI1299" i="1"/>
  <c r="E1300" i="1"/>
  <c r="K1300" i="1" s="1"/>
  <c r="BI1300" i="1"/>
  <c r="E1301" i="1"/>
  <c r="K1301" i="1" s="1"/>
  <c r="BI1301" i="1"/>
  <c r="E1302" i="1"/>
  <c r="BI1302" i="1"/>
  <c r="E1303" i="1"/>
  <c r="BI1303" i="1"/>
  <c r="E1304" i="1"/>
  <c r="F1304" i="1" s="1"/>
  <c r="L1304" i="1" s="1"/>
  <c r="BI1304" i="1"/>
  <c r="E1305" i="1"/>
  <c r="BI1305" i="1"/>
  <c r="E1306" i="1"/>
  <c r="F1306" i="1" s="1"/>
  <c r="L1306" i="1" s="1"/>
  <c r="BI1306" i="1"/>
  <c r="E1307" i="1"/>
  <c r="K1307" i="1" s="1"/>
  <c r="BI1307" i="1"/>
  <c r="E1308" i="1"/>
  <c r="F1308" i="1" s="1"/>
  <c r="L1308" i="1" s="1"/>
  <c r="BI1308" i="1"/>
  <c r="E1309" i="1"/>
  <c r="BI1309" i="1"/>
  <c r="E1310" i="1"/>
  <c r="F1310" i="1" s="1"/>
  <c r="BI1310" i="1"/>
  <c r="E1311" i="1"/>
  <c r="BI1311" i="1"/>
  <c r="E1312" i="1"/>
  <c r="K1312" i="1" s="1"/>
  <c r="BI1312" i="1"/>
  <c r="E1313" i="1"/>
  <c r="K1313" i="1" s="1"/>
  <c r="BI1313" i="1"/>
  <c r="E1314" i="1"/>
  <c r="K1314" i="1" s="1"/>
  <c r="BI1314" i="1"/>
  <c r="E1315" i="1"/>
  <c r="K1315" i="1" s="1"/>
  <c r="BI1315" i="1"/>
  <c r="E1316" i="1"/>
  <c r="F1316" i="1" s="1"/>
  <c r="L1316" i="1" s="1"/>
  <c r="BI1316" i="1"/>
  <c r="E1317" i="1"/>
  <c r="BI1317" i="1"/>
  <c r="E1318" i="1"/>
  <c r="K1318" i="1" s="1"/>
  <c r="BI1318" i="1"/>
  <c r="E1319" i="1"/>
  <c r="K1319" i="1" s="1"/>
  <c r="BI1319" i="1"/>
  <c r="E1320" i="1"/>
  <c r="K1320" i="1" s="1"/>
  <c r="BI1320" i="1"/>
  <c r="K1321" i="1"/>
  <c r="E1321" i="1"/>
  <c r="F1321" i="1" s="1"/>
  <c r="L1321" i="1" s="1"/>
  <c r="BI1321" i="1"/>
  <c r="K1322" i="1"/>
  <c r="AG1322" i="1"/>
  <c r="AH1322" i="1"/>
  <c r="K1323" i="1"/>
  <c r="L1323" i="1"/>
  <c r="AG1323" i="1"/>
  <c r="AH1323" i="1"/>
  <c r="K1324" i="1"/>
  <c r="L1324" i="1"/>
  <c r="AG1324" i="1"/>
  <c r="AH1324" i="1"/>
  <c r="E1325" i="1"/>
  <c r="F1325" i="1" s="1"/>
  <c r="L1325" i="1" s="1"/>
  <c r="AG1325" i="1"/>
  <c r="AH1325" i="1"/>
  <c r="BI1325" i="1"/>
  <c r="E1326" i="1"/>
  <c r="K1326" i="1" s="1"/>
  <c r="AG1326" i="1"/>
  <c r="AH1326" i="1"/>
  <c r="BI1326" i="1"/>
  <c r="E1327" i="1"/>
  <c r="BI1327" i="1"/>
  <c r="E1328" i="1"/>
  <c r="K1328" i="1" s="1"/>
  <c r="BI1328" i="1"/>
  <c r="E1329" i="1"/>
  <c r="K1329" i="1" s="1"/>
  <c r="BI1329" i="1"/>
  <c r="E1330" i="1"/>
  <c r="K1330" i="1" s="1"/>
  <c r="BI1330" i="1"/>
  <c r="E1331" i="1"/>
  <c r="F1331" i="1" s="1"/>
  <c r="L1331" i="1" s="1"/>
  <c r="BI1331" i="1"/>
  <c r="E1332" i="1"/>
  <c r="BI1332" i="1"/>
  <c r="E1333" i="1"/>
  <c r="BI1333" i="1"/>
  <c r="E1334" i="1"/>
  <c r="K1334" i="1" s="1"/>
  <c r="BI1334" i="1"/>
  <c r="E1335" i="1"/>
  <c r="K1335" i="1" s="1"/>
  <c r="BI1335" i="1"/>
  <c r="E1336" i="1"/>
  <c r="K1336" i="1" s="1"/>
  <c r="BI1336" i="1"/>
  <c r="E1337" i="1"/>
  <c r="F1337" i="1" s="1"/>
  <c r="L1337" i="1" s="1"/>
  <c r="BI1337" i="1"/>
  <c r="E1338" i="1"/>
  <c r="BI1338" i="1"/>
  <c r="E1339" i="1"/>
  <c r="BI1339" i="1"/>
  <c r="E1340" i="1"/>
  <c r="K1340" i="1" s="1"/>
  <c r="BI1340" i="1"/>
  <c r="E1341" i="1"/>
  <c r="BI1341" i="1"/>
  <c r="E1342" i="1"/>
  <c r="K1342" i="1" s="1"/>
  <c r="BI1342" i="1"/>
  <c r="E1343" i="1"/>
  <c r="F1343" i="1" s="1"/>
  <c r="L1343" i="1" s="1"/>
  <c r="BI1343" i="1"/>
  <c r="E1344" i="1"/>
  <c r="BI1344" i="1"/>
  <c r="E1345" i="1"/>
  <c r="F1345" i="1" s="1"/>
  <c r="L1345" i="1" s="1"/>
  <c r="BI1345" i="1"/>
  <c r="E1346" i="1"/>
  <c r="K1346" i="1" s="1"/>
  <c r="BI1346" i="1"/>
  <c r="E1347" i="1"/>
  <c r="BI1347" i="1"/>
  <c r="E1348" i="1"/>
  <c r="F1348" i="1" s="1"/>
  <c r="L1348" i="1" s="1"/>
  <c r="BI1348" i="1"/>
  <c r="E1349" i="1"/>
  <c r="F1349" i="1" s="1"/>
  <c r="L1349" i="1" s="1"/>
  <c r="BI1349" i="1"/>
  <c r="E1350" i="1"/>
  <c r="BI1350" i="1"/>
  <c r="E1351" i="1"/>
  <c r="K1351" i="1" s="1"/>
  <c r="BI1351" i="1"/>
  <c r="E1352" i="1"/>
  <c r="K1352" i="1" s="1"/>
  <c r="BI1352" i="1"/>
  <c r="E1353" i="1"/>
  <c r="K1353" i="1" s="1"/>
  <c r="BI1353" i="1"/>
  <c r="E1354" i="1"/>
  <c r="K1354" i="1" s="1"/>
  <c r="BI1354" i="1"/>
  <c r="E1355" i="1"/>
  <c r="F1355" i="1" s="1"/>
  <c r="L1355" i="1" s="1"/>
  <c r="BI1355" i="1"/>
  <c r="E1356" i="1"/>
  <c r="BI1356" i="1"/>
  <c r="E1357" i="1"/>
  <c r="BI1357" i="1"/>
  <c r="E1358" i="1"/>
  <c r="K1358" i="1" s="1"/>
  <c r="BI1358" i="1"/>
  <c r="E1359" i="1"/>
  <c r="F1359" i="1" s="1"/>
  <c r="L1359" i="1" s="1"/>
  <c r="BI1359" i="1"/>
  <c r="E1360" i="1"/>
  <c r="K1360" i="1" s="1"/>
  <c r="BI1360" i="1"/>
  <c r="E1361" i="1"/>
  <c r="F1361" i="1" s="1"/>
  <c r="L1361" i="1" s="1"/>
  <c r="BI1361" i="1"/>
  <c r="E1362" i="1"/>
  <c r="BI1362" i="1"/>
  <c r="E1363" i="1"/>
  <c r="BI1363" i="1"/>
  <c r="E1364" i="1"/>
  <c r="K1364" i="1" s="1"/>
  <c r="BI1364" i="1"/>
  <c r="K1365" i="1"/>
  <c r="AG1365" i="1"/>
  <c r="AH1365" i="1"/>
  <c r="K1366" i="1"/>
  <c r="L1366" i="1"/>
  <c r="AG1366" i="1"/>
  <c r="AH1366" i="1"/>
  <c r="K1367" i="1"/>
  <c r="L1367" i="1"/>
  <c r="E1368" i="1"/>
  <c r="BI1368" i="1"/>
  <c r="E1369" i="1"/>
  <c r="K1369" i="1" s="1"/>
  <c r="BI1369" i="1"/>
  <c r="E1370" i="1"/>
  <c r="K1370" i="1" s="1"/>
  <c r="BI1370" i="1"/>
  <c r="E1371" i="1"/>
  <c r="BI1371" i="1"/>
  <c r="E1372" i="1"/>
  <c r="K1372" i="1" s="1"/>
  <c r="BI1372" i="1"/>
  <c r="E1373" i="1"/>
  <c r="F1373" i="1" s="1"/>
  <c r="L1373" i="1" s="1"/>
  <c r="BI1373" i="1"/>
  <c r="E1374" i="1"/>
  <c r="BI1374" i="1"/>
  <c r="E1375" i="1"/>
  <c r="BI1375" i="1"/>
  <c r="E1376" i="1"/>
  <c r="K1376" i="1" s="1"/>
  <c r="BI1376" i="1"/>
  <c r="E1377" i="1"/>
  <c r="BI1377" i="1"/>
  <c r="E1378" i="1"/>
  <c r="K1378" i="1" s="1"/>
  <c r="BI1378" i="1"/>
  <c r="E1379" i="1"/>
  <c r="F1379" i="1" s="1"/>
  <c r="L1379" i="1" s="1"/>
  <c r="BI1379" i="1"/>
  <c r="E1380" i="1"/>
  <c r="BI1380" i="1"/>
  <c r="E1381" i="1"/>
  <c r="K1381" i="1" s="1"/>
  <c r="BI1381" i="1"/>
  <c r="E1382" i="1"/>
  <c r="K1382" i="1" s="1"/>
  <c r="BI1382" i="1"/>
  <c r="E1383" i="1"/>
  <c r="K1383" i="1" s="1"/>
  <c r="F1383" i="1"/>
  <c r="L1383" i="1" s="1"/>
  <c r="BI1383" i="1"/>
  <c r="E1384" i="1"/>
  <c r="BI1384" i="1"/>
  <c r="E1385" i="1"/>
  <c r="F1385" i="1" s="1"/>
  <c r="L1385" i="1" s="1"/>
  <c r="BI1385" i="1"/>
  <c r="E1386" i="1"/>
  <c r="BI1386" i="1"/>
  <c r="E1387" i="1"/>
  <c r="F1387" i="1" s="1"/>
  <c r="L1387" i="1" s="1"/>
  <c r="BI1387" i="1"/>
  <c r="E1388" i="1"/>
  <c r="K1388" i="1" s="1"/>
  <c r="BI1388" i="1"/>
  <c r="E1389" i="1"/>
  <c r="F1389" i="1" s="1"/>
  <c r="L1389" i="1" s="1"/>
  <c r="BI1389" i="1"/>
  <c r="K1390" i="1"/>
  <c r="H1390" i="1"/>
  <c r="J1390" i="1"/>
  <c r="K1391" i="1"/>
  <c r="L1391" i="1"/>
  <c r="K1392" i="1"/>
  <c r="L1392" i="1"/>
  <c r="E1393" i="1"/>
  <c r="K1393" i="1" s="1"/>
  <c r="BI1393" i="1"/>
  <c r="E1394" i="1"/>
  <c r="K1394" i="1" s="1"/>
  <c r="BI1394" i="1"/>
  <c r="E1395" i="1"/>
  <c r="K1395" i="1" s="1"/>
  <c r="BI1395" i="1"/>
  <c r="E1396" i="1"/>
  <c r="BI1396" i="1"/>
  <c r="E1397" i="1"/>
  <c r="F1397" i="1" s="1"/>
  <c r="L1397" i="1" s="1"/>
  <c r="BI1397" i="1"/>
  <c r="E1398" i="1"/>
  <c r="BI1398" i="1"/>
  <c r="E1399" i="1"/>
  <c r="F1399" i="1" s="1"/>
  <c r="L1399" i="1" s="1"/>
  <c r="BI1399" i="1"/>
  <c r="E1400" i="1"/>
  <c r="K1400" i="1" s="1"/>
  <c r="BI1400" i="1"/>
  <c r="E1401" i="1"/>
  <c r="K1401" i="1" s="1"/>
  <c r="BI1401" i="1"/>
  <c r="E1402" i="1"/>
  <c r="BI1402" i="1"/>
  <c r="E1403" i="1"/>
  <c r="F1403" i="1" s="1"/>
  <c r="L1403" i="1" s="1"/>
  <c r="BI1403" i="1"/>
  <c r="E1404" i="1"/>
  <c r="BI1404" i="1"/>
  <c r="E1405" i="1"/>
  <c r="K1405" i="1" s="1"/>
  <c r="BI1405" i="1"/>
  <c r="E1406" i="1"/>
  <c r="K1406" i="1" s="1"/>
  <c r="BI1406" i="1"/>
  <c r="E1407" i="1"/>
  <c r="K1407" i="1" s="1"/>
  <c r="BI1407" i="1"/>
  <c r="E1408" i="1"/>
  <c r="K1408" i="1" s="1"/>
  <c r="BI1408" i="1"/>
  <c r="E1409" i="1"/>
  <c r="F1409" i="1" s="1"/>
  <c r="L1409" i="1" s="1"/>
  <c r="BI1409" i="1"/>
  <c r="E1410" i="1"/>
  <c r="BI1410" i="1"/>
  <c r="E1411" i="1"/>
  <c r="F1411" i="1" s="1"/>
  <c r="L1411" i="1" s="1"/>
  <c r="BI1411" i="1"/>
  <c r="E1412" i="1"/>
  <c r="K1412" i="1" s="1"/>
  <c r="BI1412" i="1"/>
  <c r="E1413" i="1"/>
  <c r="F1413" i="1" s="1"/>
  <c r="BI1413" i="1"/>
  <c r="E1414" i="1"/>
  <c r="BI1414" i="1"/>
  <c r="K1415" i="1"/>
  <c r="H1415" i="1"/>
  <c r="J1415" i="1"/>
  <c r="K1416" i="1"/>
  <c r="L1416" i="1"/>
  <c r="K1417" i="1"/>
  <c r="L1417" i="1"/>
  <c r="E1418" i="1"/>
  <c r="K1418" i="1" s="1"/>
  <c r="BI1418" i="1"/>
  <c r="E1419" i="1"/>
  <c r="BI1419" i="1"/>
  <c r="E1420" i="1"/>
  <c r="K1420" i="1" s="1"/>
  <c r="BI1420" i="1"/>
  <c r="E1421" i="1"/>
  <c r="F1421" i="1" s="1"/>
  <c r="L1421" i="1" s="1"/>
  <c r="BI1421" i="1"/>
  <c r="E1422" i="1"/>
  <c r="BI1422" i="1"/>
  <c r="E1423" i="1"/>
  <c r="K1423" i="1" s="1"/>
  <c r="BI1423" i="1"/>
  <c r="E1424" i="1"/>
  <c r="K1424" i="1" s="1"/>
  <c r="BI1424" i="1"/>
  <c r="E1425" i="1"/>
  <c r="BI1425" i="1"/>
  <c r="E1426" i="1"/>
  <c r="K1426" i="1" s="1"/>
  <c r="BI1426" i="1"/>
  <c r="E1427" i="1"/>
  <c r="F1427" i="1" s="1"/>
  <c r="L1427" i="1" s="1"/>
  <c r="BI1427" i="1"/>
  <c r="E1428" i="1"/>
  <c r="BI1428" i="1"/>
  <c r="E1429" i="1"/>
  <c r="F1429" i="1" s="1"/>
  <c r="L1429" i="1" s="1"/>
  <c r="BI1429" i="1"/>
  <c r="E1430" i="1"/>
  <c r="K1430" i="1" s="1"/>
  <c r="BI1430" i="1"/>
  <c r="E1431" i="1"/>
  <c r="BI1431" i="1"/>
  <c r="E1432" i="1"/>
  <c r="BI1432" i="1"/>
  <c r="E1433" i="1"/>
  <c r="F1433" i="1" s="1"/>
  <c r="L1433" i="1" s="1"/>
  <c r="BI1433" i="1"/>
  <c r="E1434" i="1"/>
  <c r="BI1434" i="1"/>
  <c r="E1435" i="1"/>
  <c r="K1435" i="1" s="1"/>
  <c r="BI1435" i="1"/>
  <c r="E1436" i="1"/>
  <c r="K1436" i="1" s="1"/>
  <c r="BI1436" i="1"/>
  <c r="E1437" i="1"/>
  <c r="BI1437" i="1"/>
  <c r="E1438" i="1"/>
  <c r="BI1438" i="1"/>
  <c r="E1439" i="1"/>
  <c r="F1439" i="1" s="1"/>
  <c r="L1439" i="1" s="1"/>
  <c r="BI1439" i="1"/>
  <c r="E1440" i="1"/>
  <c r="BI1440" i="1"/>
  <c r="E1441" i="1"/>
  <c r="K1441" i="1" s="1"/>
  <c r="BI1441" i="1"/>
  <c r="E1442" i="1"/>
  <c r="K1442" i="1" s="1"/>
  <c r="BI1442" i="1"/>
  <c r="E1443" i="1"/>
  <c r="BI1443" i="1"/>
  <c r="E1444" i="1"/>
  <c r="K1444" i="1" s="1"/>
  <c r="BI1444" i="1"/>
  <c r="E1445" i="1"/>
  <c r="F1445" i="1" s="1"/>
  <c r="L1445" i="1" s="1"/>
  <c r="BI1445" i="1"/>
  <c r="E1446" i="1"/>
  <c r="BI1446" i="1"/>
  <c r="E1447" i="1"/>
  <c r="F1447" i="1" s="1"/>
  <c r="BI1447" i="1"/>
  <c r="E1448" i="1"/>
  <c r="K1448" i="1" s="1"/>
  <c r="BI1448" i="1"/>
  <c r="E1449" i="1"/>
  <c r="K1449" i="1" s="1"/>
  <c r="BI1449" i="1"/>
  <c r="E1450" i="1"/>
  <c r="K1450" i="1" s="1"/>
  <c r="BI1450" i="1"/>
  <c r="E1451" i="1"/>
  <c r="F1451" i="1" s="1"/>
  <c r="L1451" i="1" s="1"/>
  <c r="BI1451" i="1"/>
  <c r="E1452" i="1"/>
  <c r="BI1452" i="1"/>
  <c r="K1453" i="1"/>
  <c r="AG1453" i="1"/>
  <c r="H1453" i="1" s="1"/>
  <c r="AH1453" i="1"/>
  <c r="K1454" i="1"/>
  <c r="AG1454" i="1"/>
  <c r="AH1454" i="1"/>
  <c r="K1455" i="1"/>
  <c r="L1455" i="1"/>
  <c r="K1456" i="1"/>
  <c r="L1456" i="1"/>
  <c r="BI1457" i="1"/>
  <c r="BI1458" i="1"/>
  <c r="BI1459" i="1"/>
  <c r="K1460" i="1"/>
  <c r="K1461" i="1"/>
  <c r="L1461" i="1"/>
  <c r="K1462" i="1"/>
  <c r="L1462" i="1"/>
  <c r="BI1463" i="1"/>
  <c r="BI1464" i="1"/>
  <c r="BI1465" i="1"/>
  <c r="BI1466" i="1"/>
  <c r="BI1467" i="1"/>
  <c r="BI1468" i="1"/>
  <c r="BI1469" i="1"/>
  <c r="BI1470" i="1"/>
  <c r="BI1471" i="1"/>
  <c r="BI1472" i="1"/>
  <c r="BI1473" i="1"/>
  <c r="BI1474" i="1"/>
  <c r="BI1475" i="1"/>
  <c r="BI1476" i="1"/>
  <c r="BI1477" i="1"/>
  <c r="BI1478" i="1"/>
  <c r="BI1479" i="1"/>
  <c r="BI1480" i="1"/>
  <c r="K1481" i="1"/>
  <c r="K1482" i="1"/>
  <c r="L1482" i="1"/>
  <c r="K1483" i="1"/>
  <c r="L1483" i="1"/>
  <c r="K1484" i="1"/>
  <c r="L1484" i="1"/>
  <c r="BI1485" i="1"/>
  <c r="BI1486" i="1"/>
  <c r="K1487" i="1"/>
  <c r="K1488" i="1"/>
  <c r="L1488" i="1"/>
  <c r="K1489" i="1"/>
  <c r="L1489" i="1"/>
  <c r="K1490" i="1"/>
  <c r="L1490" i="1"/>
  <c r="E1491" i="1"/>
  <c r="F1491" i="1" s="1"/>
  <c r="G1491" i="1"/>
  <c r="H1491" i="1" s="1"/>
  <c r="H1492" i="1" s="1"/>
  <c r="I1491" i="1"/>
  <c r="J1491" i="1" s="1"/>
  <c r="J1492" i="1" s="1"/>
  <c r="BI1491" i="1"/>
  <c r="K1492" i="1"/>
  <c r="K1493" i="1"/>
  <c r="L1493" i="1"/>
  <c r="K1494" i="1"/>
  <c r="L1494" i="1"/>
  <c r="K1495" i="1"/>
  <c r="L1495" i="1"/>
  <c r="A9" i="4"/>
  <c r="K9" i="4"/>
  <c r="AD9" i="4"/>
  <c r="A11" i="4"/>
  <c r="K11" i="4"/>
  <c r="AD11" i="4"/>
  <c r="AB12" i="4"/>
  <c r="AD12" i="4" s="1"/>
  <c r="AF12" i="4"/>
  <c r="D12" i="4" s="1"/>
  <c r="AJ12" i="4"/>
  <c r="A30" i="4"/>
  <c r="K30" i="4"/>
  <c r="AD30" i="4"/>
  <c r="A32" i="4"/>
  <c r="K32" i="4"/>
  <c r="AD32" i="4"/>
  <c r="B36" i="4"/>
  <c r="B40" i="4"/>
  <c r="B44" i="4"/>
  <c r="AB69" i="4"/>
  <c r="C69" i="4" s="1"/>
  <c r="AF69" i="4"/>
  <c r="AJ69" i="4"/>
  <c r="E69" i="4" s="1"/>
  <c r="AB73" i="4"/>
  <c r="C73" i="4" s="1"/>
  <c r="AF73" i="4"/>
  <c r="AH73" i="4" s="1"/>
  <c r="AJ73" i="4"/>
  <c r="A85" i="4"/>
  <c r="K85" i="4"/>
  <c r="AD85" i="4"/>
  <c r="A87" i="4"/>
  <c r="K87" i="4"/>
  <c r="AD87" i="4"/>
  <c r="AB88" i="4"/>
  <c r="C88" i="4" s="1"/>
  <c r="AF88" i="4"/>
  <c r="AJ88" i="4"/>
  <c r="A106" i="4"/>
  <c r="K106" i="4"/>
  <c r="AD106" i="4"/>
  <c r="A108" i="4"/>
  <c r="K108" i="4"/>
  <c r="AD108" i="4"/>
  <c r="B112" i="4"/>
  <c r="B116" i="4"/>
  <c r="B120" i="4"/>
  <c r="AB145" i="4"/>
  <c r="C145" i="4" s="1"/>
  <c r="AF145" i="4"/>
  <c r="AJ145" i="4"/>
  <c r="AL145" i="4" s="1"/>
  <c r="AB149" i="4"/>
  <c r="AD149" i="4" s="1"/>
  <c r="AF149" i="4"/>
  <c r="D149" i="4" s="1"/>
  <c r="AJ149" i="4"/>
  <c r="AL149" i="4" s="1"/>
  <c r="A161" i="4"/>
  <c r="K161" i="4"/>
  <c r="AD161" i="4"/>
  <c r="A163" i="4"/>
  <c r="K163" i="4"/>
  <c r="AD163" i="4"/>
  <c r="AB164" i="4"/>
  <c r="AF164" i="4"/>
  <c r="AH164" i="4" s="1"/>
  <c r="AJ164" i="4"/>
  <c r="A182" i="4"/>
  <c r="K182" i="4"/>
  <c r="AD182" i="4"/>
  <c r="A184" i="4"/>
  <c r="K184" i="4"/>
  <c r="AD184" i="4"/>
  <c r="B188" i="4"/>
  <c r="B192" i="4"/>
  <c r="B196" i="4"/>
  <c r="AB221" i="4"/>
  <c r="AF221" i="4"/>
  <c r="D221" i="4" s="1"/>
  <c r="AJ221" i="4"/>
  <c r="E221" i="4" s="1"/>
  <c r="AL221" i="4"/>
  <c r="AB225" i="4"/>
  <c r="C225" i="4" s="1"/>
  <c r="AD225" i="4"/>
  <c r="AF225" i="4"/>
  <c r="AH225" i="4" s="1"/>
  <c r="AJ225" i="4"/>
  <c r="E225" i="4" s="1"/>
  <c r="A237" i="4"/>
  <c r="K237" i="4"/>
  <c r="AD237" i="4"/>
  <c r="A239" i="4"/>
  <c r="K239" i="4"/>
  <c r="AD239" i="4"/>
  <c r="AB240" i="4"/>
  <c r="AF240" i="4"/>
  <c r="AH240" i="4" s="1"/>
  <c r="AJ240" i="4"/>
  <c r="A258" i="4"/>
  <c r="K258" i="4"/>
  <c r="AD258" i="4"/>
  <c r="A260" i="4"/>
  <c r="K260" i="4"/>
  <c r="AD260" i="4"/>
  <c r="B264" i="4"/>
  <c r="B268" i="4"/>
  <c r="B272" i="4"/>
  <c r="AB297" i="4"/>
  <c r="C297" i="4" s="1"/>
  <c r="AF297" i="4"/>
  <c r="D297" i="4" s="1"/>
  <c r="AJ297" i="4"/>
  <c r="E297" i="4" s="1"/>
  <c r="AB301" i="4"/>
  <c r="C301" i="4" s="1"/>
  <c r="AF301" i="4"/>
  <c r="AJ301" i="4"/>
  <c r="AL301" i="4" s="1"/>
  <c r="A313" i="4"/>
  <c r="K313" i="4"/>
  <c r="AD313" i="4"/>
  <c r="A315" i="4"/>
  <c r="K315" i="4"/>
  <c r="AD315" i="4"/>
  <c r="AB316" i="4"/>
  <c r="C316" i="4" s="1"/>
  <c r="AF316" i="4"/>
  <c r="AJ316" i="4"/>
  <c r="AL316" i="4" s="1"/>
  <c r="A334" i="4"/>
  <c r="K334" i="4"/>
  <c r="AD334" i="4"/>
  <c r="A336" i="4"/>
  <c r="K336" i="4"/>
  <c r="AD336" i="4"/>
  <c r="B340" i="4"/>
  <c r="B344" i="4"/>
  <c r="B348" i="4"/>
  <c r="AB373" i="4"/>
  <c r="AD373" i="4" s="1"/>
  <c r="AF373" i="4"/>
  <c r="AH373" i="4" s="1"/>
  <c r="AJ373" i="4"/>
  <c r="AL373" i="4" s="1"/>
  <c r="AB377" i="4"/>
  <c r="C377" i="4" s="1"/>
  <c r="AD377" i="4"/>
  <c r="AF377" i="4"/>
  <c r="D377" i="4" s="1"/>
  <c r="AJ377" i="4"/>
  <c r="E377" i="4" s="1"/>
  <c r="A389" i="4"/>
  <c r="K389" i="4"/>
  <c r="AD389" i="4"/>
  <c r="A391" i="4"/>
  <c r="K391" i="4"/>
  <c r="AD391" i="4"/>
  <c r="AB392" i="4"/>
  <c r="AF392" i="4"/>
  <c r="D392" i="4" s="1"/>
  <c r="AJ392" i="4"/>
  <c r="A410" i="4"/>
  <c r="K410" i="4"/>
  <c r="AD410" i="4"/>
  <c r="A412" i="4"/>
  <c r="K412" i="4"/>
  <c r="AD412" i="4"/>
  <c r="B416" i="4"/>
  <c r="B420" i="4"/>
  <c r="B424" i="4"/>
  <c r="C449" i="4"/>
  <c r="AB449" i="4"/>
  <c r="AD449" i="4" s="1"/>
  <c r="AF449" i="4"/>
  <c r="D449" i="4" s="1"/>
  <c r="AJ449" i="4"/>
  <c r="E449" i="4" s="1"/>
  <c r="AB453" i="4"/>
  <c r="C453" i="4" s="1"/>
  <c r="AF453" i="4"/>
  <c r="AH453" i="4" s="1"/>
  <c r="AJ453" i="4"/>
  <c r="E453" i="4" s="1"/>
  <c r="A465" i="4"/>
  <c r="K465" i="4"/>
  <c r="AD465" i="4"/>
  <c r="A467" i="4"/>
  <c r="K467" i="4"/>
  <c r="AD467" i="4"/>
  <c r="AB468" i="4"/>
  <c r="AD468" i="4" s="1"/>
  <c r="AF468" i="4"/>
  <c r="AH468" i="4" s="1"/>
  <c r="AJ468" i="4"/>
  <c r="A486" i="4"/>
  <c r="K486" i="4"/>
  <c r="AD486" i="4"/>
  <c r="AF492" i="4" s="1"/>
  <c r="A488" i="4"/>
  <c r="K488" i="4"/>
  <c r="AD488" i="4"/>
  <c r="B492" i="4"/>
  <c r="B496" i="4"/>
  <c r="B500" i="4"/>
  <c r="AB525" i="4"/>
  <c r="C525" i="4" s="1"/>
  <c r="AF525" i="4"/>
  <c r="AH525" i="4" s="1"/>
  <c r="AJ525" i="4"/>
  <c r="E525" i="4" s="1"/>
  <c r="AB529" i="4"/>
  <c r="C529" i="4" s="1"/>
  <c r="AF529" i="4"/>
  <c r="AH529" i="4" s="1"/>
  <c r="AJ529" i="4"/>
  <c r="A541" i="4"/>
  <c r="K541" i="4"/>
  <c r="AD541" i="4"/>
  <c r="AB568" i="4" s="1"/>
  <c r="AD568" i="4" s="1"/>
  <c r="AB572" i="4" s="1"/>
  <c r="AD572" i="4" s="1"/>
  <c r="AB580" i="4" s="1"/>
  <c r="A543" i="4"/>
  <c r="K543" i="4"/>
  <c r="AD543" i="4"/>
  <c r="AB544" i="4"/>
  <c r="C544" i="4" s="1"/>
  <c r="AF544" i="4"/>
  <c r="AJ544" i="4"/>
  <c r="A562" i="4"/>
  <c r="K562" i="4"/>
  <c r="AD562" i="4"/>
  <c r="A564" i="4"/>
  <c r="K564" i="4"/>
  <c r="AD564" i="4"/>
  <c r="B568" i="4"/>
  <c r="B572" i="4"/>
  <c r="B576" i="4"/>
  <c r="AB601" i="4"/>
  <c r="AD601" i="4" s="1"/>
  <c r="AF601" i="4"/>
  <c r="AH601" i="4" s="1"/>
  <c r="AJ601" i="4"/>
  <c r="AL601" i="4" s="1"/>
  <c r="AB605" i="4"/>
  <c r="C605" i="4" s="1"/>
  <c r="AF605" i="4"/>
  <c r="D605" i="4" s="1"/>
  <c r="AJ605" i="4"/>
  <c r="E605" i="4" s="1"/>
  <c r="A617" i="4"/>
  <c r="K617" i="4"/>
  <c r="AD617" i="4"/>
  <c r="A619" i="4"/>
  <c r="K619" i="4"/>
  <c r="AD619" i="4"/>
  <c r="AB620" i="4"/>
  <c r="AF620" i="4"/>
  <c r="D620" i="4" s="1"/>
  <c r="AJ620" i="4"/>
  <c r="A638" i="4"/>
  <c r="K638" i="4"/>
  <c r="AD638" i="4"/>
  <c r="A640" i="4"/>
  <c r="K640" i="4"/>
  <c r="AD640" i="4"/>
  <c r="B644" i="4"/>
  <c r="B648" i="4"/>
  <c r="B652" i="4"/>
  <c r="AB677" i="4"/>
  <c r="AD677" i="4" s="1"/>
  <c r="AF677" i="4"/>
  <c r="AH677" i="4" s="1"/>
  <c r="AJ677" i="4"/>
  <c r="E677" i="4" s="1"/>
  <c r="AB681" i="4"/>
  <c r="AF681" i="4"/>
  <c r="AH681" i="4" s="1"/>
  <c r="AJ681" i="4"/>
  <c r="E681" i="4" s="1"/>
  <c r="A693" i="4"/>
  <c r="K693" i="4"/>
  <c r="AD693" i="4"/>
  <c r="A695" i="4"/>
  <c r="K695" i="4"/>
  <c r="AD695" i="4"/>
  <c r="AB696" i="4"/>
  <c r="AF696" i="4"/>
  <c r="AH696" i="4" s="1"/>
  <c r="AJ696" i="4"/>
  <c r="A714" i="4"/>
  <c r="K714" i="4"/>
  <c r="AD714" i="4"/>
  <c r="A716" i="4"/>
  <c r="K716" i="4"/>
  <c r="AD716" i="4"/>
  <c r="B720" i="4"/>
  <c r="B724" i="4"/>
  <c r="B728" i="4"/>
  <c r="AB753" i="4"/>
  <c r="C753" i="4" s="1"/>
  <c r="AF753" i="4"/>
  <c r="AH753" i="4" s="1"/>
  <c r="AJ753" i="4"/>
  <c r="E753" i="4" s="1"/>
  <c r="AB757" i="4"/>
  <c r="AF757" i="4"/>
  <c r="AJ757" i="4"/>
  <c r="E757" i="4" s="1"/>
  <c r="A769" i="4"/>
  <c r="K769" i="4"/>
  <c r="AD769" i="4"/>
  <c r="A771" i="4"/>
  <c r="K771" i="4"/>
  <c r="AD771" i="4"/>
  <c r="AB772" i="4"/>
  <c r="C772" i="4" s="1"/>
  <c r="AF772" i="4"/>
  <c r="AJ772" i="4"/>
  <c r="E772" i="4" s="1"/>
  <c r="A790" i="4"/>
  <c r="K790" i="4"/>
  <c r="AD790" i="4"/>
  <c r="A792" i="4"/>
  <c r="K792" i="4"/>
  <c r="AD792" i="4"/>
  <c r="B796" i="4"/>
  <c r="B800" i="4"/>
  <c r="B804" i="4"/>
  <c r="AB829" i="4"/>
  <c r="AD829" i="4" s="1"/>
  <c r="AF829" i="4"/>
  <c r="AJ829" i="4"/>
  <c r="AL829" i="4" s="1"/>
  <c r="D833" i="4"/>
  <c r="AB833" i="4"/>
  <c r="C833" i="4" s="1"/>
  <c r="AF833" i="4"/>
  <c r="AH833" i="4" s="1"/>
  <c r="AJ833" i="4"/>
  <c r="E833" i="4" s="1"/>
  <c r="A845" i="4"/>
  <c r="K845" i="4"/>
  <c r="AD845" i="4"/>
  <c r="A847" i="4"/>
  <c r="K847" i="4"/>
  <c r="AD847" i="4"/>
  <c r="AF872" i="4" s="1"/>
  <c r="AH872" i="4" s="1"/>
  <c r="AB848" i="4"/>
  <c r="AF848" i="4"/>
  <c r="D848" i="4" s="1"/>
  <c r="AJ848" i="4"/>
  <c r="E848" i="4" s="1"/>
  <c r="A866" i="4"/>
  <c r="K866" i="4"/>
  <c r="AD866" i="4"/>
  <c r="A868" i="4"/>
  <c r="K868" i="4"/>
  <c r="AD868" i="4"/>
  <c r="B872" i="4"/>
  <c r="B876" i="4"/>
  <c r="B880" i="4"/>
  <c r="AB905" i="4"/>
  <c r="AD905" i="4" s="1"/>
  <c r="AF905" i="4"/>
  <c r="AH905" i="4" s="1"/>
  <c r="AJ905" i="4"/>
  <c r="E905" i="4" s="1"/>
  <c r="AB909" i="4"/>
  <c r="AF909" i="4"/>
  <c r="AH909" i="4" s="1"/>
  <c r="AJ909" i="4"/>
  <c r="E909" i="4" s="1"/>
  <c r="A921" i="4"/>
  <c r="K921" i="4"/>
  <c r="AD921" i="4"/>
  <c r="A923" i="4"/>
  <c r="K923" i="4"/>
  <c r="AD923" i="4"/>
  <c r="AB924" i="4"/>
  <c r="AD924" i="4" s="1"/>
  <c r="AF924" i="4"/>
  <c r="D924" i="4" s="1"/>
  <c r="AJ924" i="4"/>
  <c r="A941" i="4"/>
  <c r="K941" i="4"/>
  <c r="AD941" i="4"/>
  <c r="A943" i="4"/>
  <c r="K943" i="4"/>
  <c r="AD943" i="4"/>
  <c r="B947" i="4"/>
  <c r="B951" i="4"/>
  <c r="B955" i="4"/>
  <c r="AB980" i="4"/>
  <c r="AF980" i="4"/>
  <c r="D980" i="4" s="1"/>
  <c r="AJ980" i="4"/>
  <c r="AB984" i="4"/>
  <c r="C984" i="4" s="1"/>
  <c r="AF984" i="4"/>
  <c r="AH984" i="4" s="1"/>
  <c r="AJ984" i="4"/>
  <c r="A996" i="4"/>
  <c r="K996" i="4"/>
  <c r="AD996" i="4"/>
  <c r="A998" i="4"/>
  <c r="K998" i="4"/>
  <c r="AD998" i="4"/>
  <c r="E999" i="4"/>
  <c r="AB999" i="4"/>
  <c r="C999" i="4" s="1"/>
  <c r="AF999" i="4"/>
  <c r="AH999" i="4" s="1"/>
  <c r="AJ999" i="4"/>
  <c r="AL999" i="4"/>
  <c r="A1017" i="4"/>
  <c r="K1017" i="4"/>
  <c r="AD1017" i="4"/>
  <c r="A1019" i="4"/>
  <c r="K1019" i="4"/>
  <c r="AD1019" i="4"/>
  <c r="B1023" i="4"/>
  <c r="B1027" i="4"/>
  <c r="B1031" i="4"/>
  <c r="AB1056" i="4"/>
  <c r="AD1056" i="4" s="1"/>
  <c r="AF1056" i="4"/>
  <c r="AH1056" i="4" s="1"/>
  <c r="AJ1056" i="4"/>
  <c r="AB1060" i="4"/>
  <c r="AD1060" i="4" s="1"/>
  <c r="AF1060" i="4"/>
  <c r="AJ1060" i="4"/>
  <c r="E1060" i="4" s="1"/>
  <c r="A1072" i="4"/>
  <c r="K1072" i="4"/>
  <c r="AD1072" i="4"/>
  <c r="A1074" i="4"/>
  <c r="K1074" i="4"/>
  <c r="AD1074" i="4"/>
  <c r="AB1075" i="4"/>
  <c r="AD1075" i="4" s="1"/>
  <c r="AF1075" i="4"/>
  <c r="AJ1075" i="4"/>
  <c r="AL1075" i="4" s="1"/>
  <c r="A1093" i="4"/>
  <c r="K1093" i="4"/>
  <c r="AD1093" i="4"/>
  <c r="A1095" i="4"/>
  <c r="K1095" i="4"/>
  <c r="AD1095" i="4"/>
  <c r="B1099" i="4"/>
  <c r="B1103" i="4"/>
  <c r="B1107" i="4"/>
  <c r="AB1132" i="4"/>
  <c r="AD1132" i="4" s="1"/>
  <c r="AF1132" i="4"/>
  <c r="AJ1132" i="4"/>
  <c r="E1132" i="4" s="1"/>
  <c r="AB1136" i="4"/>
  <c r="AF1136" i="4"/>
  <c r="AH1136" i="4" s="1"/>
  <c r="AJ1136" i="4"/>
  <c r="E1136" i="4" s="1"/>
  <c r="A1148" i="4"/>
  <c r="K1148" i="4"/>
  <c r="AD1148" i="4"/>
  <c r="A1150" i="4"/>
  <c r="K1150" i="4"/>
  <c r="AD1150" i="4"/>
  <c r="AB1151" i="4"/>
  <c r="AD1151" i="4" s="1"/>
  <c r="AF1151" i="4"/>
  <c r="AH1151" i="4" s="1"/>
  <c r="AJ1151" i="4"/>
  <c r="E1151" i="4" s="1"/>
  <c r="A1169" i="4"/>
  <c r="K1169" i="4"/>
  <c r="AD1169" i="4"/>
  <c r="A1171" i="4"/>
  <c r="K1171" i="4"/>
  <c r="AD1171" i="4"/>
  <c r="B1175" i="4"/>
  <c r="B1179" i="4"/>
  <c r="B1183" i="4"/>
  <c r="AB1208" i="4"/>
  <c r="AF1208" i="4"/>
  <c r="AH1208" i="4" s="1"/>
  <c r="AJ1208" i="4"/>
  <c r="E1208" i="4" s="1"/>
  <c r="AB1212" i="4"/>
  <c r="AD1212" i="4" s="1"/>
  <c r="AF1212" i="4"/>
  <c r="AH1212" i="4" s="1"/>
  <c r="AJ1212" i="4"/>
  <c r="A1224" i="4"/>
  <c r="K1224" i="4"/>
  <c r="AD1224" i="4"/>
  <c r="A1226" i="4"/>
  <c r="K1226" i="4"/>
  <c r="AD1226" i="4"/>
  <c r="AB1227" i="4"/>
  <c r="C1227" i="4" s="1"/>
  <c r="AF1227" i="4"/>
  <c r="AH1227" i="4" s="1"/>
  <c r="AJ1227" i="4"/>
  <c r="E1227" i="4" s="1"/>
  <c r="A1244" i="4"/>
  <c r="K1244" i="4"/>
  <c r="AD1244" i="4"/>
  <c r="A1246" i="4"/>
  <c r="K1246" i="4"/>
  <c r="AD1246" i="4"/>
  <c r="B1250" i="4"/>
  <c r="B1254" i="4"/>
  <c r="B1258" i="4"/>
  <c r="AB1283" i="4"/>
  <c r="AD1283" i="4" s="1"/>
  <c r="AF1283" i="4"/>
  <c r="AH1283" i="4" s="1"/>
  <c r="AJ1283" i="4"/>
  <c r="AB1287" i="4"/>
  <c r="AF1287" i="4"/>
  <c r="AJ1287" i="4"/>
  <c r="E1287" i="4" s="1"/>
  <c r="A1299" i="4"/>
  <c r="K1299" i="4"/>
  <c r="AD1299" i="4"/>
  <c r="A1301" i="4"/>
  <c r="K1301" i="4"/>
  <c r="AD1301" i="4"/>
  <c r="AB1302" i="4"/>
  <c r="AD1302" i="4" s="1"/>
  <c r="AF1302" i="4"/>
  <c r="D1302" i="4" s="1"/>
  <c r="AJ1302" i="4"/>
  <c r="E1302" i="4" s="1"/>
  <c r="A1319" i="4"/>
  <c r="K1319" i="4"/>
  <c r="AD1319" i="4"/>
  <c r="A1321" i="4"/>
  <c r="K1321" i="4"/>
  <c r="AD1321" i="4"/>
  <c r="B1325" i="4"/>
  <c r="B1329" i="4"/>
  <c r="B1333" i="4"/>
  <c r="C1358" i="4"/>
  <c r="AB1358" i="4"/>
  <c r="AD1358" i="4" s="1"/>
  <c r="AF1358" i="4"/>
  <c r="AJ1358" i="4"/>
  <c r="E1358" i="4" s="1"/>
  <c r="AB1362" i="4"/>
  <c r="AF1362" i="4"/>
  <c r="AH1362" i="4" s="1"/>
  <c r="AJ1362" i="4"/>
  <c r="E1362" i="4" s="1"/>
  <c r="A1374" i="4"/>
  <c r="K1374" i="4"/>
  <c r="AD1374" i="4"/>
  <c r="A1376" i="4"/>
  <c r="K1376" i="4"/>
  <c r="AD1376" i="4"/>
  <c r="AB1377" i="4"/>
  <c r="C1377" i="4" s="1"/>
  <c r="AF1377" i="4"/>
  <c r="AH1377" i="4" s="1"/>
  <c r="AJ1377" i="4"/>
  <c r="E1377" i="4" s="1"/>
  <c r="A1394" i="4"/>
  <c r="K1394" i="4"/>
  <c r="AD1394" i="4"/>
  <c r="A1396" i="4"/>
  <c r="K1396" i="4"/>
  <c r="AD1396" i="4"/>
  <c r="B1400" i="4"/>
  <c r="B1404" i="4"/>
  <c r="B1408" i="4"/>
  <c r="AB1433" i="4"/>
  <c r="AF1433" i="4"/>
  <c r="AH1433" i="4" s="1"/>
  <c r="AJ1433" i="4"/>
  <c r="E1433" i="4" s="1"/>
  <c r="AB1437" i="4"/>
  <c r="AD1437" i="4" s="1"/>
  <c r="AF1437" i="4"/>
  <c r="AJ1437" i="4"/>
  <c r="A1449" i="4"/>
  <c r="K1449" i="4"/>
  <c r="AD1449" i="4"/>
  <c r="A1451" i="4"/>
  <c r="K1451" i="4"/>
  <c r="AD1451" i="4"/>
  <c r="AB1452" i="4"/>
  <c r="C1452" i="4" s="1"/>
  <c r="AF1452" i="4"/>
  <c r="AH1452" i="4" s="1"/>
  <c r="AJ1452" i="4"/>
  <c r="AL1452" i="4" s="1"/>
  <c r="A1469" i="4"/>
  <c r="K1469" i="4"/>
  <c r="AD1469" i="4"/>
  <c r="A1471" i="4"/>
  <c r="K1471" i="4"/>
  <c r="AD1471" i="4"/>
  <c r="B1475" i="4"/>
  <c r="B1479" i="4"/>
  <c r="B1483" i="4"/>
  <c r="AB1508" i="4"/>
  <c r="AD1508" i="4" s="1"/>
  <c r="AF1508" i="4"/>
  <c r="AH1508" i="4" s="1"/>
  <c r="AJ1508" i="4"/>
  <c r="AB1512" i="4"/>
  <c r="AF1512" i="4"/>
  <c r="AJ1512" i="4"/>
  <c r="E1512" i="4" s="1"/>
  <c r="A1524" i="4"/>
  <c r="K1524" i="4"/>
  <c r="AD1524" i="4"/>
  <c r="A1526" i="4"/>
  <c r="K1526" i="4"/>
  <c r="AD1526" i="4"/>
  <c r="AB1527" i="4"/>
  <c r="AD1527" i="4" s="1"/>
  <c r="AF1527" i="4"/>
  <c r="D1527" i="4" s="1"/>
  <c r="AJ1527" i="4"/>
  <c r="E1527" i="4" s="1"/>
  <c r="A1544" i="4"/>
  <c r="K1544" i="4"/>
  <c r="AD1544" i="4"/>
  <c r="A1546" i="4"/>
  <c r="K1546" i="4"/>
  <c r="AD1546" i="4"/>
  <c r="B1550" i="4"/>
  <c r="B1554" i="4"/>
  <c r="B1558" i="4"/>
  <c r="AB1583" i="4"/>
  <c r="AD1583" i="4" s="1"/>
  <c r="AF1583" i="4"/>
  <c r="AJ1583" i="4"/>
  <c r="E1583" i="4" s="1"/>
  <c r="D1587" i="4"/>
  <c r="AB1587" i="4"/>
  <c r="AF1587" i="4"/>
  <c r="AH1587" i="4" s="1"/>
  <c r="AJ1587" i="4"/>
  <c r="E1587" i="4" s="1"/>
  <c r="A1599" i="4"/>
  <c r="K1599" i="4"/>
  <c r="AD1599" i="4"/>
  <c r="A1601" i="4"/>
  <c r="K1601" i="4"/>
  <c r="AD1601" i="4"/>
  <c r="AB1602" i="4"/>
  <c r="AF1602" i="4"/>
  <c r="AJ1602" i="4"/>
  <c r="E1602" i="4" s="1"/>
  <c r="A1619" i="4"/>
  <c r="K1619" i="4"/>
  <c r="AD1619" i="4"/>
  <c r="AF1625" i="4" s="1"/>
  <c r="A1621" i="4"/>
  <c r="K1621" i="4"/>
  <c r="AD1621" i="4"/>
  <c r="B1625" i="4"/>
  <c r="B1629" i="4"/>
  <c r="B1633" i="4"/>
  <c r="AB1658" i="4"/>
  <c r="C1658" i="4" s="1"/>
  <c r="AF1658" i="4"/>
  <c r="AJ1658" i="4"/>
  <c r="E1658" i="4" s="1"/>
  <c r="AB1662" i="4"/>
  <c r="AD1662" i="4" s="1"/>
  <c r="AF1662" i="4"/>
  <c r="AH1662" i="4" s="1"/>
  <c r="AJ1662" i="4"/>
  <c r="E1662" i="4" s="1"/>
  <c r="AB1673" i="4"/>
  <c r="C1673" i="4" s="1"/>
  <c r="AF1673" i="4"/>
  <c r="AJ1673" i="4"/>
  <c r="AL1673" i="4" s="1"/>
  <c r="A1675" i="4"/>
  <c r="K1675" i="4"/>
  <c r="AD1675" i="4"/>
  <c r="A1677" i="4"/>
  <c r="K1677" i="4"/>
  <c r="AD1677" i="4"/>
  <c r="A1693" i="4"/>
  <c r="K1693" i="4"/>
  <c r="AD1693" i="4"/>
  <c r="AB1695" i="4"/>
  <c r="AD1695" i="4" s="1"/>
  <c r="AB1713" i="4"/>
  <c r="C1713" i="4" s="1"/>
  <c r="AF1713" i="4"/>
  <c r="AH1713" i="4" s="1"/>
  <c r="AJ1713" i="4"/>
  <c r="E1713" i="4" s="1"/>
  <c r="A1715" i="4"/>
  <c r="K1715" i="4"/>
  <c r="AD1715" i="4"/>
  <c r="AB1725" i="4" s="1"/>
  <c r="A1717" i="4"/>
  <c r="K1717" i="4"/>
  <c r="AD1717" i="4"/>
  <c r="A1733" i="4"/>
  <c r="K1733" i="4"/>
  <c r="AD1733" i="4"/>
  <c r="AB1735" i="4"/>
  <c r="AB1753" i="4"/>
  <c r="AF1753" i="4"/>
  <c r="AJ1753" i="4"/>
  <c r="E1753" i="4" s="1"/>
  <c r="A1755" i="4"/>
  <c r="K1755" i="4"/>
  <c r="AD1755" i="4"/>
  <c r="AB1767" i="4" s="1"/>
  <c r="A1757" i="4"/>
  <c r="K1757" i="4"/>
  <c r="AD1757" i="4"/>
  <c r="AB1765" i="4"/>
  <c r="A1773" i="4"/>
  <c r="K1773" i="4"/>
  <c r="AD1773" i="4"/>
  <c r="AB1775" i="4"/>
  <c r="AD1775" i="4" s="1"/>
  <c r="AB1792" i="4"/>
  <c r="AD1792" i="4" s="1"/>
  <c r="AF1792" i="4"/>
  <c r="AH1792" i="4" s="1"/>
  <c r="AJ1792" i="4"/>
  <c r="E1792" i="4" s="1"/>
  <c r="AB1795" i="4"/>
  <c r="C1795" i="4" s="1"/>
  <c r="AF1795" i="4"/>
  <c r="AH1795" i="4" s="1"/>
  <c r="AJ1795" i="4"/>
  <c r="E1795" i="4" s="1"/>
  <c r="B1807" i="4"/>
  <c r="AB1807" i="4"/>
  <c r="AD1807" i="4" s="1"/>
  <c r="AB1817" i="4" s="1"/>
  <c r="AF1807" i="4"/>
  <c r="AH1807" i="4" s="1"/>
  <c r="AB1820" i="4"/>
  <c r="C1820" i="4" s="1"/>
  <c r="AF1820" i="4"/>
  <c r="AH1820" i="4" s="1"/>
  <c r="AJ1820" i="4"/>
  <c r="E1820" i="4" s="1"/>
  <c r="AB1825" i="4"/>
  <c r="AD1825" i="4" s="1"/>
  <c r="AB1827" i="4" s="1"/>
  <c r="AB1831" i="4"/>
  <c r="A1831" i="4" s="1"/>
  <c r="AB1833" i="4"/>
  <c r="AB1836" i="4"/>
  <c r="AD1836" i="4" s="1"/>
  <c r="AF1836" i="4"/>
  <c r="D1836" i="4" s="1"/>
  <c r="AJ1836" i="4"/>
  <c r="E1836" i="4" s="1"/>
  <c r="AB1839" i="4"/>
  <c r="AB1841" i="4"/>
  <c r="AB1843" i="4"/>
  <c r="A1843" i="4" s="1"/>
  <c r="AB1846" i="4"/>
  <c r="C1846" i="4" s="1"/>
  <c r="AF1846" i="4"/>
  <c r="AJ1846" i="4"/>
  <c r="E1846" i="4" s="1"/>
  <c r="AB1849" i="4"/>
  <c r="AD1849" i="4" s="1"/>
  <c r="AB1852" i="4"/>
  <c r="AD1852" i="4" s="1"/>
  <c r="AF1852" i="4"/>
  <c r="AJ1852" i="4"/>
  <c r="AB1855" i="4"/>
  <c r="AD1855" i="4" s="1"/>
  <c r="AB1865" i="4"/>
  <c r="AF1865" i="4"/>
  <c r="AJ1865" i="4"/>
  <c r="E1865" i="4" s="1"/>
  <c r="AB1868" i="4"/>
  <c r="AD1868" i="4" s="1"/>
  <c r="AF1868" i="4"/>
  <c r="D1868" i="4" s="1"/>
  <c r="AH1868" i="4"/>
  <c r="AJ1868" i="4"/>
  <c r="B1880" i="4"/>
  <c r="AB1880" i="4"/>
  <c r="AD1880" i="4" s="1"/>
  <c r="AB1890" i="4" s="1"/>
  <c r="AF1880" i="4"/>
  <c r="AB1893" i="4"/>
  <c r="AD1893" i="4" s="1"/>
  <c r="AF1893" i="4"/>
  <c r="D1893" i="4" s="1"/>
  <c r="AJ1893" i="4"/>
  <c r="AB1898" i="4"/>
  <c r="AD1898" i="4" s="1"/>
  <c r="AB1900" i="4" s="1"/>
  <c r="AB1904" i="4"/>
  <c r="AB1906" i="4"/>
  <c r="AB1909" i="4"/>
  <c r="AF1909" i="4"/>
  <c r="AJ1909" i="4"/>
  <c r="AB1912" i="4"/>
  <c r="AB1914" i="4"/>
  <c r="D1914" i="4" s="1"/>
  <c r="B1914" i="4" s="1"/>
  <c r="AB1916" i="4"/>
  <c r="AB1919" i="4"/>
  <c r="AD1919" i="4" s="1"/>
  <c r="AF1919" i="4"/>
  <c r="AH1919" i="4" s="1"/>
  <c r="AJ1919" i="4"/>
  <c r="AL1919" i="4" s="1"/>
  <c r="AB1922" i="4"/>
  <c r="AD1922" i="4" s="1"/>
  <c r="AB1925" i="4"/>
  <c r="C1925" i="4" s="1"/>
  <c r="AF1925" i="4"/>
  <c r="AJ1925" i="4"/>
  <c r="E1925" i="4" s="1"/>
  <c r="AB1928" i="4"/>
  <c r="AD1928" i="4" s="1"/>
  <c r="C1939" i="4"/>
  <c r="AB1939" i="4"/>
  <c r="AD1939" i="4" s="1"/>
  <c r="AF1939" i="4"/>
  <c r="D1939" i="4" s="1"/>
  <c r="AJ1939" i="4"/>
  <c r="A1940" i="4"/>
  <c r="K1940" i="4"/>
  <c r="AD1940" i="4"/>
  <c r="AB1952" i="4"/>
  <c r="AD1952" i="4" s="1"/>
  <c r="AF1952" i="4"/>
  <c r="D1952" i="4" s="1"/>
  <c r="AJ1952" i="4"/>
  <c r="A1953" i="4"/>
  <c r="K1953" i="4"/>
  <c r="AD1953" i="4"/>
  <c r="AB1965" i="4"/>
  <c r="AD1965" i="4" s="1"/>
  <c r="AF1965" i="4"/>
  <c r="D1965" i="4" s="1"/>
  <c r="AH1965" i="4"/>
  <c r="AJ1965" i="4"/>
  <c r="A1966" i="4"/>
  <c r="K1966" i="4"/>
  <c r="AD1966" i="4"/>
  <c r="AB1978" i="4"/>
  <c r="AF1978" i="4"/>
  <c r="AH1978" i="4" s="1"/>
  <c r="AJ1978" i="4"/>
  <c r="A1979" i="4"/>
  <c r="K1979" i="4"/>
  <c r="AD1979" i="4"/>
  <c r="AB1991" i="4"/>
  <c r="AF1991" i="4"/>
  <c r="AH1991" i="4" s="1"/>
  <c r="AJ1991" i="4"/>
  <c r="E1991" i="4" s="1"/>
  <c r="A1992" i="4"/>
  <c r="K1992" i="4"/>
  <c r="AD1992" i="4"/>
  <c r="D2004" i="4"/>
  <c r="AB2004" i="4"/>
  <c r="AF2004" i="4"/>
  <c r="AH2004" i="4" s="1"/>
  <c r="AJ2004" i="4"/>
  <c r="E2004" i="4" s="1"/>
  <c r="A2005" i="4"/>
  <c r="K2005" i="4"/>
  <c r="AD2005" i="4"/>
  <c r="AB2017" i="4"/>
  <c r="AF2017" i="4"/>
  <c r="AH2017" i="4" s="1"/>
  <c r="AJ2017" i="4"/>
  <c r="E2017" i="4" s="1"/>
  <c r="A2018" i="4"/>
  <c r="K2018" i="4"/>
  <c r="AD2018" i="4"/>
  <c r="AB2030" i="4"/>
  <c r="AF2030" i="4"/>
  <c r="D2030" i="4" s="1"/>
  <c r="AH2030" i="4"/>
  <c r="AJ2030" i="4"/>
  <c r="E2030" i="4" s="1"/>
  <c r="A2031" i="4"/>
  <c r="K2031" i="4"/>
  <c r="AD2031" i="4"/>
  <c r="AB2043" i="4"/>
  <c r="AF2043" i="4"/>
  <c r="AH2043" i="4" s="1"/>
  <c r="AJ2043" i="4"/>
  <c r="E2043" i="4" s="1"/>
  <c r="A2044" i="4"/>
  <c r="K2044" i="4"/>
  <c r="AD2044" i="4"/>
  <c r="AB2056" i="4"/>
  <c r="AF2056" i="4"/>
  <c r="AH2056" i="4" s="1"/>
  <c r="AJ2056" i="4"/>
  <c r="E2056" i="4" s="1"/>
  <c r="A2057" i="4"/>
  <c r="K2057" i="4"/>
  <c r="AD2057" i="4"/>
  <c r="AB2069" i="4"/>
  <c r="AF2069" i="4"/>
  <c r="D2069" i="4" s="1"/>
  <c r="AJ2069" i="4"/>
  <c r="E2069" i="4" s="1"/>
  <c r="A2074" i="4"/>
  <c r="AD2074" i="4"/>
  <c r="AB2076" i="4"/>
  <c r="A2076" i="4" s="1"/>
  <c r="A2082" i="4"/>
  <c r="K2082" i="4"/>
  <c r="AD2082" i="4"/>
  <c r="AB2084" i="4" s="1"/>
  <c r="B2084" i="4"/>
  <c r="AB2094" i="4"/>
  <c r="D2094" i="4" s="1"/>
  <c r="B2094" i="4" s="1"/>
  <c r="AB2096" i="4"/>
  <c r="AB2106" i="4"/>
  <c r="AD2106" i="4" s="1"/>
  <c r="AF2106" i="4"/>
  <c r="AJ2106" i="4"/>
  <c r="E2106" i="4" s="1"/>
  <c r="A2107" i="4"/>
  <c r="K2107" i="4"/>
  <c r="AD2107" i="4"/>
  <c r="AB2119" i="4"/>
  <c r="AF2119" i="4"/>
  <c r="AJ2119" i="4"/>
  <c r="E2119" i="4" s="1"/>
  <c r="A2120" i="4"/>
  <c r="K2120" i="4"/>
  <c r="AD2120" i="4"/>
  <c r="AB2132" i="4"/>
  <c r="AD2132" i="4" s="1"/>
  <c r="AF2132" i="4"/>
  <c r="AJ2132" i="4"/>
  <c r="E2132" i="4" s="1"/>
  <c r="A2133" i="4"/>
  <c r="K2133" i="4"/>
  <c r="AD2133" i="4"/>
  <c r="AB2145" i="4"/>
  <c r="AD2145" i="4" s="1"/>
  <c r="AF2145" i="4"/>
  <c r="AJ2145" i="4"/>
  <c r="E2145" i="4" s="1"/>
  <c r="A2146" i="4"/>
  <c r="K2146" i="4"/>
  <c r="AD2146" i="4"/>
  <c r="AB2158" i="4"/>
  <c r="AF2158" i="4"/>
  <c r="AJ2158" i="4"/>
  <c r="E2158" i="4" s="1"/>
  <c r="A2159" i="4"/>
  <c r="K2159" i="4"/>
  <c r="AD2159" i="4"/>
  <c r="AB2171" i="4"/>
  <c r="AD2171" i="4" s="1"/>
  <c r="AF2171" i="4"/>
  <c r="AJ2171" i="4"/>
  <c r="E2171" i="4" s="1"/>
  <c r="A2172" i="4"/>
  <c r="K2172" i="4"/>
  <c r="AD2172" i="4"/>
  <c r="AB2184" i="4"/>
  <c r="AF2184" i="4"/>
  <c r="AJ2184" i="4"/>
  <c r="E2184" i="4" s="1"/>
  <c r="A2185" i="4"/>
  <c r="K2185" i="4"/>
  <c r="AD2185" i="4"/>
  <c r="AB2197" i="4"/>
  <c r="C2197" i="4" s="1"/>
  <c r="AF2197" i="4"/>
  <c r="AJ2197" i="4"/>
  <c r="AL2197" i="4" s="1"/>
  <c r="A2198" i="4"/>
  <c r="K2198" i="4"/>
  <c r="AD2198" i="4"/>
  <c r="AB2210" i="4"/>
  <c r="C2210" i="4" s="1"/>
  <c r="AF2210" i="4"/>
  <c r="AJ2210" i="4"/>
  <c r="E2210" i="4" s="1"/>
  <c r="A2211" i="4"/>
  <c r="K2211" i="4"/>
  <c r="AD2211" i="4"/>
  <c r="AB2223" i="4"/>
  <c r="C2223" i="4" s="1"/>
  <c r="AF2223" i="4"/>
  <c r="AJ2223" i="4"/>
  <c r="E2223" i="4" s="1"/>
  <c r="A2224" i="4"/>
  <c r="K2224" i="4"/>
  <c r="AD2224" i="4"/>
  <c r="AB2236" i="4"/>
  <c r="C2236" i="4" s="1"/>
  <c r="AF2236" i="4"/>
  <c r="AJ2236" i="4"/>
  <c r="E2236" i="4" s="1"/>
  <c r="A2237" i="4"/>
  <c r="K2237" i="4"/>
  <c r="AD2237" i="4"/>
  <c r="AB2249" i="4"/>
  <c r="C2249" i="4" s="1"/>
  <c r="AF2249" i="4"/>
  <c r="AJ2249" i="4"/>
  <c r="E2249" i="4" s="1"/>
  <c r="A2250" i="4"/>
  <c r="K2250" i="4"/>
  <c r="AD2250" i="4"/>
  <c r="A2266" i="4"/>
  <c r="K2266" i="4"/>
  <c r="AD2266" i="4"/>
  <c r="AB2289" i="4" s="1"/>
  <c r="C2267" i="4"/>
  <c r="AB2267" i="4"/>
  <c r="AD2267" i="4" s="1"/>
  <c r="AF2267" i="4"/>
  <c r="AH2267" i="4" s="1"/>
  <c r="AF2284" i="4" s="1"/>
  <c r="AJ2267" i="4"/>
  <c r="AL2267" i="4" s="1"/>
  <c r="AJ2284" i="4" s="1"/>
  <c r="AB2270" i="4"/>
  <c r="A2270" i="4" s="1"/>
  <c r="AB2272" i="4"/>
  <c r="C2272" i="4" s="1"/>
  <c r="B2272" i="4" s="1"/>
  <c r="AB2276" i="4"/>
  <c r="A2276" i="4" s="1"/>
  <c r="AB2278" i="4"/>
  <c r="A2278" i="4" s="1"/>
  <c r="AB2280" i="4"/>
  <c r="AB2282" i="4"/>
  <c r="A2282" i="4" s="1"/>
  <c r="AB2285" i="4"/>
  <c r="C2285" i="4" s="1"/>
  <c r="AF2285" i="4"/>
  <c r="D2285" i="4" s="1"/>
  <c r="AJ2285" i="4"/>
  <c r="E2285" i="4" s="1"/>
  <c r="AB2301" i="4"/>
  <c r="AD2301" i="4" s="1"/>
  <c r="AB2306" i="4" s="1"/>
  <c r="C2306" i="4" s="1"/>
  <c r="AF2301" i="4"/>
  <c r="AJ2301" i="4"/>
  <c r="E2301" i="4" s="1"/>
  <c r="A2320" i="4"/>
  <c r="K2320" i="4"/>
  <c r="AD2320" i="4"/>
  <c r="AB2343" i="4" s="1"/>
  <c r="AB2321" i="4"/>
  <c r="AD2321" i="4" s="1"/>
  <c r="AF2321" i="4"/>
  <c r="AH2321" i="4" s="1"/>
  <c r="AF2338" i="4" s="1"/>
  <c r="AJ2321" i="4"/>
  <c r="AB2324" i="4"/>
  <c r="A2324" i="4" s="1"/>
  <c r="AB2326" i="4"/>
  <c r="A2326" i="4" s="1"/>
  <c r="AB2330" i="4"/>
  <c r="A2330" i="4" s="1"/>
  <c r="AB2332" i="4"/>
  <c r="AB2334" i="4"/>
  <c r="A2334" i="4" s="1"/>
  <c r="AB2336" i="4"/>
  <c r="AB2339" i="4"/>
  <c r="C2339" i="4" s="1"/>
  <c r="AF2339" i="4"/>
  <c r="AJ2339" i="4"/>
  <c r="E2339" i="4" s="1"/>
  <c r="AB2355" i="4"/>
  <c r="AD2355" i="4" s="1"/>
  <c r="AB2360" i="4" s="1"/>
  <c r="C2360" i="4" s="1"/>
  <c r="AF2355" i="4"/>
  <c r="AH2355" i="4" s="1"/>
  <c r="AF2360" i="4" s="1"/>
  <c r="D2360" i="4" s="1"/>
  <c r="AJ2355" i="4"/>
  <c r="A2374" i="4"/>
  <c r="K2374" i="4"/>
  <c r="AD2374" i="4"/>
  <c r="AB2375" i="4"/>
  <c r="C2375" i="4" s="1"/>
  <c r="AF2375" i="4"/>
  <c r="AJ2375" i="4"/>
  <c r="E2375" i="4" s="1"/>
  <c r="AB2378" i="4"/>
  <c r="AB2380" i="4"/>
  <c r="A2380" i="4" s="1"/>
  <c r="AB2384" i="4"/>
  <c r="A2384" i="4" s="1"/>
  <c r="AB2386" i="4"/>
  <c r="C2386" i="4" s="1"/>
  <c r="B2386" i="4" s="1"/>
  <c r="AB2388" i="4"/>
  <c r="A2388" i="4" s="1"/>
  <c r="AB2390" i="4"/>
  <c r="A2390" i="4" s="1"/>
  <c r="E2393" i="4"/>
  <c r="AB2393" i="4"/>
  <c r="C2393" i="4" s="1"/>
  <c r="AF2393" i="4"/>
  <c r="AH2393" i="4" s="1"/>
  <c r="AJ2393" i="4"/>
  <c r="AL2393" i="4" s="1"/>
  <c r="AJ2408" i="4" s="1"/>
  <c r="E2408" i="4" s="1"/>
  <c r="AB2409" i="4"/>
  <c r="C2409" i="4" s="1"/>
  <c r="AF2409" i="4"/>
  <c r="D2409" i="4" s="1"/>
  <c r="AJ2409" i="4"/>
  <c r="E2409" i="4" s="1"/>
  <c r="A2428" i="4"/>
  <c r="K2428" i="4"/>
  <c r="AD2428" i="4"/>
  <c r="AB2457" i="4" s="1"/>
  <c r="A2457" i="4" s="1"/>
  <c r="AB2429" i="4"/>
  <c r="C2429" i="4" s="1"/>
  <c r="AF2429" i="4"/>
  <c r="AJ2429" i="4"/>
  <c r="E2429" i="4" s="1"/>
  <c r="AB2432" i="4"/>
  <c r="AB2434" i="4"/>
  <c r="AB2438" i="4"/>
  <c r="A2438" i="4" s="1"/>
  <c r="AB2440" i="4"/>
  <c r="A2440" i="4" s="1"/>
  <c r="AB2442" i="4"/>
  <c r="AB2444" i="4"/>
  <c r="C2444" i="4" s="1"/>
  <c r="B2444" i="4" s="1"/>
  <c r="AB2447" i="4"/>
  <c r="AF2447" i="4"/>
  <c r="AH2447" i="4" s="1"/>
  <c r="AJ2447" i="4"/>
  <c r="E2447" i="4" s="1"/>
  <c r="AB2463" i="4"/>
  <c r="C2463" i="4" s="1"/>
  <c r="AF2463" i="4"/>
  <c r="AJ2463" i="4"/>
  <c r="E2463" i="4" s="1"/>
  <c r="A2482" i="4"/>
  <c r="K2482" i="4"/>
  <c r="AD2482" i="4"/>
  <c r="AB2483" i="4"/>
  <c r="C2483" i="4" s="1"/>
  <c r="AF2483" i="4"/>
  <c r="AH2483" i="4" s="1"/>
  <c r="AF2500" i="4" s="1"/>
  <c r="D2500" i="4" s="1"/>
  <c r="AJ2483" i="4"/>
  <c r="AB2486" i="4"/>
  <c r="C2486" i="4" s="1"/>
  <c r="B2486" i="4" s="1"/>
  <c r="AB2488" i="4"/>
  <c r="A2488" i="4" s="1"/>
  <c r="AB2492" i="4"/>
  <c r="AB2494" i="4"/>
  <c r="A2494" i="4" s="1"/>
  <c r="AB2496" i="4"/>
  <c r="A2496" i="4" s="1"/>
  <c r="AB2498" i="4"/>
  <c r="C2498" i="4" s="1"/>
  <c r="B2498" i="4" s="1"/>
  <c r="AB2501" i="4"/>
  <c r="AF2501" i="4"/>
  <c r="D2501" i="4" s="1"/>
  <c r="AJ2501" i="4"/>
  <c r="AL2501" i="4" s="1"/>
  <c r="AJ2516" i="4" s="1"/>
  <c r="E2516" i="4" s="1"/>
  <c r="AB2517" i="4"/>
  <c r="C2517" i="4" s="1"/>
  <c r="AD2517" i="4"/>
  <c r="AB2522" i="4" s="1"/>
  <c r="C2522" i="4" s="1"/>
  <c r="AF2517" i="4"/>
  <c r="AH2517" i="4" s="1"/>
  <c r="AF2522" i="4" s="1"/>
  <c r="D2522" i="4" s="1"/>
  <c r="AJ2517" i="4"/>
  <c r="AL2517" i="4" s="1"/>
  <c r="A2536" i="4"/>
  <c r="K2536" i="4"/>
  <c r="AD2536" i="4"/>
  <c r="AB2537" i="4"/>
  <c r="AF2537" i="4"/>
  <c r="AJ2537" i="4"/>
  <c r="E2537" i="4" s="1"/>
  <c r="AB2540" i="4"/>
  <c r="AB2542" i="4"/>
  <c r="AB2546" i="4"/>
  <c r="C2546" i="4" s="1"/>
  <c r="B2546" i="4" s="1"/>
  <c r="AB2548" i="4"/>
  <c r="AB2550" i="4"/>
  <c r="A2550" i="4" s="1"/>
  <c r="AB2552" i="4"/>
  <c r="A2552" i="4" s="1"/>
  <c r="AB2555" i="4"/>
  <c r="AD2555" i="4" s="1"/>
  <c r="AB2570" i="4" s="1"/>
  <c r="C2570" i="4" s="1"/>
  <c r="AF2555" i="4"/>
  <c r="AH2555" i="4" s="1"/>
  <c r="AJ2555" i="4"/>
  <c r="AB2571" i="4"/>
  <c r="AF2571" i="4"/>
  <c r="AH2571" i="4" s="1"/>
  <c r="AF2576" i="4" s="1"/>
  <c r="D2576" i="4" s="1"/>
  <c r="AJ2571" i="4"/>
  <c r="E2571" i="4" s="1"/>
  <c r="A2590" i="4"/>
  <c r="K2590" i="4"/>
  <c r="AD2590" i="4"/>
  <c r="AB2619" i="4" s="1"/>
  <c r="A2619" i="4" s="1"/>
  <c r="AB2591" i="4"/>
  <c r="AD2591" i="4" s="1"/>
  <c r="AF2591" i="4"/>
  <c r="AH2591" i="4" s="1"/>
  <c r="AF2608" i="4" s="1"/>
  <c r="AJ2591" i="4"/>
  <c r="AL2591" i="4" s="1"/>
  <c r="AJ2608" i="4" s="1"/>
  <c r="AB2594" i="4"/>
  <c r="A2594" i="4" s="1"/>
  <c r="AB2596" i="4"/>
  <c r="C2596" i="4" s="1"/>
  <c r="B2596" i="4" s="1"/>
  <c r="AB2600" i="4"/>
  <c r="A2600" i="4" s="1"/>
  <c r="AB2602" i="4"/>
  <c r="A2602" i="4" s="1"/>
  <c r="AB2604" i="4"/>
  <c r="AB2606" i="4"/>
  <c r="A2606" i="4" s="1"/>
  <c r="AB2609" i="4"/>
  <c r="C2609" i="4" s="1"/>
  <c r="AF2609" i="4"/>
  <c r="D2609" i="4" s="1"/>
  <c r="AH2609" i="4"/>
  <c r="AJ2609" i="4"/>
  <c r="E2609" i="4" s="1"/>
  <c r="C2625" i="4"/>
  <c r="AB2625" i="4"/>
  <c r="AD2625" i="4" s="1"/>
  <c r="AB2630" i="4" s="1"/>
  <c r="C2630" i="4" s="1"/>
  <c r="AF2625" i="4"/>
  <c r="D2625" i="4" s="1"/>
  <c r="AJ2625" i="4"/>
  <c r="AL2625" i="4" s="1"/>
  <c r="A2644" i="4"/>
  <c r="K2644" i="4"/>
  <c r="AD2644" i="4"/>
  <c r="AB2667" i="4" s="1"/>
  <c r="AB2645" i="4"/>
  <c r="AF2645" i="4"/>
  <c r="AH2645" i="4" s="1"/>
  <c r="AF2662" i="4" s="1"/>
  <c r="AJ2645" i="4"/>
  <c r="AB2648" i="4"/>
  <c r="A2648" i="4" s="1"/>
  <c r="AB2650" i="4"/>
  <c r="A2650" i="4" s="1"/>
  <c r="AB2654" i="4"/>
  <c r="A2654" i="4" s="1"/>
  <c r="AB2656" i="4"/>
  <c r="C2656" i="4" s="1"/>
  <c r="B2656" i="4" s="1"/>
  <c r="AB2658" i="4"/>
  <c r="C2658" i="4" s="1"/>
  <c r="B2658" i="4" s="1"/>
  <c r="AB2660" i="4"/>
  <c r="AB2663" i="4"/>
  <c r="C2663" i="4" s="1"/>
  <c r="AF2663" i="4"/>
  <c r="AJ2663" i="4"/>
  <c r="E2663" i="4" s="1"/>
  <c r="AB2673" i="4"/>
  <c r="A2673" i="4" s="1"/>
  <c r="AB2676" i="4"/>
  <c r="AB2679" i="4"/>
  <c r="AD2679" i="4" s="1"/>
  <c r="AB2684" i="4" s="1"/>
  <c r="C2684" i="4" s="1"/>
  <c r="AF2679" i="4"/>
  <c r="AH2679" i="4" s="1"/>
  <c r="AF2684" i="4" s="1"/>
  <c r="D2684" i="4" s="1"/>
  <c r="AJ2679" i="4"/>
  <c r="A2698" i="4"/>
  <c r="K2698" i="4"/>
  <c r="AD2698" i="4"/>
  <c r="AB2730" i="4" s="1"/>
  <c r="A2730" i="4" s="1"/>
  <c r="AB2699" i="4"/>
  <c r="AF2699" i="4"/>
  <c r="D2699" i="4" s="1"/>
  <c r="AJ2699" i="4"/>
  <c r="E2699" i="4" s="1"/>
  <c r="AB2702" i="4"/>
  <c r="AB2704" i="4"/>
  <c r="A2704" i="4" s="1"/>
  <c r="AB2708" i="4"/>
  <c r="AB2710" i="4"/>
  <c r="AB2712" i="4"/>
  <c r="AB2714" i="4"/>
  <c r="A2714" i="4" s="1"/>
  <c r="AB2717" i="4"/>
  <c r="C2717" i="4" s="1"/>
  <c r="AF2717" i="4"/>
  <c r="AH2717" i="4" s="1"/>
  <c r="AJ2717" i="4"/>
  <c r="E2717" i="4" s="1"/>
  <c r="AB2733" i="4"/>
  <c r="C2733" i="4" s="1"/>
  <c r="AF2733" i="4"/>
  <c r="D2733" i="4" s="1"/>
  <c r="AJ2733" i="4"/>
  <c r="E2733" i="4" s="1"/>
  <c r="A2752" i="4"/>
  <c r="K2752" i="4"/>
  <c r="AD2752" i="4"/>
  <c r="AB2753" i="4"/>
  <c r="C2753" i="4" s="1"/>
  <c r="AF2753" i="4"/>
  <c r="AJ2753" i="4"/>
  <c r="E2753" i="4" s="1"/>
  <c r="AL2753" i="4"/>
  <c r="AJ2770" i="4" s="1"/>
  <c r="AB2756" i="4"/>
  <c r="C2756" i="4" s="1"/>
  <c r="B2756" i="4" s="1"/>
  <c r="AB2758" i="4"/>
  <c r="A2758" i="4" s="1"/>
  <c r="AB2762" i="4"/>
  <c r="A2762" i="4" s="1"/>
  <c r="AB2764" i="4"/>
  <c r="AB2766" i="4"/>
  <c r="C2766" i="4" s="1"/>
  <c r="B2766" i="4" s="1"/>
  <c r="AB2768" i="4"/>
  <c r="A2768" i="4" s="1"/>
  <c r="AB2771" i="4"/>
  <c r="AF2771" i="4"/>
  <c r="D2771" i="4" s="1"/>
  <c r="AJ2771" i="4"/>
  <c r="AL2771" i="4" s="1"/>
  <c r="AJ2786" i="4" s="1"/>
  <c r="E2786" i="4" s="1"/>
  <c r="AB2787" i="4"/>
  <c r="C2787" i="4" s="1"/>
  <c r="AF2787" i="4"/>
  <c r="AJ2787" i="4"/>
  <c r="AL2787" i="4" s="1"/>
  <c r="A2806" i="4"/>
  <c r="K2806" i="4"/>
  <c r="AD2806" i="4"/>
  <c r="AB2829" i="4" s="1"/>
  <c r="E2807" i="4"/>
  <c r="AB2807" i="4"/>
  <c r="C2807" i="4" s="1"/>
  <c r="AF2807" i="4"/>
  <c r="AH2807" i="4" s="1"/>
  <c r="AF2824" i="4" s="1"/>
  <c r="D2824" i="4" s="1"/>
  <c r="AJ2807" i="4"/>
  <c r="AL2807" i="4" s="1"/>
  <c r="AJ2824" i="4" s="1"/>
  <c r="AB2810" i="4"/>
  <c r="A2810" i="4" s="1"/>
  <c r="AB2812" i="4"/>
  <c r="A2812" i="4" s="1"/>
  <c r="AB2816" i="4"/>
  <c r="A2816" i="4" s="1"/>
  <c r="AB2818" i="4"/>
  <c r="A2818" i="4" s="1"/>
  <c r="AB2820" i="4"/>
  <c r="AB2822" i="4"/>
  <c r="C2822" i="4" s="1"/>
  <c r="B2822" i="4" s="1"/>
  <c r="AB2825" i="4"/>
  <c r="AD2825" i="4" s="1"/>
  <c r="AB2840" i="4" s="1"/>
  <c r="C2840" i="4" s="1"/>
  <c r="AF2825" i="4"/>
  <c r="D2825" i="4" s="1"/>
  <c r="AJ2825" i="4"/>
  <c r="AL2825" i="4" s="1"/>
  <c r="AJ2840" i="4" s="1"/>
  <c r="E2840" i="4" s="1"/>
  <c r="AB2841" i="4"/>
  <c r="C2841" i="4" s="1"/>
  <c r="AF2841" i="4"/>
  <c r="AH2841" i="4" s="1"/>
  <c r="AF2846" i="4" s="1"/>
  <c r="D2846" i="4" s="1"/>
  <c r="AJ2841" i="4"/>
  <c r="E2841" i="4" s="1"/>
  <c r="AL2841" i="4"/>
  <c r="A2860" i="4"/>
  <c r="K2860" i="4"/>
  <c r="AD2860" i="4"/>
  <c r="AB2892" i="4" s="1"/>
  <c r="D2892" i="4" s="1"/>
  <c r="B2892" i="4" s="1"/>
  <c r="AB2861" i="4"/>
  <c r="AF2861" i="4"/>
  <c r="D2861" i="4" s="1"/>
  <c r="AH2861" i="4"/>
  <c r="AF2878" i="4" s="1"/>
  <c r="AJ2861" i="4"/>
  <c r="AL2861" i="4" s="1"/>
  <c r="AJ2878" i="4" s="1"/>
  <c r="AB2864" i="4"/>
  <c r="AB2866" i="4"/>
  <c r="A2866" i="4" s="1"/>
  <c r="AB2870" i="4"/>
  <c r="AB2872" i="4"/>
  <c r="A2872" i="4" s="1"/>
  <c r="AB2874" i="4"/>
  <c r="A2874" i="4" s="1"/>
  <c r="AB2876" i="4"/>
  <c r="AB2879" i="4"/>
  <c r="C2879" i="4" s="1"/>
  <c r="AF2879" i="4"/>
  <c r="AH2879" i="4" s="1"/>
  <c r="AJ2879" i="4"/>
  <c r="AB2895" i="4"/>
  <c r="AF2895" i="4"/>
  <c r="D2895" i="4" s="1"/>
  <c r="AJ2895" i="4"/>
  <c r="AL2895" i="4" s="1"/>
  <c r="A2914" i="4"/>
  <c r="K2914" i="4"/>
  <c r="AD2914" i="4"/>
  <c r="AB2915" i="4"/>
  <c r="AD2915" i="4" s="1"/>
  <c r="AF2915" i="4"/>
  <c r="AH2915" i="4" s="1"/>
  <c r="AF2932" i="4" s="1"/>
  <c r="AJ2915" i="4"/>
  <c r="AB2918" i="4"/>
  <c r="AB2920" i="4"/>
  <c r="C2920" i="4" s="1"/>
  <c r="B2920" i="4" s="1"/>
  <c r="AB2924" i="4"/>
  <c r="A2924" i="4" s="1"/>
  <c r="AB2926" i="4"/>
  <c r="A2926" i="4" s="1"/>
  <c r="AB2928" i="4"/>
  <c r="A2928" i="4" s="1"/>
  <c r="AB2930" i="4"/>
  <c r="A2930" i="4" s="1"/>
  <c r="AB2933" i="4"/>
  <c r="C2933" i="4" s="1"/>
  <c r="AD2933" i="4"/>
  <c r="AB2948" i="4" s="1"/>
  <c r="C2948" i="4" s="1"/>
  <c r="AF2933" i="4"/>
  <c r="D2933" i="4" s="1"/>
  <c r="AH2933" i="4"/>
  <c r="AJ2933" i="4"/>
  <c r="E2933" i="4" s="1"/>
  <c r="AB2949" i="4"/>
  <c r="AF2949" i="4"/>
  <c r="AJ2949" i="4"/>
  <c r="E2949" i="4" s="1"/>
  <c r="A2968" i="4"/>
  <c r="K2968" i="4"/>
  <c r="AD2968" i="4"/>
  <c r="AB2969" i="4"/>
  <c r="AD2969" i="4" s="1"/>
  <c r="AF2969" i="4"/>
  <c r="D2969" i="4" s="1"/>
  <c r="AJ2969" i="4"/>
  <c r="AB2972" i="4"/>
  <c r="AB2974" i="4"/>
  <c r="AB2978" i="4"/>
  <c r="A2978" i="4" s="1"/>
  <c r="AB2980" i="4"/>
  <c r="C2980" i="4" s="1"/>
  <c r="B2980" i="4" s="1"/>
  <c r="AB2982" i="4"/>
  <c r="A2982" i="4" s="1"/>
  <c r="AB2984" i="4"/>
  <c r="A2984" i="4" s="1"/>
  <c r="AB2987" i="4"/>
  <c r="C2987" i="4" s="1"/>
  <c r="AD2987" i="4"/>
  <c r="AB3002" i="4" s="1"/>
  <c r="C3002" i="4" s="1"/>
  <c r="AF2987" i="4"/>
  <c r="AJ2987" i="4"/>
  <c r="E2987" i="4" s="1"/>
  <c r="AB3003" i="4"/>
  <c r="AD3003" i="4" s="1"/>
  <c r="AB3008" i="4" s="1"/>
  <c r="C3008" i="4" s="1"/>
  <c r="AF3003" i="4"/>
  <c r="AH3003" i="4" s="1"/>
  <c r="AF3008" i="4" s="1"/>
  <c r="D3008" i="4" s="1"/>
  <c r="AJ3003" i="4"/>
  <c r="A3022" i="4"/>
  <c r="K3022" i="4"/>
  <c r="AD3022" i="4"/>
  <c r="AB3054" i="4" s="1"/>
  <c r="AB3023" i="4"/>
  <c r="C3023" i="4" s="1"/>
  <c r="AF3023" i="4"/>
  <c r="AJ3023" i="4"/>
  <c r="E3023" i="4" s="1"/>
  <c r="AB3026" i="4"/>
  <c r="A3026" i="4" s="1"/>
  <c r="AB3028" i="4"/>
  <c r="A3028" i="4" s="1"/>
  <c r="AB3032" i="4"/>
  <c r="AB3034" i="4"/>
  <c r="A3034" i="4" s="1"/>
  <c r="AB3036" i="4"/>
  <c r="A3036" i="4" s="1"/>
  <c r="AB3038" i="4"/>
  <c r="AB3041" i="4"/>
  <c r="C3041" i="4" s="1"/>
  <c r="AF3041" i="4"/>
  <c r="AH3041" i="4" s="1"/>
  <c r="AJ3041" i="4"/>
  <c r="E3041" i="4" s="1"/>
  <c r="AB3057" i="4"/>
  <c r="C3057" i="4" s="1"/>
  <c r="AF3057" i="4"/>
  <c r="D3057" i="4" s="1"/>
  <c r="AJ3057" i="4"/>
  <c r="E3057" i="4" s="1"/>
  <c r="A3076" i="4"/>
  <c r="K3076" i="4"/>
  <c r="AD3076" i="4"/>
  <c r="AB3077" i="4"/>
  <c r="C3077" i="4" s="1"/>
  <c r="AF3077" i="4"/>
  <c r="AJ3077" i="4"/>
  <c r="E3077" i="4" s="1"/>
  <c r="AB3080" i="4"/>
  <c r="C3080" i="4" s="1"/>
  <c r="B3080" i="4" s="1"/>
  <c r="AB3082" i="4"/>
  <c r="AB3086" i="4"/>
  <c r="A3086" i="4" s="1"/>
  <c r="AB3088" i="4"/>
  <c r="AB3090" i="4"/>
  <c r="C3090" i="4" s="1"/>
  <c r="B3090" i="4" s="1"/>
  <c r="AB3092" i="4"/>
  <c r="AB3095" i="4"/>
  <c r="AF3095" i="4"/>
  <c r="AJ3095" i="4"/>
  <c r="E3095" i="4" s="1"/>
  <c r="AL3095" i="4"/>
  <c r="AJ3110" i="4" s="1"/>
  <c r="E3110" i="4" s="1"/>
  <c r="AB3111" i="4"/>
  <c r="AF3111" i="4"/>
  <c r="AJ3111" i="4"/>
  <c r="E3111" i="4" s="1"/>
  <c r="A3130" i="4"/>
  <c r="K3130" i="4"/>
  <c r="AD3130" i="4"/>
  <c r="AB3131" i="4"/>
  <c r="C3131" i="4" s="1"/>
  <c r="AF3131" i="4"/>
  <c r="AH3131" i="4" s="1"/>
  <c r="AF3148" i="4" s="1"/>
  <c r="D3148" i="4" s="1"/>
  <c r="AJ3131" i="4"/>
  <c r="AB3134" i="4"/>
  <c r="C3134" i="4" s="1"/>
  <c r="B3134" i="4" s="1"/>
  <c r="AB3136" i="4"/>
  <c r="C3136" i="4" s="1"/>
  <c r="B3136" i="4" s="1"/>
  <c r="AB3140" i="4"/>
  <c r="A3140" i="4" s="1"/>
  <c r="AB3142" i="4"/>
  <c r="AB3144" i="4"/>
  <c r="AB3146" i="4"/>
  <c r="C3146" i="4" s="1"/>
  <c r="B3146" i="4" s="1"/>
  <c r="AB3149" i="4"/>
  <c r="AD3149" i="4" s="1"/>
  <c r="AB3164" i="4" s="1"/>
  <c r="C3164" i="4" s="1"/>
  <c r="AF3149" i="4"/>
  <c r="AJ3149" i="4"/>
  <c r="AB3165" i="4"/>
  <c r="AF3165" i="4"/>
  <c r="AH3165" i="4" s="1"/>
  <c r="AF3170" i="4" s="1"/>
  <c r="D3170" i="4" s="1"/>
  <c r="AJ3165" i="4"/>
  <c r="E3165" i="4" s="1"/>
  <c r="AL3165" i="4"/>
  <c r="A3184" i="4"/>
  <c r="K3184" i="4"/>
  <c r="AD3184" i="4"/>
  <c r="AB3207" i="4" s="1"/>
  <c r="A3207" i="4" s="1"/>
  <c r="AB3185" i="4"/>
  <c r="AF3185" i="4"/>
  <c r="AH3185" i="4" s="1"/>
  <c r="AF3202" i="4" s="1"/>
  <c r="D3202" i="4" s="1"/>
  <c r="AJ3185" i="4"/>
  <c r="AB3188" i="4"/>
  <c r="AB3190" i="4"/>
  <c r="AB3194" i="4"/>
  <c r="A3194" i="4" s="1"/>
  <c r="AB3196" i="4"/>
  <c r="A3196" i="4" s="1"/>
  <c r="AB3198" i="4"/>
  <c r="A3198" i="4" s="1"/>
  <c r="AB3200" i="4"/>
  <c r="C3200" i="4" s="1"/>
  <c r="B3200" i="4" s="1"/>
  <c r="AB3203" i="4"/>
  <c r="AD3203" i="4" s="1"/>
  <c r="AB3218" i="4" s="1"/>
  <c r="C3218" i="4" s="1"/>
  <c r="AF3203" i="4"/>
  <c r="D3203" i="4" s="1"/>
  <c r="AJ3203" i="4"/>
  <c r="AL3203" i="4" s="1"/>
  <c r="AJ3218" i="4" s="1"/>
  <c r="E3218" i="4"/>
  <c r="AB3219" i="4"/>
  <c r="C3219" i="4" s="1"/>
  <c r="AF3219" i="4"/>
  <c r="AJ3219" i="4"/>
  <c r="AL3219" i="4" s="1"/>
  <c r="A3238" i="4"/>
  <c r="K3238" i="4"/>
  <c r="AD3238" i="4"/>
  <c r="AB3267" i="4" s="1"/>
  <c r="AB3239" i="4"/>
  <c r="AD3239" i="4" s="1"/>
  <c r="AF3239" i="4"/>
  <c r="D3239" i="4" s="1"/>
  <c r="AJ3239" i="4"/>
  <c r="AL3239" i="4" s="1"/>
  <c r="AJ3256" i="4" s="1"/>
  <c r="E3256" i="4" s="1"/>
  <c r="AB3242" i="4"/>
  <c r="C3242" i="4" s="1"/>
  <c r="B3242" i="4" s="1"/>
  <c r="AB3244" i="4"/>
  <c r="C3244" i="4" s="1"/>
  <c r="B3244" i="4" s="1"/>
  <c r="AB3248" i="4"/>
  <c r="C3248" i="4" s="1"/>
  <c r="B3248" i="4" s="1"/>
  <c r="AB3250" i="4"/>
  <c r="A3250" i="4" s="1"/>
  <c r="AB3252" i="4"/>
  <c r="A3252" i="4" s="1"/>
  <c r="AB3254" i="4"/>
  <c r="AB3257" i="4"/>
  <c r="AF3257" i="4"/>
  <c r="AJ3257" i="4"/>
  <c r="AB3270" i="4"/>
  <c r="AB3273" i="4"/>
  <c r="AD3273" i="4" s="1"/>
  <c r="AB3278" i="4" s="1"/>
  <c r="C3278" i="4" s="1"/>
  <c r="AF3273" i="4"/>
  <c r="D3273" i="4" s="1"/>
  <c r="AJ3273" i="4"/>
  <c r="A3292" i="4"/>
  <c r="K3292" i="4"/>
  <c r="AD3292" i="4"/>
  <c r="AB3321" i="4" s="1"/>
  <c r="A3321" i="4" s="1"/>
  <c r="AB3293" i="4"/>
  <c r="AD3293" i="4" s="1"/>
  <c r="AF3293" i="4"/>
  <c r="AH3293" i="4" s="1"/>
  <c r="AF3310" i="4" s="1"/>
  <c r="AJ3293" i="4"/>
  <c r="AL3293" i="4" s="1"/>
  <c r="AJ3310" i="4" s="1"/>
  <c r="AL3310" i="4" s="1"/>
  <c r="AB3296" i="4"/>
  <c r="AB3298" i="4"/>
  <c r="C3298" i="4" s="1"/>
  <c r="B3298" i="4" s="1"/>
  <c r="AB3302" i="4"/>
  <c r="A3302" i="4" s="1"/>
  <c r="AB3304" i="4"/>
  <c r="AB3306" i="4"/>
  <c r="AB3308" i="4"/>
  <c r="A3308" i="4" s="1"/>
  <c r="AB3311" i="4"/>
  <c r="AD3311" i="4" s="1"/>
  <c r="AB3326" i="4" s="1"/>
  <c r="C3326" i="4" s="1"/>
  <c r="AF3311" i="4"/>
  <c r="AJ3311" i="4"/>
  <c r="E3311" i="4" s="1"/>
  <c r="AB3327" i="4"/>
  <c r="AD3327" i="4" s="1"/>
  <c r="AB3332" i="4" s="1"/>
  <c r="C3332" i="4" s="1"/>
  <c r="AF3327" i="4"/>
  <c r="AJ3327" i="4"/>
  <c r="E3327" i="4" s="1"/>
  <c r="A3346" i="4"/>
  <c r="K3346" i="4"/>
  <c r="AD3346" i="4"/>
  <c r="AB3378" i="4" s="1"/>
  <c r="AB3347" i="4"/>
  <c r="C3347" i="4" s="1"/>
  <c r="AF3347" i="4"/>
  <c r="AJ3347" i="4"/>
  <c r="AB3350" i="4"/>
  <c r="A3350" i="4" s="1"/>
  <c r="AB3352" i="4"/>
  <c r="A3352" i="4" s="1"/>
  <c r="AB3356" i="4"/>
  <c r="C3356" i="4" s="1"/>
  <c r="B3356" i="4" s="1"/>
  <c r="AB3358" i="4"/>
  <c r="AB3360" i="4"/>
  <c r="AB3362" i="4"/>
  <c r="A3362" i="4" s="1"/>
  <c r="E3365" i="4"/>
  <c r="AB3365" i="4"/>
  <c r="AF3365" i="4"/>
  <c r="AJ3365" i="4"/>
  <c r="AL3365" i="4" s="1"/>
  <c r="AJ3380" i="4" s="1"/>
  <c r="E3380" i="4" s="1"/>
  <c r="AB3381" i="4"/>
  <c r="AF3381" i="4"/>
  <c r="D3381" i="4" s="1"/>
  <c r="AJ3381" i="4"/>
  <c r="E3381" i="4" s="1"/>
  <c r="A3400" i="4"/>
  <c r="K3400" i="4"/>
  <c r="AD3400" i="4"/>
  <c r="AB3426" i="4" s="1"/>
  <c r="E3401" i="4"/>
  <c r="AB3401" i="4"/>
  <c r="C3401" i="4" s="1"/>
  <c r="AF3401" i="4"/>
  <c r="AJ3401" i="4"/>
  <c r="AL3401" i="4"/>
  <c r="AJ3418" i="4" s="1"/>
  <c r="AB3404" i="4"/>
  <c r="A3404" i="4" s="1"/>
  <c r="AB3406" i="4"/>
  <c r="AB3410" i="4"/>
  <c r="AB3412" i="4"/>
  <c r="A3412" i="4" s="1"/>
  <c r="AB3414" i="4"/>
  <c r="AB3416" i="4"/>
  <c r="A3416" i="4" s="1"/>
  <c r="AB3419" i="4"/>
  <c r="AF3419" i="4"/>
  <c r="AJ3419" i="4"/>
  <c r="E3419" i="4" s="1"/>
  <c r="AB3435" i="4"/>
  <c r="C3435" i="4" s="1"/>
  <c r="AF3435" i="4"/>
  <c r="AJ3435" i="4"/>
  <c r="AB3451" i="4"/>
  <c r="AF3451" i="4"/>
  <c r="AH3451" i="4" s="1"/>
  <c r="AJ3451" i="4"/>
  <c r="AB3454" i="4"/>
  <c r="AB3456" i="4"/>
  <c r="A3456" i="4" s="1"/>
  <c r="AB3460" i="4"/>
  <c r="C3460" i="4" s="1"/>
  <c r="AF3460" i="4"/>
  <c r="AJ3460" i="4"/>
  <c r="AB3469" i="4"/>
  <c r="AF3469" i="4"/>
  <c r="AJ3469" i="4"/>
  <c r="AL3469" i="4" s="1"/>
  <c r="A3488" i="4"/>
  <c r="K3488" i="4"/>
  <c r="AD3488" i="4"/>
  <c r="A3489" i="4"/>
  <c r="K3489" i="4"/>
  <c r="AD3489" i="4"/>
  <c r="A3490" i="4"/>
  <c r="K3490" i="4"/>
  <c r="AD3490" i="4"/>
  <c r="A3491" i="4"/>
  <c r="K3491" i="4"/>
  <c r="AD3491" i="4"/>
  <c r="AH3491" i="4"/>
  <c r="AB3493" i="4"/>
  <c r="C3493" i="4" s="1"/>
  <c r="AF3493" i="4"/>
  <c r="AH3493" i="4" s="1"/>
  <c r="AF3501" i="4" s="1"/>
  <c r="AJ3493" i="4"/>
  <c r="AB3512" i="4"/>
  <c r="AF3512" i="4"/>
  <c r="AH3512" i="4" s="1"/>
  <c r="AF3519" i="4" s="1"/>
  <c r="AJ3512" i="4"/>
  <c r="AB3515" i="4"/>
  <c r="AB3530" i="4"/>
  <c r="AF3530" i="4"/>
  <c r="D3530" i="4" s="1"/>
  <c r="AJ3530" i="4"/>
  <c r="E3530" i="4" s="1"/>
  <c r="AB3533" i="4"/>
  <c r="AB3535" i="4"/>
  <c r="A3535" i="4" s="1"/>
  <c r="AB3550" i="4"/>
  <c r="AF3550" i="4"/>
  <c r="AJ3550" i="4"/>
  <c r="E3550" i="4" s="1"/>
  <c r="AB3553" i="4"/>
  <c r="AB3555" i="4"/>
  <c r="A3555" i="4" s="1"/>
  <c r="AD3555" i="4"/>
  <c r="AB3559" i="4"/>
  <c r="AF3559" i="4"/>
  <c r="AH3559" i="4" s="1"/>
  <c r="AJ3559" i="4"/>
  <c r="E3559" i="4" s="1"/>
  <c r="AL3559" i="4"/>
  <c r="AB3568" i="4"/>
  <c r="AD3568" i="4" s="1"/>
  <c r="AF3568" i="4"/>
  <c r="AJ3568" i="4"/>
  <c r="I66" i="1"/>
  <c r="J66" i="1" s="1"/>
  <c r="E70" i="1"/>
  <c r="I71" i="1"/>
  <c r="J71" i="1" s="1"/>
  <c r="I72" i="1"/>
  <c r="J72" i="1" s="1"/>
  <c r="I76" i="1"/>
  <c r="J76" i="1" s="1"/>
  <c r="E80" i="1"/>
  <c r="E86" i="1"/>
  <c r="I308" i="1"/>
  <c r="J308" i="1" s="1"/>
  <c r="I310" i="1"/>
  <c r="J310" i="1" s="1"/>
  <c r="I317" i="1"/>
  <c r="J317" i="1" s="1"/>
  <c r="I328" i="1"/>
  <c r="J328" i="1" s="1"/>
  <c r="I329" i="1"/>
  <c r="J329" i="1" s="1"/>
  <c r="I334" i="1"/>
  <c r="J334" i="1" s="1"/>
  <c r="I336" i="1"/>
  <c r="J336" i="1" s="1"/>
  <c r="I344" i="1"/>
  <c r="J344" i="1" s="1"/>
  <c r="E397" i="1"/>
  <c r="I401" i="1"/>
  <c r="J401" i="1" s="1"/>
  <c r="I404" i="1"/>
  <c r="J404" i="1" s="1"/>
  <c r="I406" i="1"/>
  <c r="J406" i="1" s="1"/>
  <c r="E408" i="1"/>
  <c r="I408" i="1"/>
  <c r="J408" i="1" s="1"/>
  <c r="E410" i="1"/>
  <c r="E417" i="1"/>
  <c r="I423" i="1"/>
  <c r="J423" i="1" s="1"/>
  <c r="E424" i="1"/>
  <c r="I425" i="1"/>
  <c r="J425" i="1" s="1"/>
  <c r="I430" i="1"/>
  <c r="J430" i="1" s="1"/>
  <c r="E432" i="1"/>
  <c r="I432" i="1"/>
  <c r="J432" i="1" s="1"/>
  <c r="E434" i="1"/>
  <c r="E436" i="1"/>
  <c r="I436" i="1"/>
  <c r="J436" i="1" s="1"/>
  <c r="I438" i="1"/>
  <c r="J438" i="1" s="1"/>
  <c r="E440" i="1"/>
  <c r="I449" i="1"/>
  <c r="J449" i="1" s="1"/>
  <c r="I453" i="1"/>
  <c r="J453" i="1" s="1"/>
  <c r="I455" i="1"/>
  <c r="J455" i="1" s="1"/>
  <c r="G460" i="1"/>
  <c r="H460" i="1" s="1"/>
  <c r="I461" i="1"/>
  <c r="J461" i="1" s="1"/>
  <c r="G463" i="1"/>
  <c r="H463" i="1" s="1"/>
  <c r="I469" i="1"/>
  <c r="J469" i="1" s="1"/>
  <c r="I471" i="1"/>
  <c r="J471" i="1" s="1"/>
  <c r="I473" i="1"/>
  <c r="J473" i="1" s="1"/>
  <c r="I476" i="1"/>
  <c r="J476" i="1" s="1"/>
  <c r="I478" i="1"/>
  <c r="J478" i="1" s="1"/>
  <c r="I482" i="1"/>
  <c r="J482" i="1" s="1"/>
  <c r="I484" i="1"/>
  <c r="J484" i="1" s="1"/>
  <c r="I486" i="1"/>
  <c r="J486" i="1" s="1"/>
  <c r="I488" i="1"/>
  <c r="J488" i="1" s="1"/>
  <c r="I490" i="1"/>
  <c r="J490" i="1" s="1"/>
  <c r="I498" i="1"/>
  <c r="J498" i="1" s="1"/>
  <c r="I500" i="1"/>
  <c r="J500" i="1" s="1"/>
  <c r="I502" i="1"/>
  <c r="J502" i="1" s="1"/>
  <c r="I507" i="1"/>
  <c r="J507" i="1" s="1"/>
  <c r="I509" i="1"/>
  <c r="J509" i="1" s="1"/>
  <c r="I512" i="1"/>
  <c r="J512" i="1" s="1"/>
  <c r="I527" i="1"/>
  <c r="J527" i="1" s="1"/>
  <c r="I529" i="1"/>
  <c r="J529" i="1" s="1"/>
  <c r="I531" i="1"/>
  <c r="J531" i="1" s="1"/>
  <c r="I533" i="1"/>
  <c r="J533" i="1" s="1"/>
  <c r="I539" i="1"/>
  <c r="J539" i="1" s="1"/>
  <c r="I545" i="1"/>
  <c r="J545" i="1" s="1"/>
  <c r="I550" i="1"/>
  <c r="J550" i="1" s="1"/>
  <c r="I553" i="1"/>
  <c r="J553" i="1" s="1"/>
  <c r="I555" i="1"/>
  <c r="J555" i="1" s="1"/>
  <c r="I560" i="1"/>
  <c r="J560" i="1" s="1"/>
  <c r="I565" i="1"/>
  <c r="J565" i="1" s="1"/>
  <c r="I572" i="1"/>
  <c r="J572" i="1" s="1"/>
  <c r="I574" i="1"/>
  <c r="J574" i="1" s="1"/>
  <c r="I575" i="1"/>
  <c r="J575" i="1" s="1"/>
  <c r="I576" i="1"/>
  <c r="J576" i="1" s="1"/>
  <c r="I583" i="1"/>
  <c r="J583" i="1" s="1"/>
  <c r="I588" i="1"/>
  <c r="J588" i="1" s="1"/>
  <c r="I597" i="1"/>
  <c r="J597" i="1" s="1"/>
  <c r="I614" i="1"/>
  <c r="J614" i="1" s="1"/>
  <c r="I618" i="1"/>
  <c r="J618" i="1" s="1"/>
  <c r="I622" i="1"/>
  <c r="J622" i="1" s="1"/>
  <c r="I624" i="1"/>
  <c r="J624" i="1" s="1"/>
  <c r="I640" i="1"/>
  <c r="J640" i="1" s="1"/>
  <c r="I642" i="1"/>
  <c r="J642" i="1" s="1"/>
  <c r="I649" i="1"/>
  <c r="J649" i="1" s="1"/>
  <c r="I668" i="1"/>
  <c r="J668" i="1" s="1"/>
  <c r="I674" i="1"/>
  <c r="J674" i="1" s="1"/>
  <c r="I676" i="1"/>
  <c r="J676" i="1" s="1"/>
  <c r="I681" i="1"/>
  <c r="J681" i="1" s="1"/>
  <c r="I683" i="1"/>
  <c r="J683" i="1" s="1"/>
  <c r="I686" i="1"/>
  <c r="J686" i="1" s="1"/>
  <c r="I688" i="1"/>
  <c r="J688" i="1" s="1"/>
  <c r="I690" i="1"/>
  <c r="J690" i="1" s="1"/>
  <c r="I691" i="1"/>
  <c r="J691" i="1" s="1"/>
  <c r="I692" i="1"/>
  <c r="J692" i="1" s="1"/>
  <c r="I705" i="1"/>
  <c r="J705" i="1" s="1"/>
  <c r="I712" i="1"/>
  <c r="J712" i="1" s="1"/>
  <c r="I714" i="1"/>
  <c r="J714" i="1" s="1"/>
  <c r="I716" i="1"/>
  <c r="J716" i="1" s="1"/>
  <c r="I717" i="1"/>
  <c r="J717" i="1" s="1"/>
  <c r="I718" i="1"/>
  <c r="J718" i="1" s="1"/>
  <c r="I720" i="1"/>
  <c r="J720" i="1" s="1"/>
  <c r="I726" i="1"/>
  <c r="J726" i="1" s="1"/>
  <c r="I727" i="1"/>
  <c r="J727" i="1" s="1"/>
  <c r="I729" i="1"/>
  <c r="J729" i="1" s="1"/>
  <c r="I733" i="1"/>
  <c r="J733" i="1" s="1"/>
  <c r="I735" i="1"/>
  <c r="J735" i="1" s="1"/>
  <c r="BI6" i="3"/>
  <c r="BI7" i="3"/>
  <c r="BI10" i="3"/>
  <c r="BI11" i="3"/>
  <c r="BI14" i="3"/>
  <c r="BI15" i="3"/>
  <c r="BI18" i="3"/>
  <c r="BI19" i="3"/>
  <c r="BI22" i="3"/>
  <c r="BI23" i="3"/>
  <c r="BI26" i="3"/>
  <c r="BI27" i="3"/>
  <c r="H28" i="3"/>
  <c r="L28" i="3"/>
  <c r="I29" i="3"/>
  <c r="E29" i="3" s="1"/>
  <c r="BI29" i="3"/>
  <c r="G32" i="3"/>
  <c r="E32" i="3" s="1"/>
  <c r="BI32" i="3"/>
  <c r="G33" i="3"/>
  <c r="H33" i="3" s="1"/>
  <c r="F33" i="3" s="1"/>
  <c r="BI33" i="3"/>
  <c r="G34" i="3"/>
  <c r="E34" i="3" s="1"/>
  <c r="BI34" i="3"/>
  <c r="G35" i="3"/>
  <c r="BI35" i="3"/>
  <c r="E36" i="3"/>
  <c r="BI37" i="3"/>
  <c r="BI38" i="3"/>
  <c r="BI39" i="3"/>
  <c r="BI40" i="3"/>
  <c r="BI41" i="3"/>
  <c r="BI42" i="3"/>
  <c r="BI43" i="3"/>
  <c r="BI44" i="3"/>
  <c r="BI45" i="3"/>
  <c r="BI46" i="3"/>
  <c r="G49" i="3"/>
  <c r="BI49" i="3"/>
  <c r="G50" i="3"/>
  <c r="E50" i="3" s="1"/>
  <c r="BI50" i="3"/>
  <c r="G51" i="3"/>
  <c r="E51" i="3" s="1"/>
  <c r="BI51" i="3"/>
  <c r="G52" i="3"/>
  <c r="E52" i="3" s="1"/>
  <c r="BI52" i="3"/>
  <c r="E53" i="3"/>
  <c r="BI54" i="3"/>
  <c r="BI55" i="3"/>
  <c r="BI56" i="3"/>
  <c r="BI57" i="3"/>
  <c r="BI58" i="3"/>
  <c r="BI59" i="3"/>
  <c r="BI60" i="3"/>
  <c r="BI61" i="3"/>
  <c r="BI62" i="3"/>
  <c r="BI63" i="3"/>
  <c r="G66" i="3"/>
  <c r="E66" i="3" s="1"/>
  <c r="BI66" i="3"/>
  <c r="G67" i="3"/>
  <c r="H67" i="3" s="1"/>
  <c r="F67" i="3" s="1"/>
  <c r="BI67" i="3"/>
  <c r="G68" i="3"/>
  <c r="BI68" i="3"/>
  <c r="G69" i="3"/>
  <c r="BI69" i="3"/>
  <c r="E70" i="3"/>
  <c r="BI71" i="3"/>
  <c r="BI72" i="3"/>
  <c r="BI73" i="3"/>
  <c r="BI74" i="3"/>
  <c r="BI75" i="3"/>
  <c r="BI76" i="3"/>
  <c r="BI77" i="3"/>
  <c r="BI78" i="3"/>
  <c r="BI79" i="3"/>
  <c r="BI80" i="3"/>
  <c r="G83" i="3"/>
  <c r="E83" i="3" s="1"/>
  <c r="BI83" i="3"/>
  <c r="G84" i="3"/>
  <c r="H84" i="3" s="1"/>
  <c r="F84" i="3" s="1"/>
  <c r="BI84" i="3"/>
  <c r="G85" i="3"/>
  <c r="BI85" i="3"/>
  <c r="G86" i="3"/>
  <c r="BI86" i="3"/>
  <c r="E87" i="3"/>
  <c r="BI88" i="3"/>
  <c r="BI89" i="3"/>
  <c r="BI90" i="3"/>
  <c r="BI91" i="3"/>
  <c r="BI92" i="3"/>
  <c r="BI93" i="3"/>
  <c r="BI94" i="3"/>
  <c r="BI95" i="3"/>
  <c r="BI96" i="3"/>
  <c r="BI97" i="3"/>
  <c r="G100" i="3"/>
  <c r="H100" i="3" s="1"/>
  <c r="BI100" i="3"/>
  <c r="G101" i="3"/>
  <c r="BI101" i="3"/>
  <c r="G102" i="3"/>
  <c r="E102" i="3" s="1"/>
  <c r="BI102" i="3"/>
  <c r="G103" i="3"/>
  <c r="E103" i="3" s="1"/>
  <c r="BI103" i="3"/>
  <c r="E104" i="3"/>
  <c r="BI105" i="3"/>
  <c r="BI106" i="3"/>
  <c r="BI107" i="3"/>
  <c r="BI108" i="3"/>
  <c r="BI109" i="3"/>
  <c r="BI110" i="3"/>
  <c r="BI111" i="3"/>
  <c r="BI112" i="3"/>
  <c r="BI113" i="3"/>
  <c r="BI114" i="3"/>
  <c r="G117" i="3"/>
  <c r="BI117" i="3"/>
  <c r="G118" i="3"/>
  <c r="E118" i="3" s="1"/>
  <c r="BI118" i="3"/>
  <c r="G119" i="3"/>
  <c r="E119" i="3" s="1"/>
  <c r="BI119" i="3"/>
  <c r="G120" i="3"/>
  <c r="E120" i="3" s="1"/>
  <c r="BI120" i="3"/>
  <c r="E121" i="3"/>
  <c r="BI122" i="3"/>
  <c r="BI123" i="3"/>
  <c r="BI124" i="3"/>
  <c r="BI125" i="3"/>
  <c r="BI126" i="3"/>
  <c r="BI127" i="3"/>
  <c r="BI128" i="3"/>
  <c r="BI129" i="3"/>
  <c r="BI130" i="3"/>
  <c r="BI131" i="3"/>
  <c r="H133" i="3"/>
  <c r="F16" i="2" s="1"/>
  <c r="L133" i="3"/>
  <c r="H16" i="2" s="1"/>
  <c r="I134" i="3"/>
  <c r="E134" i="3" s="1"/>
  <c r="BI134" i="3"/>
  <c r="I135" i="3"/>
  <c r="BI135" i="3"/>
  <c r="I136" i="3"/>
  <c r="J136" i="3" s="1"/>
  <c r="F136" i="3" s="1"/>
  <c r="BI136" i="3"/>
  <c r="I137" i="3"/>
  <c r="BI137" i="3"/>
  <c r="H139" i="3"/>
  <c r="F17" i="2" s="1"/>
  <c r="L139" i="3"/>
  <c r="H17" i="2" s="1"/>
  <c r="I140" i="3"/>
  <c r="E140" i="3" s="1"/>
  <c r="BI140" i="3"/>
  <c r="I141" i="3"/>
  <c r="BI141" i="3"/>
  <c r="H143" i="3"/>
  <c r="F18" i="2" s="1"/>
  <c r="L143" i="3"/>
  <c r="H18" i="2" s="1"/>
  <c r="I144" i="3"/>
  <c r="E144" i="3" s="1"/>
  <c r="BI144" i="3"/>
  <c r="I145" i="3"/>
  <c r="E145" i="3" s="1"/>
  <c r="BI145" i="3"/>
  <c r="H147" i="3"/>
  <c r="F19" i="2" s="1"/>
  <c r="L147" i="3"/>
  <c r="H19" i="2" s="1"/>
  <c r="I148" i="3"/>
  <c r="E148" i="3" s="1"/>
  <c r="BI148" i="3"/>
  <c r="I149" i="3"/>
  <c r="BI149" i="3"/>
  <c r="H151" i="3"/>
  <c r="F20" i="2" s="1"/>
  <c r="L151" i="3"/>
  <c r="H20" i="2" s="1"/>
  <c r="I152" i="3"/>
  <c r="E152" i="3" s="1"/>
  <c r="BI152" i="3"/>
  <c r="I153" i="3"/>
  <c r="E153" i="3" s="1"/>
  <c r="BI153" i="3"/>
  <c r="I154" i="3"/>
  <c r="E154" i="3" s="1"/>
  <c r="BI154" i="3"/>
  <c r="H156" i="3"/>
  <c r="F21" i="2" s="1"/>
  <c r="L156" i="3"/>
  <c r="H21" i="2" s="1"/>
  <c r="I157" i="3"/>
  <c r="J157" i="3" s="1"/>
  <c r="F157" i="3" s="1"/>
  <c r="BI157" i="3"/>
  <c r="I158" i="3"/>
  <c r="E158" i="3" s="1"/>
  <c r="BI158" i="3"/>
  <c r="H160" i="3"/>
  <c r="F22" i="2" s="1"/>
  <c r="L160" i="3"/>
  <c r="H22" i="2" s="1"/>
  <c r="I161" i="3"/>
  <c r="BI161" i="3"/>
  <c r="I162" i="3"/>
  <c r="E162" i="3" s="1"/>
  <c r="BI162" i="3"/>
  <c r="H164" i="3"/>
  <c r="F23" i="2" s="1"/>
  <c r="G37" i="3" s="1"/>
  <c r="L164" i="3"/>
  <c r="H23" i="2" s="1"/>
  <c r="K37" i="3" s="1"/>
  <c r="L37" i="3" s="1"/>
  <c r="I165" i="3"/>
  <c r="E165" i="3" s="1"/>
  <c r="BI165" i="3"/>
  <c r="I166" i="3"/>
  <c r="J166" i="3" s="1"/>
  <c r="F166" i="3" s="1"/>
  <c r="BI166" i="3"/>
  <c r="I167" i="3"/>
  <c r="J167" i="3" s="1"/>
  <c r="F167" i="3" s="1"/>
  <c r="BI167" i="3"/>
  <c r="I168" i="3"/>
  <c r="J168" i="3" s="1"/>
  <c r="F168" i="3" s="1"/>
  <c r="BI168" i="3"/>
  <c r="I171" i="3"/>
  <c r="E171" i="3" s="1"/>
  <c r="BI171" i="3"/>
  <c r="I172" i="3"/>
  <c r="J172" i="3" s="1"/>
  <c r="F172" i="3" s="1"/>
  <c r="BI172" i="3"/>
  <c r="BI173" i="3"/>
  <c r="G174" i="3"/>
  <c r="H174" i="3" s="1"/>
  <c r="I174" i="3"/>
  <c r="J174" i="3" s="1"/>
  <c r="BI174" i="3"/>
  <c r="I177" i="3"/>
  <c r="BI177" i="3"/>
  <c r="I178" i="3"/>
  <c r="E178" i="3" s="1"/>
  <c r="BI178" i="3"/>
  <c r="BI179" i="3"/>
  <c r="G180" i="3"/>
  <c r="H180" i="3" s="1"/>
  <c r="I180" i="3"/>
  <c r="J180" i="3" s="1"/>
  <c r="BI180" i="3"/>
  <c r="H182" i="3"/>
  <c r="F26" i="2" s="1"/>
  <c r="G54" i="3" s="1"/>
  <c r="L182" i="3"/>
  <c r="H26" i="2" s="1"/>
  <c r="K54" i="3" s="1"/>
  <c r="L54" i="3" s="1"/>
  <c r="I183" i="3"/>
  <c r="E183" i="3" s="1"/>
  <c r="BI183" i="3"/>
  <c r="I184" i="3"/>
  <c r="BI184" i="3"/>
  <c r="I185" i="3"/>
  <c r="J185" i="3" s="1"/>
  <c r="F185" i="3" s="1"/>
  <c r="BI185" i="3"/>
  <c r="I186" i="3"/>
  <c r="J186" i="3" s="1"/>
  <c r="F186" i="3" s="1"/>
  <c r="BI186" i="3"/>
  <c r="I189" i="3"/>
  <c r="E189" i="3" s="1"/>
  <c r="BI189" i="3"/>
  <c r="I190" i="3"/>
  <c r="E190" i="3" s="1"/>
  <c r="BI190" i="3"/>
  <c r="BI191" i="3"/>
  <c r="G192" i="3"/>
  <c r="H192" i="3" s="1"/>
  <c r="I192" i="3"/>
  <c r="J192" i="3" s="1"/>
  <c r="BI192" i="3"/>
  <c r="I195" i="3"/>
  <c r="BI195" i="3"/>
  <c r="I196" i="3"/>
  <c r="J196" i="3" s="1"/>
  <c r="F196" i="3" s="1"/>
  <c r="BI196" i="3"/>
  <c r="BI197" i="3"/>
  <c r="G198" i="3"/>
  <c r="H198" i="3" s="1"/>
  <c r="I198" i="3"/>
  <c r="J198" i="3" s="1"/>
  <c r="BI198" i="3"/>
  <c r="H200" i="3"/>
  <c r="F29" i="2" s="1"/>
  <c r="G71" i="3" s="1"/>
  <c r="L200" i="3"/>
  <c r="H29" i="2" s="1"/>
  <c r="K71" i="3" s="1"/>
  <c r="L71" i="3" s="1"/>
  <c r="I201" i="3"/>
  <c r="E201" i="3" s="1"/>
  <c r="BI201" i="3"/>
  <c r="I202" i="3"/>
  <c r="E202" i="3" s="1"/>
  <c r="BI202" i="3"/>
  <c r="I203" i="3"/>
  <c r="BI203" i="3"/>
  <c r="I204" i="3"/>
  <c r="J204" i="3" s="1"/>
  <c r="F204" i="3" s="1"/>
  <c r="BI204" i="3"/>
  <c r="I207" i="3"/>
  <c r="E207" i="3" s="1"/>
  <c r="BI207" i="3"/>
  <c r="I208" i="3"/>
  <c r="E208" i="3" s="1"/>
  <c r="BI208" i="3"/>
  <c r="BI209" i="3"/>
  <c r="G210" i="3"/>
  <c r="H210" i="3" s="1"/>
  <c r="I210" i="3"/>
  <c r="J210" i="3" s="1"/>
  <c r="BI210" i="3"/>
  <c r="I213" i="3"/>
  <c r="BI213" i="3"/>
  <c r="I214" i="3"/>
  <c r="E214" i="3" s="1"/>
  <c r="BI214" i="3"/>
  <c r="BI215" i="3"/>
  <c r="G216" i="3"/>
  <c r="H216" i="3" s="1"/>
  <c r="I216" i="3"/>
  <c r="J216" i="3" s="1"/>
  <c r="BI216" i="3"/>
  <c r="H218" i="3"/>
  <c r="F32" i="2" s="1"/>
  <c r="G88" i="3" s="1"/>
  <c r="L218" i="3"/>
  <c r="H32" i="2" s="1"/>
  <c r="K88" i="3" s="1"/>
  <c r="L88" i="3" s="1"/>
  <c r="I219" i="3"/>
  <c r="J219" i="3" s="1"/>
  <c r="BI219" i="3"/>
  <c r="I220" i="3"/>
  <c r="E220" i="3" s="1"/>
  <c r="BI220" i="3"/>
  <c r="I221" i="3"/>
  <c r="BI221" i="3"/>
  <c r="I222" i="3"/>
  <c r="E222" i="3" s="1"/>
  <c r="BI222" i="3"/>
  <c r="I225" i="3"/>
  <c r="BI225" i="3"/>
  <c r="I226" i="3"/>
  <c r="E226" i="3" s="1"/>
  <c r="BI226" i="3"/>
  <c r="BI227" i="3"/>
  <c r="G228" i="3"/>
  <c r="I228" i="3"/>
  <c r="J228" i="3" s="1"/>
  <c r="BI228" i="3"/>
  <c r="I231" i="3"/>
  <c r="E231" i="3" s="1"/>
  <c r="BI231" i="3"/>
  <c r="I232" i="3"/>
  <c r="E232" i="3" s="1"/>
  <c r="BI232" i="3"/>
  <c r="BI233" i="3"/>
  <c r="G234" i="3"/>
  <c r="H234" i="3" s="1"/>
  <c r="I234" i="3"/>
  <c r="J234" i="3" s="1"/>
  <c r="BI234" i="3"/>
  <c r="H236" i="3"/>
  <c r="F35" i="2" s="1"/>
  <c r="G105" i="3" s="1"/>
  <c r="H105" i="3" s="1"/>
  <c r="L236" i="3"/>
  <c r="H35" i="2" s="1"/>
  <c r="K105" i="3" s="1"/>
  <c r="L105" i="3" s="1"/>
  <c r="I237" i="3"/>
  <c r="BI237" i="3"/>
  <c r="I238" i="3"/>
  <c r="J238" i="3" s="1"/>
  <c r="F238" i="3" s="1"/>
  <c r="BI238" i="3"/>
  <c r="I239" i="3"/>
  <c r="E239" i="3" s="1"/>
  <c r="BI239" i="3"/>
  <c r="I240" i="3"/>
  <c r="E240" i="3" s="1"/>
  <c r="BI240" i="3"/>
  <c r="I243" i="3"/>
  <c r="BI243" i="3"/>
  <c r="I244" i="3"/>
  <c r="E244" i="3" s="1"/>
  <c r="BI244" i="3"/>
  <c r="BI245" i="3"/>
  <c r="G246" i="3"/>
  <c r="H246" i="3" s="1"/>
  <c r="I246" i="3"/>
  <c r="J246" i="3" s="1"/>
  <c r="BI246" i="3"/>
  <c r="I249" i="3"/>
  <c r="J249" i="3" s="1"/>
  <c r="F249" i="3" s="1"/>
  <c r="BI249" i="3"/>
  <c r="I250" i="3"/>
  <c r="J250" i="3" s="1"/>
  <c r="BI250" i="3"/>
  <c r="BI251" i="3"/>
  <c r="G252" i="3"/>
  <c r="H252" i="3" s="1"/>
  <c r="I252" i="3"/>
  <c r="J252" i="3" s="1"/>
  <c r="BI252" i="3"/>
  <c r="H254" i="3"/>
  <c r="F38" i="2" s="1"/>
  <c r="G122" i="3" s="1"/>
  <c r="L254" i="3"/>
  <c r="H38" i="2" s="1"/>
  <c r="K122" i="3" s="1"/>
  <c r="L122" i="3" s="1"/>
  <c r="I255" i="3"/>
  <c r="E255" i="3" s="1"/>
  <c r="BI255" i="3"/>
  <c r="I256" i="3"/>
  <c r="E256" i="3" s="1"/>
  <c r="BI256" i="3"/>
  <c r="I257" i="3"/>
  <c r="E257" i="3" s="1"/>
  <c r="BI257" i="3"/>
  <c r="I258" i="3"/>
  <c r="J258" i="3" s="1"/>
  <c r="F258" i="3" s="1"/>
  <c r="BI258" i="3"/>
  <c r="I261" i="3"/>
  <c r="E261" i="3" s="1"/>
  <c r="BI261" i="3"/>
  <c r="I262" i="3"/>
  <c r="E262" i="3" s="1"/>
  <c r="BI262" i="3"/>
  <c r="BI263" i="3"/>
  <c r="G264" i="3"/>
  <c r="H264" i="3" s="1"/>
  <c r="I264" i="3"/>
  <c r="J264" i="3" s="1"/>
  <c r="BI264" i="3"/>
  <c r="I267" i="3"/>
  <c r="BI267" i="3"/>
  <c r="I268" i="3"/>
  <c r="E268" i="3" s="1"/>
  <c r="BI268" i="3"/>
  <c r="BI269" i="3"/>
  <c r="G270" i="3"/>
  <c r="H270" i="3" s="1"/>
  <c r="I270" i="3"/>
  <c r="J270" i="3" s="1"/>
  <c r="BI270" i="3"/>
  <c r="E47" i="1"/>
  <c r="I47" i="1"/>
  <c r="J47" i="1" s="1"/>
  <c r="E48" i="1"/>
  <c r="I48" i="1"/>
  <c r="J48" i="1" s="1"/>
  <c r="E49" i="1"/>
  <c r="I49" i="1"/>
  <c r="J49" i="1" s="1"/>
  <c r="E50" i="1"/>
  <c r="I50" i="1"/>
  <c r="J50" i="1" s="1"/>
  <c r="E51" i="1"/>
  <c r="I51" i="1"/>
  <c r="J51" i="1" s="1"/>
  <c r="E52" i="1"/>
  <c r="I52" i="1"/>
  <c r="J52" i="1" s="1"/>
  <c r="E53" i="1"/>
  <c r="I53" i="1"/>
  <c r="J53" i="1" s="1"/>
  <c r="E54" i="1"/>
  <c r="I54" i="1"/>
  <c r="J54" i="1" s="1"/>
  <c r="E55" i="1"/>
  <c r="I55" i="1"/>
  <c r="J55" i="1" s="1"/>
  <c r="E56" i="1"/>
  <c r="I56" i="1"/>
  <c r="J56" i="1" s="1"/>
  <c r="E57" i="1"/>
  <c r="I57" i="1"/>
  <c r="J57" i="1" s="1"/>
  <c r="E58" i="1"/>
  <c r="I58" i="1"/>
  <c r="J58" i="1" s="1"/>
  <c r="E59" i="1"/>
  <c r="I59" i="1"/>
  <c r="J59" i="1" s="1"/>
  <c r="E60" i="1"/>
  <c r="I60" i="1"/>
  <c r="J60" i="1" s="1"/>
  <c r="E61" i="1"/>
  <c r="I61" i="1"/>
  <c r="J61" i="1" s="1"/>
  <c r="E62" i="1"/>
  <c r="I62" i="1"/>
  <c r="J62" i="1" s="1"/>
  <c r="E63" i="1"/>
  <c r="I63" i="1"/>
  <c r="J63" i="1" s="1"/>
  <c r="E64" i="1"/>
  <c r="I64" i="1"/>
  <c r="J64" i="1" s="1"/>
  <c r="E65" i="1"/>
  <c r="I65" i="1"/>
  <c r="J65" i="1" s="1"/>
  <c r="E66" i="1"/>
  <c r="E67" i="1"/>
  <c r="I67" i="1"/>
  <c r="J67" i="1" s="1"/>
  <c r="E68" i="1"/>
  <c r="I68" i="1"/>
  <c r="J68" i="1" s="1"/>
  <c r="E69" i="1"/>
  <c r="I69" i="1"/>
  <c r="J69" i="1" s="1"/>
  <c r="I70" i="1"/>
  <c r="J70" i="1" s="1"/>
  <c r="E71" i="1"/>
  <c r="E72" i="1"/>
  <c r="E73" i="1"/>
  <c r="I73" i="1"/>
  <c r="J73" i="1" s="1"/>
  <c r="E74" i="1"/>
  <c r="I74" i="1"/>
  <c r="J74" i="1" s="1"/>
  <c r="E75" i="1"/>
  <c r="I75" i="1"/>
  <c r="J75" i="1" s="1"/>
  <c r="E76" i="1"/>
  <c r="E77" i="1"/>
  <c r="I77" i="1"/>
  <c r="J77" i="1" s="1"/>
  <c r="E78" i="1"/>
  <c r="I78" i="1"/>
  <c r="J78" i="1" s="1"/>
  <c r="E79" i="1"/>
  <c r="I79" i="1"/>
  <c r="J79" i="1" s="1"/>
  <c r="I80" i="1"/>
  <c r="J80" i="1" s="1"/>
  <c r="E81" i="1"/>
  <c r="I81" i="1"/>
  <c r="J81" i="1" s="1"/>
  <c r="E82" i="1"/>
  <c r="I82" i="1"/>
  <c r="J82" i="1" s="1"/>
  <c r="E83" i="1"/>
  <c r="I83" i="1"/>
  <c r="J83" i="1" s="1"/>
  <c r="E84" i="1"/>
  <c r="I84" i="1"/>
  <c r="J84" i="1" s="1"/>
  <c r="E85" i="1"/>
  <c r="I85" i="1"/>
  <c r="J85" i="1" s="1"/>
  <c r="I86" i="1"/>
  <c r="J86" i="1" s="1"/>
  <c r="I303" i="1"/>
  <c r="J303" i="1" s="1"/>
  <c r="I304" i="1"/>
  <c r="J304" i="1" s="1"/>
  <c r="I305" i="1"/>
  <c r="J305" i="1" s="1"/>
  <c r="I306" i="1"/>
  <c r="J306" i="1" s="1"/>
  <c r="I307" i="1"/>
  <c r="J307" i="1" s="1"/>
  <c r="I309" i="1"/>
  <c r="J309" i="1" s="1"/>
  <c r="G310" i="1"/>
  <c r="H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30" i="1"/>
  <c r="J330" i="1" s="1"/>
  <c r="I331" i="1"/>
  <c r="J331" i="1" s="1"/>
  <c r="I332" i="1"/>
  <c r="J332" i="1" s="1"/>
  <c r="I333" i="1"/>
  <c r="J333" i="1" s="1"/>
  <c r="I335" i="1"/>
  <c r="J335" i="1" s="1"/>
  <c r="G336" i="1"/>
  <c r="H336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5" i="1"/>
  <c r="J345" i="1" s="1"/>
  <c r="I346" i="1"/>
  <c r="J346" i="1" s="1"/>
  <c r="I397" i="1"/>
  <c r="J397" i="1" s="1"/>
  <c r="E398" i="1"/>
  <c r="I398" i="1"/>
  <c r="J398" i="1" s="1"/>
  <c r="E399" i="1"/>
  <c r="I399" i="1"/>
  <c r="J399" i="1" s="1"/>
  <c r="E400" i="1"/>
  <c r="I400" i="1"/>
  <c r="J400" i="1" s="1"/>
  <c r="E401" i="1"/>
  <c r="E402" i="1"/>
  <c r="I402" i="1"/>
  <c r="J402" i="1" s="1"/>
  <c r="E403" i="1"/>
  <c r="I403" i="1"/>
  <c r="J403" i="1" s="1"/>
  <c r="E404" i="1"/>
  <c r="E405" i="1"/>
  <c r="I405" i="1"/>
  <c r="J405" i="1" s="1"/>
  <c r="E406" i="1"/>
  <c r="E407" i="1"/>
  <c r="I407" i="1"/>
  <c r="J407" i="1" s="1"/>
  <c r="E409" i="1"/>
  <c r="I409" i="1"/>
  <c r="J409" i="1" s="1"/>
  <c r="I410" i="1"/>
  <c r="J410" i="1" s="1"/>
  <c r="E411" i="1"/>
  <c r="I411" i="1"/>
  <c r="J411" i="1" s="1"/>
  <c r="E412" i="1"/>
  <c r="I412" i="1"/>
  <c r="J412" i="1" s="1"/>
  <c r="E413" i="1"/>
  <c r="I413" i="1"/>
  <c r="J413" i="1" s="1"/>
  <c r="E414" i="1"/>
  <c r="I414" i="1"/>
  <c r="J414" i="1" s="1"/>
  <c r="E415" i="1"/>
  <c r="I415" i="1"/>
  <c r="J415" i="1" s="1"/>
  <c r="E416" i="1"/>
  <c r="I416" i="1"/>
  <c r="J416" i="1" s="1"/>
  <c r="I417" i="1"/>
  <c r="J417" i="1" s="1"/>
  <c r="E418" i="1"/>
  <c r="I418" i="1"/>
  <c r="J418" i="1" s="1"/>
  <c r="E419" i="1"/>
  <c r="I419" i="1"/>
  <c r="J419" i="1" s="1"/>
  <c r="E420" i="1"/>
  <c r="I420" i="1"/>
  <c r="J420" i="1" s="1"/>
  <c r="E421" i="1"/>
  <c r="I421" i="1"/>
  <c r="J421" i="1" s="1"/>
  <c r="E422" i="1"/>
  <c r="I422" i="1"/>
  <c r="J422" i="1" s="1"/>
  <c r="E423" i="1"/>
  <c r="I424" i="1"/>
  <c r="J424" i="1" s="1"/>
  <c r="E425" i="1"/>
  <c r="E426" i="1"/>
  <c r="I426" i="1"/>
  <c r="J426" i="1" s="1"/>
  <c r="E427" i="1"/>
  <c r="I427" i="1"/>
  <c r="J427" i="1" s="1"/>
  <c r="E428" i="1"/>
  <c r="I428" i="1"/>
  <c r="J428" i="1" s="1"/>
  <c r="E429" i="1"/>
  <c r="I429" i="1"/>
  <c r="J429" i="1" s="1"/>
  <c r="E430" i="1"/>
  <c r="E431" i="1"/>
  <c r="I431" i="1"/>
  <c r="J431" i="1" s="1"/>
  <c r="E433" i="1"/>
  <c r="I433" i="1"/>
  <c r="J433" i="1" s="1"/>
  <c r="I434" i="1"/>
  <c r="J434" i="1" s="1"/>
  <c r="E435" i="1"/>
  <c r="I435" i="1"/>
  <c r="J435" i="1" s="1"/>
  <c r="E437" i="1"/>
  <c r="I437" i="1"/>
  <c r="J437" i="1" s="1"/>
  <c r="E438" i="1"/>
  <c r="E439" i="1"/>
  <c r="I439" i="1"/>
  <c r="J439" i="1" s="1"/>
  <c r="I440" i="1"/>
  <c r="J440" i="1" s="1"/>
  <c r="G444" i="1"/>
  <c r="H444" i="1" s="1"/>
  <c r="I444" i="1"/>
  <c r="J444" i="1" s="1"/>
  <c r="G445" i="1"/>
  <c r="H445" i="1" s="1"/>
  <c r="I445" i="1"/>
  <c r="J445" i="1" s="1"/>
  <c r="G446" i="1"/>
  <c r="H446" i="1" s="1"/>
  <c r="I446" i="1"/>
  <c r="J446" i="1" s="1"/>
  <c r="G447" i="1"/>
  <c r="H447" i="1" s="1"/>
  <c r="I447" i="1"/>
  <c r="J447" i="1" s="1"/>
  <c r="G448" i="1"/>
  <c r="H448" i="1" s="1"/>
  <c r="I448" i="1"/>
  <c r="J448" i="1" s="1"/>
  <c r="G449" i="1"/>
  <c r="H449" i="1" s="1"/>
  <c r="G450" i="1"/>
  <c r="H450" i="1" s="1"/>
  <c r="I450" i="1"/>
  <c r="J450" i="1" s="1"/>
  <c r="G451" i="1"/>
  <c r="H451" i="1" s="1"/>
  <c r="I451" i="1"/>
  <c r="J451" i="1" s="1"/>
  <c r="G452" i="1"/>
  <c r="H452" i="1" s="1"/>
  <c r="I452" i="1"/>
  <c r="J452" i="1" s="1"/>
  <c r="G453" i="1"/>
  <c r="H453" i="1" s="1"/>
  <c r="G454" i="1"/>
  <c r="H454" i="1" s="1"/>
  <c r="I454" i="1"/>
  <c r="J454" i="1" s="1"/>
  <c r="G455" i="1"/>
  <c r="H455" i="1" s="1"/>
  <c r="G456" i="1"/>
  <c r="H456" i="1" s="1"/>
  <c r="I456" i="1"/>
  <c r="J456" i="1" s="1"/>
  <c r="G457" i="1"/>
  <c r="H457" i="1" s="1"/>
  <c r="I457" i="1"/>
  <c r="J457" i="1" s="1"/>
  <c r="G458" i="1"/>
  <c r="H458" i="1" s="1"/>
  <c r="I458" i="1"/>
  <c r="J458" i="1" s="1"/>
  <c r="G459" i="1"/>
  <c r="H459" i="1" s="1"/>
  <c r="I459" i="1"/>
  <c r="J459" i="1" s="1"/>
  <c r="I460" i="1"/>
  <c r="J460" i="1" s="1"/>
  <c r="G461" i="1"/>
  <c r="H461" i="1" s="1"/>
  <c r="G462" i="1"/>
  <c r="H462" i="1" s="1"/>
  <c r="I462" i="1"/>
  <c r="J462" i="1" s="1"/>
  <c r="I463" i="1"/>
  <c r="J463" i="1" s="1"/>
  <c r="G464" i="1"/>
  <c r="H464" i="1" s="1"/>
  <c r="I464" i="1"/>
  <c r="J464" i="1" s="1"/>
  <c r="G465" i="1"/>
  <c r="H465" i="1" s="1"/>
  <c r="I465" i="1"/>
  <c r="J465" i="1" s="1"/>
  <c r="I470" i="1"/>
  <c r="J470" i="1" s="1"/>
  <c r="I472" i="1"/>
  <c r="J472" i="1" s="1"/>
  <c r="I474" i="1"/>
  <c r="J474" i="1" s="1"/>
  <c r="I475" i="1"/>
  <c r="J475" i="1" s="1"/>
  <c r="I477" i="1"/>
  <c r="J477" i="1" s="1"/>
  <c r="I479" i="1"/>
  <c r="J479" i="1" s="1"/>
  <c r="I480" i="1"/>
  <c r="J480" i="1" s="1"/>
  <c r="I481" i="1"/>
  <c r="J481" i="1" s="1"/>
  <c r="I483" i="1"/>
  <c r="J483" i="1" s="1"/>
  <c r="I485" i="1"/>
  <c r="J485" i="1" s="1"/>
  <c r="I487" i="1"/>
  <c r="J487" i="1" s="1"/>
  <c r="I489" i="1"/>
  <c r="J489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9" i="1"/>
  <c r="J499" i="1" s="1"/>
  <c r="I501" i="1"/>
  <c r="J501" i="1" s="1"/>
  <c r="I503" i="1"/>
  <c r="J503" i="1" s="1"/>
  <c r="I504" i="1"/>
  <c r="J504" i="1" s="1"/>
  <c r="I505" i="1"/>
  <c r="J505" i="1" s="1"/>
  <c r="I506" i="1"/>
  <c r="J506" i="1" s="1"/>
  <c r="I508" i="1"/>
  <c r="J508" i="1" s="1"/>
  <c r="I510" i="1"/>
  <c r="J510" i="1" s="1"/>
  <c r="I511" i="1"/>
  <c r="J511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8" i="1"/>
  <c r="J528" i="1" s="1"/>
  <c r="I530" i="1"/>
  <c r="J530" i="1" s="1"/>
  <c r="I532" i="1"/>
  <c r="J532" i="1" s="1"/>
  <c r="I534" i="1"/>
  <c r="J534" i="1" s="1"/>
  <c r="I535" i="1"/>
  <c r="J535" i="1" s="1"/>
  <c r="I536" i="1"/>
  <c r="J536" i="1" s="1"/>
  <c r="I537" i="1"/>
  <c r="J537" i="1" s="1"/>
  <c r="I538" i="1"/>
  <c r="J538" i="1" s="1"/>
  <c r="I540" i="1"/>
  <c r="J540" i="1" s="1"/>
  <c r="I541" i="1"/>
  <c r="J541" i="1" s="1"/>
  <c r="I542" i="1"/>
  <c r="J542" i="1" s="1"/>
  <c r="I543" i="1"/>
  <c r="J543" i="1" s="1"/>
  <c r="I544" i="1"/>
  <c r="J544" i="1" s="1"/>
  <c r="I546" i="1"/>
  <c r="J546" i="1" s="1"/>
  <c r="I547" i="1"/>
  <c r="J547" i="1" s="1"/>
  <c r="I548" i="1"/>
  <c r="J548" i="1" s="1"/>
  <c r="I549" i="1"/>
  <c r="J549" i="1" s="1"/>
  <c r="I551" i="1"/>
  <c r="J551" i="1" s="1"/>
  <c r="I552" i="1"/>
  <c r="J552" i="1" s="1"/>
  <c r="I554" i="1"/>
  <c r="J554" i="1" s="1"/>
  <c r="I556" i="1"/>
  <c r="J556" i="1" s="1"/>
  <c r="I557" i="1"/>
  <c r="J557" i="1" s="1"/>
  <c r="I558" i="1"/>
  <c r="J558" i="1" s="1"/>
  <c r="I559" i="1"/>
  <c r="J559" i="1" s="1"/>
  <c r="I561" i="1"/>
  <c r="J561" i="1" s="1"/>
  <c r="I562" i="1"/>
  <c r="J562" i="1" s="1"/>
  <c r="I563" i="1"/>
  <c r="J563" i="1" s="1"/>
  <c r="I564" i="1"/>
  <c r="J564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3" i="1"/>
  <c r="J573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4" i="1"/>
  <c r="J584" i="1" s="1"/>
  <c r="I585" i="1"/>
  <c r="J585" i="1" s="1"/>
  <c r="I586" i="1"/>
  <c r="J586" i="1" s="1"/>
  <c r="I587" i="1"/>
  <c r="J587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8" i="1"/>
  <c r="J598" i="1" s="1"/>
  <c r="I599" i="1"/>
  <c r="J599" i="1" s="1"/>
  <c r="I600" i="1"/>
  <c r="J600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5" i="1"/>
  <c r="J615" i="1" s="1"/>
  <c r="I616" i="1"/>
  <c r="J616" i="1" s="1"/>
  <c r="I617" i="1"/>
  <c r="J617" i="1" s="1"/>
  <c r="I619" i="1"/>
  <c r="J619" i="1" s="1"/>
  <c r="I620" i="1"/>
  <c r="J620" i="1" s="1"/>
  <c r="I621" i="1"/>
  <c r="J621" i="1" s="1"/>
  <c r="I623" i="1"/>
  <c r="J623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1" i="1"/>
  <c r="J641" i="1" s="1"/>
  <c r="I643" i="1"/>
  <c r="J643" i="1" s="1"/>
  <c r="I644" i="1"/>
  <c r="J644" i="1" s="1"/>
  <c r="G645" i="1"/>
  <c r="H645" i="1" s="1"/>
  <c r="I645" i="1"/>
  <c r="J645" i="1" s="1"/>
  <c r="I646" i="1"/>
  <c r="J646" i="1" s="1"/>
  <c r="I647" i="1"/>
  <c r="J647" i="1" s="1"/>
  <c r="I648" i="1"/>
  <c r="J648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9" i="1"/>
  <c r="J669" i="1" s="1"/>
  <c r="I670" i="1"/>
  <c r="J670" i="1" s="1"/>
  <c r="I671" i="1"/>
  <c r="J671" i="1" s="1"/>
  <c r="I672" i="1"/>
  <c r="J672" i="1" s="1"/>
  <c r="I673" i="1"/>
  <c r="J673" i="1" s="1"/>
  <c r="I675" i="1"/>
  <c r="J675" i="1" s="1"/>
  <c r="I677" i="1"/>
  <c r="J677" i="1" s="1"/>
  <c r="I678" i="1"/>
  <c r="J678" i="1" s="1"/>
  <c r="I679" i="1"/>
  <c r="J679" i="1" s="1"/>
  <c r="I680" i="1"/>
  <c r="J680" i="1" s="1"/>
  <c r="I682" i="1"/>
  <c r="J682" i="1" s="1"/>
  <c r="I684" i="1"/>
  <c r="J684" i="1" s="1"/>
  <c r="I685" i="1"/>
  <c r="J685" i="1" s="1"/>
  <c r="I687" i="1"/>
  <c r="J687" i="1" s="1"/>
  <c r="I689" i="1"/>
  <c r="J689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3" i="1"/>
  <c r="J713" i="1" s="1"/>
  <c r="I715" i="1"/>
  <c r="J715" i="1" s="1"/>
  <c r="I719" i="1"/>
  <c r="J719" i="1" s="1"/>
  <c r="I721" i="1"/>
  <c r="J721" i="1" s="1"/>
  <c r="I722" i="1"/>
  <c r="J722" i="1" s="1"/>
  <c r="I723" i="1"/>
  <c r="J723" i="1" s="1"/>
  <c r="I724" i="1"/>
  <c r="J724" i="1" s="1"/>
  <c r="I725" i="1"/>
  <c r="J725" i="1" s="1"/>
  <c r="I728" i="1"/>
  <c r="J728" i="1" s="1"/>
  <c r="I730" i="1"/>
  <c r="J730" i="1" s="1"/>
  <c r="I731" i="1"/>
  <c r="J731" i="1" s="1"/>
  <c r="I732" i="1"/>
  <c r="J732" i="1" s="1"/>
  <c r="I734" i="1"/>
  <c r="J734" i="1" s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66" i="6"/>
  <c r="F66" i="6"/>
  <c r="AG66" i="6"/>
  <c r="F68" i="6"/>
  <c r="G68" i="6" s="1"/>
  <c r="G69" i="6" s="1"/>
  <c r="AG68" i="6"/>
  <c r="AG71" i="6"/>
  <c r="D78" i="6"/>
  <c r="F78" i="6"/>
  <c r="AG78" i="6"/>
  <c r="O3" i="5"/>
  <c r="O8" i="5"/>
  <c r="O9" i="5"/>
  <c r="C18" i="13"/>
  <c r="C19" i="13"/>
  <c r="C20" i="13"/>
  <c r="C21" i="13"/>
  <c r="C22" i="13"/>
  <c r="C23" i="13"/>
  <c r="A1855" i="4" l="1"/>
  <c r="F965" i="1"/>
  <c r="L965" i="1" s="1"/>
  <c r="A1928" i="4"/>
  <c r="AB1727" i="4"/>
  <c r="AD1727" i="4" s="1"/>
  <c r="C3273" i="4"/>
  <c r="AD3057" i="4"/>
  <c r="AB3062" i="4" s="1"/>
  <c r="C3062" i="4" s="1"/>
  <c r="C2926" i="4"/>
  <c r="B2926" i="4" s="1"/>
  <c r="F1127" i="1"/>
  <c r="L1127" i="1" s="1"/>
  <c r="K1058" i="1"/>
  <c r="C2355" i="4"/>
  <c r="D601" i="4"/>
  <c r="D3003" i="4"/>
  <c r="AD2787" i="4"/>
  <c r="AB2792" i="4" s="1"/>
  <c r="C2792" i="4" s="1"/>
  <c r="C2388" i="4"/>
  <c r="B2388" i="4" s="1"/>
  <c r="AB2349" i="4"/>
  <c r="A2349" i="4" s="1"/>
  <c r="C924" i="4"/>
  <c r="AD88" i="4"/>
  <c r="AD3347" i="4"/>
  <c r="E3219" i="4"/>
  <c r="AD833" i="4"/>
  <c r="F1204" i="1"/>
  <c r="L1204" i="1" s="1"/>
  <c r="A1807" i="4"/>
  <c r="K1117" i="1"/>
  <c r="AB2295" i="4"/>
  <c r="A2295" i="4" s="1"/>
  <c r="A3080" i="4"/>
  <c r="AD3493" i="4"/>
  <c r="AB3501" i="4" s="1"/>
  <c r="AH3203" i="4"/>
  <c r="AL2223" i="4"/>
  <c r="AD529" i="4"/>
  <c r="AB2727" i="4"/>
  <c r="A2727" i="4" s="1"/>
  <c r="AH2285" i="4"/>
  <c r="AL2717" i="4"/>
  <c r="AJ2732" i="4" s="1"/>
  <c r="E2732" i="4" s="1"/>
  <c r="AB2460" i="4"/>
  <c r="F1449" i="1"/>
  <c r="L1449" i="1" s="1"/>
  <c r="K1387" i="1"/>
  <c r="F1326" i="1"/>
  <c r="L1326" i="1" s="1"/>
  <c r="K1115" i="1"/>
  <c r="AH3239" i="4"/>
  <c r="AF3256" i="4" s="1"/>
  <c r="AD2409" i="4"/>
  <c r="AB2414" i="4" s="1"/>
  <c r="C2414" i="4" s="1"/>
  <c r="C1836" i="4"/>
  <c r="AH3381" i="4"/>
  <c r="AF3386" i="4" s="1"/>
  <c r="D3386" i="4" s="1"/>
  <c r="AH2969" i="4"/>
  <c r="AF2986" i="4" s="1"/>
  <c r="AH2986" i="4" s="1"/>
  <c r="E2771" i="4"/>
  <c r="AH2500" i="4"/>
  <c r="AL772" i="4"/>
  <c r="F1441" i="1"/>
  <c r="L1441" i="1" s="1"/>
  <c r="F1401" i="1"/>
  <c r="L1401" i="1" s="1"/>
  <c r="D1056" i="4"/>
  <c r="F1085" i="1"/>
  <c r="L1085" i="1" s="1"/>
  <c r="C3327" i="4"/>
  <c r="AD999" i="4"/>
  <c r="AD984" i="4"/>
  <c r="E829" i="4"/>
  <c r="AF416" i="4"/>
  <c r="E373" i="4"/>
  <c r="C149" i="4"/>
  <c r="F1423" i="1"/>
  <c r="L1423" i="1" s="1"/>
  <c r="F1090" i="1"/>
  <c r="L1090" i="1" s="1"/>
  <c r="F959" i="1"/>
  <c r="L959" i="1" s="1"/>
  <c r="AB3261" i="4"/>
  <c r="D2555" i="4"/>
  <c r="C2438" i="4"/>
  <c r="B2438" i="4" s="1"/>
  <c r="AD753" i="4"/>
  <c r="F1315" i="1"/>
  <c r="L1315" i="1" s="1"/>
  <c r="F1045" i="1"/>
  <c r="L1045" i="1" s="1"/>
  <c r="K1034" i="1"/>
  <c r="F11" i="6"/>
  <c r="G11" i="6" s="1"/>
  <c r="G12" i="6" s="1"/>
  <c r="G13" i="6" s="1"/>
  <c r="G3" i="5" s="1"/>
  <c r="F47" i="6"/>
  <c r="G47" i="6" s="1"/>
  <c r="G48" i="6" s="1"/>
  <c r="F23" i="6"/>
  <c r="G23" i="6" s="1"/>
  <c r="G24" i="6" s="1"/>
  <c r="F35" i="6"/>
  <c r="G35" i="6" s="1"/>
  <c r="G36" i="6" s="1"/>
  <c r="F59" i="6"/>
  <c r="G59" i="6" s="1"/>
  <c r="G60" i="6" s="1"/>
  <c r="AH3530" i="4"/>
  <c r="AF3539" i="4" s="1"/>
  <c r="D3293" i="4"/>
  <c r="D3185" i="4"/>
  <c r="A3146" i="4"/>
  <c r="AD2609" i="4"/>
  <c r="AB2624" i="4" s="1"/>
  <c r="C2624" i="4" s="1"/>
  <c r="C2494" i="4"/>
  <c r="B2494" i="4" s="1"/>
  <c r="AH2069" i="4"/>
  <c r="K1389" i="1"/>
  <c r="F953" i="1"/>
  <c r="L953" i="1" s="1"/>
  <c r="C3293" i="4"/>
  <c r="C2984" i="4"/>
  <c r="B2984" i="4" s="1"/>
  <c r="AH2895" i="4"/>
  <c r="AF2900" i="4" s="1"/>
  <c r="D2900" i="4" s="1"/>
  <c r="C2866" i="4"/>
  <c r="B2866" i="4" s="1"/>
  <c r="AD2841" i="4"/>
  <c r="AB2846" i="4" s="1"/>
  <c r="C2846" i="4" s="1"/>
  <c r="B2733" i="4"/>
  <c r="E2591" i="4"/>
  <c r="C1868" i="4"/>
  <c r="AB1681" i="4"/>
  <c r="D909" i="4"/>
  <c r="D696" i="4"/>
  <c r="AD145" i="4"/>
  <c r="AD73" i="4"/>
  <c r="AH2699" i="4"/>
  <c r="AF2716" i="4" s="1"/>
  <c r="D2716" i="4" s="1"/>
  <c r="AL2301" i="4"/>
  <c r="D677" i="4"/>
  <c r="B677" i="4" s="1"/>
  <c r="D453" i="4"/>
  <c r="K1399" i="1"/>
  <c r="K1268" i="1"/>
  <c r="K1151" i="1"/>
  <c r="C2810" i="4"/>
  <c r="B2810" i="4" s="1"/>
  <c r="A2756" i="4"/>
  <c r="D1508" i="4"/>
  <c r="AB796" i="4"/>
  <c r="AD796" i="4" s="1"/>
  <c r="AB800" i="4" s="1"/>
  <c r="AD800" i="4" s="1"/>
  <c r="AB808" i="4" s="1"/>
  <c r="A808" i="4" s="1"/>
  <c r="AB644" i="4"/>
  <c r="AD644" i="4" s="1"/>
  <c r="E145" i="4"/>
  <c r="D73" i="4"/>
  <c r="K1174" i="1"/>
  <c r="K12" i="25"/>
  <c r="C3198" i="4"/>
  <c r="B3198" i="4" s="1"/>
  <c r="A2486" i="4"/>
  <c r="E1452" i="4"/>
  <c r="AD1377" i="4"/>
  <c r="AL1302" i="4"/>
  <c r="F1261" i="1"/>
  <c r="L1261" i="1" s="1"/>
  <c r="K1232" i="1"/>
  <c r="F1132" i="1"/>
  <c r="K1093" i="1"/>
  <c r="F1082" i="1"/>
  <c r="L1082" i="1" s="1"/>
  <c r="K1054" i="1"/>
  <c r="C3252" i="4"/>
  <c r="B3252" i="4" s="1"/>
  <c r="A3136" i="4"/>
  <c r="AD2918" i="4"/>
  <c r="AD2920" i="4" s="1"/>
  <c r="AH2771" i="4"/>
  <c r="C2602" i="4"/>
  <c r="B2602" i="4" s="1"/>
  <c r="D905" i="4"/>
  <c r="AF720" i="4"/>
  <c r="AF340" i="4"/>
  <c r="AH340" i="4" s="1"/>
  <c r="AH12" i="4"/>
  <c r="AL3327" i="4"/>
  <c r="AH3273" i="4"/>
  <c r="AF3278" i="4" s="1"/>
  <c r="D3278" i="4" s="1"/>
  <c r="AD2879" i="4"/>
  <c r="AB2894" i="4" s="1"/>
  <c r="C2894" i="4" s="1"/>
  <c r="D2447" i="4"/>
  <c r="AH1836" i="4"/>
  <c r="AF1400" i="4"/>
  <c r="AH1400" i="4" s="1"/>
  <c r="AH1302" i="4"/>
  <c r="F1369" i="1"/>
  <c r="L1369" i="1" s="1"/>
  <c r="F1329" i="1"/>
  <c r="L1329" i="1" s="1"/>
  <c r="F1312" i="1"/>
  <c r="L1312" i="1" s="1"/>
  <c r="F1271" i="1"/>
  <c r="L1271" i="1" s="1"/>
  <c r="A1825" i="4"/>
  <c r="D1831" i="4"/>
  <c r="B1831" i="4" s="1"/>
  <c r="D1898" i="4"/>
  <c r="B1898" i="4" s="1"/>
  <c r="G312" i="1"/>
  <c r="H312" i="1" s="1"/>
  <c r="H119" i="3"/>
  <c r="F119" i="3" s="1"/>
  <c r="H83" i="3"/>
  <c r="F83" i="3" s="1"/>
  <c r="J257" i="3"/>
  <c r="F257" i="3" s="1"/>
  <c r="G341" i="1"/>
  <c r="H341" i="1" s="1"/>
  <c r="J208" i="3"/>
  <c r="F208" i="3" s="1"/>
  <c r="J214" i="3"/>
  <c r="F214" i="3" s="1"/>
  <c r="J202" i="3"/>
  <c r="F202" i="3" s="1"/>
  <c r="H50" i="3"/>
  <c r="F50" i="3" s="1"/>
  <c r="G428" i="1"/>
  <c r="H428" i="1" s="1"/>
  <c r="G411" i="1"/>
  <c r="H411" i="1" s="1"/>
  <c r="J165" i="3"/>
  <c r="F165" i="3" s="1"/>
  <c r="J153" i="3"/>
  <c r="F153" i="3" s="1"/>
  <c r="E168" i="3"/>
  <c r="E238" i="3"/>
  <c r="H51" i="3"/>
  <c r="F51" i="3" s="1"/>
  <c r="E157" i="3"/>
  <c r="G698" i="1"/>
  <c r="H698" i="1" s="1"/>
  <c r="G324" i="1"/>
  <c r="H324" i="1" s="1"/>
  <c r="I1485" i="1"/>
  <c r="J1485" i="1" s="1"/>
  <c r="I20" i="23"/>
  <c r="J20" i="23" s="1"/>
  <c r="I20" i="19"/>
  <c r="J20" i="19" s="1"/>
  <c r="E1485" i="1"/>
  <c r="F1485" i="1" s="1"/>
  <c r="E20" i="19"/>
  <c r="E20" i="23"/>
  <c r="G565" i="1"/>
  <c r="H565" i="1" s="1"/>
  <c r="G328" i="1"/>
  <c r="H328" i="1" s="1"/>
  <c r="G552" i="1"/>
  <c r="H552" i="1" s="1"/>
  <c r="J262" i="3"/>
  <c r="F262" i="3" s="1"/>
  <c r="E219" i="3"/>
  <c r="E249" i="3"/>
  <c r="E196" i="3"/>
  <c r="E172" i="3"/>
  <c r="J178" i="3"/>
  <c r="F178" i="3" s="1"/>
  <c r="G334" i="1"/>
  <c r="H334" i="1" s="1"/>
  <c r="G322" i="1"/>
  <c r="H322" i="1" s="1"/>
  <c r="C2982" i="4"/>
  <c r="B2982" i="4" s="1"/>
  <c r="F1163" i="1"/>
  <c r="L1163" i="1" s="1"/>
  <c r="F1147" i="1"/>
  <c r="L1147" i="1" s="1"/>
  <c r="F1088" i="1"/>
  <c r="L1088" i="1" s="1"/>
  <c r="E897" i="1"/>
  <c r="F897" i="1" s="1"/>
  <c r="C3535" i="4"/>
  <c r="B3535" i="4" s="1"/>
  <c r="A3248" i="4"/>
  <c r="C3194" i="4"/>
  <c r="B3194" i="4" s="1"/>
  <c r="F1381" i="1"/>
  <c r="L1381" i="1" s="1"/>
  <c r="F1354" i="1"/>
  <c r="L1354" i="1" s="1"/>
  <c r="K1292" i="1"/>
  <c r="K1259" i="1"/>
  <c r="K1190" i="1"/>
  <c r="A2658" i="4"/>
  <c r="A2546" i="4"/>
  <c r="K1274" i="1"/>
  <c r="K1156" i="1"/>
  <c r="F1301" i="1"/>
  <c r="L1301" i="1" s="1"/>
  <c r="F1205" i="1"/>
  <c r="L1205" i="1" s="1"/>
  <c r="F1189" i="1"/>
  <c r="L1189" i="1" s="1"/>
  <c r="F1150" i="1"/>
  <c r="L1150" i="1" s="1"/>
  <c r="F1112" i="1"/>
  <c r="L1112" i="1" s="1"/>
  <c r="F1042" i="1"/>
  <c r="L1042" i="1" s="1"/>
  <c r="K985" i="1"/>
  <c r="A3090" i="4"/>
  <c r="A2656" i="4"/>
  <c r="C2278" i="4"/>
  <c r="B2278" i="4" s="1"/>
  <c r="K1210" i="1"/>
  <c r="F1144" i="1"/>
  <c r="L1144" i="1" s="1"/>
  <c r="K1036" i="1"/>
  <c r="K962" i="1"/>
  <c r="F1111" i="1"/>
  <c r="L1111" i="1" s="1"/>
  <c r="A2444" i="4"/>
  <c r="C2330" i="4"/>
  <c r="B2330" i="4" s="1"/>
  <c r="K1345" i="1"/>
  <c r="F1282" i="1"/>
  <c r="L1282" i="1" s="1"/>
  <c r="K1105" i="1"/>
  <c r="C3416" i="4"/>
  <c r="B3416" i="4" s="1"/>
  <c r="A2386" i="4"/>
  <c r="F1169" i="1"/>
  <c r="L1169" i="1" s="1"/>
  <c r="K1120" i="1"/>
  <c r="AH88" i="1"/>
  <c r="G339" i="1"/>
  <c r="H339" i="1" s="1"/>
  <c r="AB2937" i="4"/>
  <c r="A2937" i="4" s="1"/>
  <c r="AB2940" i="4"/>
  <c r="A2940" i="4" s="1"/>
  <c r="AB2946" i="4"/>
  <c r="D2946" i="4" s="1"/>
  <c r="B2946" i="4" s="1"/>
  <c r="AB2943" i="4"/>
  <c r="A2943" i="4" s="1"/>
  <c r="C2332" i="4"/>
  <c r="B2332" i="4" s="1"/>
  <c r="A2332" i="4"/>
  <c r="A2096" i="4"/>
  <c r="D2096" i="4"/>
  <c r="B2096" i="4" s="1"/>
  <c r="J220" i="3"/>
  <c r="F220" i="3" s="1"/>
  <c r="J144" i="3"/>
  <c r="F144" i="3" s="1"/>
  <c r="E33" i="3"/>
  <c r="D3419" i="4"/>
  <c r="AH3419" i="4"/>
  <c r="C3365" i="4"/>
  <c r="AD3365" i="4"/>
  <c r="AB3380" i="4" s="1"/>
  <c r="C3380" i="4" s="1"/>
  <c r="D2301" i="4"/>
  <c r="AH2301" i="4"/>
  <c r="AF2306" i="4" s="1"/>
  <c r="D2306" i="4" s="1"/>
  <c r="E184" i="3"/>
  <c r="J184" i="3"/>
  <c r="F184" i="3" s="1"/>
  <c r="K1238" i="1"/>
  <c r="F1238" i="1"/>
  <c r="L1238" i="1" s="1"/>
  <c r="G654" i="1"/>
  <c r="H654" i="1" s="1"/>
  <c r="AB3000" i="4"/>
  <c r="A3000" i="4" s="1"/>
  <c r="AB2994" i="4"/>
  <c r="A2994" i="4" s="1"/>
  <c r="AB2568" i="4"/>
  <c r="A2568" i="4" s="1"/>
  <c r="AB2559" i="4"/>
  <c r="AD2559" i="4" s="1"/>
  <c r="AB2562" i="4"/>
  <c r="A2562" i="4" s="1"/>
  <c r="C2442" i="4"/>
  <c r="B2442" i="4" s="1"/>
  <c r="A2442" i="4"/>
  <c r="K1000" i="1"/>
  <c r="F1000" i="1"/>
  <c r="L1000" i="1" s="1"/>
  <c r="J162" i="3"/>
  <c r="F162" i="3" s="1"/>
  <c r="E889" i="1"/>
  <c r="AD3550" i="4"/>
  <c r="C3550" i="4"/>
  <c r="AD3512" i="4"/>
  <c r="C3512" i="4"/>
  <c r="K1333" i="1"/>
  <c r="F1333" i="1"/>
  <c r="L1333" i="1" s="1"/>
  <c r="K971" i="1"/>
  <c r="F971" i="1"/>
  <c r="L971" i="1" s="1"/>
  <c r="K1357" i="1"/>
  <c r="F1357" i="1"/>
  <c r="L1357" i="1" s="1"/>
  <c r="K1267" i="1"/>
  <c r="F1267" i="1"/>
  <c r="L1267" i="1" s="1"/>
  <c r="A3038" i="4"/>
  <c r="C3038" i="4"/>
  <c r="B3038" i="4" s="1"/>
  <c r="D1433" i="4"/>
  <c r="AL392" i="4"/>
  <c r="E392" i="4"/>
  <c r="K1438" i="1"/>
  <c r="F1438" i="1"/>
  <c r="L1438" i="1" s="1"/>
  <c r="K1432" i="1"/>
  <c r="F1432" i="1"/>
  <c r="L1432" i="1" s="1"/>
  <c r="H466" i="1"/>
  <c r="E225" i="3"/>
  <c r="J225" i="3"/>
  <c r="F225" i="3" s="1"/>
  <c r="J203" i="3"/>
  <c r="F203" i="3" s="1"/>
  <c r="E203" i="3"/>
  <c r="E141" i="3"/>
  <c r="J141" i="3"/>
  <c r="F141" i="3" s="1"/>
  <c r="G899" i="1"/>
  <c r="H899" i="1" s="1"/>
  <c r="AH1909" i="4"/>
  <c r="D1909" i="4"/>
  <c r="AH1852" i="4"/>
  <c r="D1852" i="4"/>
  <c r="A1765" i="4"/>
  <c r="C1765" i="4"/>
  <c r="B1765" i="4" s="1"/>
  <c r="A3254" i="4"/>
  <c r="C3254" i="4"/>
  <c r="B3254" i="4" s="1"/>
  <c r="G335" i="1"/>
  <c r="H335" i="1" s="1"/>
  <c r="E258" i="3"/>
  <c r="C3533" i="4"/>
  <c r="B3533" i="4" s="1"/>
  <c r="AD3533" i="4"/>
  <c r="AD3535" i="4" s="1"/>
  <c r="AB3539" i="4" s="1"/>
  <c r="G1458" i="1"/>
  <c r="H1458" i="1" s="1"/>
  <c r="E135" i="3"/>
  <c r="J135" i="3"/>
  <c r="F135" i="3" s="1"/>
  <c r="E3493" i="4"/>
  <c r="AL3493" i="4"/>
  <c r="E86" i="3"/>
  <c r="H86" i="3"/>
  <c r="F86" i="3" s="1"/>
  <c r="G657" i="1"/>
  <c r="H657" i="1" s="1"/>
  <c r="G429" i="1"/>
  <c r="H429" i="1" s="1"/>
  <c r="C2542" i="4"/>
  <c r="B2542" i="4" s="1"/>
  <c r="A2542" i="4"/>
  <c r="A2712" i="4"/>
  <c r="C2712" i="4"/>
  <c r="B2712" i="4" s="1"/>
  <c r="K1229" i="1"/>
  <c r="F1229" i="1"/>
  <c r="L1229" i="1" s="1"/>
  <c r="G66" i="6"/>
  <c r="G67" i="6" s="1"/>
  <c r="G8" i="5" s="1"/>
  <c r="G484" i="1"/>
  <c r="H484" i="1" s="1"/>
  <c r="D3347" i="4"/>
  <c r="AH3347" i="4"/>
  <c r="AF3364" i="4" s="1"/>
  <c r="A3092" i="4"/>
  <c r="C3092" i="4"/>
  <c r="B3092" i="4" s="1"/>
  <c r="AD2949" i="4"/>
  <c r="AB2954" i="4" s="1"/>
  <c r="C2954" i="4" s="1"/>
  <c r="C2949" i="4"/>
  <c r="AL620" i="4"/>
  <c r="E620" i="4"/>
  <c r="AD221" i="4"/>
  <c r="C221" i="4"/>
  <c r="AH145" i="4"/>
  <c r="D145" i="4"/>
  <c r="K1183" i="1"/>
  <c r="F1183" i="1"/>
  <c r="L1183" i="1" s="1"/>
  <c r="K1396" i="1"/>
  <c r="F1396" i="1"/>
  <c r="L1396" i="1" s="1"/>
  <c r="K1280" i="1"/>
  <c r="F1280" i="1"/>
  <c r="L1280" i="1" s="1"/>
  <c r="I12" i="1"/>
  <c r="J12" i="1" s="1"/>
  <c r="G735" i="1"/>
  <c r="H735" i="1" s="1"/>
  <c r="G482" i="1"/>
  <c r="H482" i="1" s="1"/>
  <c r="E544" i="4"/>
  <c r="AL544" i="4"/>
  <c r="E88" i="4"/>
  <c r="AL88" i="4"/>
  <c r="A1906" i="4"/>
  <c r="D1906" i="4"/>
  <c r="B1906" i="4" s="1"/>
  <c r="D69" i="4"/>
  <c r="AH69" i="4"/>
  <c r="F1073" i="1"/>
  <c r="L1073" i="1" s="1"/>
  <c r="K1073" i="1"/>
  <c r="K982" i="1"/>
  <c r="F982" i="1"/>
  <c r="L982" i="1" s="1"/>
  <c r="K976" i="1"/>
  <c r="F976" i="1"/>
  <c r="L976" i="1" s="1"/>
  <c r="AH3568" i="4"/>
  <c r="AF3576" i="4" s="1"/>
  <c r="D3568" i="4"/>
  <c r="A3360" i="4"/>
  <c r="C3360" i="4"/>
  <c r="B3360" i="4" s="1"/>
  <c r="C2870" i="4"/>
  <c r="B2870" i="4" s="1"/>
  <c r="A2870" i="4"/>
  <c r="AD2158" i="4"/>
  <c r="C2158" i="4"/>
  <c r="A1904" i="4"/>
  <c r="D1904" i="4"/>
  <c r="B1904" i="4" s="1"/>
  <c r="C1849" i="4"/>
  <c r="B1849" i="4" s="1"/>
  <c r="A1833" i="4"/>
  <c r="D1833" i="4"/>
  <c r="B1833" i="4" s="1"/>
  <c r="F1078" i="1"/>
  <c r="L1078" i="1" s="1"/>
  <c r="K1078" i="1"/>
  <c r="F1055" i="1"/>
  <c r="L1055" i="1" s="1"/>
  <c r="K1055" i="1"/>
  <c r="K1028" i="1"/>
  <c r="F1028" i="1"/>
  <c r="L1028" i="1" s="1"/>
  <c r="K1207" i="1"/>
  <c r="F1207" i="1"/>
  <c r="F1072" i="1"/>
  <c r="L1072" i="1" s="1"/>
  <c r="K1072" i="1"/>
  <c r="F1016" i="1"/>
  <c r="L1016" i="1" s="1"/>
  <c r="K1016" i="1"/>
  <c r="AB1719" i="4"/>
  <c r="C1719" i="4" s="1"/>
  <c r="B1719" i="4" s="1"/>
  <c r="AB1721" i="4"/>
  <c r="D829" i="4"/>
  <c r="AH829" i="4"/>
  <c r="C757" i="4"/>
  <c r="AD757" i="4"/>
  <c r="F1103" i="1"/>
  <c r="L1103" i="1" s="1"/>
  <c r="K1103" i="1"/>
  <c r="F992" i="1"/>
  <c r="L992" i="1" s="1"/>
  <c r="K992" i="1"/>
  <c r="F986" i="1"/>
  <c r="L986" i="1" s="1"/>
  <c r="K986" i="1"/>
  <c r="A3190" i="4"/>
  <c r="C3190" i="4"/>
  <c r="B3190" i="4" s="1"/>
  <c r="AH3095" i="4"/>
  <c r="D3095" i="4"/>
  <c r="AD240" i="4"/>
  <c r="C240" i="4"/>
  <c r="E164" i="4"/>
  <c r="AL164" i="4"/>
  <c r="K1359" i="1"/>
  <c r="K1291" i="1"/>
  <c r="F1291" i="1"/>
  <c r="L1291" i="1" s="1"/>
  <c r="K1258" i="1"/>
  <c r="F1258" i="1"/>
  <c r="L1258" i="1" s="1"/>
  <c r="K1184" i="1"/>
  <c r="F1184" i="1"/>
  <c r="L1184" i="1" s="1"/>
  <c r="K1178" i="1"/>
  <c r="F1178" i="1"/>
  <c r="L1178" i="1" s="1"/>
  <c r="K991" i="1"/>
  <c r="F991" i="1"/>
  <c r="L991" i="1" s="1"/>
  <c r="J190" i="3"/>
  <c r="F190" i="3" s="1"/>
  <c r="E67" i="3"/>
  <c r="G690" i="1"/>
  <c r="H690" i="1" s="1"/>
  <c r="G633" i="1"/>
  <c r="H633" i="1" s="1"/>
  <c r="AL3435" i="4"/>
  <c r="E3435" i="4"/>
  <c r="C2699" i="4"/>
  <c r="AD2699" i="4"/>
  <c r="AD2702" i="4" s="1"/>
  <c r="AD2704" i="4" s="1"/>
  <c r="AD2708" i="4" s="1"/>
  <c r="AD2710" i="4" s="1"/>
  <c r="AD2712" i="4" s="1"/>
  <c r="AD2714" i="4" s="1"/>
  <c r="AB2716" i="4" s="1"/>
  <c r="AB2613" i="4"/>
  <c r="A2613" i="4" s="1"/>
  <c r="AB2616" i="4"/>
  <c r="A2616" i="4" s="1"/>
  <c r="AB2622" i="4"/>
  <c r="E73" i="4"/>
  <c r="B73" i="4" s="1"/>
  <c r="AL73" i="4"/>
  <c r="K1429" i="1"/>
  <c r="K1347" i="1"/>
  <c r="F1347" i="1"/>
  <c r="L1347" i="1" s="1"/>
  <c r="AD3469" i="4"/>
  <c r="C3469" i="4"/>
  <c r="A3378" i="4"/>
  <c r="D3378" i="4"/>
  <c r="B3378" i="4" s="1"/>
  <c r="AH3219" i="4"/>
  <c r="AF3224" i="4" s="1"/>
  <c r="D3224" i="4" s="1"/>
  <c r="D3219" i="4"/>
  <c r="C3111" i="4"/>
  <c r="AD3111" i="4"/>
  <c r="AB3116" i="4" s="1"/>
  <c r="C3116" i="4" s="1"/>
  <c r="AL3041" i="4"/>
  <c r="AJ3056" i="4" s="1"/>
  <c r="E3056" i="4" s="1"/>
  <c r="AD3023" i="4"/>
  <c r="E2915" i="4"/>
  <c r="AL2915" i="4"/>
  <c r="AJ2932" i="4" s="1"/>
  <c r="E2932" i="4" s="1"/>
  <c r="AD2645" i="4"/>
  <c r="C2645" i="4"/>
  <c r="AH2537" i="4"/>
  <c r="AF2554" i="4" s="1"/>
  <c r="D2537" i="4"/>
  <c r="AD2501" i="4"/>
  <c r="AB2516" i="4" s="1"/>
  <c r="C2516" i="4" s="1"/>
  <c r="C2501" i="4"/>
  <c r="AD2483" i="4"/>
  <c r="AD2486" i="4" s="1"/>
  <c r="AD2488" i="4" s="1"/>
  <c r="AD2492" i="4" s="1"/>
  <c r="AD2494" i="4" s="1"/>
  <c r="AD2496" i="4" s="1"/>
  <c r="AD2498" i="4" s="1"/>
  <c r="AB2500" i="4" s="1"/>
  <c r="AD2285" i="4"/>
  <c r="AB2300" i="4" s="1"/>
  <c r="C2300" i="4" s="1"/>
  <c r="AD1912" i="4"/>
  <c r="AD1914" i="4" s="1"/>
  <c r="AD1916" i="4" s="1"/>
  <c r="D1912" i="4"/>
  <c r="B1912" i="4" s="1"/>
  <c r="D1602" i="4"/>
  <c r="AH1602" i="4"/>
  <c r="AH1437" i="4"/>
  <c r="D1437" i="4"/>
  <c r="D681" i="4"/>
  <c r="AL529" i="4"/>
  <c r="E529" i="4"/>
  <c r="AB112" i="4"/>
  <c r="AD112" i="4" s="1"/>
  <c r="AB116" i="4" s="1"/>
  <c r="AD116" i="4" s="1"/>
  <c r="AB124" i="4" s="1"/>
  <c r="A124" i="4" s="1"/>
  <c r="F1402" i="1"/>
  <c r="L1402" i="1" s="1"/>
  <c r="K1402" i="1"/>
  <c r="K1303" i="1"/>
  <c r="F1303" i="1"/>
  <c r="L1303" i="1" s="1"/>
  <c r="K1187" i="1"/>
  <c r="F1187" i="1"/>
  <c r="L1187" i="1" s="1"/>
  <c r="K1046" i="1"/>
  <c r="F1046" i="1"/>
  <c r="L1046" i="1" s="1"/>
  <c r="D3550" i="4"/>
  <c r="AH3550" i="4"/>
  <c r="AB2400" i="4"/>
  <c r="A2400" i="4" s="1"/>
  <c r="AB2406" i="4"/>
  <c r="D1753" i="4"/>
  <c r="AH1753" i="4"/>
  <c r="C1602" i="4"/>
  <c r="AD1602" i="4"/>
  <c r="C909" i="4"/>
  <c r="AD909" i="4"/>
  <c r="AD696" i="4"/>
  <c r="C696" i="4"/>
  <c r="K1148" i="1"/>
  <c r="F1148" i="1"/>
  <c r="L1148" i="1" s="1"/>
  <c r="K1051" i="1"/>
  <c r="F1051" i="1"/>
  <c r="L1051" i="1" s="1"/>
  <c r="K995" i="1"/>
  <c r="F995" i="1"/>
  <c r="L995" i="1" s="1"/>
  <c r="K989" i="1"/>
  <c r="F989" i="1"/>
  <c r="L989" i="1" s="1"/>
  <c r="G333" i="1"/>
  <c r="H333" i="1" s="1"/>
  <c r="C3414" i="4"/>
  <c r="B3414" i="4" s="1"/>
  <c r="A3414" i="4"/>
  <c r="AB3369" i="4"/>
  <c r="AB3375" i="4"/>
  <c r="D3375" i="4" s="1"/>
  <c r="B3375" i="4" s="1"/>
  <c r="C3257" i="4"/>
  <c r="AD3257" i="4"/>
  <c r="AB3272" i="4" s="1"/>
  <c r="C3272" i="4" s="1"/>
  <c r="C2710" i="4"/>
  <c r="B2710" i="4" s="1"/>
  <c r="A2710" i="4"/>
  <c r="AD1287" i="4"/>
  <c r="C1287" i="4"/>
  <c r="F1222" i="1"/>
  <c r="L1222" i="1" s="1"/>
  <c r="K1222" i="1"/>
  <c r="K1129" i="1"/>
  <c r="F1129" i="1"/>
  <c r="L1129" i="1" s="1"/>
  <c r="F1033" i="1"/>
  <c r="L1033" i="1" s="1"/>
  <c r="K1033" i="1"/>
  <c r="C3559" i="4"/>
  <c r="AD3559" i="4"/>
  <c r="C3451" i="4"/>
  <c r="AD3451" i="4"/>
  <c r="D2949" i="4"/>
  <c r="AH2949" i="4"/>
  <c r="AF2954" i="4" s="1"/>
  <c r="D2954" i="4" s="1"/>
  <c r="A2432" i="4"/>
  <c r="C2432" i="4"/>
  <c r="B2432" i="4" s="1"/>
  <c r="AB2403" i="4"/>
  <c r="D2403" i="4" s="1"/>
  <c r="B2403" i="4" s="1"/>
  <c r="D1075" i="4"/>
  <c r="AH1075" i="4"/>
  <c r="AH757" i="4"/>
  <c r="D757" i="4"/>
  <c r="B757" i="4" s="1"/>
  <c r="AF644" i="4"/>
  <c r="A644" i="4" s="1"/>
  <c r="B449" i="4"/>
  <c r="AB188" i="4"/>
  <c r="AD188" i="4" s="1"/>
  <c r="F1070" i="1"/>
  <c r="L1070" i="1" s="1"/>
  <c r="K1070" i="1"/>
  <c r="K1015" i="1"/>
  <c r="F1015" i="1"/>
  <c r="L1015" i="1" s="1"/>
  <c r="F1003" i="1"/>
  <c r="L1003" i="1" s="1"/>
  <c r="K1003" i="1"/>
  <c r="C2540" i="4"/>
  <c r="B2540" i="4" s="1"/>
  <c r="A2540" i="4"/>
  <c r="AL2483" i="4"/>
  <c r="AJ2500" i="4" s="1"/>
  <c r="E2500" i="4" s="1"/>
  <c r="E2483" i="4"/>
  <c r="AD2289" i="4"/>
  <c r="A1916" i="4"/>
  <c r="D1916" i="4"/>
  <c r="B1916" i="4" s="1"/>
  <c r="AH301" i="4"/>
  <c r="D301" i="4"/>
  <c r="K1371" i="1"/>
  <c r="F1371" i="1"/>
  <c r="L1371" i="1" s="1"/>
  <c r="K1327" i="1"/>
  <c r="F1327" i="1"/>
  <c r="L1327" i="1" s="1"/>
  <c r="K1069" i="1"/>
  <c r="F1069" i="1"/>
  <c r="L1069" i="1" s="1"/>
  <c r="G577" i="1"/>
  <c r="H577" i="1" s="1"/>
  <c r="C3404" i="4"/>
  <c r="B3404" i="4" s="1"/>
  <c r="C3381" i="4"/>
  <c r="AD3381" i="4"/>
  <c r="AB3386" i="4" s="1"/>
  <c r="C3386" i="4" s="1"/>
  <c r="A3296" i="4"/>
  <c r="C3296" i="4"/>
  <c r="B3296" i="4" s="1"/>
  <c r="B3057" i="4"/>
  <c r="C2864" i="4"/>
  <c r="B2864" i="4" s="1"/>
  <c r="A2864" i="4"/>
  <c r="D2375" i="4"/>
  <c r="AH2375" i="4"/>
  <c r="AF2392" i="4" s="1"/>
  <c r="AL1753" i="4"/>
  <c r="AH1658" i="4"/>
  <c r="D1658" i="4"/>
  <c r="AD1512" i="4"/>
  <c r="C1512" i="4"/>
  <c r="AB872" i="4"/>
  <c r="AD872" i="4" s="1"/>
  <c r="C681" i="4"/>
  <c r="AD681" i="4"/>
  <c r="K1298" i="1"/>
  <c r="F1298" i="1"/>
  <c r="L1298" i="1" s="1"/>
  <c r="K1276" i="1"/>
  <c r="F1243" i="1"/>
  <c r="L1243" i="1" s="1"/>
  <c r="K1243" i="1"/>
  <c r="F1214" i="1"/>
  <c r="L1214" i="1" s="1"/>
  <c r="K1165" i="1"/>
  <c r="F1165" i="1"/>
  <c r="L1165" i="1" s="1"/>
  <c r="K1052" i="1"/>
  <c r="F979" i="1"/>
  <c r="L979" i="1" s="1"/>
  <c r="K979" i="1"/>
  <c r="AD3296" i="4"/>
  <c r="AB3264" i="4"/>
  <c r="A3264" i="4" s="1"/>
  <c r="E601" i="4"/>
  <c r="G315" i="1"/>
  <c r="H315" i="1" s="1"/>
  <c r="AL2236" i="4"/>
  <c r="B1658" i="4"/>
  <c r="AB416" i="4"/>
  <c r="AD416" i="4" s="1"/>
  <c r="F1378" i="1"/>
  <c r="L1378" i="1" s="1"/>
  <c r="E1855" i="4"/>
  <c r="B1855" i="4" s="1"/>
  <c r="K1234" i="1"/>
  <c r="K1208" i="1"/>
  <c r="K1153" i="1"/>
  <c r="K1096" i="1"/>
  <c r="D3451" i="4"/>
  <c r="C2969" i="4"/>
  <c r="AB2298" i="4"/>
  <c r="D2298" i="4" s="1"/>
  <c r="B2298" i="4" s="1"/>
  <c r="D1991" i="4"/>
  <c r="D3512" i="4"/>
  <c r="AH2409" i="4"/>
  <c r="AF2414" i="4" s="1"/>
  <c r="D2414" i="4" s="1"/>
  <c r="AD2375" i="4"/>
  <c r="AB2292" i="4"/>
  <c r="A2292" i="4" s="1"/>
  <c r="D2056" i="4"/>
  <c r="AD1820" i="4"/>
  <c r="AF1775" i="4"/>
  <c r="E1775" i="4" s="1"/>
  <c r="B1775" i="4" s="1"/>
  <c r="AF1695" i="4"/>
  <c r="E1695" i="4" s="1"/>
  <c r="B1695" i="4" s="1"/>
  <c r="AD1673" i="4"/>
  <c r="D1212" i="4"/>
  <c r="AF947" i="4"/>
  <c r="C677" i="4"/>
  <c r="D468" i="4"/>
  <c r="AH449" i="4"/>
  <c r="F1426" i="1"/>
  <c r="L1426" i="1" s="1"/>
  <c r="F1342" i="1"/>
  <c r="L1342" i="1" s="1"/>
  <c r="F1196" i="1"/>
  <c r="L1196" i="1" s="1"/>
  <c r="F1171" i="1"/>
  <c r="L1171" i="1" s="1"/>
  <c r="G309" i="1"/>
  <c r="H309" i="1" s="1"/>
  <c r="C3555" i="4"/>
  <c r="B3555" i="4" s="1"/>
  <c r="A3134" i="4"/>
  <c r="C3028" i="4"/>
  <c r="B3028" i="4" s="1"/>
  <c r="A2980" i="4"/>
  <c r="C2825" i="4"/>
  <c r="C2679" i="4"/>
  <c r="C2654" i="4"/>
  <c r="B2654" i="4" s="1"/>
  <c r="C2132" i="4"/>
  <c r="AD1227" i="4"/>
  <c r="AF264" i="4"/>
  <c r="A264" i="4" s="1"/>
  <c r="AH221" i="4"/>
  <c r="F1435" i="1"/>
  <c r="L1435" i="1" s="1"/>
  <c r="F1336" i="1"/>
  <c r="L1336" i="1" s="1"/>
  <c r="F1273" i="1"/>
  <c r="L1273" i="1" s="1"/>
  <c r="F1201" i="1"/>
  <c r="L1201" i="1" s="1"/>
  <c r="F1181" i="1"/>
  <c r="L1181" i="1" s="1"/>
  <c r="F1166" i="1"/>
  <c r="L1166" i="1" s="1"/>
  <c r="F1114" i="1"/>
  <c r="L1114" i="1" s="1"/>
  <c r="F1064" i="1"/>
  <c r="L1064" i="1" s="1"/>
  <c r="J268" i="3"/>
  <c r="F268" i="3" s="1"/>
  <c r="J256" i="3"/>
  <c r="F256" i="3" s="1"/>
  <c r="J244" i="3"/>
  <c r="F244" i="3" s="1"/>
  <c r="J240" i="3"/>
  <c r="F240" i="3" s="1"/>
  <c r="J222" i="3"/>
  <c r="F222" i="3" s="1"/>
  <c r="E185" i="3"/>
  <c r="E166" i="3"/>
  <c r="J154" i="3"/>
  <c r="F154" i="3" s="1"/>
  <c r="E136" i="3"/>
  <c r="H34" i="3"/>
  <c r="F34" i="3" s="1"/>
  <c r="AH738" i="1"/>
  <c r="G532" i="1"/>
  <c r="H532" i="1" s="1"/>
  <c r="G78" i="6"/>
  <c r="G79" i="6" s="1"/>
  <c r="G9" i="5" s="1"/>
  <c r="H9" i="5" s="1"/>
  <c r="E167" i="3"/>
  <c r="G903" i="1"/>
  <c r="H903" i="1" s="1"/>
  <c r="AB1119" i="4"/>
  <c r="K111" i="3"/>
  <c r="L111" i="3" s="1"/>
  <c r="J148" i="3"/>
  <c r="F148" i="3" s="1"/>
  <c r="H68" i="3"/>
  <c r="F68" i="3" s="1"/>
  <c r="E68" i="3"/>
  <c r="G720" i="1"/>
  <c r="H720" i="1" s="1"/>
  <c r="J226" i="3"/>
  <c r="F226" i="3" s="1"/>
  <c r="H118" i="3"/>
  <c r="F118" i="3" s="1"/>
  <c r="G680" i="1"/>
  <c r="H680" i="1" s="1"/>
  <c r="H102" i="3"/>
  <c r="F102" i="3" s="1"/>
  <c r="G661" i="1"/>
  <c r="H661" i="1" s="1"/>
  <c r="G540" i="1"/>
  <c r="H540" i="1" s="1"/>
  <c r="J29" i="3"/>
  <c r="J28" i="3" s="1"/>
  <c r="G896" i="1"/>
  <c r="H896" i="1" s="1"/>
  <c r="G892" i="1"/>
  <c r="H892" i="1" s="1"/>
  <c r="G582" i="1"/>
  <c r="H582" i="1" s="1"/>
  <c r="G546" i="1"/>
  <c r="H546" i="1" s="1"/>
  <c r="G502" i="1"/>
  <c r="H502" i="1" s="1"/>
  <c r="G508" i="1"/>
  <c r="H508" i="1" s="1"/>
  <c r="G668" i="1"/>
  <c r="H668" i="1" s="1"/>
  <c r="G556" i="1"/>
  <c r="H556" i="1" s="1"/>
  <c r="G688" i="1"/>
  <c r="H688" i="1" s="1"/>
  <c r="G672" i="1"/>
  <c r="H672" i="1" s="1"/>
  <c r="G490" i="1"/>
  <c r="H490" i="1" s="1"/>
  <c r="G710" i="1"/>
  <c r="H710" i="1" s="1"/>
  <c r="G520" i="1"/>
  <c r="H520" i="1" s="1"/>
  <c r="G514" i="1"/>
  <c r="H514" i="1" s="1"/>
  <c r="G486" i="1"/>
  <c r="H486" i="1" s="1"/>
  <c r="G479" i="1"/>
  <c r="H479" i="1" s="1"/>
  <c r="G473" i="1"/>
  <c r="H473" i="1" s="1"/>
  <c r="G708" i="1"/>
  <c r="H708" i="1" s="1"/>
  <c r="G330" i="1"/>
  <c r="H330" i="1" s="1"/>
  <c r="G572" i="1"/>
  <c r="H572" i="1" s="1"/>
  <c r="G420" i="1"/>
  <c r="H420" i="1" s="1"/>
  <c r="G344" i="1"/>
  <c r="H344" i="1" s="1"/>
  <c r="G338" i="1"/>
  <c r="H338" i="1" s="1"/>
  <c r="G332" i="1"/>
  <c r="H332" i="1" s="1"/>
  <c r="G323" i="1"/>
  <c r="H323" i="1" s="1"/>
  <c r="G311" i="1"/>
  <c r="H311" i="1" s="1"/>
  <c r="G327" i="1"/>
  <c r="H327" i="1" s="1"/>
  <c r="D3469" i="4"/>
  <c r="AH3469" i="4"/>
  <c r="AF3477" i="4" s="1"/>
  <c r="D3311" i="4"/>
  <c r="AH3311" i="4"/>
  <c r="D3270" i="4"/>
  <c r="B3270" i="4" s="1"/>
  <c r="A3270" i="4"/>
  <c r="D3149" i="4"/>
  <c r="AH3149" i="4"/>
  <c r="E3131" i="4"/>
  <c r="AL3131" i="4"/>
  <c r="AJ3148" i="4" s="1"/>
  <c r="A2667" i="4"/>
  <c r="D2667" i="4"/>
  <c r="B2667" i="4" s="1"/>
  <c r="A3454" i="4"/>
  <c r="E3454" i="4"/>
  <c r="B3454" i="4" s="1"/>
  <c r="AD3454" i="4"/>
  <c r="AB3474" i="4" s="1"/>
  <c r="E3474" i="4" s="1"/>
  <c r="B3474" i="4" s="1"/>
  <c r="AH3327" i="4"/>
  <c r="AF3332" i="4" s="1"/>
  <c r="D3332" i="4" s="1"/>
  <c r="D3327" i="4"/>
  <c r="B3327" i="4" s="1"/>
  <c r="A3410" i="4"/>
  <c r="C3410" i="4"/>
  <c r="B3410" i="4" s="1"/>
  <c r="A3261" i="4"/>
  <c r="D3261" i="4"/>
  <c r="B3261" i="4" s="1"/>
  <c r="A3515" i="4"/>
  <c r="AD3515" i="4"/>
  <c r="AB3519" i="4" s="1"/>
  <c r="C3515" i="4"/>
  <c r="B3515" i="4" s="1"/>
  <c r="E3460" i="4"/>
  <c r="AL3460" i="4"/>
  <c r="D3267" i="4"/>
  <c r="B3267" i="4" s="1"/>
  <c r="A3267" i="4"/>
  <c r="AH3539" i="4"/>
  <c r="D3543" i="4" s="1"/>
  <c r="D3525" i="4" s="1"/>
  <c r="D3539" i="4"/>
  <c r="C3358" i="4"/>
  <c r="B3358" i="4" s="1"/>
  <c r="A3358" i="4"/>
  <c r="A3304" i="4"/>
  <c r="C3304" i="4"/>
  <c r="B3304" i="4" s="1"/>
  <c r="AB3315" i="4"/>
  <c r="AB3318" i="4"/>
  <c r="D3318" i="4" s="1"/>
  <c r="B3318" i="4" s="1"/>
  <c r="AB3324" i="4"/>
  <c r="D3324" i="4" s="1"/>
  <c r="B3324" i="4" s="1"/>
  <c r="AB3216" i="4"/>
  <c r="AB3210" i="4"/>
  <c r="A2343" i="4"/>
  <c r="D2343" i="4"/>
  <c r="B2343" i="4" s="1"/>
  <c r="C3568" i="4"/>
  <c r="AH3310" i="4"/>
  <c r="D3310" i="4"/>
  <c r="C3188" i="4"/>
  <c r="B3188" i="4" s="1"/>
  <c r="A3188" i="4"/>
  <c r="AD3350" i="4"/>
  <c r="AD3352" i="4" s="1"/>
  <c r="AD3356" i="4" s="1"/>
  <c r="AD3358" i="4" s="1"/>
  <c r="AD3360" i="4" s="1"/>
  <c r="AD3362" i="4" s="1"/>
  <c r="AB3364" i="4" s="1"/>
  <c r="AB2997" i="4"/>
  <c r="E2267" i="4"/>
  <c r="A580" i="4"/>
  <c r="D580" i="4"/>
  <c r="B580" i="4" s="1"/>
  <c r="C3352" i="4"/>
  <c r="B3352" i="4" s="1"/>
  <c r="C3302" i="4"/>
  <c r="B3302" i="4" s="1"/>
  <c r="C3203" i="4"/>
  <c r="C3034" i="4"/>
  <c r="B3034" i="4" s="1"/>
  <c r="AL2949" i="4"/>
  <c r="A2920" i="4"/>
  <c r="AH2825" i="4"/>
  <c r="AD2829" i="4" s="1"/>
  <c r="AH2824" i="4"/>
  <c r="C2768" i="4"/>
  <c r="B2768" i="4" s="1"/>
  <c r="AD2733" i="4"/>
  <c r="AB2738" i="4" s="1"/>
  <c r="C2738" i="4" s="1"/>
  <c r="D2727" i="4"/>
  <c r="B2727" i="4" s="1"/>
  <c r="C2648" i="4"/>
  <c r="B2648" i="4" s="1"/>
  <c r="AH2625" i="4"/>
  <c r="AF2630" i="4" s="1"/>
  <c r="D2630" i="4" s="1"/>
  <c r="A2596" i="4"/>
  <c r="AD2594" i="4"/>
  <c r="AD2596" i="4" s="1"/>
  <c r="AD2600" i="4" s="1"/>
  <c r="AD2602" i="4" s="1"/>
  <c r="AD2604" i="4" s="1"/>
  <c r="AD2606" i="4" s="1"/>
  <c r="AB2608" i="4" s="1"/>
  <c r="C2608" i="4" s="1"/>
  <c r="C2555" i="4"/>
  <c r="AH2501" i="4"/>
  <c r="AB2352" i="4"/>
  <c r="A2352" i="4" s="1"/>
  <c r="C2334" i="4"/>
  <c r="B2334" i="4" s="1"/>
  <c r="C2282" i="4"/>
  <c r="B2282" i="4" s="1"/>
  <c r="C2276" i="4"/>
  <c r="B2276" i="4" s="1"/>
  <c r="D2267" i="4"/>
  <c r="AD2924" i="4"/>
  <c r="AD2926" i="4" s="1"/>
  <c r="AD2928" i="4" s="1"/>
  <c r="AD2930" i="4" s="1"/>
  <c r="AB2932" i="4" s="1"/>
  <c r="A416" i="4"/>
  <c r="AH416" i="4"/>
  <c r="AB3498" i="4"/>
  <c r="AB3432" i="4"/>
  <c r="A3432" i="4" s="1"/>
  <c r="AL3256" i="4"/>
  <c r="C3086" i="4"/>
  <c r="B3086" i="4" s="1"/>
  <c r="C3036" i="4"/>
  <c r="B3036" i="4" s="1"/>
  <c r="C3003" i="4"/>
  <c r="AB2991" i="4"/>
  <c r="C2978" i="4"/>
  <c r="B2978" i="4" s="1"/>
  <c r="B2933" i="4"/>
  <c r="C2924" i="4"/>
  <c r="B2924" i="4" s="1"/>
  <c r="D2915" i="4"/>
  <c r="B2915" i="4" s="1"/>
  <c r="C2812" i="4"/>
  <c r="B2812" i="4" s="1"/>
  <c r="C2758" i="4"/>
  <c r="B2758" i="4" s="1"/>
  <c r="C2714" i="4"/>
  <c r="B2714" i="4" s="1"/>
  <c r="C2704" i="4"/>
  <c r="B2704" i="4" s="1"/>
  <c r="D2673" i="4"/>
  <c r="B2673" i="4" s="1"/>
  <c r="C2606" i="4"/>
  <c r="B2606" i="4" s="1"/>
  <c r="C2600" i="4"/>
  <c r="B2600" i="4" s="1"/>
  <c r="D2591" i="4"/>
  <c r="A2498" i="4"/>
  <c r="C2488" i="4"/>
  <c r="B2488" i="4" s="1"/>
  <c r="C2390" i="4"/>
  <c r="B2390" i="4" s="1"/>
  <c r="C2380" i="4"/>
  <c r="B2380" i="4" s="1"/>
  <c r="D2349" i="4"/>
  <c r="B2349" i="4" s="1"/>
  <c r="AD2324" i="4"/>
  <c r="AD2326" i="4" s="1"/>
  <c r="AD2330" i="4" s="1"/>
  <c r="AD2332" i="4" s="1"/>
  <c r="AD2334" i="4" s="1"/>
  <c r="AD2336" i="4" s="1"/>
  <c r="AB2338" i="4" s="1"/>
  <c r="AD2338" i="4" s="1"/>
  <c r="E2197" i="4"/>
  <c r="AD2184" i="4"/>
  <c r="C2184" i="4"/>
  <c r="A3533" i="4"/>
  <c r="AB3496" i="4"/>
  <c r="E3496" i="4" s="1"/>
  <c r="B3496" i="4" s="1"/>
  <c r="E3469" i="4"/>
  <c r="AB3429" i="4"/>
  <c r="C3362" i="4"/>
  <c r="B3362" i="4" s="1"/>
  <c r="C3311" i="4"/>
  <c r="AD3298" i="4"/>
  <c r="AD3302" i="4" s="1"/>
  <c r="AD3304" i="4" s="1"/>
  <c r="AD3242" i="4"/>
  <c r="AD3244" i="4" s="1"/>
  <c r="AD3248" i="4" s="1"/>
  <c r="AD3250" i="4" s="1"/>
  <c r="AD3252" i="4" s="1"/>
  <c r="AD3254" i="4" s="1"/>
  <c r="AB3256" i="4" s="1"/>
  <c r="C3256" i="4" s="1"/>
  <c r="AD3207" i="4"/>
  <c r="AB3051" i="4"/>
  <c r="C2915" i="4"/>
  <c r="AB2886" i="4"/>
  <c r="A2886" i="4" s="1"/>
  <c r="E2825" i="4"/>
  <c r="A2822" i="4"/>
  <c r="E2787" i="4"/>
  <c r="AB2670" i="4"/>
  <c r="AD2648" i="4"/>
  <c r="AD2650" i="4" s="1"/>
  <c r="AD2654" i="4" s="1"/>
  <c r="AD2656" i="4" s="1"/>
  <c r="AD2658" i="4" s="1"/>
  <c r="AD2660" i="4" s="1"/>
  <c r="AB2662" i="4" s="1"/>
  <c r="E2625" i="4"/>
  <c r="C2591" i="4"/>
  <c r="C2550" i="4"/>
  <c r="B2550" i="4" s="1"/>
  <c r="E2517" i="4"/>
  <c r="E2501" i="4"/>
  <c r="D2457" i="4"/>
  <c r="B2457" i="4" s="1"/>
  <c r="AB2346" i="4"/>
  <c r="D2346" i="4" s="1"/>
  <c r="B2346" i="4" s="1"/>
  <c r="D2321" i="4"/>
  <c r="AH644" i="4"/>
  <c r="E3293" i="4"/>
  <c r="B3293" i="4" s="1"/>
  <c r="C3250" i="4"/>
  <c r="B3250" i="4" s="1"/>
  <c r="A3244" i="4"/>
  <c r="C3149" i="4"/>
  <c r="AD3077" i="4"/>
  <c r="AD3080" i="4" s="1"/>
  <c r="AB2883" i="4"/>
  <c r="A2766" i="4"/>
  <c r="AD2753" i="4"/>
  <c r="AD2756" i="4" s="1"/>
  <c r="AD2758" i="4" s="1"/>
  <c r="AD2762" i="4" s="1"/>
  <c r="AD2764" i="4" s="1"/>
  <c r="AD2766" i="4" s="1"/>
  <c r="AD2768" i="4" s="1"/>
  <c r="AB2770" i="4" s="1"/>
  <c r="AD2770" i="4" s="1"/>
  <c r="AD2717" i="4"/>
  <c r="AB2732" i="4" s="1"/>
  <c r="C2732" i="4" s="1"/>
  <c r="D2679" i="4"/>
  <c r="D2645" i="4"/>
  <c r="D2571" i="4"/>
  <c r="AD2393" i="4"/>
  <c r="AB2408" i="4" s="1"/>
  <c r="C2408" i="4" s="1"/>
  <c r="D2355" i="4"/>
  <c r="C2321" i="4"/>
  <c r="C2301" i="4"/>
  <c r="A2272" i="4"/>
  <c r="AD2270" i="4"/>
  <c r="AD2272" i="4" s="1"/>
  <c r="AD2276" i="4" s="1"/>
  <c r="AD2278" i="4" s="1"/>
  <c r="AD2280" i="4" s="1"/>
  <c r="AD2282" i="4" s="1"/>
  <c r="AB2284" i="4" s="1"/>
  <c r="C2284" i="4" s="1"/>
  <c r="AL2210" i="4"/>
  <c r="AD2119" i="4"/>
  <c r="C2119" i="4"/>
  <c r="E1919" i="4"/>
  <c r="C1893" i="4"/>
  <c r="D1843" i="4"/>
  <c r="B1843" i="4" s="1"/>
  <c r="AB1685" i="4"/>
  <c r="A1685" i="4" s="1"/>
  <c r="E1673" i="4"/>
  <c r="D1662" i="4"/>
  <c r="AL1527" i="4"/>
  <c r="AB1550" i="4"/>
  <c r="AD1550" i="4" s="1"/>
  <c r="AB1554" i="4" s="1"/>
  <c r="AD1554" i="4" s="1"/>
  <c r="D1377" i="4"/>
  <c r="AL1227" i="4"/>
  <c r="AB1175" i="4"/>
  <c r="AD1175" i="4" s="1"/>
  <c r="AB1179" i="4" s="1"/>
  <c r="AD1179" i="4" s="1"/>
  <c r="D1136" i="4"/>
  <c r="D984" i="4"/>
  <c r="AH924" i="4"/>
  <c r="AB876" i="4"/>
  <c r="AD876" i="4" s="1"/>
  <c r="AB884" i="4" s="1"/>
  <c r="A884" i="4" s="1"/>
  <c r="AL848" i="4"/>
  <c r="AL757" i="4"/>
  <c r="D753" i="4"/>
  <c r="B753" i="4" s="1"/>
  <c r="AH605" i="4"/>
  <c r="D529" i="4"/>
  <c r="D525" i="4"/>
  <c r="B525" i="4" s="1"/>
  <c r="AB420" i="4"/>
  <c r="AD420" i="4" s="1"/>
  <c r="AB428" i="4" s="1"/>
  <c r="A428" i="4" s="1"/>
  <c r="D373" i="4"/>
  <c r="AH297" i="4"/>
  <c r="AB264" i="4"/>
  <c r="AD264" i="4" s="1"/>
  <c r="AF268" i="4" s="1"/>
  <c r="AF188" i="4"/>
  <c r="AH188" i="4" s="1"/>
  <c r="AF112" i="4"/>
  <c r="K1411" i="1"/>
  <c r="K1308" i="1"/>
  <c r="K1306" i="1"/>
  <c r="K1289" i="1"/>
  <c r="K1135" i="1"/>
  <c r="F1084" i="1"/>
  <c r="L1084" i="1" s="1"/>
  <c r="K1075" i="1"/>
  <c r="K1057" i="1"/>
  <c r="F1030" i="1"/>
  <c r="L1030" i="1" s="1"/>
  <c r="F1013" i="1"/>
  <c r="L1013" i="1" s="1"/>
  <c r="K1009" i="1"/>
  <c r="K1004" i="1"/>
  <c r="K968" i="1"/>
  <c r="F961" i="1"/>
  <c r="L961" i="1" s="1"/>
  <c r="C2106" i="4"/>
  <c r="A2094" i="4"/>
  <c r="D2043" i="4"/>
  <c r="D1978" i="4"/>
  <c r="E1928" i="4"/>
  <c r="B1928" i="4" s="1"/>
  <c r="D1919" i="4"/>
  <c r="A1912" i="4"/>
  <c r="D1825" i="4"/>
  <c r="B1825" i="4" s="1"/>
  <c r="D1792" i="4"/>
  <c r="AB1325" i="4"/>
  <c r="AD1325" i="4" s="1"/>
  <c r="D1151" i="4"/>
  <c r="E1075" i="4"/>
  <c r="AH620" i="4"/>
  <c r="AB576" i="4"/>
  <c r="AD576" i="4" s="1"/>
  <c r="AD453" i="4"/>
  <c r="AH377" i="4"/>
  <c r="AD316" i="4"/>
  <c r="AD301" i="4"/>
  <c r="D240" i="4"/>
  <c r="E149" i="4"/>
  <c r="K1413" i="1"/>
  <c r="K1348" i="1"/>
  <c r="F1247" i="1"/>
  <c r="L1247" i="1" s="1"/>
  <c r="K1240" i="1"/>
  <c r="F1235" i="1"/>
  <c r="F1231" i="1"/>
  <c r="L1231" i="1" s="1"/>
  <c r="F1226" i="1"/>
  <c r="L1226" i="1" s="1"/>
  <c r="F1220" i="1"/>
  <c r="L1220" i="1" s="1"/>
  <c r="F1198" i="1"/>
  <c r="L1198" i="1" s="1"/>
  <c r="F1160" i="1"/>
  <c r="L1160" i="1" s="1"/>
  <c r="K1133" i="1"/>
  <c r="F1124" i="1"/>
  <c r="L1124" i="1" s="1"/>
  <c r="F1066" i="1"/>
  <c r="L1066" i="1" s="1"/>
  <c r="F1025" i="1"/>
  <c r="L1025" i="1" s="1"/>
  <c r="C2171" i="4"/>
  <c r="E2076" i="4"/>
  <c r="B2076" i="4" s="1"/>
  <c r="C1919" i="4"/>
  <c r="A1914" i="4"/>
  <c r="AD1846" i="4"/>
  <c r="AL1662" i="4"/>
  <c r="C1583" i="4"/>
  <c r="AH1527" i="4"/>
  <c r="AD1452" i="4"/>
  <c r="D1283" i="4"/>
  <c r="D1208" i="4"/>
  <c r="C1151" i="4"/>
  <c r="AB1099" i="4"/>
  <c r="AD1099" i="4" s="1"/>
  <c r="AB1103" i="4" s="1"/>
  <c r="AD1103" i="4" s="1"/>
  <c r="AB1111" i="4" s="1"/>
  <c r="AH980" i="4"/>
  <c r="AB947" i="4"/>
  <c r="AD947" i="4" s="1"/>
  <c r="AH848" i="4"/>
  <c r="C829" i="4"/>
  <c r="AB720" i="4"/>
  <c r="AD720" i="4" s="1"/>
  <c r="AF724" i="4" s="1"/>
  <c r="B681" i="4"/>
  <c r="AD605" i="4"/>
  <c r="AB492" i="4"/>
  <c r="AD492" i="4" s="1"/>
  <c r="AF496" i="4" s="1"/>
  <c r="AH392" i="4"/>
  <c r="AD297" i="4"/>
  <c r="D225" i="4"/>
  <c r="AD69" i="4"/>
  <c r="F1420" i="1"/>
  <c r="L1420" i="1" s="1"/>
  <c r="F1407" i="1"/>
  <c r="L1407" i="1" s="1"/>
  <c r="F1405" i="1"/>
  <c r="L1405" i="1" s="1"/>
  <c r="F1314" i="1"/>
  <c r="L1314" i="1" s="1"/>
  <c r="F1285" i="1"/>
  <c r="F1283" i="1"/>
  <c r="L1283" i="1" s="1"/>
  <c r="K1252" i="1"/>
  <c r="F1249" i="1"/>
  <c r="L1249" i="1" s="1"/>
  <c r="F1237" i="1"/>
  <c r="L1237" i="1" s="1"/>
  <c r="F1202" i="1"/>
  <c r="L1202" i="1" s="1"/>
  <c r="F1180" i="1"/>
  <c r="L1180" i="1" s="1"/>
  <c r="F1162" i="1"/>
  <c r="L1162" i="1" s="1"/>
  <c r="F1145" i="1"/>
  <c r="L1145" i="1" s="1"/>
  <c r="K1138" i="1"/>
  <c r="K1136" i="1"/>
  <c r="F1130" i="1"/>
  <c r="L1130" i="1" s="1"/>
  <c r="F1126" i="1"/>
  <c r="L1126" i="1" s="1"/>
  <c r="F1109" i="1"/>
  <c r="L1109" i="1" s="1"/>
  <c r="K1094" i="1"/>
  <c r="F1043" i="1"/>
  <c r="L1043" i="1" s="1"/>
  <c r="F1027" i="1"/>
  <c r="L1027" i="1" s="1"/>
  <c r="K1010" i="1"/>
  <c r="F967" i="1"/>
  <c r="L967" i="1" s="1"/>
  <c r="K956" i="1"/>
  <c r="B1836" i="4"/>
  <c r="AL1792" i="4"/>
  <c r="AD1658" i="4"/>
  <c r="C905" i="4"/>
  <c r="B905" i="4" s="1"/>
  <c r="E316" i="4"/>
  <c r="E301" i="4"/>
  <c r="B301" i="4" s="1"/>
  <c r="B297" i="4"/>
  <c r="AB192" i="4"/>
  <c r="AD192" i="4" s="1"/>
  <c r="AB200" i="4" s="1"/>
  <c r="D200" i="4" s="1"/>
  <c r="B200" i="4" s="1"/>
  <c r="B145" i="4"/>
  <c r="B69" i="4"/>
  <c r="C2145" i="4"/>
  <c r="D2017" i="4"/>
  <c r="C1952" i="4"/>
  <c r="AB1625" i="4"/>
  <c r="AD1625" i="4" s="1"/>
  <c r="AB1629" i="4" s="1"/>
  <c r="AD1629" i="4" s="1"/>
  <c r="C1132" i="4"/>
  <c r="AF796" i="4"/>
  <c r="AF568" i="4"/>
  <c r="B529" i="4"/>
  <c r="AD525" i="4"/>
  <c r="C468" i="4"/>
  <c r="AH149" i="4"/>
  <c r="F1372" i="1"/>
  <c r="L1372" i="1" s="1"/>
  <c r="F1335" i="1"/>
  <c r="L1335" i="1" s="1"/>
  <c r="F1300" i="1"/>
  <c r="L1300" i="1" s="1"/>
  <c r="F1265" i="1"/>
  <c r="L1265" i="1" s="1"/>
  <c r="F1256" i="1"/>
  <c r="L1256" i="1" s="1"/>
  <c r="K1241" i="1"/>
  <c r="F1199" i="1"/>
  <c r="L1199" i="1" s="1"/>
  <c r="K1192" i="1"/>
  <c r="F1186" i="1"/>
  <c r="L1186" i="1" s="1"/>
  <c r="K1172" i="1"/>
  <c r="F1168" i="1"/>
  <c r="L1168" i="1" s="1"/>
  <c r="F1142" i="1"/>
  <c r="L1142" i="1" s="1"/>
  <c r="F1100" i="1"/>
  <c r="L1100" i="1" s="1"/>
  <c r="K1091" i="1"/>
  <c r="F1087" i="1"/>
  <c r="L1087" i="1" s="1"/>
  <c r="F1067" i="1"/>
  <c r="L1067" i="1" s="1"/>
  <c r="K1060" i="1"/>
  <c r="F1040" i="1"/>
  <c r="L1040" i="1" s="1"/>
  <c r="K1031" i="1"/>
  <c r="F1007" i="1"/>
  <c r="L1007" i="1" s="1"/>
  <c r="AB1400" i="4"/>
  <c r="AD1400" i="4" s="1"/>
  <c r="AF1404" i="4" s="1"/>
  <c r="D1362" i="4"/>
  <c r="AF1175" i="4"/>
  <c r="AH1175" i="4" s="1"/>
  <c r="C1060" i="4"/>
  <c r="A872" i="4"/>
  <c r="AB648" i="4"/>
  <c r="AD648" i="4" s="1"/>
  <c r="AB656" i="4" s="1"/>
  <c r="A656" i="4" s="1"/>
  <c r="K1154" i="1"/>
  <c r="K1118" i="1"/>
  <c r="K1106" i="1"/>
  <c r="J466" i="1"/>
  <c r="AH441" i="1"/>
  <c r="AH442" i="1"/>
  <c r="K1443" i="1"/>
  <c r="F1443" i="1"/>
  <c r="L1443" i="1" s="1"/>
  <c r="F1195" i="1"/>
  <c r="L1195" i="1" s="1"/>
  <c r="K1195" i="1"/>
  <c r="F1157" i="1"/>
  <c r="L1157" i="1" s="1"/>
  <c r="K1157" i="1"/>
  <c r="F1121" i="1"/>
  <c r="L1121" i="1" s="1"/>
  <c r="K1121" i="1"/>
  <c r="F1081" i="1"/>
  <c r="L1081" i="1" s="1"/>
  <c r="K1081" i="1"/>
  <c r="F1039" i="1"/>
  <c r="L1039" i="1" s="1"/>
  <c r="K1039" i="1"/>
  <c r="K1006" i="1"/>
  <c r="F1006" i="1"/>
  <c r="L1006" i="1" s="1"/>
  <c r="F980" i="1"/>
  <c r="L980" i="1" s="1"/>
  <c r="K980" i="1"/>
  <c r="K952" i="1"/>
  <c r="F952" i="1"/>
  <c r="L952" i="1" s="1"/>
  <c r="AH736" i="1"/>
  <c r="AH739" i="1"/>
  <c r="AH740" i="1"/>
  <c r="K1447" i="1"/>
  <c r="F1414" i="1"/>
  <c r="L1414" i="1" s="1"/>
  <c r="K1414" i="1"/>
  <c r="F1375" i="1"/>
  <c r="L1375" i="1" s="1"/>
  <c r="K1375" i="1"/>
  <c r="F1363" i="1"/>
  <c r="L1363" i="1" s="1"/>
  <c r="K1363" i="1"/>
  <c r="F1295" i="1"/>
  <c r="L1295" i="1" s="1"/>
  <c r="K1295" i="1"/>
  <c r="F1246" i="1"/>
  <c r="L1246" i="1" s="1"/>
  <c r="K1246" i="1"/>
  <c r="F1225" i="1"/>
  <c r="L1225" i="1" s="1"/>
  <c r="K1225" i="1"/>
  <c r="F1177" i="1"/>
  <c r="L1177" i="1" s="1"/>
  <c r="K1177" i="1"/>
  <c r="F1063" i="1"/>
  <c r="L1063" i="1" s="1"/>
  <c r="K1063" i="1"/>
  <c r="F1450" i="1"/>
  <c r="L1450" i="1" s="1"/>
  <c r="F1444" i="1"/>
  <c r="L1444" i="1" s="1"/>
  <c r="K1431" i="1"/>
  <c r="F1431" i="1"/>
  <c r="L1431" i="1" s="1"/>
  <c r="K1419" i="1"/>
  <c r="F1419" i="1"/>
  <c r="L1419" i="1" s="1"/>
  <c r="F1384" i="1"/>
  <c r="L1384" i="1" s="1"/>
  <c r="K1384" i="1"/>
  <c r="F1253" i="1"/>
  <c r="L1253" i="1" s="1"/>
  <c r="K1253" i="1"/>
  <c r="F1159" i="1"/>
  <c r="L1159" i="1" s="1"/>
  <c r="K1159" i="1"/>
  <c r="F1123" i="1"/>
  <c r="L1123" i="1" s="1"/>
  <c r="K1123" i="1"/>
  <c r="F1019" i="1"/>
  <c r="L1019" i="1" s="1"/>
  <c r="K1019" i="1"/>
  <c r="F1377" i="1"/>
  <c r="L1377" i="1" s="1"/>
  <c r="K1377" i="1"/>
  <c r="F1339" i="1"/>
  <c r="L1339" i="1" s="1"/>
  <c r="K1339" i="1"/>
  <c r="F1297" i="1"/>
  <c r="L1297" i="1" s="1"/>
  <c r="K1297" i="1"/>
  <c r="F1277" i="1"/>
  <c r="L1277" i="1" s="1"/>
  <c r="K1277" i="1"/>
  <c r="F1211" i="1"/>
  <c r="L1211" i="1" s="1"/>
  <c r="K1211" i="1"/>
  <c r="F1139" i="1"/>
  <c r="L1139" i="1" s="1"/>
  <c r="K1139" i="1"/>
  <c r="K1108" i="1"/>
  <c r="F1108" i="1"/>
  <c r="L1108" i="1" s="1"/>
  <c r="F1097" i="1"/>
  <c r="L1097" i="1" s="1"/>
  <c r="K1097" i="1"/>
  <c r="K1437" i="1"/>
  <c r="F1437" i="1"/>
  <c r="L1437" i="1" s="1"/>
  <c r="F1255" i="1"/>
  <c r="L1255" i="1" s="1"/>
  <c r="K1255" i="1"/>
  <c r="F1193" i="1"/>
  <c r="L1193" i="1" s="1"/>
  <c r="K1193" i="1"/>
  <c r="F1079" i="1"/>
  <c r="L1079" i="1" s="1"/>
  <c r="K1079" i="1"/>
  <c r="F1037" i="1"/>
  <c r="L1037" i="1" s="1"/>
  <c r="K1037" i="1"/>
  <c r="F1021" i="1"/>
  <c r="L1021" i="1" s="1"/>
  <c r="K1021" i="1"/>
  <c r="K988" i="1"/>
  <c r="F988" i="1"/>
  <c r="L988" i="1" s="1"/>
  <c r="AH737" i="1"/>
  <c r="AH348" i="1"/>
  <c r="AH87" i="1"/>
  <c r="J87" i="1" s="1"/>
  <c r="K1425" i="1"/>
  <c r="F1425" i="1"/>
  <c r="L1425" i="1" s="1"/>
  <c r="F1341" i="1"/>
  <c r="L1341" i="1" s="1"/>
  <c r="K1341" i="1"/>
  <c r="F1309" i="1"/>
  <c r="L1309" i="1" s="1"/>
  <c r="K1309" i="1"/>
  <c r="F1279" i="1"/>
  <c r="L1279" i="1" s="1"/>
  <c r="K1279" i="1"/>
  <c r="F1244" i="1"/>
  <c r="L1244" i="1" s="1"/>
  <c r="K1244" i="1"/>
  <c r="F1223" i="1"/>
  <c r="L1223" i="1" s="1"/>
  <c r="K1223" i="1"/>
  <c r="F1213" i="1"/>
  <c r="L1213" i="1" s="1"/>
  <c r="K1213" i="1"/>
  <c r="F1175" i="1"/>
  <c r="L1175" i="1" s="1"/>
  <c r="K1175" i="1"/>
  <c r="F1141" i="1"/>
  <c r="L1141" i="1" s="1"/>
  <c r="K1141" i="1"/>
  <c r="F1099" i="1"/>
  <c r="L1099" i="1" s="1"/>
  <c r="K1099" i="1"/>
  <c r="F1061" i="1"/>
  <c r="L1061" i="1" s="1"/>
  <c r="K1061" i="1"/>
  <c r="F1408" i="1"/>
  <c r="L1408" i="1" s="1"/>
  <c r="F955" i="1"/>
  <c r="L955" i="1" s="1"/>
  <c r="H1365" i="1"/>
  <c r="F1360" i="1"/>
  <c r="L1360" i="1" s="1"/>
  <c r="F1353" i="1"/>
  <c r="L1353" i="1" s="1"/>
  <c r="F1351" i="1"/>
  <c r="L1351" i="1" s="1"/>
  <c r="F1330" i="1"/>
  <c r="L1330" i="1" s="1"/>
  <c r="H1322" i="1"/>
  <c r="H1454" i="1" s="1"/>
  <c r="F1320" i="1"/>
  <c r="L1320" i="1" s="1"/>
  <c r="F1318" i="1"/>
  <c r="L1318" i="1" s="1"/>
  <c r="F1288" i="1"/>
  <c r="L1288" i="1" s="1"/>
  <c r="F1286" i="1"/>
  <c r="L1286" i="1" s="1"/>
  <c r="F1270" i="1"/>
  <c r="L1270" i="1" s="1"/>
  <c r="F1262" i="1"/>
  <c r="L1262" i="1" s="1"/>
  <c r="F1250" i="1"/>
  <c r="L1250" i="1" s="1"/>
  <c r="K1228" i="1"/>
  <c r="K1219" i="1"/>
  <c r="F1395" i="1"/>
  <c r="L1395" i="1" s="1"/>
  <c r="F1393" i="1"/>
  <c r="L1393" i="1" s="1"/>
  <c r="F1018" i="1"/>
  <c r="L1018" i="1" s="1"/>
  <c r="F1001" i="1"/>
  <c r="F983" i="1"/>
  <c r="L983" i="1" s="1"/>
  <c r="H1215" i="1"/>
  <c r="F1012" i="1"/>
  <c r="L1012" i="1" s="1"/>
  <c r="F994" i="1"/>
  <c r="L994" i="1" s="1"/>
  <c r="F977" i="1"/>
  <c r="L977" i="1" s="1"/>
  <c r="F970" i="1"/>
  <c r="L970" i="1" s="1"/>
  <c r="F964" i="1"/>
  <c r="L964" i="1" s="1"/>
  <c r="F958" i="1"/>
  <c r="L958" i="1" s="1"/>
  <c r="J1365" i="1"/>
  <c r="J1322" i="1"/>
  <c r="J1215" i="1"/>
  <c r="I15" i="1"/>
  <c r="J15" i="1" s="1"/>
  <c r="I14" i="1"/>
  <c r="J14" i="1" s="1"/>
  <c r="AB1703" i="4"/>
  <c r="AB1743" i="4"/>
  <c r="AB1783" i="4"/>
  <c r="G70" i="6"/>
  <c r="G36" i="1"/>
  <c r="H36" i="1" s="1"/>
  <c r="K92" i="3"/>
  <c r="L92" i="3" s="1"/>
  <c r="K41" i="3"/>
  <c r="L41" i="3" s="1"/>
  <c r="K75" i="3"/>
  <c r="L75" i="3" s="1"/>
  <c r="K58" i="3"/>
  <c r="L58" i="3" s="1"/>
  <c r="K126" i="3"/>
  <c r="L126" i="3" s="1"/>
  <c r="K109" i="3"/>
  <c r="L109" i="3" s="1"/>
  <c r="K55" i="3"/>
  <c r="L55" i="3" s="1"/>
  <c r="K123" i="3"/>
  <c r="L123" i="3" s="1"/>
  <c r="K106" i="3"/>
  <c r="L106" i="3" s="1"/>
  <c r="K89" i="3"/>
  <c r="L89" i="3" s="1"/>
  <c r="K38" i="3"/>
  <c r="L38" i="3" s="1"/>
  <c r="K72" i="3"/>
  <c r="L72" i="3" s="1"/>
  <c r="K94" i="3"/>
  <c r="L94" i="3" s="1"/>
  <c r="K43" i="3"/>
  <c r="L43" i="3" s="1"/>
  <c r="K77" i="3"/>
  <c r="L77" i="3" s="1"/>
  <c r="K60" i="3"/>
  <c r="L60" i="3" s="1"/>
  <c r="K128" i="3"/>
  <c r="L128" i="3" s="1"/>
  <c r="K59" i="3"/>
  <c r="L59" i="3" s="1"/>
  <c r="K127" i="3"/>
  <c r="L127" i="3" s="1"/>
  <c r="K110" i="3"/>
  <c r="L110" i="3" s="1"/>
  <c r="K93" i="3"/>
  <c r="L93" i="3" s="1"/>
  <c r="K42" i="3"/>
  <c r="L42" i="3" s="1"/>
  <c r="K76" i="3"/>
  <c r="L76" i="3" s="1"/>
  <c r="K57" i="3"/>
  <c r="L57" i="3" s="1"/>
  <c r="K125" i="3"/>
  <c r="L125" i="3" s="1"/>
  <c r="K108" i="3"/>
  <c r="L108" i="3" s="1"/>
  <c r="K91" i="3"/>
  <c r="L91" i="3" s="1"/>
  <c r="K40" i="3"/>
  <c r="L40" i="3" s="1"/>
  <c r="K74" i="3"/>
  <c r="L74" i="3" s="1"/>
  <c r="K90" i="3"/>
  <c r="L90" i="3" s="1"/>
  <c r="K39" i="3"/>
  <c r="L39" i="3" s="1"/>
  <c r="K73" i="3"/>
  <c r="L73" i="3" s="1"/>
  <c r="K56" i="3"/>
  <c r="L56" i="3" s="1"/>
  <c r="K124" i="3"/>
  <c r="L124" i="3" s="1"/>
  <c r="AB30" i="1"/>
  <c r="AB29" i="1"/>
  <c r="AB28" i="1"/>
  <c r="AB27" i="1"/>
  <c r="AH601" i="1"/>
  <c r="AB26" i="1"/>
  <c r="AH602" i="1"/>
  <c r="AB25" i="1"/>
  <c r="AH603" i="1"/>
  <c r="AB24" i="1"/>
  <c r="AH604" i="1"/>
  <c r="AB23" i="1"/>
  <c r="AH605" i="1"/>
  <c r="AB22" i="1"/>
  <c r="AB21" i="1"/>
  <c r="I337" i="1"/>
  <c r="J337" i="1" s="1"/>
  <c r="AH347" i="1" s="1"/>
  <c r="I158" i="1"/>
  <c r="J158" i="1" s="1"/>
  <c r="I205" i="1"/>
  <c r="J205" i="1" s="1"/>
  <c r="I157" i="1"/>
  <c r="J157" i="1" s="1"/>
  <c r="I204" i="1"/>
  <c r="J204" i="1" s="1"/>
  <c r="I156" i="1"/>
  <c r="J156" i="1" s="1"/>
  <c r="I203" i="1"/>
  <c r="J203" i="1" s="1"/>
  <c r="I155" i="1"/>
  <c r="J155" i="1" s="1"/>
  <c r="I202" i="1"/>
  <c r="J202" i="1" s="1"/>
  <c r="I154" i="1"/>
  <c r="J154" i="1" s="1"/>
  <c r="I201" i="1"/>
  <c r="J201" i="1" s="1"/>
  <c r="I153" i="1"/>
  <c r="J153" i="1" s="1"/>
  <c r="I200" i="1"/>
  <c r="J200" i="1" s="1"/>
  <c r="I152" i="1"/>
  <c r="J152" i="1" s="1"/>
  <c r="I199" i="1"/>
  <c r="J199" i="1" s="1"/>
  <c r="I151" i="1"/>
  <c r="J151" i="1" s="1"/>
  <c r="I198" i="1"/>
  <c r="J198" i="1" s="1"/>
  <c r="I150" i="1"/>
  <c r="J150" i="1" s="1"/>
  <c r="I197" i="1"/>
  <c r="J197" i="1" s="1"/>
  <c r="I149" i="1"/>
  <c r="J149" i="1" s="1"/>
  <c r="I196" i="1"/>
  <c r="J196" i="1" s="1"/>
  <c r="I148" i="1"/>
  <c r="J148" i="1" s="1"/>
  <c r="I195" i="1"/>
  <c r="J195" i="1" s="1"/>
  <c r="I147" i="1"/>
  <c r="J147" i="1" s="1"/>
  <c r="I194" i="1"/>
  <c r="J194" i="1" s="1"/>
  <c r="I146" i="1"/>
  <c r="J146" i="1" s="1"/>
  <c r="I193" i="1"/>
  <c r="J193" i="1" s="1"/>
  <c r="I145" i="1"/>
  <c r="J145" i="1" s="1"/>
  <c r="I192" i="1"/>
  <c r="J192" i="1" s="1"/>
  <c r="J195" i="3"/>
  <c r="E195" i="3"/>
  <c r="G91" i="3"/>
  <c r="H49" i="3"/>
  <c r="E49" i="3"/>
  <c r="J267" i="3"/>
  <c r="E267" i="3"/>
  <c r="H117" i="3"/>
  <c r="E117" i="3"/>
  <c r="H101" i="3"/>
  <c r="E101" i="3"/>
  <c r="H35" i="3"/>
  <c r="F35" i="3" s="1"/>
  <c r="E35" i="3"/>
  <c r="G60" i="3"/>
  <c r="G128" i="3"/>
  <c r="G111" i="3"/>
  <c r="G94" i="3"/>
  <c r="G43" i="3"/>
  <c r="G77" i="3"/>
  <c r="G58" i="3"/>
  <c r="G126" i="3"/>
  <c r="G109" i="3"/>
  <c r="G92" i="3"/>
  <c r="G41" i="3"/>
  <c r="G75" i="3"/>
  <c r="G56" i="3"/>
  <c r="G124" i="3"/>
  <c r="G107" i="3"/>
  <c r="G90" i="3"/>
  <c r="G39" i="3"/>
  <c r="G73" i="3"/>
  <c r="G38" i="3"/>
  <c r="G72" i="3"/>
  <c r="G55" i="3"/>
  <c r="G123" i="3"/>
  <c r="G106" i="3"/>
  <c r="F889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J213" i="3"/>
  <c r="E213" i="3"/>
  <c r="J177" i="3"/>
  <c r="E177" i="3"/>
  <c r="J149" i="3"/>
  <c r="E149" i="3"/>
  <c r="J137" i="3"/>
  <c r="F137" i="3" s="1"/>
  <c r="E137" i="3"/>
  <c r="G93" i="3"/>
  <c r="H85" i="3"/>
  <c r="F85" i="3" s="1"/>
  <c r="E85" i="3"/>
  <c r="H69" i="3"/>
  <c r="F69" i="3" s="1"/>
  <c r="E69" i="3"/>
  <c r="H122" i="3"/>
  <c r="H88" i="3"/>
  <c r="H71" i="3"/>
  <c r="H54" i="3"/>
  <c r="H37" i="3"/>
  <c r="G42" i="3"/>
  <c r="G76" i="3"/>
  <c r="G59" i="3"/>
  <c r="G127" i="3"/>
  <c r="G110" i="3"/>
  <c r="G40" i="3"/>
  <c r="G74" i="3"/>
  <c r="G57" i="3"/>
  <c r="G125" i="3"/>
  <c r="G108" i="3"/>
  <c r="F71" i="6"/>
  <c r="G71" i="6" s="1"/>
  <c r="G72" i="6" s="1"/>
  <c r="F8" i="5" s="1"/>
  <c r="J221" i="3"/>
  <c r="F221" i="3" s="1"/>
  <c r="E221" i="3"/>
  <c r="F219" i="3"/>
  <c r="K107" i="3"/>
  <c r="L107" i="3" s="1"/>
  <c r="F250" i="3"/>
  <c r="J243" i="3"/>
  <c r="E243" i="3"/>
  <c r="J237" i="3"/>
  <c r="E237" i="3"/>
  <c r="J161" i="3"/>
  <c r="E161" i="3"/>
  <c r="F100" i="3"/>
  <c r="G89" i="3"/>
  <c r="J261" i="3"/>
  <c r="J255" i="3"/>
  <c r="E250" i="3"/>
  <c r="J239" i="3"/>
  <c r="F239" i="3" s="1"/>
  <c r="J231" i="3"/>
  <c r="J207" i="3"/>
  <c r="E204" i="3"/>
  <c r="J201" i="3"/>
  <c r="J189" i="3"/>
  <c r="E186" i="3"/>
  <c r="J183" i="3"/>
  <c r="J171" i="3"/>
  <c r="J145" i="3"/>
  <c r="F145" i="3" s="1"/>
  <c r="H103" i="3"/>
  <c r="F103" i="3" s="1"/>
  <c r="E100" i="3"/>
  <c r="E84" i="3"/>
  <c r="J232" i="3"/>
  <c r="F232" i="3" s="1"/>
  <c r="H228" i="3"/>
  <c r="J158" i="3"/>
  <c r="J152" i="3"/>
  <c r="J140" i="3"/>
  <c r="J134" i="3"/>
  <c r="H120" i="3"/>
  <c r="F120" i="3" s="1"/>
  <c r="H66" i="3"/>
  <c r="H52" i="3"/>
  <c r="F52" i="3" s="1"/>
  <c r="H32" i="3"/>
  <c r="G893" i="1"/>
  <c r="H893" i="1" s="1"/>
  <c r="G702" i="1"/>
  <c r="H702" i="1" s="1"/>
  <c r="G721" i="1"/>
  <c r="H721" i="1" s="1"/>
  <c r="G648" i="1"/>
  <c r="H648" i="1" s="1"/>
  <c r="G598" i="1"/>
  <c r="H598" i="1" s="1"/>
  <c r="G518" i="1"/>
  <c r="H518" i="1" s="1"/>
  <c r="E2878" i="4"/>
  <c r="AL2878" i="4"/>
  <c r="G697" i="1"/>
  <c r="H697" i="1" s="1"/>
  <c r="G619" i="1"/>
  <c r="H619" i="1" s="1"/>
  <c r="G613" i="1"/>
  <c r="H613" i="1" s="1"/>
  <c r="G642" i="1"/>
  <c r="H642" i="1" s="1"/>
  <c r="G636" i="1"/>
  <c r="H636" i="1" s="1"/>
  <c r="G591" i="1"/>
  <c r="H591" i="1" s="1"/>
  <c r="G685" i="1"/>
  <c r="H685" i="1" s="1"/>
  <c r="G673" i="1"/>
  <c r="H673" i="1" s="1"/>
  <c r="G660" i="1"/>
  <c r="H660" i="1" s="1"/>
  <c r="G597" i="1"/>
  <c r="H597" i="1" s="1"/>
  <c r="G575" i="1"/>
  <c r="H575" i="1" s="1"/>
  <c r="G533" i="1"/>
  <c r="H533" i="1" s="1"/>
  <c r="G715" i="1"/>
  <c r="H715" i="1" s="1"/>
  <c r="G709" i="1"/>
  <c r="H709" i="1" s="1"/>
  <c r="G696" i="1"/>
  <c r="H696" i="1" s="1"/>
  <c r="G624" i="1"/>
  <c r="H624" i="1" s="1"/>
  <c r="G606" i="1"/>
  <c r="H606" i="1" s="1"/>
  <c r="G515" i="1"/>
  <c r="H515" i="1" s="1"/>
  <c r="G637" i="1"/>
  <c r="H637" i="1" s="1"/>
  <c r="G592" i="1"/>
  <c r="H592" i="1" s="1"/>
  <c r="G585" i="1"/>
  <c r="H585" i="1" s="1"/>
  <c r="G491" i="1"/>
  <c r="H491" i="1" s="1"/>
  <c r="G539" i="1"/>
  <c r="H539" i="1" s="1"/>
  <c r="G521" i="1"/>
  <c r="H521" i="1" s="1"/>
  <c r="G497" i="1"/>
  <c r="H497" i="1" s="1"/>
  <c r="G478" i="1"/>
  <c r="H478" i="1" s="1"/>
  <c r="G472" i="1"/>
  <c r="H472" i="1" s="1"/>
  <c r="G438" i="1"/>
  <c r="H438" i="1" s="1"/>
  <c r="G581" i="1"/>
  <c r="H581" i="1" s="1"/>
  <c r="G569" i="1"/>
  <c r="H569" i="1" s="1"/>
  <c r="G545" i="1"/>
  <c r="H545" i="1" s="1"/>
  <c r="G493" i="1"/>
  <c r="H493" i="1" s="1"/>
  <c r="G485" i="1"/>
  <c r="H485" i="1" s="1"/>
  <c r="G551" i="1"/>
  <c r="H551" i="1" s="1"/>
  <c r="G527" i="1"/>
  <c r="H527" i="1" s="1"/>
  <c r="G509" i="1"/>
  <c r="H509" i="1" s="1"/>
  <c r="G503" i="1"/>
  <c r="H503" i="1" s="1"/>
  <c r="G563" i="1"/>
  <c r="H563" i="1" s="1"/>
  <c r="G557" i="1"/>
  <c r="H557" i="1" s="1"/>
  <c r="AL3185" i="4"/>
  <c r="AJ3202" i="4" s="1"/>
  <c r="E3185" i="4"/>
  <c r="G580" i="1"/>
  <c r="H580" i="1" s="1"/>
  <c r="G574" i="1"/>
  <c r="H574" i="1" s="1"/>
  <c r="G562" i="1"/>
  <c r="H562" i="1" s="1"/>
  <c r="AD3364" i="4"/>
  <c r="AD3380" i="4" s="1"/>
  <c r="AD3386" i="4" s="1"/>
  <c r="C3390" i="4" s="1"/>
  <c r="C3364" i="4"/>
  <c r="E3568" i="4"/>
  <c r="B3568" i="4" s="1"/>
  <c r="AL3568" i="4"/>
  <c r="AD3501" i="4"/>
  <c r="C3505" i="4" s="1"/>
  <c r="C3501" i="4"/>
  <c r="AL3149" i="4"/>
  <c r="AJ3164" i="4" s="1"/>
  <c r="E3164" i="4" s="1"/>
  <c r="E3149" i="4"/>
  <c r="AH3576" i="4"/>
  <c r="D3580" i="4" s="1"/>
  <c r="D3545" i="4" s="1"/>
  <c r="D3576" i="4"/>
  <c r="AB3105" i="4"/>
  <c r="AB3102" i="4"/>
  <c r="AB3099" i="4"/>
  <c r="AB3108" i="4"/>
  <c r="AB3564" i="4"/>
  <c r="AH3460" i="4"/>
  <c r="D3460" i="4"/>
  <c r="B3460" i="4" s="1"/>
  <c r="E3418" i="4"/>
  <c r="AL3418" i="4"/>
  <c r="A3406" i="4"/>
  <c r="C3406" i="4"/>
  <c r="B3406" i="4" s="1"/>
  <c r="AH3401" i="4"/>
  <c r="AF3418" i="4" s="1"/>
  <c r="D3401" i="4"/>
  <c r="B3401" i="4" s="1"/>
  <c r="A3306" i="4"/>
  <c r="C3306" i="4"/>
  <c r="B3306" i="4" s="1"/>
  <c r="C3165" i="4"/>
  <c r="AD3165" i="4"/>
  <c r="AB3170" i="4" s="1"/>
  <c r="C3170" i="4" s="1"/>
  <c r="D3023" i="4"/>
  <c r="B3023" i="4" s="1"/>
  <c r="AH3023" i="4"/>
  <c r="AF3040" i="4" s="1"/>
  <c r="C2932" i="4"/>
  <c r="AD2932" i="4"/>
  <c r="AD2948" i="4" s="1"/>
  <c r="AD2954" i="4" s="1"/>
  <c r="C2958" i="4" s="1"/>
  <c r="AD3539" i="4"/>
  <c r="C3543" i="4" s="1"/>
  <c r="C3539" i="4"/>
  <c r="AD3530" i="4"/>
  <c r="C3530" i="4"/>
  <c r="B3530" i="4" s="1"/>
  <c r="AL3273" i="4"/>
  <c r="E3273" i="4"/>
  <c r="B3273" i="4" s="1"/>
  <c r="AH3257" i="4"/>
  <c r="AD3261" i="4" s="1"/>
  <c r="D3257" i="4"/>
  <c r="B3469" i="4"/>
  <c r="E3451" i="4"/>
  <c r="AL3451" i="4"/>
  <c r="AH3435" i="4"/>
  <c r="AF3440" i="4" s="1"/>
  <c r="D3440" i="4" s="1"/>
  <c r="D3435" i="4"/>
  <c r="B3435" i="4" s="1"/>
  <c r="A3082" i="4"/>
  <c r="C3082" i="4"/>
  <c r="B3082" i="4" s="1"/>
  <c r="A2972" i="4"/>
  <c r="AD2972" i="4"/>
  <c r="AD2974" i="4" s="1"/>
  <c r="AD2978" i="4" s="1"/>
  <c r="AD2980" i="4" s="1"/>
  <c r="AD2982" i="4" s="1"/>
  <c r="AD2984" i="4" s="1"/>
  <c r="AB2986" i="4" s="1"/>
  <c r="C2972" i="4"/>
  <c r="B2972" i="4" s="1"/>
  <c r="AD2662" i="4"/>
  <c r="C2662" i="4"/>
  <c r="AH2554" i="4"/>
  <c r="D2554" i="4"/>
  <c r="AD3553" i="4"/>
  <c r="AB3573" i="4" s="1"/>
  <c r="A3553" i="4"/>
  <c r="E3553" i="4"/>
  <c r="B3553" i="4" s="1"/>
  <c r="E3512" i="4"/>
  <c r="AL3512" i="4"/>
  <c r="AJ3519" i="4" s="1"/>
  <c r="D3364" i="4"/>
  <c r="AH3364" i="4"/>
  <c r="E3310" i="4"/>
  <c r="AD3306" i="4"/>
  <c r="AD3308" i="4" s="1"/>
  <c r="AB3310" i="4" s="1"/>
  <c r="B3550" i="4"/>
  <c r="AH3519" i="4"/>
  <c r="D3523" i="4" s="1"/>
  <c r="D3507" i="4" s="1"/>
  <c r="D3519" i="4"/>
  <c r="AH3501" i="4"/>
  <c r="D3505" i="4" s="1"/>
  <c r="D3483" i="4" s="1"/>
  <c r="D3501" i="4"/>
  <c r="AD3419" i="4"/>
  <c r="AB3434" i="4" s="1"/>
  <c r="C3434" i="4" s="1"/>
  <c r="C3419" i="4"/>
  <c r="B3419" i="4" s="1"/>
  <c r="D3426" i="4"/>
  <c r="B3426" i="4" s="1"/>
  <c r="A3426" i="4"/>
  <c r="B3381" i="4"/>
  <c r="AH3256" i="4"/>
  <c r="D3256" i="4"/>
  <c r="A3142" i="4"/>
  <c r="C3142" i="4"/>
  <c r="B3142" i="4" s="1"/>
  <c r="A3054" i="4"/>
  <c r="D3054" i="4"/>
  <c r="B3054" i="4" s="1"/>
  <c r="AH2878" i="4"/>
  <c r="D2878" i="4"/>
  <c r="A2764" i="4"/>
  <c r="C2764" i="4"/>
  <c r="B2764" i="4" s="1"/>
  <c r="AB2781" i="4"/>
  <c r="AB2778" i="4"/>
  <c r="AB2775" i="4"/>
  <c r="A2676" i="4"/>
  <c r="D2676" i="4"/>
  <c r="B2676" i="4" s="1"/>
  <c r="E2645" i="4"/>
  <c r="B2645" i="4" s="1"/>
  <c r="AL2645" i="4"/>
  <c r="AJ2662" i="4" s="1"/>
  <c r="AB2514" i="4"/>
  <c r="AB2511" i="4"/>
  <c r="AB2508" i="4"/>
  <c r="AB2505" i="4"/>
  <c r="AD2505" i="4" s="1"/>
  <c r="A2460" i="4"/>
  <c r="D2460" i="4"/>
  <c r="B2460" i="4" s="1"/>
  <c r="AD2447" i="4"/>
  <c r="AB2462" i="4" s="1"/>
  <c r="C2462" i="4" s="1"/>
  <c r="C2447" i="4"/>
  <c r="B2447" i="4" s="1"/>
  <c r="E2321" i="4"/>
  <c r="B2321" i="4" s="1"/>
  <c r="AL2321" i="4"/>
  <c r="AJ2338" i="4" s="1"/>
  <c r="AD2043" i="4"/>
  <c r="C2043" i="4"/>
  <c r="B2043" i="4" s="1"/>
  <c r="AD1978" i="4"/>
  <c r="C1978" i="4"/>
  <c r="D1890" i="4"/>
  <c r="B1890" i="4" s="1"/>
  <c r="A1890" i="4"/>
  <c r="AD1433" i="4"/>
  <c r="C1433" i="4"/>
  <c r="B1433" i="4" s="1"/>
  <c r="F1350" i="1"/>
  <c r="L1350" i="1" s="1"/>
  <c r="K1350" i="1"/>
  <c r="AL3530" i="4"/>
  <c r="AJ3539" i="4" s="1"/>
  <c r="AD3460" i="4"/>
  <c r="AD3456" i="4"/>
  <c r="AD3435" i="4"/>
  <c r="AB3440" i="4" s="1"/>
  <c r="C3440" i="4" s="1"/>
  <c r="AL3419" i="4"/>
  <c r="AJ3434" i="4" s="1"/>
  <c r="E3434" i="4" s="1"/>
  <c r="AD3401" i="4"/>
  <c r="AD3404" i="4" s="1"/>
  <c r="AD3406" i="4" s="1"/>
  <c r="AD3410" i="4" s="1"/>
  <c r="AD3412" i="4" s="1"/>
  <c r="AD3414" i="4" s="1"/>
  <c r="AD3416" i="4" s="1"/>
  <c r="AB3418" i="4" s="1"/>
  <c r="AH3365" i="4"/>
  <c r="D3365" i="4"/>
  <c r="B3365" i="4" s="1"/>
  <c r="AH3202" i="4"/>
  <c r="AH3148" i="4"/>
  <c r="E3148" i="4"/>
  <c r="AL3148" i="4"/>
  <c r="AB3162" i="4"/>
  <c r="AB3159" i="4"/>
  <c r="AB3156" i="4"/>
  <c r="AD3026" i="4"/>
  <c r="AD3028" i="4" s="1"/>
  <c r="AD3032" i="4" s="1"/>
  <c r="AD3034" i="4" s="1"/>
  <c r="AD3036" i="4" s="1"/>
  <c r="AD3038" i="4" s="1"/>
  <c r="AB3040" i="4" s="1"/>
  <c r="B2949" i="4"/>
  <c r="C2930" i="4"/>
  <c r="B2930" i="4" s="1"/>
  <c r="B2825" i="4"/>
  <c r="AH2787" i="4"/>
  <c r="AF2792" i="4" s="1"/>
  <c r="D2792" i="4" s="1"/>
  <c r="D2787" i="4"/>
  <c r="B2787" i="4" s="1"/>
  <c r="AD2771" i="4"/>
  <c r="AB2786" i="4" s="1"/>
  <c r="C2786" i="4" s="1"/>
  <c r="C2771" i="4"/>
  <c r="B2771" i="4" s="1"/>
  <c r="AH2753" i="4"/>
  <c r="AF2770" i="4" s="1"/>
  <c r="D2753" i="4"/>
  <c r="B2753" i="4" s="1"/>
  <c r="AH2716" i="4"/>
  <c r="AH2662" i="4"/>
  <c r="D2662" i="4"/>
  <c r="B2625" i="4"/>
  <c r="AD2571" i="4"/>
  <c r="AB2576" i="4" s="1"/>
  <c r="C2576" i="4" s="1"/>
  <c r="C2571" i="4"/>
  <c r="B2571" i="4" s="1"/>
  <c r="B2501" i="4"/>
  <c r="AH2429" i="4"/>
  <c r="AF2446" i="4" s="1"/>
  <c r="D2429" i="4"/>
  <c r="B2429" i="4" s="1"/>
  <c r="AH2392" i="4"/>
  <c r="D2392" i="4"/>
  <c r="E2355" i="4"/>
  <c r="B2355" i="4" s="1"/>
  <c r="AL2355" i="4"/>
  <c r="AH2338" i="4"/>
  <c r="D2338" i="4"/>
  <c r="E2284" i="4"/>
  <c r="AL2284" i="4"/>
  <c r="AD2030" i="4"/>
  <c r="C2030" i="4"/>
  <c r="B2030" i="4" s="1"/>
  <c r="AD2017" i="4"/>
  <c r="C2017" i="4"/>
  <c r="B2017" i="4" s="1"/>
  <c r="AD2004" i="4"/>
  <c r="C2004" i="4"/>
  <c r="B2004" i="4" s="1"/>
  <c r="AD1991" i="4"/>
  <c r="C1991" i="4"/>
  <c r="B1991" i="4" s="1"/>
  <c r="E1939" i="4"/>
  <c r="B1939" i="4" s="1"/>
  <c r="AL1939" i="4"/>
  <c r="AD1900" i="4"/>
  <c r="AF1900" i="4" s="1"/>
  <c r="A1900" i="4" s="1"/>
  <c r="A1681" i="4"/>
  <c r="C1681" i="4"/>
  <c r="B1681" i="4" s="1"/>
  <c r="B1602" i="4"/>
  <c r="AD3185" i="4"/>
  <c r="AD3188" i="4" s="1"/>
  <c r="AD3190" i="4" s="1"/>
  <c r="AD3194" i="4" s="1"/>
  <c r="AD3196" i="4" s="1"/>
  <c r="AD3198" i="4" s="1"/>
  <c r="AD3200" i="4" s="1"/>
  <c r="AB3202" i="4" s="1"/>
  <c r="C3185" i="4"/>
  <c r="A3088" i="4"/>
  <c r="C3088" i="4"/>
  <c r="B3088" i="4" s="1"/>
  <c r="AH3077" i="4"/>
  <c r="AF3094" i="4" s="1"/>
  <c r="D3077" i="4"/>
  <c r="B3077" i="4" s="1"/>
  <c r="C3026" i="4"/>
  <c r="B3026" i="4" s="1"/>
  <c r="E3003" i="4"/>
  <c r="B3003" i="4" s="1"/>
  <c r="AL3003" i="4"/>
  <c r="AH2987" i="4"/>
  <c r="D2987" i="4"/>
  <c r="B2987" i="4" s="1"/>
  <c r="E2969" i="4"/>
  <c r="B2969" i="4" s="1"/>
  <c r="AL2969" i="4"/>
  <c r="AJ2986" i="4" s="1"/>
  <c r="AH2932" i="4"/>
  <c r="D2932" i="4"/>
  <c r="A2892" i="4"/>
  <c r="C2874" i="4"/>
  <c r="B2874" i="4" s="1"/>
  <c r="C2818" i="4"/>
  <c r="B2818" i="4" s="1"/>
  <c r="E2824" i="4"/>
  <c r="AL2824" i="4"/>
  <c r="AL2840" i="4" s="1"/>
  <c r="AB2838" i="4"/>
  <c r="AB2835" i="4"/>
  <c r="AB2832" i="4"/>
  <c r="A2702" i="4"/>
  <c r="C2702" i="4"/>
  <c r="B2702" i="4" s="1"/>
  <c r="A2660" i="4"/>
  <c r="C2660" i="4"/>
  <c r="B2660" i="4" s="1"/>
  <c r="E2608" i="4"/>
  <c r="AL2608" i="4"/>
  <c r="AH2463" i="4"/>
  <c r="AF2468" i="4" s="1"/>
  <c r="D2468" i="4" s="1"/>
  <c r="D2463" i="4"/>
  <c r="B2463" i="4" s="1"/>
  <c r="A2434" i="4"/>
  <c r="C2434" i="4"/>
  <c r="B2434" i="4" s="1"/>
  <c r="A2280" i="4"/>
  <c r="C2280" i="4"/>
  <c r="B2280" i="4" s="1"/>
  <c r="B2267" i="4"/>
  <c r="AH2249" i="4"/>
  <c r="D2249" i="4"/>
  <c r="B2249" i="4" s="1"/>
  <c r="AH2236" i="4"/>
  <c r="D2236" i="4"/>
  <c r="B2236" i="4" s="1"/>
  <c r="AH2223" i="4"/>
  <c r="D2223" i="4"/>
  <c r="B2223" i="4" s="1"/>
  <c r="A1725" i="4"/>
  <c r="C1725" i="4"/>
  <c r="B1725" i="4" s="1"/>
  <c r="E1283" i="4"/>
  <c r="AL1283" i="4"/>
  <c r="D3559" i="4"/>
  <c r="D3493" i="4"/>
  <c r="B3493" i="4" s="1"/>
  <c r="C3456" i="4"/>
  <c r="B3456" i="4" s="1"/>
  <c r="AB3423" i="4"/>
  <c r="C3412" i="4"/>
  <c r="B3412" i="4" s="1"/>
  <c r="A3356" i="4"/>
  <c r="C3350" i="4"/>
  <c r="B3350" i="4" s="1"/>
  <c r="A3298" i="4"/>
  <c r="A3242" i="4"/>
  <c r="E3239" i="4"/>
  <c r="D3207" i="4"/>
  <c r="B3207" i="4" s="1"/>
  <c r="E3203" i="4"/>
  <c r="B3203" i="4" s="1"/>
  <c r="A3200" i="4"/>
  <c r="C3196" i="4"/>
  <c r="B3196" i="4" s="1"/>
  <c r="C3140" i="4"/>
  <c r="B3140" i="4" s="1"/>
  <c r="AD3095" i="4"/>
  <c r="AB3110" i="4" s="1"/>
  <c r="C3110" i="4" s="1"/>
  <c r="C3095" i="4"/>
  <c r="B3095" i="4" s="1"/>
  <c r="AD3082" i="4"/>
  <c r="AD3086" i="4" s="1"/>
  <c r="AD3088" i="4" s="1"/>
  <c r="AD3090" i="4" s="1"/>
  <c r="AD3092" i="4" s="1"/>
  <c r="AB3094" i="4" s="1"/>
  <c r="A3032" i="4"/>
  <c r="C3032" i="4"/>
  <c r="B3032" i="4" s="1"/>
  <c r="C2928" i="4"/>
  <c r="B2928" i="4" s="1"/>
  <c r="AD2895" i="4"/>
  <c r="AB2900" i="4" s="1"/>
  <c r="C2900" i="4" s="1"/>
  <c r="C2895" i="4"/>
  <c r="D2879" i="4"/>
  <c r="AD2861" i="4"/>
  <c r="AD2864" i="4" s="1"/>
  <c r="AD2866" i="4" s="1"/>
  <c r="AD2870" i="4" s="1"/>
  <c r="AD2872" i="4" s="1"/>
  <c r="AD2874" i="4" s="1"/>
  <c r="AD2876" i="4" s="1"/>
  <c r="AB2878" i="4" s="1"/>
  <c r="C2861" i="4"/>
  <c r="C2762" i="4"/>
  <c r="B2762" i="4" s="1"/>
  <c r="B2699" i="4"/>
  <c r="E2679" i="4"/>
  <c r="AL2679" i="4"/>
  <c r="A2604" i="4"/>
  <c r="C2604" i="4"/>
  <c r="B2604" i="4" s="1"/>
  <c r="A2403" i="4"/>
  <c r="AD2378" i="4"/>
  <c r="AD2380" i="4" s="1"/>
  <c r="AD2384" i="4" s="1"/>
  <c r="AD2386" i="4" s="1"/>
  <c r="AD2388" i="4" s="1"/>
  <c r="AD2390" i="4" s="1"/>
  <c r="AB2392" i="4" s="1"/>
  <c r="A2336" i="4"/>
  <c r="C2336" i="4"/>
  <c r="B2336" i="4" s="1"/>
  <c r="A2289" i="4"/>
  <c r="D2289" i="4"/>
  <c r="B2289" i="4" s="1"/>
  <c r="B2285" i="4"/>
  <c r="AH2284" i="4"/>
  <c r="D2284" i="4"/>
  <c r="AH2210" i="4"/>
  <c r="D2210" i="4"/>
  <c r="B2210" i="4" s="1"/>
  <c r="AD2084" i="4"/>
  <c r="AF2084" i="4" s="1"/>
  <c r="AH2084" i="4" s="1"/>
  <c r="A2084" i="4"/>
  <c r="E1952" i="4"/>
  <c r="AL1952" i="4"/>
  <c r="A1817" i="4"/>
  <c r="D1817" i="4"/>
  <c r="B1817" i="4" s="1"/>
  <c r="B1151" i="4"/>
  <c r="AL3550" i="4"/>
  <c r="AL3381" i="4"/>
  <c r="AB3372" i="4"/>
  <c r="D3321" i="4"/>
  <c r="B3321" i="4" s="1"/>
  <c r="C3308" i="4"/>
  <c r="B3308" i="4" s="1"/>
  <c r="E3257" i="4"/>
  <c r="AL3257" i="4"/>
  <c r="AJ3272" i="4" s="1"/>
  <c r="E3272" i="4" s="1"/>
  <c r="AD3219" i="4"/>
  <c r="AB3224" i="4" s="1"/>
  <c r="C3224" i="4" s="1"/>
  <c r="AB3153" i="4"/>
  <c r="AD3153" i="4" s="1"/>
  <c r="A3144" i="4"/>
  <c r="C3144" i="4"/>
  <c r="B3144" i="4" s="1"/>
  <c r="AD3131" i="4"/>
  <c r="AD3134" i="4" s="1"/>
  <c r="AD3136" i="4" s="1"/>
  <c r="AD3140" i="4" s="1"/>
  <c r="AD3142" i="4" s="1"/>
  <c r="AD3144" i="4" s="1"/>
  <c r="AD3146" i="4" s="1"/>
  <c r="AB3148" i="4" s="1"/>
  <c r="AH3057" i="4"/>
  <c r="AF3062" i="4" s="1"/>
  <c r="D3062" i="4" s="1"/>
  <c r="AD3041" i="4"/>
  <c r="AB3056" i="4" s="1"/>
  <c r="C3056" i="4" s="1"/>
  <c r="D2986" i="4"/>
  <c r="A2974" i="4"/>
  <c r="C2974" i="4"/>
  <c r="B2974" i="4" s="1"/>
  <c r="E2895" i="4"/>
  <c r="E2879" i="4"/>
  <c r="AL2879" i="4"/>
  <c r="AJ2894" i="4" s="1"/>
  <c r="E2894" i="4" s="1"/>
  <c r="C2872" i="4"/>
  <c r="B2872" i="4" s="1"/>
  <c r="E2861" i="4"/>
  <c r="C2816" i="4"/>
  <c r="B2816" i="4" s="1"/>
  <c r="E2770" i="4"/>
  <c r="AL2770" i="4"/>
  <c r="AL2786" i="4" s="1"/>
  <c r="AH2733" i="4"/>
  <c r="AF2738" i="4" s="1"/>
  <c r="D2738" i="4" s="1"/>
  <c r="D2730" i="4"/>
  <c r="B2730" i="4" s="1"/>
  <c r="A2708" i="4"/>
  <c r="C2708" i="4"/>
  <c r="B2708" i="4" s="1"/>
  <c r="AB2724" i="4"/>
  <c r="AB2721" i="4"/>
  <c r="AD2721" i="4" s="1"/>
  <c r="AD2724" i="4" s="1"/>
  <c r="AD2727" i="4" s="1"/>
  <c r="AD2730" i="4" s="1"/>
  <c r="A2670" i="4"/>
  <c r="D2670" i="4"/>
  <c r="B2670" i="4" s="1"/>
  <c r="AH2663" i="4"/>
  <c r="AD2667" i="4" s="1"/>
  <c r="D2663" i="4"/>
  <c r="B2663" i="4" s="1"/>
  <c r="B2609" i="4"/>
  <c r="AH2608" i="4"/>
  <c r="D2608" i="4"/>
  <c r="A2548" i="4"/>
  <c r="C2548" i="4"/>
  <c r="B2548" i="4" s="1"/>
  <c r="AD2537" i="4"/>
  <c r="AD2540" i="4" s="1"/>
  <c r="AD2542" i="4" s="1"/>
  <c r="AD2546" i="4" s="1"/>
  <c r="AD2548" i="4" s="1"/>
  <c r="AD2550" i="4" s="1"/>
  <c r="AD2552" i="4" s="1"/>
  <c r="AB2554" i="4" s="1"/>
  <c r="C2537" i="4"/>
  <c r="A2492" i="4"/>
  <c r="C2492" i="4"/>
  <c r="B2492" i="4" s="1"/>
  <c r="B2409" i="4"/>
  <c r="AD2284" i="4"/>
  <c r="AD2300" i="4" s="1"/>
  <c r="AD2306" i="4" s="1"/>
  <c r="C2310" i="4" s="1"/>
  <c r="AH2197" i="4"/>
  <c r="D2197" i="4"/>
  <c r="B2197" i="4" s="1"/>
  <c r="AH2184" i="4"/>
  <c r="D2184" i="4"/>
  <c r="B2184" i="4" s="1"/>
  <c r="AH2171" i="4"/>
  <c r="D2171" i="4"/>
  <c r="B2171" i="4" s="1"/>
  <c r="AH2158" i="4"/>
  <c r="D2158" i="4"/>
  <c r="B2158" i="4" s="1"/>
  <c r="AH2145" i="4"/>
  <c r="D2145" i="4"/>
  <c r="AH2132" i="4"/>
  <c r="D2132" i="4"/>
  <c r="B2132" i="4" s="1"/>
  <c r="AH2119" i="4"/>
  <c r="D2119" i="4"/>
  <c r="B2119" i="4" s="1"/>
  <c r="AH2106" i="4"/>
  <c r="D2106" i="4"/>
  <c r="B2106" i="4" s="1"/>
  <c r="AD2069" i="4"/>
  <c r="C2069" i="4"/>
  <c r="B2069" i="4" s="1"/>
  <c r="AL1909" i="4"/>
  <c r="E1909" i="4"/>
  <c r="C1865" i="4"/>
  <c r="AD1865" i="4"/>
  <c r="E3347" i="4"/>
  <c r="B3347" i="4" s="1"/>
  <c r="AL3347" i="4"/>
  <c r="AJ3364" i="4" s="1"/>
  <c r="C3239" i="4"/>
  <c r="B3239" i="4" s="1"/>
  <c r="B3219" i="4"/>
  <c r="AH3111" i="4"/>
  <c r="AF3116" i="4" s="1"/>
  <c r="D3116" i="4" s="1"/>
  <c r="D3111" i="4"/>
  <c r="B3111" i="4" s="1"/>
  <c r="AB3048" i="4"/>
  <c r="AB3045" i="4"/>
  <c r="A2918" i="4"/>
  <c r="C2918" i="4"/>
  <c r="B2918" i="4" s="1"/>
  <c r="A2876" i="4"/>
  <c r="C2876" i="4"/>
  <c r="B2876" i="4" s="1"/>
  <c r="A2829" i="4"/>
  <c r="D2829" i="4"/>
  <c r="B2829" i="4" s="1"/>
  <c r="A2820" i="4"/>
  <c r="C2820" i="4"/>
  <c r="B2820" i="4" s="1"/>
  <c r="AD2807" i="4"/>
  <c r="AD2810" i="4" s="1"/>
  <c r="AD2812" i="4" s="1"/>
  <c r="AD2816" i="4" s="1"/>
  <c r="AD2818" i="4" s="1"/>
  <c r="AD2820" i="4" s="1"/>
  <c r="AD2822" i="4" s="1"/>
  <c r="AB2824" i="4" s="1"/>
  <c r="AB2784" i="4"/>
  <c r="AD2608" i="4"/>
  <c r="E2555" i="4"/>
  <c r="B2555" i="4" s="1"/>
  <c r="AL2555" i="4"/>
  <c r="AJ2570" i="4" s="1"/>
  <c r="E2570" i="4" s="1"/>
  <c r="A2378" i="4"/>
  <c r="C2378" i="4"/>
  <c r="B2378" i="4" s="1"/>
  <c r="B2375" i="4"/>
  <c r="AH2339" i="4"/>
  <c r="AD2343" i="4" s="1"/>
  <c r="D2339" i="4"/>
  <c r="B2339" i="4" s="1"/>
  <c r="AD2056" i="4"/>
  <c r="C2056" i="4"/>
  <c r="B2056" i="4" s="1"/>
  <c r="E1893" i="4"/>
  <c r="B1893" i="4" s="1"/>
  <c r="AL1893" i="4"/>
  <c r="AL1852" i="4"/>
  <c r="E1852" i="4"/>
  <c r="AD1827" i="4"/>
  <c r="AF1827" i="4" s="1"/>
  <c r="A1827" i="4" s="1"/>
  <c r="AD2663" i="4"/>
  <c r="AB2678" i="4" s="1"/>
  <c r="C2678" i="4" s="1"/>
  <c r="AL2571" i="4"/>
  <c r="AL2537" i="4"/>
  <c r="AJ2554" i="4" s="1"/>
  <c r="AD2463" i="4"/>
  <c r="AB2468" i="4" s="1"/>
  <c r="C2468" i="4" s="1"/>
  <c r="AL2447" i="4"/>
  <c r="AJ2462" i="4" s="1"/>
  <c r="E2462" i="4" s="1"/>
  <c r="AD2429" i="4"/>
  <c r="AD2432" i="4" s="1"/>
  <c r="AD2434" i="4" s="1"/>
  <c r="AD2438" i="4" s="1"/>
  <c r="AD2440" i="4" s="1"/>
  <c r="AD2442" i="4" s="1"/>
  <c r="AD2444" i="4" s="1"/>
  <c r="AB2446" i="4" s="1"/>
  <c r="AD2339" i="4"/>
  <c r="AB2354" i="4" s="1"/>
  <c r="C2354" i="4" s="1"/>
  <c r="AD2249" i="4"/>
  <c r="AD2236" i="4"/>
  <c r="AD2223" i="4"/>
  <c r="AD2210" i="4"/>
  <c r="AD2197" i="4"/>
  <c r="AL2069" i="4"/>
  <c r="AD2076" i="4" s="1"/>
  <c r="AL2056" i="4"/>
  <c r="AL2043" i="4"/>
  <c r="AL2030" i="4"/>
  <c r="AL2017" i="4"/>
  <c r="AL2004" i="4"/>
  <c r="AL1991" i="4"/>
  <c r="E1965" i="4"/>
  <c r="AL1965" i="4"/>
  <c r="C1965" i="4"/>
  <c r="AH1952" i="4"/>
  <c r="AH1939" i="4"/>
  <c r="AH1893" i="4"/>
  <c r="AH1583" i="4"/>
  <c r="D1583" i="4"/>
  <c r="B1583" i="4" s="1"/>
  <c r="AB1329" i="4"/>
  <c r="AD1329" i="4" s="1"/>
  <c r="AB1337" i="4" s="1"/>
  <c r="AF1329" i="4"/>
  <c r="AH1287" i="4"/>
  <c r="D1287" i="4"/>
  <c r="B1287" i="4" s="1"/>
  <c r="E1212" i="4"/>
  <c r="AL1212" i="4"/>
  <c r="AH1132" i="4"/>
  <c r="D1132" i="4"/>
  <c r="B1132" i="4" s="1"/>
  <c r="AD980" i="4"/>
  <c r="C980" i="4"/>
  <c r="AH724" i="4"/>
  <c r="A724" i="4"/>
  <c r="AB36" i="4"/>
  <c r="AD36" i="4" s="1"/>
  <c r="AF36" i="4"/>
  <c r="F1311" i="1"/>
  <c r="L1311" i="1" s="1"/>
  <c r="K1311" i="1"/>
  <c r="C2324" i="4"/>
  <c r="B2324" i="4" s="1"/>
  <c r="E1978" i="4"/>
  <c r="AL1978" i="4"/>
  <c r="A1922" i="4"/>
  <c r="C1922" i="4"/>
  <c r="B1922" i="4" s="1"/>
  <c r="AD1909" i="4"/>
  <c r="C1909" i="4"/>
  <c r="E1868" i="4"/>
  <c r="AL1868" i="4"/>
  <c r="A1841" i="4"/>
  <c r="D1841" i="4"/>
  <c r="B1841" i="4" s="1"/>
  <c r="AD1767" i="4"/>
  <c r="A1767" i="4"/>
  <c r="AD1753" i="4"/>
  <c r="C1753" i="4"/>
  <c r="B1753" i="4" s="1"/>
  <c r="AD1587" i="4"/>
  <c r="C1587" i="4"/>
  <c r="B1587" i="4" s="1"/>
  <c r="AB1250" i="4"/>
  <c r="AD1250" i="4" s="1"/>
  <c r="AF1250" i="4"/>
  <c r="AD1136" i="4"/>
  <c r="C1136" i="4"/>
  <c r="B1136" i="4" s="1"/>
  <c r="AH720" i="4"/>
  <c r="A720" i="4"/>
  <c r="AH268" i="4"/>
  <c r="A268" i="4"/>
  <c r="AL3311" i="4"/>
  <c r="AJ3326" i="4" s="1"/>
  <c r="E3326" i="4" s="1"/>
  <c r="AB3213" i="4"/>
  <c r="D3165" i="4"/>
  <c r="D3131" i="4"/>
  <c r="B3131" i="4" s="1"/>
  <c r="AL3111" i="4"/>
  <c r="AL3077" i="4"/>
  <c r="AJ3094" i="4" s="1"/>
  <c r="D3041" i="4"/>
  <c r="B3041" i="4" s="1"/>
  <c r="AL2987" i="4"/>
  <c r="AJ3002" i="4" s="1"/>
  <c r="E3002" i="4" s="1"/>
  <c r="AB2889" i="4"/>
  <c r="D2841" i="4"/>
  <c r="B2841" i="4" s="1"/>
  <c r="D2807" i="4"/>
  <c r="B2807" i="4" s="1"/>
  <c r="D2717" i="4"/>
  <c r="B2717" i="4" s="1"/>
  <c r="AL2663" i="4"/>
  <c r="AJ2678" i="4" s="1"/>
  <c r="E2678" i="4" s="1"/>
  <c r="C2650" i="4"/>
  <c r="B2650" i="4" s="1"/>
  <c r="D2619" i="4"/>
  <c r="B2619" i="4" s="1"/>
  <c r="C2594" i="4"/>
  <c r="B2594" i="4" s="1"/>
  <c r="AB2565" i="4"/>
  <c r="C2552" i="4"/>
  <c r="B2552" i="4" s="1"/>
  <c r="D2517" i="4"/>
  <c r="B2517" i="4" s="1"/>
  <c r="C2496" i="4"/>
  <c r="B2496" i="4" s="1"/>
  <c r="D2483" i="4"/>
  <c r="B2483" i="4" s="1"/>
  <c r="AL2463" i="4"/>
  <c r="AB2451" i="4"/>
  <c r="C2440" i="4"/>
  <c r="B2440" i="4" s="1"/>
  <c r="AL2429" i="4"/>
  <c r="AJ2446" i="4" s="1"/>
  <c r="D2393" i="4"/>
  <c r="B2393" i="4" s="1"/>
  <c r="C2384" i="4"/>
  <c r="B2384" i="4" s="1"/>
  <c r="AL2339" i="4"/>
  <c r="AJ2354" i="4" s="1"/>
  <c r="E2354" i="4" s="1"/>
  <c r="C2326" i="4"/>
  <c r="B2326" i="4" s="1"/>
  <c r="D2295" i="4"/>
  <c r="B2295" i="4" s="1"/>
  <c r="C2270" i="4"/>
  <c r="B2270" i="4" s="1"/>
  <c r="AL2249" i="4"/>
  <c r="AL2184" i="4"/>
  <c r="AL2171" i="4"/>
  <c r="AL2158" i="4"/>
  <c r="AL2145" i="4"/>
  <c r="AL2132" i="4"/>
  <c r="AL2119" i="4"/>
  <c r="AL2106" i="4"/>
  <c r="AH1925" i="4"/>
  <c r="D1925" i="4"/>
  <c r="B1925" i="4" s="1"/>
  <c r="AH1846" i="4"/>
  <c r="D1846" i="4"/>
  <c r="B1846" i="4" s="1"/>
  <c r="AD1839" i="4"/>
  <c r="AD1841" i="4" s="1"/>
  <c r="AD1843" i="4" s="1"/>
  <c r="A1839" i="4"/>
  <c r="D1767" i="4"/>
  <c r="B1767" i="4" s="1"/>
  <c r="AH1673" i="4"/>
  <c r="D1673" i="4"/>
  <c r="B1673" i="4" s="1"/>
  <c r="AH1625" i="4"/>
  <c r="A1625" i="4"/>
  <c r="E1508" i="4"/>
  <c r="AL1508" i="4"/>
  <c r="B1377" i="4"/>
  <c r="AD1208" i="4"/>
  <c r="C1208" i="4"/>
  <c r="E1056" i="4"/>
  <c r="AL1056" i="4"/>
  <c r="AL984" i="4"/>
  <c r="E984" i="4"/>
  <c r="B984" i="4" s="1"/>
  <c r="AH496" i="4"/>
  <c r="A496" i="4"/>
  <c r="F1374" i="1"/>
  <c r="L1374" i="1" s="1"/>
  <c r="K1374" i="1"/>
  <c r="AL3057" i="4"/>
  <c r="AL3023" i="4"/>
  <c r="AJ3040" i="4" s="1"/>
  <c r="AL2933" i="4"/>
  <c r="AJ2948" i="4" s="1"/>
  <c r="E2948" i="4" s="1"/>
  <c r="AL2733" i="4"/>
  <c r="AL2699" i="4"/>
  <c r="AJ2716" i="4" s="1"/>
  <c r="AL2609" i="4"/>
  <c r="AJ2624" i="4" s="1"/>
  <c r="E2624" i="4" s="1"/>
  <c r="AB2454" i="4"/>
  <c r="AL2409" i="4"/>
  <c r="AB2397" i="4"/>
  <c r="AL2375" i="4"/>
  <c r="AJ2392" i="4" s="1"/>
  <c r="AL2285" i="4"/>
  <c r="AJ2300" i="4" s="1"/>
  <c r="E2300" i="4" s="1"/>
  <c r="AD1925" i="4"/>
  <c r="B1919" i="4"/>
  <c r="AF1898" i="4"/>
  <c r="AH1898" i="4" s="1"/>
  <c r="AD1904" i="4" s="1"/>
  <c r="AD1906" i="4" s="1"/>
  <c r="A1898" i="4"/>
  <c r="AH1880" i="4"/>
  <c r="A1880" i="4"/>
  <c r="AH1865" i="4"/>
  <c r="D1865" i="4"/>
  <c r="D1839" i="4"/>
  <c r="B1839" i="4" s="1"/>
  <c r="AD1795" i="4"/>
  <c r="AB1761" i="4"/>
  <c r="AB1759" i="4"/>
  <c r="AD1735" i="4"/>
  <c r="AF1735" i="4" s="1"/>
  <c r="E1735" i="4" s="1"/>
  <c r="B1735" i="4" s="1"/>
  <c r="AD1713" i="4"/>
  <c r="AB1679" i="4"/>
  <c r="AB1687" i="4"/>
  <c r="AH1512" i="4"/>
  <c r="D1512" i="4"/>
  <c r="B1512" i="4" s="1"/>
  <c r="E1437" i="4"/>
  <c r="AL1437" i="4"/>
  <c r="AH1358" i="4"/>
  <c r="D1358" i="4"/>
  <c r="B1358" i="4" s="1"/>
  <c r="AF1179" i="4"/>
  <c r="AF1103" i="4"/>
  <c r="AH1060" i="4"/>
  <c r="D1060" i="4"/>
  <c r="B1060" i="4" s="1"/>
  <c r="F1332" i="1"/>
  <c r="L1332" i="1" s="1"/>
  <c r="K1332" i="1"/>
  <c r="A1727" i="4"/>
  <c r="D1727" i="4"/>
  <c r="B1727" i="4" s="1"/>
  <c r="AB1475" i="4"/>
  <c r="AD1475" i="4" s="1"/>
  <c r="AF1475" i="4"/>
  <c r="AD1362" i="4"/>
  <c r="C1362" i="4"/>
  <c r="AB1023" i="4"/>
  <c r="AD1023" i="4" s="1"/>
  <c r="AF1027" i="4" s="1"/>
  <c r="AF1023" i="4"/>
  <c r="AL1925" i="4"/>
  <c r="AL1865" i="4"/>
  <c r="C1852" i="4"/>
  <c r="A1849" i="4"/>
  <c r="AF1825" i="4"/>
  <c r="AH1825" i="4" s="1"/>
  <c r="AD1831" i="4" s="1"/>
  <c r="AD1833" i="4" s="1"/>
  <c r="AL1820" i="4"/>
  <c r="AL1795" i="4"/>
  <c r="C1792" i="4"/>
  <c r="A1775" i="4"/>
  <c r="AL1713" i="4"/>
  <c r="C1662" i="4"/>
  <c r="B1662" i="4" s="1"/>
  <c r="AL1658" i="4"/>
  <c r="AL1587" i="4"/>
  <c r="AF1550" i="4"/>
  <c r="C1508" i="4"/>
  <c r="C1437" i="4"/>
  <c r="AL1433" i="4"/>
  <c r="AL1362" i="4"/>
  <c r="AF1325" i="4"/>
  <c r="C1283" i="4"/>
  <c r="C1212" i="4"/>
  <c r="AL1208" i="4"/>
  <c r="AL1136" i="4"/>
  <c r="AF1099" i="4"/>
  <c r="C1056" i="4"/>
  <c r="AF951" i="4"/>
  <c r="AB951" i="4"/>
  <c r="AD951" i="4" s="1"/>
  <c r="AB959" i="4" s="1"/>
  <c r="E924" i="4"/>
  <c r="AL924" i="4"/>
  <c r="AB804" i="4"/>
  <c r="AD804" i="4" s="1"/>
  <c r="AF800" i="4"/>
  <c r="E468" i="4"/>
  <c r="AL468" i="4"/>
  <c r="AH316" i="4"/>
  <c r="D316" i="4"/>
  <c r="B316" i="4" s="1"/>
  <c r="E240" i="4"/>
  <c r="B240" i="4" s="1"/>
  <c r="AL240" i="4"/>
  <c r="AB196" i="4"/>
  <c r="AD196" i="4" s="1"/>
  <c r="AD200" i="4"/>
  <c r="AB120" i="4"/>
  <c r="AD120" i="4" s="1"/>
  <c r="F1398" i="1"/>
  <c r="L1398" i="1" s="1"/>
  <c r="K1398" i="1"/>
  <c r="L1235" i="1"/>
  <c r="F1005" i="1"/>
  <c r="L1005" i="1" s="1"/>
  <c r="K1005" i="1"/>
  <c r="F987" i="1"/>
  <c r="L987" i="1" s="1"/>
  <c r="K987" i="1"/>
  <c r="F951" i="1"/>
  <c r="L951" i="1" s="1"/>
  <c r="K951" i="1"/>
  <c r="AL1846" i="4"/>
  <c r="D1820" i="4"/>
  <c r="B1820" i="4" s="1"/>
  <c r="D1795" i="4"/>
  <c r="B1795" i="4" s="1"/>
  <c r="D1713" i="4"/>
  <c r="B1713" i="4" s="1"/>
  <c r="C1527" i="4"/>
  <c r="B1527" i="4" s="1"/>
  <c r="C1302" i="4"/>
  <c r="B1302" i="4" s="1"/>
  <c r="C1075" i="4"/>
  <c r="B1075" i="4" s="1"/>
  <c r="E980" i="4"/>
  <c r="AL980" i="4"/>
  <c r="AD848" i="4"/>
  <c r="C848" i="4"/>
  <c r="B848" i="4" s="1"/>
  <c r="E696" i="4"/>
  <c r="B696" i="4" s="1"/>
  <c r="AL696" i="4"/>
  <c r="AH544" i="4"/>
  <c r="AD580" i="4" s="1"/>
  <c r="D544" i="4"/>
  <c r="B544" i="4" s="1"/>
  <c r="AD392" i="4"/>
  <c r="C392" i="4"/>
  <c r="B377" i="4"/>
  <c r="B221" i="4"/>
  <c r="A200" i="4"/>
  <c r="AD164" i="4"/>
  <c r="C164" i="4"/>
  <c r="F1452" i="1"/>
  <c r="K1452" i="1"/>
  <c r="F1446" i="1"/>
  <c r="L1446" i="1" s="1"/>
  <c r="K1446" i="1"/>
  <c r="F1440" i="1"/>
  <c r="L1440" i="1" s="1"/>
  <c r="K1440" i="1"/>
  <c r="F1434" i="1"/>
  <c r="L1434" i="1" s="1"/>
  <c r="K1434" i="1"/>
  <c r="F1428" i="1"/>
  <c r="L1428" i="1" s="1"/>
  <c r="K1428" i="1"/>
  <c r="F1422" i="1"/>
  <c r="K1422" i="1"/>
  <c r="F1386" i="1"/>
  <c r="L1386" i="1" s="1"/>
  <c r="K1386" i="1"/>
  <c r="F1368" i="1"/>
  <c r="L1368" i="1" s="1"/>
  <c r="K1368" i="1"/>
  <c r="F1362" i="1"/>
  <c r="L1362" i="1" s="1"/>
  <c r="K1362" i="1"/>
  <c r="F1344" i="1"/>
  <c r="L1344" i="1" s="1"/>
  <c r="K1344" i="1"/>
  <c r="F1305" i="1"/>
  <c r="L1305" i="1" s="1"/>
  <c r="K1305" i="1"/>
  <c r="F1197" i="1"/>
  <c r="L1197" i="1" s="1"/>
  <c r="K1197" i="1"/>
  <c r="F1179" i="1"/>
  <c r="L1179" i="1" s="1"/>
  <c r="K1179" i="1"/>
  <c r="F1161" i="1"/>
  <c r="L1161" i="1" s="1"/>
  <c r="K1161" i="1"/>
  <c r="F1143" i="1"/>
  <c r="L1143" i="1" s="1"/>
  <c r="K1143" i="1"/>
  <c r="F1125" i="1"/>
  <c r="L1125" i="1" s="1"/>
  <c r="K1125" i="1"/>
  <c r="F1101" i="1"/>
  <c r="L1101" i="1" s="1"/>
  <c r="K1101" i="1"/>
  <c r="F1083" i="1"/>
  <c r="L1083" i="1" s="1"/>
  <c r="K1083" i="1"/>
  <c r="F1065" i="1"/>
  <c r="L1065" i="1" s="1"/>
  <c r="K1065" i="1"/>
  <c r="AL1836" i="4"/>
  <c r="AL1583" i="4"/>
  <c r="AL1512" i="4"/>
  <c r="D1452" i="4"/>
  <c r="A1400" i="4"/>
  <c r="AL1358" i="4"/>
  <c r="AL1287" i="4"/>
  <c r="D1227" i="4"/>
  <c r="B1227" i="4" s="1"/>
  <c r="A1175" i="4"/>
  <c r="AL1132" i="4"/>
  <c r="AL1060" i="4"/>
  <c r="D999" i="4"/>
  <c r="B999" i="4" s="1"/>
  <c r="B909" i="4"/>
  <c r="B833" i="4"/>
  <c r="AH772" i="4"/>
  <c r="D772" i="4"/>
  <c r="B772" i="4" s="1"/>
  <c r="AD620" i="4"/>
  <c r="C620" i="4"/>
  <c r="B620" i="4" s="1"/>
  <c r="B605" i="4"/>
  <c r="AH568" i="4"/>
  <c r="A568" i="4"/>
  <c r="B453" i="4"/>
  <c r="AB340" i="4"/>
  <c r="AD340" i="4" s="1"/>
  <c r="B149" i="4"/>
  <c r="AH88" i="4"/>
  <c r="D88" i="4"/>
  <c r="B88" i="4" s="1"/>
  <c r="J1453" i="1"/>
  <c r="F1410" i="1"/>
  <c r="L1410" i="1" s="1"/>
  <c r="K1410" i="1"/>
  <c r="L1310" i="1"/>
  <c r="F1242" i="1"/>
  <c r="L1242" i="1" s="1"/>
  <c r="K1242" i="1"/>
  <c r="AL1602" i="4"/>
  <c r="AL1377" i="4"/>
  <c r="AL1151" i="4"/>
  <c r="AH947" i="4"/>
  <c r="A947" i="4"/>
  <c r="AH796" i="4"/>
  <c r="A796" i="4"/>
  <c r="AF572" i="4"/>
  <c r="AF576" i="4"/>
  <c r="AB496" i="4"/>
  <c r="AD496" i="4" s="1"/>
  <c r="AB504" i="4" s="1"/>
  <c r="AB268" i="4"/>
  <c r="AD268" i="4" s="1"/>
  <c r="AB276" i="4" s="1"/>
  <c r="B225" i="4"/>
  <c r="AH112" i="4"/>
  <c r="A112" i="4"/>
  <c r="E12" i="4"/>
  <c r="AL12" i="4"/>
  <c r="F1492" i="1"/>
  <c r="L1492" i="1" s="1"/>
  <c r="L1491" i="1"/>
  <c r="L1447" i="1"/>
  <c r="F1380" i="1"/>
  <c r="L1380" i="1" s="1"/>
  <c r="K1380" i="1"/>
  <c r="F1356" i="1"/>
  <c r="L1356" i="1" s="1"/>
  <c r="K1356" i="1"/>
  <c r="F1338" i="1"/>
  <c r="K1338" i="1"/>
  <c r="F1317" i="1"/>
  <c r="L1317" i="1" s="1"/>
  <c r="K1317" i="1"/>
  <c r="F1266" i="1"/>
  <c r="L1266" i="1" s="1"/>
  <c r="K1266" i="1"/>
  <c r="F1224" i="1"/>
  <c r="L1224" i="1" s="1"/>
  <c r="K1224" i="1"/>
  <c r="AF804" i="4"/>
  <c r="AB724" i="4"/>
  <c r="AD724" i="4" s="1"/>
  <c r="AB732" i="4" s="1"/>
  <c r="AH492" i="4"/>
  <c r="A492" i="4"/>
  <c r="AH264" i="4"/>
  <c r="AF116" i="4"/>
  <c r="AF120" i="4"/>
  <c r="F1404" i="1"/>
  <c r="L1404" i="1" s="1"/>
  <c r="K1404" i="1"/>
  <c r="K1269" i="1"/>
  <c r="F1269" i="1"/>
  <c r="AD772" i="4"/>
  <c r="AD544" i="4"/>
  <c r="C12" i="4"/>
  <c r="K1451" i="1"/>
  <c r="F1448" i="1"/>
  <c r="L1448" i="1" s="1"/>
  <c r="K1445" i="1"/>
  <c r="F1442" i="1"/>
  <c r="L1442" i="1" s="1"/>
  <c r="K1439" i="1"/>
  <c r="F1436" i="1"/>
  <c r="L1436" i="1" s="1"/>
  <c r="K1433" i="1"/>
  <c r="F1430" i="1"/>
  <c r="L1430" i="1" s="1"/>
  <c r="K1427" i="1"/>
  <c r="F1424" i="1"/>
  <c r="L1424" i="1" s="1"/>
  <c r="K1421" i="1"/>
  <c r="F1418" i="1"/>
  <c r="L1418" i="1" s="1"/>
  <c r="F1412" i="1"/>
  <c r="L1412" i="1" s="1"/>
  <c r="K1409" i="1"/>
  <c r="F1406" i="1"/>
  <c r="L1406" i="1" s="1"/>
  <c r="K1403" i="1"/>
  <c r="F1400" i="1"/>
  <c r="L1400" i="1" s="1"/>
  <c r="K1397" i="1"/>
  <c r="F1394" i="1"/>
  <c r="F1388" i="1"/>
  <c r="L1388" i="1" s="1"/>
  <c r="K1385" i="1"/>
  <c r="F1382" i="1"/>
  <c r="L1382" i="1" s="1"/>
  <c r="K1379" i="1"/>
  <c r="F1376" i="1"/>
  <c r="L1376" i="1" s="1"/>
  <c r="K1373" i="1"/>
  <c r="F1370" i="1"/>
  <c r="L1370" i="1" s="1"/>
  <c r="F1364" i="1"/>
  <c r="K1361" i="1"/>
  <c r="F1358" i="1"/>
  <c r="L1358" i="1" s="1"/>
  <c r="K1355" i="1"/>
  <c r="F1352" i="1"/>
  <c r="L1352" i="1" s="1"/>
  <c r="K1349" i="1"/>
  <c r="F1346" i="1"/>
  <c r="L1346" i="1" s="1"/>
  <c r="K1343" i="1"/>
  <c r="F1340" i="1"/>
  <c r="L1340" i="1" s="1"/>
  <c r="K1337" i="1"/>
  <c r="F1334" i="1"/>
  <c r="L1334" i="1" s="1"/>
  <c r="K1331" i="1"/>
  <c r="F1328" i="1"/>
  <c r="L1328" i="1" s="1"/>
  <c r="K1325" i="1"/>
  <c r="F1319" i="1"/>
  <c r="K1316" i="1"/>
  <c r="F1313" i="1"/>
  <c r="L1313" i="1" s="1"/>
  <c r="K1310" i="1"/>
  <c r="F1307" i="1"/>
  <c r="L1307" i="1" s="1"/>
  <c r="K1304" i="1"/>
  <c r="F1302" i="1"/>
  <c r="L1302" i="1" s="1"/>
  <c r="K1302" i="1"/>
  <c r="K1299" i="1"/>
  <c r="F1299" i="1"/>
  <c r="L1299" i="1" s="1"/>
  <c r="F1296" i="1"/>
  <c r="K1296" i="1"/>
  <c r="K1293" i="1"/>
  <c r="F1293" i="1"/>
  <c r="L1293" i="1" s="1"/>
  <c r="F1290" i="1"/>
  <c r="L1290" i="1" s="1"/>
  <c r="K1290" i="1"/>
  <c r="K1287" i="1"/>
  <c r="F1287" i="1"/>
  <c r="L1287" i="1" s="1"/>
  <c r="F1284" i="1"/>
  <c r="L1284" i="1" s="1"/>
  <c r="K1284" i="1"/>
  <c r="K1281" i="1"/>
  <c r="F1281" i="1"/>
  <c r="L1281" i="1" s="1"/>
  <c r="F1278" i="1"/>
  <c r="L1278" i="1" s="1"/>
  <c r="K1278" i="1"/>
  <c r="K1275" i="1"/>
  <c r="F1275" i="1"/>
  <c r="L1275" i="1" s="1"/>
  <c r="F1272" i="1"/>
  <c r="L1272" i="1" s="1"/>
  <c r="K1272" i="1"/>
  <c r="F1264" i="1"/>
  <c r="L1264" i="1" s="1"/>
  <c r="F1221" i="1"/>
  <c r="K1221" i="1"/>
  <c r="F1218" i="1"/>
  <c r="L1218" i="1" s="1"/>
  <c r="K1218" i="1"/>
  <c r="F1041" i="1"/>
  <c r="L1041" i="1" s="1"/>
  <c r="K1041" i="1"/>
  <c r="F981" i="1"/>
  <c r="L981" i="1" s="1"/>
  <c r="K981" i="1"/>
  <c r="AL909" i="4"/>
  <c r="AF880" i="4"/>
  <c r="AF876" i="4"/>
  <c r="AL753" i="4"/>
  <c r="AL681" i="4"/>
  <c r="AF648" i="4"/>
  <c r="C601" i="4"/>
  <c r="B601" i="4" s="1"/>
  <c r="AL525" i="4"/>
  <c r="AL453" i="4"/>
  <c r="AF424" i="4"/>
  <c r="AF420" i="4"/>
  <c r="C373" i="4"/>
  <c r="B373" i="4" s="1"/>
  <c r="AL297" i="4"/>
  <c r="AL225" i="4"/>
  <c r="AF196" i="4"/>
  <c r="AF192" i="4"/>
  <c r="D164" i="4"/>
  <c r="AL69" i="4"/>
  <c r="F1248" i="1"/>
  <c r="L1248" i="1" s="1"/>
  <c r="K1248" i="1"/>
  <c r="F1230" i="1"/>
  <c r="L1230" i="1" s="1"/>
  <c r="K1230" i="1"/>
  <c r="F1203" i="1"/>
  <c r="L1203" i="1" s="1"/>
  <c r="K1203" i="1"/>
  <c r="F1185" i="1"/>
  <c r="L1185" i="1" s="1"/>
  <c r="K1185" i="1"/>
  <c r="F1167" i="1"/>
  <c r="L1167" i="1" s="1"/>
  <c r="K1167" i="1"/>
  <c r="F1149" i="1"/>
  <c r="L1149" i="1" s="1"/>
  <c r="K1149" i="1"/>
  <c r="F1131" i="1"/>
  <c r="L1131" i="1" s="1"/>
  <c r="K1131" i="1"/>
  <c r="F1113" i="1"/>
  <c r="L1113" i="1" s="1"/>
  <c r="K1113" i="1"/>
  <c r="F1089" i="1"/>
  <c r="K1089" i="1"/>
  <c r="F1071" i="1"/>
  <c r="L1071" i="1" s="1"/>
  <c r="K1071" i="1"/>
  <c r="F1053" i="1"/>
  <c r="L1053" i="1" s="1"/>
  <c r="K1053" i="1"/>
  <c r="F1029" i="1"/>
  <c r="K1029" i="1"/>
  <c r="F975" i="1"/>
  <c r="L975" i="1" s="1"/>
  <c r="K975" i="1"/>
  <c r="K1491" i="1"/>
  <c r="L1285" i="1"/>
  <c r="AL905" i="4"/>
  <c r="AL833" i="4"/>
  <c r="AL677" i="4"/>
  <c r="AL605" i="4"/>
  <c r="AL449" i="4"/>
  <c r="AL377" i="4"/>
  <c r="L1413" i="1"/>
  <c r="K1257" i="1"/>
  <c r="F1257" i="1"/>
  <c r="L1257" i="1" s="1"/>
  <c r="F1254" i="1"/>
  <c r="L1254" i="1" s="1"/>
  <c r="K1254" i="1"/>
  <c r="F1236" i="1"/>
  <c r="L1236" i="1" s="1"/>
  <c r="K1236" i="1"/>
  <c r="F1209" i="1"/>
  <c r="L1209" i="1" s="1"/>
  <c r="K1209" i="1"/>
  <c r="F1191" i="1"/>
  <c r="L1191" i="1" s="1"/>
  <c r="K1191" i="1"/>
  <c r="F1173" i="1"/>
  <c r="L1173" i="1" s="1"/>
  <c r="K1173" i="1"/>
  <c r="F1155" i="1"/>
  <c r="L1155" i="1" s="1"/>
  <c r="K1155" i="1"/>
  <c r="F1137" i="1"/>
  <c r="K1137" i="1"/>
  <c r="L1132" i="1"/>
  <c r="F1119" i="1"/>
  <c r="L1119" i="1" s="1"/>
  <c r="K1119" i="1"/>
  <c r="F1107" i="1"/>
  <c r="K1107" i="1"/>
  <c r="F1095" i="1"/>
  <c r="L1095" i="1" s="1"/>
  <c r="K1095" i="1"/>
  <c r="F1077" i="1"/>
  <c r="L1077" i="1" s="1"/>
  <c r="K1077" i="1"/>
  <c r="F1059" i="1"/>
  <c r="L1059" i="1" s="1"/>
  <c r="K1059" i="1"/>
  <c r="F1017" i="1"/>
  <c r="L1017" i="1" s="1"/>
  <c r="K1017" i="1"/>
  <c r="K1263" i="1"/>
  <c r="F1263" i="1"/>
  <c r="L1263" i="1" s="1"/>
  <c r="F1260" i="1"/>
  <c r="K1260" i="1"/>
  <c r="F1035" i="1"/>
  <c r="L1035" i="1" s="1"/>
  <c r="K1035" i="1"/>
  <c r="F1011" i="1"/>
  <c r="L1011" i="1" s="1"/>
  <c r="K1011" i="1"/>
  <c r="F993" i="1"/>
  <c r="L993" i="1" s="1"/>
  <c r="K993" i="1"/>
  <c r="F969" i="1"/>
  <c r="L969" i="1" s="1"/>
  <c r="K969" i="1"/>
  <c r="F963" i="1"/>
  <c r="L963" i="1" s="1"/>
  <c r="K963" i="1"/>
  <c r="F957" i="1"/>
  <c r="L957" i="1" s="1"/>
  <c r="K957" i="1"/>
  <c r="K950" i="1"/>
  <c r="F1251" i="1"/>
  <c r="L1251" i="1" s="1"/>
  <c r="F1245" i="1"/>
  <c r="F1239" i="1"/>
  <c r="L1239" i="1" s="1"/>
  <c r="F1233" i="1"/>
  <c r="L1233" i="1" s="1"/>
  <c r="F1227" i="1"/>
  <c r="L1227" i="1" s="1"/>
  <c r="F1212" i="1"/>
  <c r="L1212" i="1" s="1"/>
  <c r="F1206" i="1"/>
  <c r="L1206" i="1" s="1"/>
  <c r="F1200" i="1"/>
  <c r="L1200" i="1" s="1"/>
  <c r="F1194" i="1"/>
  <c r="L1194" i="1" s="1"/>
  <c r="F1188" i="1"/>
  <c r="F1182" i="1"/>
  <c r="F1176" i="1"/>
  <c r="L1176" i="1" s="1"/>
  <c r="F1170" i="1"/>
  <c r="L1170" i="1" s="1"/>
  <c r="F1164" i="1"/>
  <c r="F1158" i="1"/>
  <c r="L1158" i="1" s="1"/>
  <c r="F1152" i="1"/>
  <c r="L1152" i="1" s="1"/>
  <c r="F1146" i="1"/>
  <c r="L1146" i="1" s="1"/>
  <c r="F1140" i="1"/>
  <c r="L1140" i="1" s="1"/>
  <c r="F1134" i="1"/>
  <c r="L1134" i="1" s="1"/>
  <c r="F1128" i="1"/>
  <c r="L1128" i="1" s="1"/>
  <c r="F1122" i="1"/>
  <c r="L1122" i="1" s="1"/>
  <c r="F1116" i="1"/>
  <c r="L1116" i="1" s="1"/>
  <c r="F1110" i="1"/>
  <c r="L1110" i="1" s="1"/>
  <c r="F1104" i="1"/>
  <c r="L1104" i="1" s="1"/>
  <c r="F1098" i="1"/>
  <c r="L1098" i="1" s="1"/>
  <c r="F1092" i="1"/>
  <c r="L1092" i="1" s="1"/>
  <c r="F1086" i="1"/>
  <c r="L1086" i="1" s="1"/>
  <c r="F1080" i="1"/>
  <c r="L1080" i="1" s="1"/>
  <c r="F1074" i="1"/>
  <c r="L1074" i="1" s="1"/>
  <c r="F1068" i="1"/>
  <c r="L1068" i="1" s="1"/>
  <c r="F1062" i="1"/>
  <c r="F1056" i="1"/>
  <c r="L1056" i="1" s="1"/>
  <c r="F1050" i="1"/>
  <c r="L1050" i="1" s="1"/>
  <c r="F1044" i="1"/>
  <c r="F1038" i="1"/>
  <c r="L1038" i="1" s="1"/>
  <c r="F1032" i="1"/>
  <c r="L1032" i="1" s="1"/>
  <c r="F1026" i="1"/>
  <c r="L1026" i="1" s="1"/>
  <c r="F1020" i="1"/>
  <c r="L1020" i="1" s="1"/>
  <c r="F1014" i="1"/>
  <c r="L1014" i="1" s="1"/>
  <c r="F1008" i="1"/>
  <c r="L1008" i="1" s="1"/>
  <c r="F1002" i="1"/>
  <c r="L1002" i="1" s="1"/>
  <c r="F996" i="1"/>
  <c r="F990" i="1"/>
  <c r="L990" i="1" s="1"/>
  <c r="F984" i="1"/>
  <c r="L984" i="1" s="1"/>
  <c r="F978" i="1"/>
  <c r="L978" i="1" s="1"/>
  <c r="F966" i="1"/>
  <c r="F960" i="1"/>
  <c r="L960" i="1" s="1"/>
  <c r="L1001" i="1"/>
  <c r="L1207" i="1"/>
  <c r="L1057" i="1"/>
  <c r="B392" i="4" l="1"/>
  <c r="B2145" i="4"/>
  <c r="AL2932" i="4"/>
  <c r="B1508" i="4"/>
  <c r="B1362" i="4"/>
  <c r="B924" i="4"/>
  <c r="B3451" i="4"/>
  <c r="B3185" i="4"/>
  <c r="B3149" i="4"/>
  <c r="B2301" i="4"/>
  <c r="A340" i="4"/>
  <c r="B1212" i="4"/>
  <c r="A2346" i="4"/>
  <c r="A3318" i="4"/>
  <c r="D2994" i="4"/>
  <c r="B2994" i="4" s="1"/>
  <c r="AD2670" i="4"/>
  <c r="AD2673" i="4" s="1"/>
  <c r="AD2676" i="4" s="1"/>
  <c r="AB2682" i="4" s="1"/>
  <c r="AD2682" i="4" s="1"/>
  <c r="AJ2684" i="4" s="1"/>
  <c r="E2684" i="4" s="1"/>
  <c r="B2684" i="4" s="1"/>
  <c r="AD884" i="4"/>
  <c r="AD808" i="4"/>
  <c r="D808" i="4"/>
  <c r="B808" i="4" s="1"/>
  <c r="D2568" i="4"/>
  <c r="B2568" i="4" s="1"/>
  <c r="D3000" i="4"/>
  <c r="B3000" i="4" s="1"/>
  <c r="A1695" i="4"/>
  <c r="B2537" i="4"/>
  <c r="B468" i="4"/>
  <c r="AD2624" i="4"/>
  <c r="AD2630" i="4" s="1"/>
  <c r="C2634" i="4" s="1"/>
  <c r="A3474" i="4"/>
  <c r="B1452" i="4"/>
  <c r="B2284" i="4"/>
  <c r="B2679" i="4"/>
  <c r="AD3474" i="4"/>
  <c r="AJ3477" i="4" s="1"/>
  <c r="B3512" i="4"/>
  <c r="G61" i="6"/>
  <c r="G7" i="5" s="1"/>
  <c r="AB218" i="4" s="1"/>
  <c r="AL2500" i="4"/>
  <c r="AL2516" i="4" s="1"/>
  <c r="AB424" i="4"/>
  <c r="AD424" i="4" s="1"/>
  <c r="G37" i="6"/>
  <c r="G5" i="5" s="1"/>
  <c r="AD3099" i="4"/>
  <c r="AD3102" i="4" s="1"/>
  <c r="AD3105" i="4" s="1"/>
  <c r="AD3108" i="4" s="1"/>
  <c r="AB3114" i="4" s="1"/>
  <c r="AD3114" i="4" s="1"/>
  <c r="AJ3116" i="4" s="1"/>
  <c r="E3116" i="4" s="1"/>
  <c r="B3116" i="4" s="1"/>
  <c r="G25" i="6"/>
  <c r="G4" i="5" s="1"/>
  <c r="B1437" i="4"/>
  <c r="AD1337" i="4"/>
  <c r="B3559" i="4"/>
  <c r="G49" i="6"/>
  <c r="G6" i="5" s="1"/>
  <c r="B1868" i="4"/>
  <c r="B1952" i="4"/>
  <c r="B829" i="4"/>
  <c r="D2937" i="4"/>
  <c r="B2937" i="4" s="1"/>
  <c r="D2292" i="4"/>
  <c r="B2292" i="4" s="1"/>
  <c r="D2940" i="4"/>
  <c r="B2940" i="4" s="1"/>
  <c r="D2562" i="4"/>
  <c r="B2562" i="4" s="1"/>
  <c r="D3432" i="4"/>
  <c r="B3432" i="4" s="1"/>
  <c r="AD2562" i="4"/>
  <c r="AD2565" i="4" s="1"/>
  <c r="AD2568" i="4" s="1"/>
  <c r="AD1719" i="4"/>
  <c r="AD1721" i="4" s="1"/>
  <c r="AD1725" i="4" s="1"/>
  <c r="AD2613" i="4"/>
  <c r="AD2616" i="4" s="1"/>
  <c r="AD2619" i="4" s="1"/>
  <c r="AD2622" i="4" s="1"/>
  <c r="D124" i="4"/>
  <c r="B124" i="4" s="1"/>
  <c r="AD3369" i="4"/>
  <c r="AD3156" i="4"/>
  <c r="AD3159" i="4" s="1"/>
  <c r="AD3162" i="4" s="1"/>
  <c r="D2613" i="4"/>
  <c r="B2613" i="4" s="1"/>
  <c r="A2946" i="4"/>
  <c r="D884" i="4"/>
  <c r="B884" i="4" s="1"/>
  <c r="A3324" i="4"/>
  <c r="A3375" i="4"/>
  <c r="A1719" i="4"/>
  <c r="AD2346" i="4"/>
  <c r="AD2349" i="4" s="1"/>
  <c r="AD2352" i="4" s="1"/>
  <c r="AB2358" i="4" s="1"/>
  <c r="AD2358" i="4" s="1"/>
  <c r="AJ2360" i="4" s="1"/>
  <c r="E2360" i="4" s="1"/>
  <c r="B2360" i="4" s="1"/>
  <c r="AD2937" i="4"/>
  <c r="AD2940" i="4" s="1"/>
  <c r="AD2943" i="4" s="1"/>
  <c r="AD2946" i="4" s="1"/>
  <c r="A2298" i="4"/>
  <c r="AD124" i="4"/>
  <c r="D2400" i="4"/>
  <c r="B2400" i="4" s="1"/>
  <c r="AD3210" i="4"/>
  <c r="AD3213" i="4" s="1"/>
  <c r="AD3216" i="4" s="1"/>
  <c r="D2943" i="4"/>
  <c r="B2943" i="4" s="1"/>
  <c r="AD428" i="4"/>
  <c r="D428" i="4"/>
  <c r="B428" i="4" s="1"/>
  <c r="AD3264" i="4"/>
  <c r="AD3267" i="4" s="1"/>
  <c r="AD3270" i="4" s="1"/>
  <c r="AF3272" i="4" s="1"/>
  <c r="D3272" i="4" s="1"/>
  <c r="B3272" i="4" s="1"/>
  <c r="D3264" i="4"/>
  <c r="B3264" i="4" s="1"/>
  <c r="K191" i="3"/>
  <c r="L191" i="3" s="1"/>
  <c r="K245" i="3"/>
  <c r="L245" i="3" s="1"/>
  <c r="K251" i="3"/>
  <c r="L251" i="3" s="1"/>
  <c r="K233" i="3"/>
  <c r="L233" i="3" s="1"/>
  <c r="K197" i="3"/>
  <c r="L197" i="3" s="1"/>
  <c r="AB1195" i="4"/>
  <c r="A1195" i="4" s="1"/>
  <c r="K227" i="3"/>
  <c r="L227" i="3" s="1"/>
  <c r="K263" i="3"/>
  <c r="L263" i="3" s="1"/>
  <c r="K269" i="3"/>
  <c r="L269" i="3" s="1"/>
  <c r="K173" i="3"/>
  <c r="L173" i="3" s="1"/>
  <c r="K215" i="3"/>
  <c r="L215" i="3" s="1"/>
  <c r="K179" i="3"/>
  <c r="L179" i="3" s="1"/>
  <c r="K209" i="3"/>
  <c r="L209" i="3" s="1"/>
  <c r="K174" i="3"/>
  <c r="L174" i="3" s="1"/>
  <c r="F174" i="3" s="1"/>
  <c r="K270" i="3"/>
  <c r="L270" i="3" s="1"/>
  <c r="F270" i="3" s="1"/>
  <c r="K246" i="3"/>
  <c r="L246" i="3" s="1"/>
  <c r="F246" i="3" s="1"/>
  <c r="K264" i="3"/>
  <c r="L264" i="3" s="1"/>
  <c r="F264" i="3" s="1"/>
  <c r="K216" i="3"/>
  <c r="L216" i="3" s="1"/>
  <c r="F216" i="3" s="1"/>
  <c r="K234" i="3"/>
  <c r="L234" i="3" s="1"/>
  <c r="F234" i="3" s="1"/>
  <c r="K210" i="3"/>
  <c r="L210" i="3" s="1"/>
  <c r="F210" i="3" s="1"/>
  <c r="K252" i="3"/>
  <c r="L252" i="3" s="1"/>
  <c r="F252" i="3" s="1"/>
  <c r="G84" i="6"/>
  <c r="K198" i="3"/>
  <c r="L198" i="3" s="1"/>
  <c r="F198" i="3" s="1"/>
  <c r="K228" i="3"/>
  <c r="L228" i="3" s="1"/>
  <c r="K192" i="3"/>
  <c r="L192" i="3" s="1"/>
  <c r="F192" i="3" s="1"/>
  <c r="K180" i="3"/>
  <c r="L180" i="3" s="1"/>
  <c r="F180" i="3" s="1"/>
  <c r="G815" i="1"/>
  <c r="H815" i="1" s="1"/>
  <c r="G512" i="1"/>
  <c r="H512" i="1" s="1"/>
  <c r="G496" i="1"/>
  <c r="H496" i="1" s="1"/>
  <c r="G643" i="1"/>
  <c r="H643" i="1" s="1"/>
  <c r="G524" i="1"/>
  <c r="H524" i="1" s="1"/>
  <c r="G568" i="1"/>
  <c r="H568" i="1" s="1"/>
  <c r="G640" i="1"/>
  <c r="H640" i="1" s="1"/>
  <c r="G536" i="1"/>
  <c r="H536" i="1" s="1"/>
  <c r="G646" i="1"/>
  <c r="H646" i="1" s="1"/>
  <c r="G586" i="1"/>
  <c r="H586" i="1" s="1"/>
  <c r="G342" i="1"/>
  <c r="H342" i="1" s="1"/>
  <c r="G595" i="1"/>
  <c r="H595" i="1" s="1"/>
  <c r="G897" i="1"/>
  <c r="H897" i="1" s="1"/>
  <c r="G554" i="1"/>
  <c r="H554" i="1" s="1"/>
  <c r="G593" i="1"/>
  <c r="H593" i="1" s="1"/>
  <c r="G890" i="1"/>
  <c r="H890" i="1" s="1"/>
  <c r="G888" i="1"/>
  <c r="H888" i="1" s="1"/>
  <c r="G538" i="1"/>
  <c r="H538" i="1" s="1"/>
  <c r="G437" i="1"/>
  <c r="H437" i="1" s="1"/>
  <c r="L437" i="1" s="1"/>
  <c r="G559" i="1"/>
  <c r="H559" i="1" s="1"/>
  <c r="G476" i="1"/>
  <c r="H476" i="1" s="1"/>
  <c r="G500" i="1"/>
  <c r="H500" i="1" s="1"/>
  <c r="G726" i="1"/>
  <c r="H726" i="1" s="1"/>
  <c r="G679" i="1"/>
  <c r="H679" i="1" s="1"/>
  <c r="G345" i="1"/>
  <c r="H345" i="1" s="1"/>
  <c r="G887" i="1"/>
  <c r="H887" i="1" s="1"/>
  <c r="G628" i="1"/>
  <c r="H628" i="1" s="1"/>
  <c r="G474" i="1"/>
  <c r="H474" i="1" s="1"/>
  <c r="G884" i="1"/>
  <c r="H884" i="1" s="1"/>
  <c r="G644" i="1"/>
  <c r="H644" i="1" s="1"/>
  <c r="G317" i="1"/>
  <c r="H317" i="1" s="1"/>
  <c r="G634" i="1"/>
  <c r="H634" i="1" s="1"/>
  <c r="AB120" i="3"/>
  <c r="AD120" i="3" s="1"/>
  <c r="H121" i="3"/>
  <c r="F121" i="3" s="1"/>
  <c r="G1464" i="1"/>
  <c r="H1464" i="1" s="1"/>
  <c r="G407" i="1"/>
  <c r="H407" i="1" s="1"/>
  <c r="L407" i="1" s="1"/>
  <c r="G682" i="1"/>
  <c r="H682" i="1" s="1"/>
  <c r="G891" i="1"/>
  <c r="H891" i="1" s="1"/>
  <c r="G686" i="1"/>
  <c r="H686" i="1" s="1"/>
  <c r="G712" i="1"/>
  <c r="H712" i="1" s="1"/>
  <c r="G604" i="1"/>
  <c r="H604" i="1" s="1"/>
  <c r="G631" i="1"/>
  <c r="H631" i="1" s="1"/>
  <c r="G1457" i="1"/>
  <c r="H1457" i="1" s="1"/>
  <c r="G494" i="1"/>
  <c r="H494" i="1" s="1"/>
  <c r="G526" i="1"/>
  <c r="H526" i="1" s="1"/>
  <c r="G716" i="1"/>
  <c r="H716" i="1" s="1"/>
  <c r="G404" i="1"/>
  <c r="H404" i="1" s="1"/>
  <c r="L404" i="1" s="1"/>
  <c r="G589" i="1"/>
  <c r="H589" i="1" s="1"/>
  <c r="G674" i="1"/>
  <c r="H674" i="1" s="1"/>
  <c r="G639" i="1"/>
  <c r="H639" i="1" s="1"/>
  <c r="G544" i="1"/>
  <c r="H544" i="1" s="1"/>
  <c r="G638" i="1"/>
  <c r="H638" i="1" s="1"/>
  <c r="G422" i="1"/>
  <c r="H422" i="1" s="1"/>
  <c r="G889" i="1"/>
  <c r="H889" i="1" s="1"/>
  <c r="G599" i="1"/>
  <c r="H599" i="1" s="1"/>
  <c r="G882" i="1"/>
  <c r="H882" i="1" s="1"/>
  <c r="G316" i="1"/>
  <c r="H316" i="1" s="1"/>
  <c r="G898" i="1"/>
  <c r="H898" i="1" s="1"/>
  <c r="G530" i="1"/>
  <c r="H530" i="1" s="1"/>
  <c r="G733" i="1"/>
  <c r="H733" i="1" s="1"/>
  <c r="G510" i="1"/>
  <c r="H510" i="1" s="1"/>
  <c r="G423" i="1"/>
  <c r="H423" i="1" s="1"/>
  <c r="G470" i="1"/>
  <c r="H470" i="1" s="1"/>
  <c r="G630" i="1"/>
  <c r="H630" i="1" s="1"/>
  <c r="G652" i="1"/>
  <c r="H652" i="1" s="1"/>
  <c r="G650" i="1"/>
  <c r="H650" i="1" s="1"/>
  <c r="G880" i="1"/>
  <c r="H880" i="1" s="1"/>
  <c r="G900" i="1"/>
  <c r="H900" i="1" s="1"/>
  <c r="E1458" i="1"/>
  <c r="F1458" i="1" s="1"/>
  <c r="G550" i="1"/>
  <c r="H550" i="1" s="1"/>
  <c r="G506" i="1"/>
  <c r="H506" i="1" s="1"/>
  <c r="G894" i="1"/>
  <c r="H894" i="1" s="1"/>
  <c r="G691" i="1"/>
  <c r="H691" i="1" s="1"/>
  <c r="G658" i="1"/>
  <c r="H658" i="1" s="1"/>
  <c r="G703" i="1"/>
  <c r="H703" i="1" s="1"/>
  <c r="G614" i="1"/>
  <c r="H614" i="1" s="1"/>
  <c r="AB52" i="3"/>
  <c r="AD52" i="3" s="1"/>
  <c r="G419" i="1"/>
  <c r="H419" i="1" s="1"/>
  <c r="L419" i="1" s="1"/>
  <c r="H53" i="3"/>
  <c r="F53" i="3" s="1"/>
  <c r="G492" i="1"/>
  <c r="H492" i="1" s="1"/>
  <c r="G401" i="1"/>
  <c r="H401" i="1" s="1"/>
  <c r="L401" i="1" s="1"/>
  <c r="G410" i="1"/>
  <c r="H410" i="1" s="1"/>
  <c r="L410" i="1" s="1"/>
  <c r="G886" i="1"/>
  <c r="H886" i="1" s="1"/>
  <c r="G587" i="1"/>
  <c r="H587" i="1" s="1"/>
  <c r="G417" i="1"/>
  <c r="H417" i="1" s="1"/>
  <c r="G616" i="1"/>
  <c r="H616" i="1" s="1"/>
  <c r="H70" i="3"/>
  <c r="F70" i="3" s="1"/>
  <c r="G632" i="1"/>
  <c r="H632" i="1" s="1"/>
  <c r="G560" i="1"/>
  <c r="H560" i="1" s="1"/>
  <c r="G718" i="1"/>
  <c r="H718" i="1" s="1"/>
  <c r="G901" i="1"/>
  <c r="H901" i="1" s="1"/>
  <c r="J164" i="3"/>
  <c r="G23" i="2" s="1"/>
  <c r="I37" i="3" s="1"/>
  <c r="J37" i="3" s="1"/>
  <c r="G24" i="1"/>
  <c r="H24" i="1" s="1"/>
  <c r="G320" i="1"/>
  <c r="H320" i="1" s="1"/>
  <c r="G588" i="1"/>
  <c r="H588" i="1" s="1"/>
  <c r="G566" i="1"/>
  <c r="H566" i="1" s="1"/>
  <c r="G584" i="1"/>
  <c r="H584" i="1" s="1"/>
  <c r="G594" i="1"/>
  <c r="H594" i="1" s="1"/>
  <c r="G528" i="1"/>
  <c r="H528" i="1" s="1"/>
  <c r="G711" i="1"/>
  <c r="H711" i="1" s="1"/>
  <c r="G499" i="1"/>
  <c r="H499" i="1" s="1"/>
  <c r="G706" i="1"/>
  <c r="H706" i="1" s="1"/>
  <c r="AB69" i="3"/>
  <c r="AD69" i="3" s="1"/>
  <c r="G699" i="1"/>
  <c r="H699" i="1" s="1"/>
  <c r="G548" i="1"/>
  <c r="H548" i="1" s="1"/>
  <c r="G664" i="1"/>
  <c r="H664" i="1" s="1"/>
  <c r="G622" i="1"/>
  <c r="H622" i="1" s="1"/>
  <c r="G667" i="1"/>
  <c r="H667" i="1" s="1"/>
  <c r="G440" i="1"/>
  <c r="H440" i="1" s="1"/>
  <c r="G615" i="1"/>
  <c r="H615" i="1" s="1"/>
  <c r="G397" i="1"/>
  <c r="H397" i="1" s="1"/>
  <c r="G612" i="1"/>
  <c r="H612" i="1" s="1"/>
  <c r="G694" i="1"/>
  <c r="H694" i="1" s="1"/>
  <c r="G534" i="1"/>
  <c r="H534" i="1" s="1"/>
  <c r="G730" i="1"/>
  <c r="H730" i="1" s="1"/>
  <c r="G684" i="1"/>
  <c r="H684" i="1" s="1"/>
  <c r="F20" i="23"/>
  <c r="F20" i="19"/>
  <c r="J347" i="1"/>
  <c r="G38" i="1"/>
  <c r="H38" i="1" s="1"/>
  <c r="C1685" i="4"/>
  <c r="B1685" i="4" s="1"/>
  <c r="G700" i="1"/>
  <c r="H700" i="1" s="1"/>
  <c r="G676" i="1"/>
  <c r="H676" i="1" s="1"/>
  <c r="G902" i="1"/>
  <c r="H902" i="1" s="1"/>
  <c r="G487" i="1"/>
  <c r="H487" i="1" s="1"/>
  <c r="G610" i="1"/>
  <c r="H610" i="1" s="1"/>
  <c r="G670" i="1"/>
  <c r="H670" i="1" s="1"/>
  <c r="G313" i="1"/>
  <c r="H313" i="1" s="1"/>
  <c r="G621" i="1"/>
  <c r="H621" i="1" s="1"/>
  <c r="G504" i="1"/>
  <c r="H504" i="1" s="1"/>
  <c r="G662" i="1"/>
  <c r="H662" i="1" s="1"/>
  <c r="G314" i="1"/>
  <c r="H314" i="1" s="1"/>
  <c r="G895" i="1"/>
  <c r="H895" i="1" s="1"/>
  <c r="G883" i="1"/>
  <c r="H883" i="1" s="1"/>
  <c r="G885" i="1"/>
  <c r="H885" i="1" s="1"/>
  <c r="G403" i="1"/>
  <c r="H403" i="1" s="1"/>
  <c r="L403" i="1" s="1"/>
  <c r="G618" i="1"/>
  <c r="H618" i="1" s="1"/>
  <c r="G542" i="1"/>
  <c r="H542" i="1" s="1"/>
  <c r="G409" i="1"/>
  <c r="H409" i="1" s="1"/>
  <c r="L409" i="1" s="1"/>
  <c r="G340" i="1"/>
  <c r="H340" i="1" s="1"/>
  <c r="G727" i="1"/>
  <c r="H727" i="1" s="1"/>
  <c r="G319" i="1"/>
  <c r="H319" i="1" s="1"/>
  <c r="G321" i="1"/>
  <c r="H321" i="1" s="1"/>
  <c r="G346" i="1"/>
  <c r="H346" i="1" s="1"/>
  <c r="G421" i="1"/>
  <c r="H421" i="1" s="1"/>
  <c r="G620" i="1"/>
  <c r="H620" i="1" s="1"/>
  <c r="G329" i="1"/>
  <c r="H329" i="1" s="1"/>
  <c r="G488" i="1"/>
  <c r="H488" i="1" s="1"/>
  <c r="C2500" i="4"/>
  <c r="B2500" i="4" s="1"/>
  <c r="AD2500" i="4"/>
  <c r="AD2516" i="4" s="1"/>
  <c r="AD2522" i="4" s="1"/>
  <c r="C2526" i="4" s="1"/>
  <c r="L428" i="1"/>
  <c r="K428" i="1"/>
  <c r="F28" i="3"/>
  <c r="G63" i="3"/>
  <c r="AB1187" i="4"/>
  <c r="AB1205" i="4"/>
  <c r="E1205" i="4" s="1"/>
  <c r="B1205" i="4" s="1"/>
  <c r="AF1183" i="4"/>
  <c r="AH1183" i="4" s="1"/>
  <c r="AB1183" i="4"/>
  <c r="AD1183" i="4" s="1"/>
  <c r="A3369" i="4"/>
  <c r="D3369" i="4"/>
  <c r="B3369" i="4" s="1"/>
  <c r="F29" i="3"/>
  <c r="I13" i="1"/>
  <c r="J13" i="1" s="1"/>
  <c r="AD2786" i="4"/>
  <c r="AD2792" i="4" s="1"/>
  <c r="C2796" i="4" s="1"/>
  <c r="C2744" i="4" s="1"/>
  <c r="B2591" i="4"/>
  <c r="B1909" i="4"/>
  <c r="G325" i="1"/>
  <c r="H325" i="1" s="1"/>
  <c r="B2608" i="4"/>
  <c r="G318" i="1"/>
  <c r="H318" i="1" s="1"/>
  <c r="G326" i="1"/>
  <c r="H326" i="1" s="1"/>
  <c r="A2559" i="4"/>
  <c r="D2559" i="4"/>
  <c r="B2559" i="4" s="1"/>
  <c r="G722" i="1"/>
  <c r="H722" i="1" s="1"/>
  <c r="G625" i="1"/>
  <c r="H625" i="1" s="1"/>
  <c r="G412" i="1"/>
  <c r="H412" i="1" s="1"/>
  <c r="L412" i="1" s="1"/>
  <c r="I16" i="1"/>
  <c r="J16" i="1" s="1"/>
  <c r="AB216" i="4"/>
  <c r="A216" i="4" s="1"/>
  <c r="G705" i="1"/>
  <c r="H705" i="1" s="1"/>
  <c r="A1721" i="4"/>
  <c r="C1721" i="4"/>
  <c r="B1721" i="4" s="1"/>
  <c r="D2616" i="4"/>
  <c r="B2616" i="4" s="1"/>
  <c r="B3311" i="4"/>
  <c r="AF1107" i="4"/>
  <c r="A1107" i="4" s="1"/>
  <c r="I17" i="1"/>
  <c r="J17" i="1" s="1"/>
  <c r="J441" i="1"/>
  <c r="E883" i="1"/>
  <c r="F883" i="1" s="1"/>
  <c r="AD2292" i="4"/>
  <c r="AD2295" i="4" s="1"/>
  <c r="AD2298" i="4" s="1"/>
  <c r="A2406" i="4"/>
  <c r="D2406" i="4"/>
  <c r="B2406" i="4" s="1"/>
  <c r="D2622" i="4"/>
  <c r="B2622" i="4" s="1"/>
  <c r="A2622" i="4"/>
  <c r="AB1637" i="4"/>
  <c r="AB1633" i="4"/>
  <c r="AD1633" i="4" s="1"/>
  <c r="AB1655" i="4"/>
  <c r="A1655" i="4" s="1"/>
  <c r="AB1562" i="4"/>
  <c r="A1562" i="4" s="1"/>
  <c r="AB1580" i="4"/>
  <c r="A1580" i="4" s="1"/>
  <c r="AB1558" i="4"/>
  <c r="AD1558" i="4" s="1"/>
  <c r="G414" i="1"/>
  <c r="H414" i="1" s="1"/>
  <c r="L414" i="1" s="1"/>
  <c r="G399" i="1"/>
  <c r="H399" i="1" s="1"/>
  <c r="L399" i="1" s="1"/>
  <c r="C3519" i="4"/>
  <c r="AD3519" i="4"/>
  <c r="C3523" i="4" s="1"/>
  <c r="C3507" i="4" s="1"/>
  <c r="G692" i="1"/>
  <c r="H692" i="1" s="1"/>
  <c r="G681" i="1"/>
  <c r="H681" i="1" s="1"/>
  <c r="AB955" i="4"/>
  <c r="AD955" i="4" s="1"/>
  <c r="AB1404" i="4"/>
  <c r="AD1404" i="4" s="1"/>
  <c r="AB1412" i="4" s="1"/>
  <c r="AD1412" i="4" s="1"/>
  <c r="D2886" i="4"/>
  <c r="B2886" i="4" s="1"/>
  <c r="G22" i="1"/>
  <c r="H22" i="1" s="1"/>
  <c r="G430" i="1"/>
  <c r="H430" i="1" s="1"/>
  <c r="L430" i="1" s="1"/>
  <c r="AB86" i="3"/>
  <c r="AD86" i="3" s="1"/>
  <c r="A2997" i="4"/>
  <c r="D2997" i="4"/>
  <c r="B2997" i="4" s="1"/>
  <c r="AD3315" i="4"/>
  <c r="AD3318" i="4" s="1"/>
  <c r="AD3321" i="4" s="1"/>
  <c r="AD3324" i="4" s="1"/>
  <c r="AF3326" i="4" s="1"/>
  <c r="G656" i="1"/>
  <c r="H656" i="1" s="1"/>
  <c r="G678" i="1"/>
  <c r="H678" i="1" s="1"/>
  <c r="G693" i="1"/>
  <c r="H693" i="1" s="1"/>
  <c r="G564" i="1"/>
  <c r="H564" i="1" s="1"/>
  <c r="D2991" i="4"/>
  <c r="B2991" i="4" s="1"/>
  <c r="A2991" i="4"/>
  <c r="G651" i="1"/>
  <c r="H651" i="1" s="1"/>
  <c r="AF652" i="4"/>
  <c r="AF1554" i="4"/>
  <c r="B1965" i="4"/>
  <c r="AL2624" i="4"/>
  <c r="C2770" i="4"/>
  <c r="A3496" i="4"/>
  <c r="G406" i="1"/>
  <c r="H406" i="1" s="1"/>
  <c r="L406" i="1" s="1"/>
  <c r="G578" i="1"/>
  <c r="H578" i="1" s="1"/>
  <c r="G400" i="1"/>
  <c r="H400" i="1" s="1"/>
  <c r="L400" i="1" s="1"/>
  <c r="AB35" i="3"/>
  <c r="AD35" i="3" s="1"/>
  <c r="AB672" i="4"/>
  <c r="A672" i="4" s="1"/>
  <c r="A2883" i="4"/>
  <c r="D2883" i="4"/>
  <c r="B2883" i="4" s="1"/>
  <c r="G331" i="1"/>
  <c r="H331" i="1" s="1"/>
  <c r="G553" i="1"/>
  <c r="H553" i="1" s="1"/>
  <c r="G600" i="1"/>
  <c r="H600" i="1" s="1"/>
  <c r="G626" i="1"/>
  <c r="H626" i="1" s="1"/>
  <c r="G669" i="1"/>
  <c r="H669" i="1" s="1"/>
  <c r="A3498" i="4"/>
  <c r="E3498" i="4"/>
  <c r="B3498" i="4" s="1"/>
  <c r="G663" i="1"/>
  <c r="H663" i="1" s="1"/>
  <c r="Z47" i="1"/>
  <c r="AD656" i="4"/>
  <c r="A188" i="4"/>
  <c r="AB652" i="4"/>
  <c r="AD652" i="4" s="1"/>
  <c r="D2352" i="4"/>
  <c r="B2352" i="4" s="1"/>
  <c r="B1865" i="4"/>
  <c r="AD3496" i="4"/>
  <c r="AD3498" i="4" s="1"/>
  <c r="AJ3501" i="4" s="1"/>
  <c r="C2338" i="4"/>
  <c r="G424" i="1"/>
  <c r="H424" i="1" s="1"/>
  <c r="L424" i="1" s="1"/>
  <c r="G427" i="1"/>
  <c r="H427" i="1" s="1"/>
  <c r="L427" i="1" s="1"/>
  <c r="H36" i="3"/>
  <c r="F36" i="3" s="1"/>
  <c r="I295" i="1"/>
  <c r="J295" i="1" s="1"/>
  <c r="I270" i="1"/>
  <c r="J270" i="1" s="1"/>
  <c r="I280" i="1"/>
  <c r="J280" i="1" s="1"/>
  <c r="AB880" i="4"/>
  <c r="AD880" i="4" s="1"/>
  <c r="AD2883" i="4"/>
  <c r="AD2886" i="4" s="1"/>
  <c r="AD2889" i="4" s="1"/>
  <c r="AD2892" i="4" s="1"/>
  <c r="D3315" i="4"/>
  <c r="B3315" i="4" s="1"/>
  <c r="A3315" i="4"/>
  <c r="D3477" i="4"/>
  <c r="AH3477" i="4"/>
  <c r="D3481" i="4" s="1"/>
  <c r="D3446" i="4" s="1"/>
  <c r="G1463" i="1" s="1"/>
  <c r="H1463" i="1" s="1"/>
  <c r="G343" i="1"/>
  <c r="H343" i="1" s="1"/>
  <c r="G608" i="1"/>
  <c r="H608" i="1" s="1"/>
  <c r="G627" i="1"/>
  <c r="H627" i="1" s="1"/>
  <c r="G723" i="1"/>
  <c r="H723" i="1" s="1"/>
  <c r="G570" i="1"/>
  <c r="H570" i="1" s="1"/>
  <c r="G732" i="1"/>
  <c r="H732" i="1" s="1"/>
  <c r="D3216" i="4"/>
  <c r="B3216" i="4" s="1"/>
  <c r="A3216" i="4"/>
  <c r="G729" i="1"/>
  <c r="H729" i="1" s="1"/>
  <c r="G655" i="1"/>
  <c r="H655" i="1" s="1"/>
  <c r="G649" i="1"/>
  <c r="H649" i="1" s="1"/>
  <c r="D656" i="4"/>
  <c r="B656" i="4" s="1"/>
  <c r="B1208" i="4"/>
  <c r="AD3256" i="4"/>
  <c r="AD3272" i="4" s="1"/>
  <c r="AD3278" i="4" s="1"/>
  <c r="C3282" i="4" s="1"/>
  <c r="G724" i="1"/>
  <c r="H724" i="1" s="1"/>
  <c r="G607" i="1"/>
  <c r="H607" i="1" s="1"/>
  <c r="G904" i="1"/>
  <c r="H904" i="1" s="1"/>
  <c r="I259" i="1"/>
  <c r="J259" i="1" s="1"/>
  <c r="AF1633" i="4"/>
  <c r="AF1629" i="4"/>
  <c r="A3051" i="4"/>
  <c r="D3051" i="4"/>
  <c r="B3051" i="4" s="1"/>
  <c r="D3429" i="4"/>
  <c r="B3429" i="4" s="1"/>
  <c r="A3429" i="4"/>
  <c r="G717" i="1"/>
  <c r="H717" i="1" s="1"/>
  <c r="G609" i="1"/>
  <c r="H609" i="1" s="1"/>
  <c r="G666" i="1"/>
  <c r="H666" i="1" s="1"/>
  <c r="G522" i="1"/>
  <c r="H522" i="1" s="1"/>
  <c r="G571" i="1"/>
  <c r="H571" i="1" s="1"/>
  <c r="G675" i="1"/>
  <c r="H675" i="1" s="1"/>
  <c r="G516" i="1"/>
  <c r="H516" i="1" s="1"/>
  <c r="E891" i="1"/>
  <c r="F891" i="1" s="1"/>
  <c r="AB272" i="4"/>
  <c r="AD272" i="4" s="1"/>
  <c r="B1283" i="4"/>
  <c r="B1792" i="4"/>
  <c r="B2879" i="4"/>
  <c r="AD2991" i="4"/>
  <c r="AD2994" i="4" s="1"/>
  <c r="AD2997" i="4" s="1"/>
  <c r="AD3000" i="4" s="1"/>
  <c r="AF3002" i="4" s="1"/>
  <c r="G714" i="1"/>
  <c r="H714" i="1" s="1"/>
  <c r="G905" i="1"/>
  <c r="H905" i="1" s="1"/>
  <c r="I260" i="1"/>
  <c r="J260" i="1" s="1"/>
  <c r="I284" i="1"/>
  <c r="J284" i="1" s="1"/>
  <c r="I294" i="1"/>
  <c r="J294" i="1" s="1"/>
  <c r="I258" i="1"/>
  <c r="J258" i="1" s="1"/>
  <c r="I219" i="1"/>
  <c r="J219" i="1" s="1"/>
  <c r="I268" i="1"/>
  <c r="J268" i="1" s="1"/>
  <c r="I299" i="1"/>
  <c r="J299" i="1" s="1"/>
  <c r="I263" i="1"/>
  <c r="J263" i="1" s="1"/>
  <c r="I224" i="1"/>
  <c r="J224" i="1" s="1"/>
  <c r="I285" i="1"/>
  <c r="J285" i="1" s="1"/>
  <c r="I246" i="1"/>
  <c r="J246" i="1" s="1"/>
  <c r="I210" i="1"/>
  <c r="J210" i="1" s="1"/>
  <c r="D3210" i="4"/>
  <c r="B3210" i="4" s="1"/>
  <c r="A3210" i="4"/>
  <c r="G728" i="1"/>
  <c r="H728" i="1" s="1"/>
  <c r="G687" i="1"/>
  <c r="H687" i="1" s="1"/>
  <c r="G558" i="1"/>
  <c r="H558" i="1" s="1"/>
  <c r="G576" i="1"/>
  <c r="H576" i="1" s="1"/>
  <c r="E893" i="1"/>
  <c r="F893" i="1" s="1"/>
  <c r="AF1454" i="1"/>
  <c r="J1454" i="1"/>
  <c r="K440" i="1"/>
  <c r="J736" i="1"/>
  <c r="K422" i="1"/>
  <c r="F972" i="1"/>
  <c r="L972" i="1" s="1"/>
  <c r="F1390" i="1"/>
  <c r="L1390" i="1" s="1"/>
  <c r="G121" i="1"/>
  <c r="H121" i="1" s="1"/>
  <c r="G168" i="1"/>
  <c r="H168" i="1" s="1"/>
  <c r="AB1479" i="4"/>
  <c r="AD1479" i="4" s="1"/>
  <c r="AF1483" i="4" s="1"/>
  <c r="A1183" i="4"/>
  <c r="D2397" i="4"/>
  <c r="B2397" i="4" s="1"/>
  <c r="A2397" i="4"/>
  <c r="AF2732" i="4"/>
  <c r="D2732" i="4" s="1"/>
  <c r="B2732" i="4" s="1"/>
  <c r="AB2736" i="4"/>
  <c r="AD2736" i="4" s="1"/>
  <c r="AJ2738" i="4" s="1"/>
  <c r="E2738" i="4" s="1"/>
  <c r="B2738" i="4" s="1"/>
  <c r="A3573" i="4"/>
  <c r="E3573" i="4"/>
  <c r="B3573" i="4" s="1"/>
  <c r="AD3573" i="4"/>
  <c r="AJ3576" i="4" s="1"/>
  <c r="G20" i="1"/>
  <c r="H20" i="1" s="1"/>
  <c r="AH3418" i="4"/>
  <c r="D3418" i="4"/>
  <c r="G483" i="1"/>
  <c r="H483" i="1" s="1"/>
  <c r="G611" i="1"/>
  <c r="H611" i="1" s="1"/>
  <c r="G635" i="1"/>
  <c r="H635" i="1" s="1"/>
  <c r="G647" i="1"/>
  <c r="H647" i="1" s="1"/>
  <c r="G215" i="1"/>
  <c r="H215" i="1" s="1"/>
  <c r="G251" i="1"/>
  <c r="H251" i="1" s="1"/>
  <c r="G266" i="1"/>
  <c r="H266" i="1" s="1"/>
  <c r="G278" i="1"/>
  <c r="H278" i="1" s="1"/>
  <c r="G290" i="1"/>
  <c r="H290" i="1" s="1"/>
  <c r="G217" i="1"/>
  <c r="H217" i="1" s="1"/>
  <c r="G256" i="1"/>
  <c r="H256" i="1" s="1"/>
  <c r="G268" i="1"/>
  <c r="H268" i="1" s="1"/>
  <c r="G280" i="1"/>
  <c r="H280" i="1" s="1"/>
  <c r="G292" i="1"/>
  <c r="H292" i="1" s="1"/>
  <c r="G219" i="1"/>
  <c r="H219" i="1" s="1"/>
  <c r="G243" i="1"/>
  <c r="H243" i="1" s="1"/>
  <c r="G258" i="1"/>
  <c r="H258" i="1" s="1"/>
  <c r="G270" i="1"/>
  <c r="H270" i="1" s="1"/>
  <c r="G282" i="1"/>
  <c r="H282" i="1" s="1"/>
  <c r="G294" i="1"/>
  <c r="H294" i="1" s="1"/>
  <c r="G209" i="1"/>
  <c r="H209" i="1" s="1"/>
  <c r="G221" i="1"/>
  <c r="H221" i="1" s="1"/>
  <c r="G245" i="1"/>
  <c r="H245" i="1" s="1"/>
  <c r="G260" i="1"/>
  <c r="H260" i="1" s="1"/>
  <c r="G272" i="1"/>
  <c r="H272" i="1" s="1"/>
  <c r="G284" i="1"/>
  <c r="H284" i="1" s="1"/>
  <c r="G296" i="1"/>
  <c r="H296" i="1" s="1"/>
  <c r="G211" i="1"/>
  <c r="H211" i="1" s="1"/>
  <c r="G223" i="1"/>
  <c r="H223" i="1" s="1"/>
  <c r="G247" i="1"/>
  <c r="H247" i="1" s="1"/>
  <c r="G262" i="1"/>
  <c r="H262" i="1" s="1"/>
  <c r="G274" i="1"/>
  <c r="H274" i="1" s="1"/>
  <c r="G286" i="1"/>
  <c r="H286" i="1" s="1"/>
  <c r="G298" i="1"/>
  <c r="H298" i="1" s="1"/>
  <c r="G249" i="1"/>
  <c r="H249" i="1" s="1"/>
  <c r="G288" i="1"/>
  <c r="H288" i="1" s="1"/>
  <c r="G213" i="1"/>
  <c r="H213" i="1" s="1"/>
  <c r="G225" i="1"/>
  <c r="H225" i="1" s="1"/>
  <c r="G264" i="1"/>
  <c r="H264" i="1" s="1"/>
  <c r="G276" i="1"/>
  <c r="H276" i="1" s="1"/>
  <c r="I227" i="3"/>
  <c r="J227" i="3" s="1"/>
  <c r="J224" i="3" s="1"/>
  <c r="G33" i="2" s="1"/>
  <c r="I95" i="3" s="1"/>
  <c r="J95" i="3" s="1"/>
  <c r="I251" i="3"/>
  <c r="J251" i="3" s="1"/>
  <c r="J248" i="3" s="1"/>
  <c r="G37" i="2" s="1"/>
  <c r="I113" i="3" s="1"/>
  <c r="J113" i="3" s="1"/>
  <c r="I173" i="3"/>
  <c r="J173" i="3" s="1"/>
  <c r="J170" i="3" s="1"/>
  <c r="G24" i="2" s="1"/>
  <c r="I44" i="3" s="1"/>
  <c r="J44" i="3" s="1"/>
  <c r="I191" i="3"/>
  <c r="J191" i="3" s="1"/>
  <c r="J188" i="3" s="1"/>
  <c r="G27" i="2" s="1"/>
  <c r="I61" i="3" s="1"/>
  <c r="J61" i="3" s="1"/>
  <c r="I209" i="3"/>
  <c r="J209" i="3" s="1"/>
  <c r="J206" i="3" s="1"/>
  <c r="G30" i="2" s="1"/>
  <c r="I78" i="3" s="1"/>
  <c r="J78" i="3" s="1"/>
  <c r="I233" i="3"/>
  <c r="J233" i="3" s="1"/>
  <c r="J230" i="3" s="1"/>
  <c r="G34" i="2" s="1"/>
  <c r="I96" i="3" s="1"/>
  <c r="J96" i="3" s="1"/>
  <c r="I263" i="3"/>
  <c r="J263" i="3" s="1"/>
  <c r="J260" i="3" s="1"/>
  <c r="G39" i="2" s="1"/>
  <c r="I129" i="3" s="1"/>
  <c r="J129" i="3" s="1"/>
  <c r="I245" i="3"/>
  <c r="J245" i="3" s="1"/>
  <c r="J242" i="3" s="1"/>
  <c r="G36" i="2" s="1"/>
  <c r="I112" i="3" s="1"/>
  <c r="J112" i="3" s="1"/>
  <c r="I179" i="3"/>
  <c r="J179" i="3" s="1"/>
  <c r="J176" i="3" s="1"/>
  <c r="G25" i="2" s="1"/>
  <c r="I45" i="3" s="1"/>
  <c r="J45" i="3" s="1"/>
  <c r="I215" i="3"/>
  <c r="J215" i="3" s="1"/>
  <c r="J212" i="3" s="1"/>
  <c r="G31" i="2" s="1"/>
  <c r="I79" i="3" s="1"/>
  <c r="J79" i="3" s="1"/>
  <c r="I197" i="3"/>
  <c r="J197" i="3" s="1"/>
  <c r="J194" i="3" s="1"/>
  <c r="G28" i="2" s="1"/>
  <c r="I62" i="3" s="1"/>
  <c r="J62" i="3" s="1"/>
  <c r="I269" i="3"/>
  <c r="J269" i="3" s="1"/>
  <c r="J266" i="3" s="1"/>
  <c r="G40" i="2" s="1"/>
  <c r="I130" i="3" s="1"/>
  <c r="J130" i="3" s="1"/>
  <c r="F148" i="1"/>
  <c r="F151" i="1"/>
  <c r="F157" i="1"/>
  <c r="AB286" i="4"/>
  <c r="AD286" i="4" s="1"/>
  <c r="AB514" i="4"/>
  <c r="AD514" i="4" s="1"/>
  <c r="AB742" i="4"/>
  <c r="AB362" i="4"/>
  <c r="AB590" i="4"/>
  <c r="AB210" i="4"/>
  <c r="AB666" i="4"/>
  <c r="AB438" i="4"/>
  <c r="K63" i="3"/>
  <c r="L63" i="3" s="1"/>
  <c r="K97" i="3"/>
  <c r="L97" i="3" s="1"/>
  <c r="K80" i="3"/>
  <c r="L80" i="3" s="1"/>
  <c r="I18" i="1"/>
  <c r="J18" i="1" s="1"/>
  <c r="I23" i="1"/>
  <c r="J23" i="1" s="1"/>
  <c r="I30" i="1"/>
  <c r="J30" i="1" s="1"/>
  <c r="I35" i="1"/>
  <c r="J35" i="1" s="1"/>
  <c r="I42" i="1"/>
  <c r="J42" i="1" s="1"/>
  <c r="I20" i="1"/>
  <c r="J20" i="1" s="1"/>
  <c r="I25" i="1"/>
  <c r="J25" i="1" s="1"/>
  <c r="I32" i="1"/>
  <c r="J32" i="1" s="1"/>
  <c r="I37" i="1"/>
  <c r="J37" i="1" s="1"/>
  <c r="I22" i="1"/>
  <c r="J22" i="1" s="1"/>
  <c r="I27" i="1"/>
  <c r="J27" i="1" s="1"/>
  <c r="I34" i="1"/>
  <c r="J34" i="1" s="1"/>
  <c r="I39" i="1"/>
  <c r="J39" i="1" s="1"/>
  <c r="I24" i="1"/>
  <c r="J24" i="1" s="1"/>
  <c r="I29" i="1"/>
  <c r="J29" i="1" s="1"/>
  <c r="I36" i="1"/>
  <c r="J36" i="1" s="1"/>
  <c r="I41" i="1"/>
  <c r="J41" i="1" s="1"/>
  <c r="I19" i="1"/>
  <c r="J19" i="1" s="1"/>
  <c r="I26" i="1"/>
  <c r="J26" i="1" s="1"/>
  <c r="I31" i="1"/>
  <c r="J31" i="1" s="1"/>
  <c r="I38" i="1"/>
  <c r="J38" i="1" s="1"/>
  <c r="I43" i="1"/>
  <c r="J43" i="1" s="1"/>
  <c r="I21" i="1"/>
  <c r="J21" i="1" s="1"/>
  <c r="I40" i="1"/>
  <c r="J40" i="1" s="1"/>
  <c r="I28" i="1"/>
  <c r="J28" i="1" s="1"/>
  <c r="I33" i="1"/>
  <c r="J33" i="1" s="1"/>
  <c r="I229" i="1"/>
  <c r="J229" i="1" s="1"/>
  <c r="I135" i="1"/>
  <c r="J135" i="1" s="1"/>
  <c r="I182" i="1"/>
  <c r="J182" i="1" s="1"/>
  <c r="AF1217" i="1"/>
  <c r="L1164" i="1"/>
  <c r="AF1325" i="1"/>
  <c r="L1245" i="1"/>
  <c r="Z49" i="1"/>
  <c r="L1260" i="1"/>
  <c r="Z43" i="1"/>
  <c r="L1107" i="1"/>
  <c r="Z44" i="1"/>
  <c r="AH880" i="4"/>
  <c r="A880" i="4"/>
  <c r="Z54" i="1"/>
  <c r="L1394" i="1"/>
  <c r="AF344" i="4"/>
  <c r="AB344" i="4"/>
  <c r="AD344" i="4" s="1"/>
  <c r="AF348" i="4" s="1"/>
  <c r="Z51" i="1"/>
  <c r="Z48" i="1"/>
  <c r="AH800" i="4"/>
  <c r="A800" i="4"/>
  <c r="B1056" i="4"/>
  <c r="A1325" i="4"/>
  <c r="AH1325" i="4"/>
  <c r="AB1027" i="4"/>
  <c r="AD1027" i="4" s="1"/>
  <c r="AB1107" i="4"/>
  <c r="AD1107" i="4" s="1"/>
  <c r="AH1179" i="4"/>
  <c r="A1179" i="4"/>
  <c r="E3040" i="4"/>
  <c r="AL3040" i="4"/>
  <c r="AL3056" i="4" s="1"/>
  <c r="D2565" i="4"/>
  <c r="B2565" i="4" s="1"/>
  <c r="A2565" i="4"/>
  <c r="AB1408" i="4"/>
  <c r="AD1408" i="4" s="1"/>
  <c r="E2554" i="4"/>
  <c r="AL2554" i="4"/>
  <c r="AL2570" i="4" s="1"/>
  <c r="E3364" i="4"/>
  <c r="B3364" i="4" s="1"/>
  <c r="AL3364" i="4"/>
  <c r="AL3380" i="4" s="1"/>
  <c r="C2554" i="4"/>
  <c r="AD2554" i="4"/>
  <c r="AD2570" i="4" s="1"/>
  <c r="AD2576" i="4" s="1"/>
  <c r="C2580" i="4" s="1"/>
  <c r="D2721" i="4"/>
  <c r="B2721" i="4" s="1"/>
  <c r="A2721" i="4"/>
  <c r="A3153" i="4"/>
  <c r="D3153" i="4"/>
  <c r="B3153" i="4" s="1"/>
  <c r="D3372" i="4"/>
  <c r="B3372" i="4" s="1"/>
  <c r="A3372" i="4"/>
  <c r="D2832" i="4"/>
  <c r="B2832" i="4" s="1"/>
  <c r="A2832" i="4"/>
  <c r="E2986" i="4"/>
  <c r="AL2986" i="4"/>
  <c r="AL3002" i="4" s="1"/>
  <c r="AL2300" i="4"/>
  <c r="A3162" i="4"/>
  <c r="D3162" i="4"/>
  <c r="B3162" i="4" s="1"/>
  <c r="A2781" i="4"/>
  <c r="D2781" i="4"/>
  <c r="B2781" i="4" s="1"/>
  <c r="C2474" i="4"/>
  <c r="G30" i="1"/>
  <c r="H30" i="1" s="1"/>
  <c r="AD2678" i="4"/>
  <c r="AD2684" i="4" s="1"/>
  <c r="C2688" i="4" s="1"/>
  <c r="AD2354" i="4"/>
  <c r="AD2360" i="4" s="1"/>
  <c r="C2364" i="4" s="1"/>
  <c r="C3525" i="4"/>
  <c r="B2932" i="4"/>
  <c r="AL3326" i="4"/>
  <c r="A3108" i="4"/>
  <c r="D3108" i="4"/>
  <c r="B3108" i="4" s="1"/>
  <c r="G481" i="1"/>
  <c r="H481" i="1" s="1"/>
  <c r="G547" i="1"/>
  <c r="H547" i="1" s="1"/>
  <c r="G471" i="1"/>
  <c r="H471" i="1" s="1"/>
  <c r="G495" i="1"/>
  <c r="H495" i="1" s="1"/>
  <c r="G704" i="1"/>
  <c r="H704" i="1" s="1"/>
  <c r="G725" i="1"/>
  <c r="H725" i="1" s="1"/>
  <c r="G665" i="1"/>
  <c r="H665" i="1" s="1"/>
  <c r="G677" i="1"/>
  <c r="H677" i="1" s="1"/>
  <c r="G567" i="1"/>
  <c r="H567" i="1" s="1"/>
  <c r="G543" i="1"/>
  <c r="H543" i="1" s="1"/>
  <c r="J218" i="3"/>
  <c r="AB1203" i="4"/>
  <c r="AB1428" i="4"/>
  <c r="AB1127" i="4"/>
  <c r="AB1353" i="4"/>
  <c r="AB1578" i="4"/>
  <c r="AB1653" i="4"/>
  <c r="AB1781" i="4"/>
  <c r="AD1781" i="4" s="1"/>
  <c r="AF1785" i="4" s="1"/>
  <c r="AB1701" i="4"/>
  <c r="AB1741" i="4"/>
  <c r="J147" i="3"/>
  <c r="F149" i="3"/>
  <c r="AF88" i="1"/>
  <c r="K411" i="1"/>
  <c r="K417" i="1"/>
  <c r="L420" i="1"/>
  <c r="K429" i="1"/>
  <c r="L438" i="1"/>
  <c r="E881" i="1"/>
  <c r="H55" i="3"/>
  <c r="H72" i="3"/>
  <c r="H90" i="3"/>
  <c r="H124" i="3"/>
  <c r="H41" i="3"/>
  <c r="H77" i="3"/>
  <c r="F101" i="3"/>
  <c r="H104" i="3"/>
  <c r="AB103" i="3"/>
  <c r="AD103" i="3" s="1"/>
  <c r="F267" i="3"/>
  <c r="F195" i="3"/>
  <c r="E8" i="5"/>
  <c r="G73" i="6"/>
  <c r="I118" i="1"/>
  <c r="J118" i="1" s="1"/>
  <c r="I165" i="1"/>
  <c r="J165" i="1" s="1"/>
  <c r="I363" i="1"/>
  <c r="J363" i="1" s="1"/>
  <c r="I391" i="1"/>
  <c r="J391" i="1" s="1"/>
  <c r="I358" i="1"/>
  <c r="J358" i="1" s="1"/>
  <c r="I383" i="1"/>
  <c r="J383" i="1" s="1"/>
  <c r="AB1689" i="4"/>
  <c r="AB1729" i="4"/>
  <c r="AB1769" i="4"/>
  <c r="AB1355" i="4"/>
  <c r="I245" i="1"/>
  <c r="J245" i="1" s="1"/>
  <c r="I283" i="1"/>
  <c r="J283" i="1" s="1"/>
  <c r="I293" i="1"/>
  <c r="J293" i="1" s="1"/>
  <c r="I257" i="1"/>
  <c r="J257" i="1" s="1"/>
  <c r="I218" i="1"/>
  <c r="J218" i="1" s="1"/>
  <c r="I267" i="1"/>
  <c r="J267" i="1" s="1"/>
  <c r="I228" i="1"/>
  <c r="J228" i="1" s="1"/>
  <c r="I288" i="1"/>
  <c r="J288" i="1" s="1"/>
  <c r="I213" i="1"/>
  <c r="J213" i="1" s="1"/>
  <c r="I274" i="1"/>
  <c r="J274" i="1" s="1"/>
  <c r="I138" i="1"/>
  <c r="J138" i="1" s="1"/>
  <c r="I185" i="1"/>
  <c r="J185" i="1" s="1"/>
  <c r="I144" i="1"/>
  <c r="J144" i="1" s="1"/>
  <c r="I191" i="1"/>
  <c r="J191" i="1" s="1"/>
  <c r="AB748" i="4"/>
  <c r="AB2086" i="4"/>
  <c r="AB2088" i="4"/>
  <c r="AB2090" i="4"/>
  <c r="C3564" i="4"/>
  <c r="B3564" i="4" s="1"/>
  <c r="AD3564" i="4"/>
  <c r="AB3571" i="4" s="1"/>
  <c r="A3564" i="4"/>
  <c r="E3477" i="4"/>
  <c r="AL3477" i="4"/>
  <c r="E3481" i="4" s="1"/>
  <c r="E3446" i="4" s="1"/>
  <c r="I1463" i="1" s="1"/>
  <c r="J1463" i="1" s="1"/>
  <c r="G477" i="1"/>
  <c r="H477" i="1" s="1"/>
  <c r="G623" i="1"/>
  <c r="H623" i="1" s="1"/>
  <c r="G641" i="1"/>
  <c r="H641" i="1" s="1"/>
  <c r="F231" i="3"/>
  <c r="F145" i="1"/>
  <c r="F154" i="1"/>
  <c r="H123" i="3"/>
  <c r="H39" i="3"/>
  <c r="H75" i="3"/>
  <c r="H111" i="3"/>
  <c r="I134" i="1"/>
  <c r="J134" i="1" s="1"/>
  <c r="I181" i="1"/>
  <c r="J181" i="1" s="1"/>
  <c r="F1022" i="1"/>
  <c r="L1022" i="1" s="1"/>
  <c r="Z41" i="1"/>
  <c r="L1062" i="1"/>
  <c r="AF1221" i="1"/>
  <c r="AF1219" i="1"/>
  <c r="AF1215" i="1"/>
  <c r="AH648" i="4"/>
  <c r="A648" i="4"/>
  <c r="B12" i="4"/>
  <c r="AB728" i="4"/>
  <c r="AD728" i="4" s="1"/>
  <c r="Z52" i="1"/>
  <c r="L1338" i="1"/>
  <c r="AB500" i="4"/>
  <c r="AD500" i="4" s="1"/>
  <c r="A1099" i="4"/>
  <c r="AH1099" i="4"/>
  <c r="AF1366" i="1"/>
  <c r="AF1479" i="4"/>
  <c r="A1554" i="4"/>
  <c r="AH1554" i="4"/>
  <c r="A1735" i="4"/>
  <c r="D2454" i="4"/>
  <c r="B2454" i="4" s="1"/>
  <c r="A2454" i="4"/>
  <c r="AF1333" i="4"/>
  <c r="AF1408" i="4"/>
  <c r="E1827" i="4"/>
  <c r="B1827" i="4" s="1"/>
  <c r="AH1827" i="4"/>
  <c r="C2582" i="4"/>
  <c r="C2258" i="4"/>
  <c r="A2724" i="4"/>
  <c r="D2724" i="4"/>
  <c r="B2724" i="4" s="1"/>
  <c r="B2861" i="4"/>
  <c r="D3423" i="4"/>
  <c r="B3423" i="4" s="1"/>
  <c r="AD3423" i="4"/>
  <c r="AD3426" i="4" s="1"/>
  <c r="AD3429" i="4" s="1"/>
  <c r="AD3432" i="4" s="1"/>
  <c r="A3423" i="4"/>
  <c r="D2835" i="4"/>
  <c r="B2835" i="4" s="1"/>
  <c r="A2835" i="4"/>
  <c r="AH1900" i="4"/>
  <c r="E1900" i="4"/>
  <c r="B1900" i="4" s="1"/>
  <c r="AD2716" i="4"/>
  <c r="AD2732" i="4" s="1"/>
  <c r="AD2738" i="4" s="1"/>
  <c r="C2742" i="4" s="1"/>
  <c r="C2716" i="4"/>
  <c r="AL2948" i="4"/>
  <c r="AL3164" i="4"/>
  <c r="AD3372" i="4"/>
  <c r="AD3375" i="4" s="1"/>
  <c r="AD3378" i="4" s="1"/>
  <c r="E3539" i="4"/>
  <c r="B3539" i="4" s="1"/>
  <c r="AL3539" i="4"/>
  <c r="E3543" i="4" s="1"/>
  <c r="E3525" i="4" s="1"/>
  <c r="G26" i="1"/>
  <c r="H26" i="1" s="1"/>
  <c r="G33" i="1"/>
  <c r="H33" i="1" s="1"/>
  <c r="G40" i="1"/>
  <c r="H40" i="1" s="1"/>
  <c r="G145" i="1"/>
  <c r="H145" i="1" s="1"/>
  <c r="G192" i="1"/>
  <c r="H192" i="1" s="1"/>
  <c r="A2505" i="4"/>
  <c r="D2505" i="4"/>
  <c r="B2505" i="4" s="1"/>
  <c r="G156" i="1"/>
  <c r="H156" i="1" s="1"/>
  <c r="G203" i="1"/>
  <c r="H203" i="1" s="1"/>
  <c r="C3310" i="4"/>
  <c r="B3310" i="4" s="1"/>
  <c r="AD3310" i="4"/>
  <c r="AD3326" i="4" s="1"/>
  <c r="AD3332" i="4" s="1"/>
  <c r="C3336" i="4" s="1"/>
  <c r="E3519" i="4"/>
  <c r="AL3519" i="4"/>
  <c r="E3523" i="4" s="1"/>
  <c r="E3507" i="4" s="1"/>
  <c r="B3165" i="4"/>
  <c r="G42" i="1"/>
  <c r="H42" i="1" s="1"/>
  <c r="G306" i="1"/>
  <c r="H306" i="1" s="1"/>
  <c r="D3099" i="4"/>
  <c r="B3099" i="4" s="1"/>
  <c r="A3099" i="4"/>
  <c r="G308" i="1"/>
  <c r="H308" i="1" s="1"/>
  <c r="G34" i="1"/>
  <c r="H34" i="1" s="1"/>
  <c r="G303" i="1"/>
  <c r="H303" i="1" s="1"/>
  <c r="G480" i="1"/>
  <c r="H480" i="1" s="1"/>
  <c r="G498" i="1"/>
  <c r="H498" i="1" s="1"/>
  <c r="E3202" i="4"/>
  <c r="AL3202" i="4"/>
  <c r="AL3218" i="4" s="1"/>
  <c r="G304" i="1"/>
  <c r="H304" i="1" s="1"/>
  <c r="G475" i="1"/>
  <c r="H475" i="1" s="1"/>
  <c r="G489" i="1"/>
  <c r="H489" i="1" s="1"/>
  <c r="G513" i="1"/>
  <c r="H513" i="1" s="1"/>
  <c r="G561" i="1"/>
  <c r="H561" i="1" s="1"/>
  <c r="G605" i="1"/>
  <c r="H605" i="1" s="1"/>
  <c r="AD2832" i="4"/>
  <c r="AD2835" i="4" s="1"/>
  <c r="AD2838" i="4" s="1"/>
  <c r="F66" i="3"/>
  <c r="F134" i="3"/>
  <c r="J133" i="3"/>
  <c r="F183" i="3"/>
  <c r="J182" i="3"/>
  <c r="J160" i="3"/>
  <c r="F161" i="3"/>
  <c r="J236" i="3"/>
  <c r="F237" i="3"/>
  <c r="AB892" i="4"/>
  <c r="AD892" i="4" s="1"/>
  <c r="AB967" i="4"/>
  <c r="AB816" i="4"/>
  <c r="AD816" i="4" s="1"/>
  <c r="AB1345" i="4"/>
  <c r="AB1570" i="4"/>
  <c r="AB1420" i="4"/>
  <c r="AB1645" i="4"/>
  <c r="AB1043" i="4"/>
  <c r="AB1495" i="4"/>
  <c r="AB1270" i="4"/>
  <c r="I46" i="3"/>
  <c r="J46" i="3" s="1"/>
  <c r="H125" i="3"/>
  <c r="H127" i="3"/>
  <c r="H93" i="3"/>
  <c r="F177" i="3"/>
  <c r="F213" i="3"/>
  <c r="F146" i="1"/>
  <c r="F149" i="1"/>
  <c r="F152" i="1"/>
  <c r="F155" i="1"/>
  <c r="F158" i="1"/>
  <c r="L411" i="1"/>
  <c r="L417" i="1"/>
  <c r="K420" i="1"/>
  <c r="L423" i="1"/>
  <c r="L429" i="1"/>
  <c r="K438" i="1"/>
  <c r="H38" i="3"/>
  <c r="H56" i="3"/>
  <c r="H92" i="3"/>
  <c r="H126" i="3"/>
  <c r="H43" i="3"/>
  <c r="F49" i="3"/>
  <c r="I116" i="1"/>
  <c r="J116" i="1" s="1"/>
  <c r="I163" i="1"/>
  <c r="J163" i="1" s="1"/>
  <c r="AB1129" i="4"/>
  <c r="I271" i="1"/>
  <c r="J271" i="1" s="1"/>
  <c r="I244" i="1"/>
  <c r="J244" i="1" s="1"/>
  <c r="I272" i="1"/>
  <c r="J272" i="1" s="1"/>
  <c r="I282" i="1"/>
  <c r="J282" i="1" s="1"/>
  <c r="I243" i="1"/>
  <c r="J243" i="1" s="1"/>
  <c r="I292" i="1"/>
  <c r="J292" i="1" s="1"/>
  <c r="I256" i="1"/>
  <c r="J256" i="1" s="1"/>
  <c r="I287" i="1"/>
  <c r="J287" i="1" s="1"/>
  <c r="I212" i="1"/>
  <c r="J212" i="1" s="1"/>
  <c r="I273" i="1"/>
  <c r="J273" i="1" s="1"/>
  <c r="I234" i="1"/>
  <c r="J234" i="1" s="1"/>
  <c r="D1119" i="4"/>
  <c r="B1119" i="4" s="1"/>
  <c r="A1119" i="4"/>
  <c r="I133" i="1"/>
  <c r="J133" i="1" s="1"/>
  <c r="I180" i="1"/>
  <c r="J180" i="1" s="1"/>
  <c r="I139" i="1"/>
  <c r="J139" i="1" s="1"/>
  <c r="I186" i="1"/>
  <c r="J186" i="1" s="1"/>
  <c r="A1550" i="4"/>
  <c r="AH1550" i="4"/>
  <c r="D2451" i="4"/>
  <c r="B2451" i="4" s="1"/>
  <c r="A2451" i="4"/>
  <c r="AB3465" i="4"/>
  <c r="E2662" i="4"/>
  <c r="AL2662" i="4"/>
  <c r="AL2678" i="4" s="1"/>
  <c r="G529" i="1"/>
  <c r="H529" i="1" s="1"/>
  <c r="G519" i="1"/>
  <c r="H519" i="1" s="1"/>
  <c r="G531" i="1"/>
  <c r="H531" i="1" s="1"/>
  <c r="G629" i="1"/>
  <c r="H629" i="1" s="1"/>
  <c r="Z40" i="1"/>
  <c r="L1029" i="1"/>
  <c r="F1415" i="1"/>
  <c r="L1415" i="1" s="1"/>
  <c r="A504" i="4"/>
  <c r="D504" i="4"/>
  <c r="B504" i="4" s="1"/>
  <c r="AD504" i="4"/>
  <c r="D3040" i="4"/>
  <c r="AH3040" i="4"/>
  <c r="C3230" i="4"/>
  <c r="AL3434" i="4"/>
  <c r="D3102" i="4"/>
  <c r="B3102" i="4" s="1"/>
  <c r="A3102" i="4"/>
  <c r="G469" i="1"/>
  <c r="H469" i="1" s="1"/>
  <c r="G505" i="1"/>
  <c r="H505" i="1" s="1"/>
  <c r="G523" i="1"/>
  <c r="H523" i="1" s="1"/>
  <c r="G535" i="1"/>
  <c r="H535" i="1" s="1"/>
  <c r="G583" i="1"/>
  <c r="H583" i="1" s="1"/>
  <c r="G555" i="1"/>
  <c r="H555" i="1" s="1"/>
  <c r="G734" i="1"/>
  <c r="H734" i="1" s="1"/>
  <c r="G305" i="1"/>
  <c r="H305" i="1" s="1"/>
  <c r="G731" i="1"/>
  <c r="H731" i="1" s="1"/>
  <c r="G713" i="1"/>
  <c r="H713" i="1" s="1"/>
  <c r="AL2894" i="4"/>
  <c r="F140" i="3"/>
  <c r="J139" i="3"/>
  <c r="F201" i="3"/>
  <c r="J200" i="3"/>
  <c r="AB56" i="4"/>
  <c r="AB132" i="4"/>
  <c r="AB1813" i="4"/>
  <c r="AB1886" i="4"/>
  <c r="I114" i="3"/>
  <c r="J114" i="3" s="1"/>
  <c r="I131" i="3"/>
  <c r="J131" i="3" s="1"/>
  <c r="H57" i="3"/>
  <c r="H74" i="3"/>
  <c r="H59" i="3"/>
  <c r="H76" i="3"/>
  <c r="G350" i="1"/>
  <c r="H350" i="1" s="1"/>
  <c r="G352" i="1"/>
  <c r="H352" i="1" s="1"/>
  <c r="G354" i="1"/>
  <c r="H354" i="1" s="1"/>
  <c r="G366" i="1"/>
  <c r="H366" i="1" s="1"/>
  <c r="G378" i="1"/>
  <c r="H378" i="1" s="1"/>
  <c r="G390" i="1"/>
  <c r="H390" i="1" s="1"/>
  <c r="G368" i="1"/>
  <c r="H368" i="1" s="1"/>
  <c r="G380" i="1"/>
  <c r="H380" i="1" s="1"/>
  <c r="G392" i="1"/>
  <c r="H392" i="1" s="1"/>
  <c r="G356" i="1"/>
  <c r="H356" i="1" s="1"/>
  <c r="G358" i="1"/>
  <c r="H358" i="1" s="1"/>
  <c r="G370" i="1"/>
  <c r="H370" i="1" s="1"/>
  <c r="G382" i="1"/>
  <c r="H382" i="1" s="1"/>
  <c r="G360" i="1"/>
  <c r="H360" i="1" s="1"/>
  <c r="G372" i="1"/>
  <c r="H372" i="1" s="1"/>
  <c r="G384" i="1"/>
  <c r="H384" i="1" s="1"/>
  <c r="G362" i="1"/>
  <c r="H362" i="1" s="1"/>
  <c r="G374" i="1"/>
  <c r="H374" i="1" s="1"/>
  <c r="G386" i="1"/>
  <c r="H386" i="1" s="1"/>
  <c r="G364" i="1"/>
  <c r="H364" i="1" s="1"/>
  <c r="G376" i="1"/>
  <c r="H376" i="1" s="1"/>
  <c r="G388" i="1"/>
  <c r="H388" i="1" s="1"/>
  <c r="G839" i="1"/>
  <c r="H839" i="1" s="1"/>
  <c r="K397" i="1"/>
  <c r="H106" i="3"/>
  <c r="H58" i="3"/>
  <c r="H94" i="3"/>
  <c r="H128" i="3"/>
  <c r="F117" i="3"/>
  <c r="H87" i="3"/>
  <c r="I117" i="1"/>
  <c r="J117" i="1" s="1"/>
  <c r="I164" i="1"/>
  <c r="J164" i="1" s="1"/>
  <c r="AB1430" i="4"/>
  <c r="A1783" i="4"/>
  <c r="E1783" i="4"/>
  <c r="B1783" i="4" s="1"/>
  <c r="I220" i="1"/>
  <c r="J220" i="1" s="1"/>
  <c r="I232" i="1"/>
  <c r="J232" i="1" s="1"/>
  <c r="I221" i="1"/>
  <c r="J221" i="1" s="1"/>
  <c r="I281" i="1"/>
  <c r="J281" i="1" s="1"/>
  <c r="I242" i="1"/>
  <c r="J242" i="1" s="1"/>
  <c r="I252" i="1"/>
  <c r="J252" i="1" s="1"/>
  <c r="I298" i="1"/>
  <c r="J298" i="1" s="1"/>
  <c r="I262" i="1"/>
  <c r="J262" i="1" s="1"/>
  <c r="I223" i="1"/>
  <c r="J223" i="1" s="1"/>
  <c r="I137" i="1"/>
  <c r="J137" i="1" s="1"/>
  <c r="I184" i="1"/>
  <c r="J184" i="1" s="1"/>
  <c r="I143" i="1"/>
  <c r="J143" i="1" s="1"/>
  <c r="I190" i="1"/>
  <c r="J190" i="1" s="1"/>
  <c r="AB975" i="4"/>
  <c r="AH1023" i="4"/>
  <c r="A1023" i="4"/>
  <c r="AD1679" i="4"/>
  <c r="AD1681" i="4" s="1"/>
  <c r="AD1685" i="4" s="1"/>
  <c r="A1679" i="4"/>
  <c r="C1679" i="4"/>
  <c r="B1679" i="4" s="1"/>
  <c r="A3048" i="4"/>
  <c r="D3048" i="4"/>
  <c r="B3048" i="4" s="1"/>
  <c r="AD2392" i="4"/>
  <c r="AD2408" i="4" s="1"/>
  <c r="AD2414" i="4" s="1"/>
  <c r="C2418" i="4" s="1"/>
  <c r="C2392" i="4"/>
  <c r="AD3094" i="4"/>
  <c r="AD3110" i="4" s="1"/>
  <c r="AD3116" i="4" s="1"/>
  <c r="C3120" i="4" s="1"/>
  <c r="C3094" i="4"/>
  <c r="D3159" i="4"/>
  <c r="B3159" i="4" s="1"/>
  <c r="A3159" i="4"/>
  <c r="E2338" i="4"/>
  <c r="AL2338" i="4"/>
  <c r="AL2354" i="4" s="1"/>
  <c r="D2778" i="4"/>
  <c r="B2778" i="4" s="1"/>
  <c r="A2778" i="4"/>
  <c r="AL3501" i="4"/>
  <c r="E3505" i="4" s="1"/>
  <c r="E3483" i="4" s="1"/>
  <c r="I1464" i="1" s="1"/>
  <c r="J1464" i="1" s="1"/>
  <c r="E3501" i="4"/>
  <c r="B3501" i="4" s="1"/>
  <c r="B2662" i="4"/>
  <c r="C2906" i="4"/>
  <c r="G653" i="1"/>
  <c r="H653" i="1" s="1"/>
  <c r="G617" i="1"/>
  <c r="H617" i="1" s="1"/>
  <c r="L1089" i="1"/>
  <c r="AF1220" i="1"/>
  <c r="AH420" i="4"/>
  <c r="A420" i="4"/>
  <c r="L1319" i="1"/>
  <c r="AF1322" i="1"/>
  <c r="AF1453" i="1"/>
  <c r="L1452" i="1"/>
  <c r="AF500" i="4"/>
  <c r="AH1027" i="4"/>
  <c r="A1027" i="4"/>
  <c r="AH1250" i="4"/>
  <c r="A1250" i="4"/>
  <c r="AB1333" i="4"/>
  <c r="AD1333" i="4" s="1"/>
  <c r="A2838" i="4"/>
  <c r="D2838" i="4"/>
  <c r="B2838" i="4" s="1"/>
  <c r="G32" i="1"/>
  <c r="H32" i="1" s="1"/>
  <c r="Z46" i="1"/>
  <c r="L1182" i="1"/>
  <c r="Z39" i="1"/>
  <c r="Z50" i="1"/>
  <c r="AH192" i="4"/>
  <c r="A192" i="4"/>
  <c r="AH424" i="4"/>
  <c r="A424" i="4"/>
  <c r="L1221" i="1"/>
  <c r="AF1326" i="1"/>
  <c r="A276" i="4"/>
  <c r="D276" i="4"/>
  <c r="B276" i="4" s="1"/>
  <c r="AD276" i="4"/>
  <c r="B164" i="4"/>
  <c r="AF272" i="4"/>
  <c r="A1111" i="4"/>
  <c r="D1111" i="4"/>
  <c r="B1111" i="4" s="1"/>
  <c r="C1759" i="4"/>
  <c r="B1759" i="4" s="1"/>
  <c r="AD1759" i="4"/>
  <c r="AD1761" i="4" s="1"/>
  <c r="AD1765" i="4" s="1"/>
  <c r="A1759" i="4"/>
  <c r="E2716" i="4"/>
  <c r="AL2716" i="4"/>
  <c r="AL2732" i="4" s="1"/>
  <c r="E2446" i="4"/>
  <c r="AL2446" i="4"/>
  <c r="AL2462" i="4" s="1"/>
  <c r="D3213" i="4"/>
  <c r="B3213" i="4" s="1"/>
  <c r="A3213" i="4"/>
  <c r="AB1254" i="4"/>
  <c r="AD1254" i="4" s="1"/>
  <c r="AB1258" i="4" s="1"/>
  <c r="AD1258" i="4" s="1"/>
  <c r="AH36" i="4"/>
  <c r="A36" i="4"/>
  <c r="AD2446" i="4"/>
  <c r="AD2462" i="4" s="1"/>
  <c r="AD2468" i="4" s="1"/>
  <c r="C2472" i="4" s="1"/>
  <c r="C2446" i="4"/>
  <c r="AD2451" i="4"/>
  <c r="AD2454" i="4" s="1"/>
  <c r="AD2457" i="4" s="1"/>
  <c r="AD2460" i="4" s="1"/>
  <c r="A2784" i="4"/>
  <c r="D2784" i="4"/>
  <c r="B2784" i="4" s="1"/>
  <c r="AF2678" i="4"/>
  <c r="D2678" i="4" s="1"/>
  <c r="B2678" i="4" s="1"/>
  <c r="C3148" i="4"/>
  <c r="B3148" i="4" s="1"/>
  <c r="AD3148" i="4"/>
  <c r="AD3164" i="4" s="1"/>
  <c r="AD3170" i="4" s="1"/>
  <c r="C3174" i="4" s="1"/>
  <c r="AD2397" i="4"/>
  <c r="AD2400" i="4" s="1"/>
  <c r="AD2403" i="4" s="1"/>
  <c r="AD2406" i="4" s="1"/>
  <c r="AD2508" i="4"/>
  <c r="AD2511" i="4" s="1"/>
  <c r="AD2514" i="4" s="1"/>
  <c r="C3202" i="4"/>
  <c r="AD3202" i="4"/>
  <c r="AD3218" i="4" s="1"/>
  <c r="AD3224" i="4" s="1"/>
  <c r="C3228" i="4" s="1"/>
  <c r="AD3040" i="4"/>
  <c r="AD3056" i="4" s="1"/>
  <c r="AD3062" i="4" s="1"/>
  <c r="C3066" i="4" s="1"/>
  <c r="C3040" i="4"/>
  <c r="G28" i="1"/>
  <c r="H28" i="1" s="1"/>
  <c r="G157" i="1"/>
  <c r="H157" i="1" s="1"/>
  <c r="G204" i="1"/>
  <c r="H204" i="1" s="1"/>
  <c r="B1978" i="4"/>
  <c r="D2511" i="4"/>
  <c r="B2511" i="4" s="1"/>
  <c r="A2511" i="4"/>
  <c r="AD2986" i="4"/>
  <c r="AD3002" i="4" s="1"/>
  <c r="AD3008" i="4" s="1"/>
  <c r="C3012" i="4" s="1"/>
  <c r="C2986" i="4"/>
  <c r="G18" i="1"/>
  <c r="H18" i="1" s="1"/>
  <c r="B3256" i="4"/>
  <c r="AL3272" i="4"/>
  <c r="D3105" i="4"/>
  <c r="B3105" i="4" s="1"/>
  <c r="A3105" i="4"/>
  <c r="G307" i="1"/>
  <c r="H307" i="1" s="1"/>
  <c r="C3338" i="4"/>
  <c r="G579" i="1"/>
  <c r="H579" i="1" s="1"/>
  <c r="G590" i="1"/>
  <c r="H590" i="1" s="1"/>
  <c r="G525" i="1"/>
  <c r="H525" i="1" s="1"/>
  <c r="G549" i="1"/>
  <c r="H549" i="1" s="1"/>
  <c r="G695" i="1"/>
  <c r="H695" i="1" s="1"/>
  <c r="G701" i="1"/>
  <c r="H701" i="1" s="1"/>
  <c r="G707" i="1"/>
  <c r="H707" i="1" s="1"/>
  <c r="G671" i="1"/>
  <c r="H671" i="1" s="1"/>
  <c r="G683" i="1"/>
  <c r="H683" i="1" s="1"/>
  <c r="F32" i="3"/>
  <c r="F152" i="3"/>
  <c r="J151" i="3"/>
  <c r="F171" i="3"/>
  <c r="F189" i="3"/>
  <c r="F255" i="3"/>
  <c r="J254" i="3"/>
  <c r="F243" i="3"/>
  <c r="H40" i="3"/>
  <c r="H42" i="3"/>
  <c r="AF87" i="1"/>
  <c r="F147" i="1"/>
  <c r="F150" i="1"/>
  <c r="F153" i="1"/>
  <c r="F156" i="1"/>
  <c r="L397" i="1"/>
  <c r="L421" i="1"/>
  <c r="E899" i="1"/>
  <c r="H107" i="3"/>
  <c r="H60" i="3"/>
  <c r="H91" i="3"/>
  <c r="J601" i="1"/>
  <c r="AB1121" i="4"/>
  <c r="AB1197" i="4"/>
  <c r="I115" i="1"/>
  <c r="J115" i="1" s="1"/>
  <c r="I162" i="1"/>
  <c r="J162" i="1" s="1"/>
  <c r="A1743" i="4"/>
  <c r="E1743" i="4"/>
  <c r="B1743" i="4" s="1"/>
  <c r="I209" i="1"/>
  <c r="J209" i="1" s="1"/>
  <c r="I231" i="1"/>
  <c r="J231" i="1" s="1"/>
  <c r="I241" i="1"/>
  <c r="J241" i="1" s="1"/>
  <c r="I297" i="1"/>
  <c r="J297" i="1" s="1"/>
  <c r="I261" i="1"/>
  <c r="J261" i="1" s="1"/>
  <c r="I222" i="1"/>
  <c r="J222" i="1" s="1"/>
  <c r="I142" i="1"/>
  <c r="J142" i="1" s="1"/>
  <c r="I189" i="1"/>
  <c r="J189" i="1" s="1"/>
  <c r="I136" i="1"/>
  <c r="J136" i="1" s="1"/>
  <c r="I183" i="1"/>
  <c r="J183" i="1" s="1"/>
  <c r="AB520" i="4"/>
  <c r="AH876" i="4"/>
  <c r="A876" i="4"/>
  <c r="AH116" i="4"/>
  <c r="A116" i="4"/>
  <c r="Z53" i="1"/>
  <c r="AH572" i="4"/>
  <c r="A572" i="4"/>
  <c r="AH951" i="4"/>
  <c r="A951" i="4"/>
  <c r="E3094" i="4"/>
  <c r="AL3094" i="4"/>
  <c r="AL3110" i="4" s="1"/>
  <c r="A1337" i="4"/>
  <c r="D1337" i="4"/>
  <c r="B1337" i="4" s="1"/>
  <c r="C2824" i="4"/>
  <c r="B2824" i="4" s="1"/>
  <c r="AD2824" i="4"/>
  <c r="AD2840" i="4" s="1"/>
  <c r="AD2846" i="4" s="1"/>
  <c r="C2850" i="4" s="1"/>
  <c r="G517" i="1"/>
  <c r="H517" i="1" s="1"/>
  <c r="G573" i="1"/>
  <c r="H573" i="1" s="1"/>
  <c r="G501" i="1"/>
  <c r="H501" i="1" s="1"/>
  <c r="G659" i="1"/>
  <c r="H659" i="1" s="1"/>
  <c r="G719" i="1"/>
  <c r="H719" i="1" s="1"/>
  <c r="L996" i="1"/>
  <c r="F997" i="1"/>
  <c r="L997" i="1" s="1"/>
  <c r="L1137" i="1"/>
  <c r="AF1218" i="1"/>
  <c r="AH652" i="4"/>
  <c r="A652" i="4"/>
  <c r="A732" i="4"/>
  <c r="D732" i="4"/>
  <c r="B732" i="4" s="1"/>
  <c r="AD732" i="4"/>
  <c r="A1103" i="4"/>
  <c r="AH1103" i="4"/>
  <c r="D2889" i="4"/>
  <c r="B2889" i="4" s="1"/>
  <c r="A2889" i="4"/>
  <c r="B980" i="4"/>
  <c r="AH1404" i="4"/>
  <c r="A1404" i="4"/>
  <c r="C2878" i="4"/>
  <c r="B2878" i="4" s="1"/>
  <c r="AD2878" i="4"/>
  <c r="AD2894" i="4" s="1"/>
  <c r="AD2900" i="4" s="1"/>
  <c r="C2904" i="4" s="1"/>
  <c r="AD3418" i="4"/>
  <c r="AD3434" i="4" s="1"/>
  <c r="AD3440" i="4" s="1"/>
  <c r="C3444" i="4" s="1"/>
  <c r="C3418" i="4"/>
  <c r="B3418" i="4" s="1"/>
  <c r="G151" i="1"/>
  <c r="H151" i="1" s="1"/>
  <c r="G198" i="1"/>
  <c r="H198" i="1" s="1"/>
  <c r="D2508" i="4"/>
  <c r="B2508" i="4" s="1"/>
  <c r="A2508" i="4"/>
  <c r="Z42" i="1"/>
  <c r="Z38" i="1"/>
  <c r="L966" i="1"/>
  <c r="L1044" i="1"/>
  <c r="F1047" i="1"/>
  <c r="L1047" i="1" s="1"/>
  <c r="L1188" i="1"/>
  <c r="AF1216" i="1"/>
  <c r="Z45" i="1"/>
  <c r="AH196" i="4"/>
  <c r="A196" i="4"/>
  <c r="AF1323" i="1"/>
  <c r="L1296" i="1"/>
  <c r="L1364" i="1"/>
  <c r="AF1365" i="1"/>
  <c r="AF1324" i="1"/>
  <c r="L1269" i="1"/>
  <c r="AH120" i="4"/>
  <c r="A120" i="4"/>
  <c r="AH804" i="4"/>
  <c r="A804" i="4"/>
  <c r="AH576" i="4"/>
  <c r="A576" i="4"/>
  <c r="Z55" i="1"/>
  <c r="L1422" i="1"/>
  <c r="AF728" i="4"/>
  <c r="A959" i="4"/>
  <c r="D959" i="4"/>
  <c r="B959" i="4" s="1"/>
  <c r="AD959" i="4"/>
  <c r="B1852" i="4"/>
  <c r="AH1475" i="4"/>
  <c r="A1475" i="4"/>
  <c r="AF1558" i="4"/>
  <c r="A1687" i="4"/>
  <c r="D1687" i="4"/>
  <c r="B1687" i="4" s="1"/>
  <c r="AD1687" i="4"/>
  <c r="C1761" i="4"/>
  <c r="B1761" i="4" s="1"/>
  <c r="A1761" i="4"/>
  <c r="E2392" i="4"/>
  <c r="AL2392" i="4"/>
  <c r="AL2408" i="4" s="1"/>
  <c r="AF955" i="4"/>
  <c r="AB40" i="4"/>
  <c r="AD40" i="4" s="1"/>
  <c r="AF44" i="4" s="1"/>
  <c r="AF40" i="4"/>
  <c r="AF1254" i="4"/>
  <c r="A1329" i="4"/>
  <c r="AH1329" i="4"/>
  <c r="D3045" i="4"/>
  <c r="B3045" i="4" s="1"/>
  <c r="A3045" i="4"/>
  <c r="B2895" i="4"/>
  <c r="AD3045" i="4"/>
  <c r="AD3048" i="4" s="1"/>
  <c r="AD3051" i="4" s="1"/>
  <c r="AD3054" i="4" s="1"/>
  <c r="D3094" i="4"/>
  <c r="AH3094" i="4"/>
  <c r="AD1111" i="4"/>
  <c r="AD1119" i="4" s="1"/>
  <c r="AH2446" i="4"/>
  <c r="D2446" i="4"/>
  <c r="AH2770" i="4"/>
  <c r="D2770" i="4"/>
  <c r="D3156" i="4"/>
  <c r="B3156" i="4" s="1"/>
  <c r="A3156" i="4"/>
  <c r="A2514" i="4"/>
  <c r="D2514" i="4"/>
  <c r="B2514" i="4" s="1"/>
  <c r="D2775" i="4"/>
  <c r="B2775" i="4" s="1"/>
  <c r="A2775" i="4"/>
  <c r="AD2775" i="4"/>
  <c r="AD2778" i="4" s="1"/>
  <c r="AD2781" i="4" s="1"/>
  <c r="AD2784" i="4" s="1"/>
  <c r="B3257" i="4"/>
  <c r="G119" i="1"/>
  <c r="H119" i="1" s="1"/>
  <c r="G166" i="1"/>
  <c r="H166" i="1" s="1"/>
  <c r="C3483" i="4"/>
  <c r="G511" i="1"/>
  <c r="H511" i="1" s="1"/>
  <c r="G541" i="1"/>
  <c r="H541" i="1" s="1"/>
  <c r="G537" i="1"/>
  <c r="H537" i="1" s="1"/>
  <c r="G507" i="1"/>
  <c r="H507" i="1" s="1"/>
  <c r="G689" i="1"/>
  <c r="H689" i="1" s="1"/>
  <c r="G596" i="1"/>
  <c r="H596" i="1" s="1"/>
  <c r="I1457" i="1"/>
  <c r="J1457" i="1" s="1"/>
  <c r="G1459" i="1"/>
  <c r="H1459" i="1" s="1"/>
  <c r="F158" i="3"/>
  <c r="J156" i="3"/>
  <c r="F207" i="3"/>
  <c r="F261" i="3"/>
  <c r="H89" i="3"/>
  <c r="H108" i="3"/>
  <c r="H110" i="3"/>
  <c r="AF442" i="1"/>
  <c r="L422" i="1"/>
  <c r="L440" i="1"/>
  <c r="AF441" i="1"/>
  <c r="F441" i="1" s="1"/>
  <c r="H73" i="3"/>
  <c r="H109" i="3"/>
  <c r="J143" i="3"/>
  <c r="AB522" i="4"/>
  <c r="AB750" i="4"/>
  <c r="A1703" i="4"/>
  <c r="E1703" i="4"/>
  <c r="B1703" i="4" s="1"/>
  <c r="I269" i="1"/>
  <c r="J269" i="1" s="1"/>
  <c r="I230" i="1"/>
  <c r="J230" i="1" s="1"/>
  <c r="I279" i="1"/>
  <c r="J279" i="1" s="1"/>
  <c r="I240" i="1"/>
  <c r="J240" i="1" s="1"/>
  <c r="I264" i="1"/>
  <c r="J264" i="1" s="1"/>
  <c r="I225" i="1"/>
  <c r="J225" i="1" s="1"/>
  <c r="I286" i="1"/>
  <c r="J286" i="1" s="1"/>
  <c r="I247" i="1"/>
  <c r="J247" i="1" s="1"/>
  <c r="I211" i="1"/>
  <c r="J211" i="1" s="1"/>
  <c r="I140" i="1"/>
  <c r="J140" i="1" s="1"/>
  <c r="I187" i="1"/>
  <c r="J187" i="1" s="1"/>
  <c r="I141" i="1"/>
  <c r="J141" i="1" s="1"/>
  <c r="I188" i="1"/>
  <c r="J188" i="1" s="1"/>
  <c r="AB292" i="4"/>
  <c r="AB977" i="4" l="1"/>
  <c r="AB58" i="4"/>
  <c r="AB134" i="4"/>
  <c r="AB1888" i="4"/>
  <c r="AB1815" i="4"/>
  <c r="K131" i="3"/>
  <c r="L131" i="3" s="1"/>
  <c r="K114" i="3"/>
  <c r="L114" i="3" s="1"/>
  <c r="H6" i="5"/>
  <c r="AB902" i="4"/>
  <c r="AB674" i="4"/>
  <c r="AB446" i="4"/>
  <c r="B2770" i="4"/>
  <c r="AB1272" i="4"/>
  <c r="AB1497" i="4"/>
  <c r="K46" i="3"/>
  <c r="L46" i="3" s="1"/>
  <c r="AB969" i="4"/>
  <c r="AB1045" i="4"/>
  <c r="AB818" i="4"/>
  <c r="AB1347" i="4"/>
  <c r="AB1572" i="4"/>
  <c r="AB894" i="4"/>
  <c r="AB1422" i="4"/>
  <c r="AB1647" i="4"/>
  <c r="H4" i="5"/>
  <c r="AB294" i="4"/>
  <c r="AB826" i="4"/>
  <c r="AH1107" i="4"/>
  <c r="B3523" i="4"/>
  <c r="AB598" i="4"/>
  <c r="AB370" i="4"/>
  <c r="AB142" i="4"/>
  <c r="A142" i="4" s="1"/>
  <c r="AB1053" i="4"/>
  <c r="F1365" i="1"/>
  <c r="L1365" i="1" s="1"/>
  <c r="K424" i="1"/>
  <c r="F37" i="3"/>
  <c r="H7" i="5"/>
  <c r="AB140" i="4"/>
  <c r="AB596" i="4"/>
  <c r="AB824" i="4"/>
  <c r="AD824" i="4" s="1"/>
  <c r="AF830" i="4" s="1"/>
  <c r="AB444" i="4"/>
  <c r="AB900" i="4"/>
  <c r="AD900" i="4" s="1"/>
  <c r="AF906" i="4" s="1"/>
  <c r="AB66" i="4"/>
  <c r="B3505" i="4"/>
  <c r="B3202" i="4"/>
  <c r="AB44" i="4"/>
  <c r="AD44" i="4" s="1"/>
  <c r="AD512" i="4"/>
  <c r="AD520" i="4" s="1"/>
  <c r="AF526" i="4" s="1"/>
  <c r="F1453" i="1"/>
  <c r="L1453" i="1" s="1"/>
  <c r="AD132" i="4"/>
  <c r="H5" i="5"/>
  <c r="AB512" i="4"/>
  <c r="AB740" i="4"/>
  <c r="AB360" i="4"/>
  <c r="AB588" i="4"/>
  <c r="I97" i="3"/>
  <c r="J97" i="3" s="1"/>
  <c r="I80" i="3"/>
  <c r="J80" i="3" s="1"/>
  <c r="AB284" i="4"/>
  <c r="AD284" i="4" s="1"/>
  <c r="AD292" i="4" s="1"/>
  <c r="AF298" i="4" s="1"/>
  <c r="I63" i="3"/>
  <c r="J63" i="3" s="1"/>
  <c r="AB208" i="4"/>
  <c r="AB436" i="4"/>
  <c r="AB664" i="4"/>
  <c r="K404" i="1"/>
  <c r="K407" i="1"/>
  <c r="K409" i="1"/>
  <c r="K414" i="1"/>
  <c r="H1460" i="1"/>
  <c r="K421" i="1"/>
  <c r="K423" i="1"/>
  <c r="K437" i="1"/>
  <c r="K427" i="1"/>
  <c r="K401" i="1"/>
  <c r="K400" i="1"/>
  <c r="K419" i="1"/>
  <c r="K410" i="1"/>
  <c r="AF2354" i="4"/>
  <c r="D2354" i="4" s="1"/>
  <c r="B2354" i="4" s="1"/>
  <c r="A1412" i="4"/>
  <c r="AD1420" i="4"/>
  <c r="AD1428" i="4" s="1"/>
  <c r="AF1434" i="4" s="1"/>
  <c r="D1434" i="4" s="1"/>
  <c r="AB3276" i="4"/>
  <c r="E3276" i="4" s="1"/>
  <c r="B3276" i="4" s="1"/>
  <c r="AD1562" i="4"/>
  <c r="AD1570" i="4" s="1"/>
  <c r="AD1578" i="4" s="1"/>
  <c r="AF1584" i="4" s="1"/>
  <c r="D1412" i="4"/>
  <c r="B1412" i="4" s="1"/>
  <c r="AB3006" i="4"/>
  <c r="A3006" i="4" s="1"/>
  <c r="AL2360" i="4"/>
  <c r="E2364" i="4" s="1"/>
  <c r="E2312" i="4" s="1"/>
  <c r="AJ1955" i="4" s="1"/>
  <c r="E1955" i="4" s="1"/>
  <c r="AH2732" i="4"/>
  <c r="AH2738" i="4" s="1"/>
  <c r="D2742" i="4" s="1"/>
  <c r="D2690" i="4" s="1"/>
  <c r="AF2046" i="4" s="1"/>
  <c r="AH2046" i="4" s="1"/>
  <c r="AF2048" i="4" s="1"/>
  <c r="AB2628" i="4"/>
  <c r="AF2624" i="4"/>
  <c r="D1195" i="4"/>
  <c r="B1195" i="4" s="1"/>
  <c r="L224" i="3"/>
  <c r="H33" i="2" s="1"/>
  <c r="K95" i="3" s="1"/>
  <c r="L95" i="3" s="1"/>
  <c r="D672" i="4"/>
  <c r="B672" i="4" s="1"/>
  <c r="E234" i="3"/>
  <c r="E270" i="3"/>
  <c r="L242" i="3"/>
  <c r="H36" i="2" s="1"/>
  <c r="K112" i="3" s="1"/>
  <c r="L112" i="3" s="1"/>
  <c r="E192" i="3"/>
  <c r="L206" i="3"/>
  <c r="H30" i="2" s="1"/>
  <c r="K78" i="3" s="1"/>
  <c r="L78" i="3" s="1"/>
  <c r="L248" i="3"/>
  <c r="H37" i="2" s="1"/>
  <c r="K113" i="3" s="1"/>
  <c r="L113" i="3" s="1"/>
  <c r="E174" i="3"/>
  <c r="E210" i="3"/>
  <c r="E180" i="3"/>
  <c r="E228" i="3"/>
  <c r="L170" i="3"/>
  <c r="H24" i="2" s="1"/>
  <c r="K44" i="3" s="1"/>
  <c r="L44" i="3" s="1"/>
  <c r="L212" i="3"/>
  <c r="H31" i="2" s="1"/>
  <c r="K79" i="3" s="1"/>
  <c r="L79" i="3" s="1"/>
  <c r="AD1701" i="4"/>
  <c r="AF1705" i="4" s="1"/>
  <c r="AH1705" i="4" s="1"/>
  <c r="D1707" i="4" s="1"/>
  <c r="D1669" i="4" s="1"/>
  <c r="G830" i="1" s="1"/>
  <c r="H830" i="1" s="1"/>
  <c r="G841" i="1"/>
  <c r="H841" i="1" s="1"/>
  <c r="E198" i="3"/>
  <c r="E252" i="3"/>
  <c r="AB358" i="4"/>
  <c r="AD358" i="4" s="1"/>
  <c r="G80" i="3"/>
  <c r="H80" i="3" s="1"/>
  <c r="AB586" i="4"/>
  <c r="AD586" i="4" s="1"/>
  <c r="AB738" i="4"/>
  <c r="A738" i="4" s="1"/>
  <c r="AB510" i="4"/>
  <c r="A510" i="4" s="1"/>
  <c r="AB282" i="4"/>
  <c r="AD282" i="4" s="1"/>
  <c r="G97" i="3"/>
  <c r="H97" i="3" s="1"/>
  <c r="AB662" i="4"/>
  <c r="C662" i="4" s="1"/>
  <c r="B662" i="4" s="1"/>
  <c r="E264" i="3"/>
  <c r="AB434" i="4"/>
  <c r="AD434" i="4" s="1"/>
  <c r="AB206" i="4"/>
  <c r="AD206" i="4" s="1"/>
  <c r="G846" i="1"/>
  <c r="H846" i="1" s="1"/>
  <c r="F228" i="3"/>
  <c r="E216" i="3"/>
  <c r="L194" i="3"/>
  <c r="H28" i="2" s="1"/>
  <c r="K62" i="3" s="1"/>
  <c r="L62" i="3" s="1"/>
  <c r="E246" i="3"/>
  <c r="L260" i="3"/>
  <c r="H39" i="2" s="1"/>
  <c r="K129" i="3" s="1"/>
  <c r="L129" i="3" s="1"/>
  <c r="AD967" i="4"/>
  <c r="AD975" i="4" s="1"/>
  <c r="AF981" i="4" s="1"/>
  <c r="A1205" i="4"/>
  <c r="E1580" i="4"/>
  <c r="B1580" i="4" s="1"/>
  <c r="I884" i="1"/>
  <c r="J884" i="1" s="1"/>
  <c r="I897" i="1"/>
  <c r="J897" i="1" s="1"/>
  <c r="L897" i="1" s="1"/>
  <c r="I250" i="1"/>
  <c r="J250" i="1" s="1"/>
  <c r="I887" i="1"/>
  <c r="J887" i="1" s="1"/>
  <c r="I888" i="1"/>
  <c r="J888" i="1" s="1"/>
  <c r="I895" i="1"/>
  <c r="J895" i="1" s="1"/>
  <c r="I376" i="1"/>
  <c r="J376" i="1" s="1"/>
  <c r="I903" i="1"/>
  <c r="J903" i="1" s="1"/>
  <c r="G840" i="1"/>
  <c r="H840" i="1" s="1"/>
  <c r="G744" i="1"/>
  <c r="H744" i="1" s="1"/>
  <c r="I890" i="1"/>
  <c r="J890" i="1" s="1"/>
  <c r="I352" i="1"/>
  <c r="J352" i="1" s="1"/>
  <c r="G851" i="1"/>
  <c r="H851" i="1" s="1"/>
  <c r="I350" i="1"/>
  <c r="J350" i="1" s="1"/>
  <c r="AB18" i="1" s="1"/>
  <c r="L230" i="3"/>
  <c r="H34" i="2" s="1"/>
  <c r="K96" i="3" s="1"/>
  <c r="L96" i="3" s="1"/>
  <c r="I886" i="1"/>
  <c r="J886" i="1" s="1"/>
  <c r="I896" i="1"/>
  <c r="J896" i="1" s="1"/>
  <c r="L176" i="3"/>
  <c r="H25" i="2" s="1"/>
  <c r="K45" i="3" s="1"/>
  <c r="L45" i="3" s="1"/>
  <c r="G813" i="1"/>
  <c r="H813" i="1" s="1"/>
  <c r="G755" i="1"/>
  <c r="H755" i="1" s="1"/>
  <c r="I900" i="1"/>
  <c r="J900" i="1" s="1"/>
  <c r="I885" i="1"/>
  <c r="J885" i="1" s="1"/>
  <c r="E37" i="3"/>
  <c r="E23" i="2"/>
  <c r="Y23" i="2" s="1"/>
  <c r="I368" i="1"/>
  <c r="J368" i="1" s="1"/>
  <c r="I355" i="1"/>
  <c r="J355" i="1" s="1"/>
  <c r="G845" i="1"/>
  <c r="H845" i="1" s="1"/>
  <c r="I894" i="1"/>
  <c r="J894" i="1" s="1"/>
  <c r="F164" i="3"/>
  <c r="I216" i="1"/>
  <c r="J216" i="1" s="1"/>
  <c r="I289" i="1"/>
  <c r="J289" i="1" s="1"/>
  <c r="I904" i="1"/>
  <c r="J904" i="1" s="1"/>
  <c r="I217" i="1"/>
  <c r="J217" i="1" s="1"/>
  <c r="I359" i="1"/>
  <c r="J359" i="1" s="1"/>
  <c r="G849" i="1"/>
  <c r="H849" i="1" s="1"/>
  <c r="I380" i="1"/>
  <c r="J380" i="1" s="1"/>
  <c r="I351" i="1"/>
  <c r="J351" i="1" s="1"/>
  <c r="G847" i="1"/>
  <c r="H847" i="1" s="1"/>
  <c r="I883" i="1"/>
  <c r="J883" i="1" s="1"/>
  <c r="L883" i="1" s="1"/>
  <c r="I892" i="1"/>
  <c r="J892" i="1" s="1"/>
  <c r="G763" i="1"/>
  <c r="H763" i="1" s="1"/>
  <c r="G842" i="1"/>
  <c r="H842" i="1" s="1"/>
  <c r="I889" i="1"/>
  <c r="J889" i="1" s="1"/>
  <c r="L889" i="1" s="1"/>
  <c r="I899" i="1"/>
  <c r="J899" i="1" s="1"/>
  <c r="I902" i="1"/>
  <c r="J902" i="1" s="1"/>
  <c r="G844" i="1"/>
  <c r="H844" i="1" s="1"/>
  <c r="G740" i="1"/>
  <c r="H740" i="1" s="1"/>
  <c r="G850" i="1"/>
  <c r="H850" i="1" s="1"/>
  <c r="G759" i="1"/>
  <c r="H759" i="1" s="1"/>
  <c r="G843" i="1"/>
  <c r="H843" i="1" s="1"/>
  <c r="I882" i="1"/>
  <c r="J882" i="1" s="1"/>
  <c r="G848" i="1"/>
  <c r="H848" i="1" s="1"/>
  <c r="I361" i="1"/>
  <c r="J361" i="1" s="1"/>
  <c r="G749" i="1"/>
  <c r="H749" i="1" s="1"/>
  <c r="I384" i="1"/>
  <c r="J384" i="1" s="1"/>
  <c r="I388" i="1"/>
  <c r="J388" i="1" s="1"/>
  <c r="G748" i="1"/>
  <c r="H748" i="1" s="1"/>
  <c r="I387" i="1"/>
  <c r="J387" i="1" s="1"/>
  <c r="I898" i="1"/>
  <c r="J898" i="1" s="1"/>
  <c r="I372" i="1"/>
  <c r="J372" i="1" s="1"/>
  <c r="I266" i="1"/>
  <c r="J266" i="1" s="1"/>
  <c r="I392" i="1"/>
  <c r="J392" i="1" s="1"/>
  <c r="G20" i="19"/>
  <c r="G20" i="23"/>
  <c r="F87" i="1"/>
  <c r="K403" i="1"/>
  <c r="K412" i="1"/>
  <c r="D216" i="4"/>
  <c r="B216" i="4" s="1"/>
  <c r="I357" i="1"/>
  <c r="J357" i="1" s="1"/>
  <c r="I375" i="1"/>
  <c r="J375" i="1" s="1"/>
  <c r="I393" i="1"/>
  <c r="J393" i="1" s="1"/>
  <c r="I381" i="1"/>
  <c r="J381" i="1" s="1"/>
  <c r="I386" i="1"/>
  <c r="J386" i="1" s="1"/>
  <c r="I374" i="1"/>
  <c r="J374" i="1" s="1"/>
  <c r="AD1127" i="4"/>
  <c r="AF1133" i="4" s="1"/>
  <c r="AH1133" i="4" s="1"/>
  <c r="AF1137" i="4" s="1"/>
  <c r="G818" i="1"/>
  <c r="H818" i="1" s="1"/>
  <c r="E1655" i="4"/>
  <c r="B1655" i="4" s="1"/>
  <c r="G761" i="1"/>
  <c r="H761" i="1" s="1"/>
  <c r="I880" i="1"/>
  <c r="J880" i="1" s="1"/>
  <c r="G120" i="1"/>
  <c r="H120" i="1" s="1"/>
  <c r="I901" i="1"/>
  <c r="J901" i="1" s="1"/>
  <c r="G745" i="1"/>
  <c r="H745" i="1" s="1"/>
  <c r="G764" i="1"/>
  <c r="H764" i="1" s="1"/>
  <c r="G762" i="1"/>
  <c r="H762" i="1" s="1"/>
  <c r="I291" i="1"/>
  <c r="J291" i="1" s="1"/>
  <c r="G21" i="1"/>
  <c r="H21" i="1" s="1"/>
  <c r="B2338" i="4"/>
  <c r="B3519" i="4"/>
  <c r="K406" i="1"/>
  <c r="K399" i="1"/>
  <c r="AA25" i="1"/>
  <c r="AB2304" i="4"/>
  <c r="AF2300" i="4"/>
  <c r="I296" i="1"/>
  <c r="J296" i="1" s="1"/>
  <c r="AG603" i="1"/>
  <c r="AF3110" i="4"/>
  <c r="D3110" i="4" s="1"/>
  <c r="B3110" i="4" s="1"/>
  <c r="AD1187" i="4"/>
  <c r="AD1195" i="4" s="1"/>
  <c r="AD1203" i="4" s="1"/>
  <c r="AF1209" i="4" s="1"/>
  <c r="A1187" i="4"/>
  <c r="D1187" i="4"/>
  <c r="B1187" i="4" s="1"/>
  <c r="AD522" i="4"/>
  <c r="AJ526" i="4" s="1"/>
  <c r="E526" i="4" s="1"/>
  <c r="B3040" i="4"/>
  <c r="G754" i="1"/>
  <c r="H754" i="1" s="1"/>
  <c r="I277" i="1"/>
  <c r="J277" i="1" s="1"/>
  <c r="K156" i="1"/>
  <c r="G746" i="1"/>
  <c r="H746" i="1" s="1"/>
  <c r="AB1503" i="4"/>
  <c r="A1503" i="4" s="1"/>
  <c r="AB1483" i="4"/>
  <c r="AD1483" i="4" s="1"/>
  <c r="AB2952" i="4"/>
  <c r="AF2948" i="4"/>
  <c r="G1485" i="1"/>
  <c r="E9" i="2"/>
  <c r="Y9" i="2" s="1"/>
  <c r="I236" i="1"/>
  <c r="J236" i="1" s="1"/>
  <c r="E711" i="1"/>
  <c r="B2986" i="4"/>
  <c r="G741" i="1"/>
  <c r="H741" i="1" s="1"/>
  <c r="G757" i="1"/>
  <c r="H757" i="1" s="1"/>
  <c r="G742" i="1"/>
  <c r="H742" i="1" s="1"/>
  <c r="I377" i="1"/>
  <c r="J377" i="1" s="1"/>
  <c r="G823" i="1"/>
  <c r="H823" i="1" s="1"/>
  <c r="AB3330" i="4"/>
  <c r="A3330" i="4" s="1"/>
  <c r="A1633" i="4"/>
  <c r="AH1633" i="4"/>
  <c r="AH3272" i="4"/>
  <c r="AH3278" i="4" s="1"/>
  <c r="D3282" i="4" s="1"/>
  <c r="D3230" i="4" s="1"/>
  <c r="AF2213" i="4" s="1"/>
  <c r="D2213" i="4" s="1"/>
  <c r="G23" i="1"/>
  <c r="H23" i="1" s="1"/>
  <c r="I238" i="1"/>
  <c r="J238" i="1" s="1"/>
  <c r="G750" i="1"/>
  <c r="H750" i="1" s="1"/>
  <c r="G739" i="1"/>
  <c r="H739" i="1" s="1"/>
  <c r="AH1629" i="4"/>
  <c r="A1629" i="4"/>
  <c r="I214" i="1"/>
  <c r="J214" i="1" s="1"/>
  <c r="AG601" i="1"/>
  <c r="AG604" i="1"/>
  <c r="K430" i="1"/>
  <c r="D1562" i="4"/>
  <c r="B1562" i="4" s="1"/>
  <c r="G16" i="1"/>
  <c r="H16" i="1" s="1"/>
  <c r="I248" i="1"/>
  <c r="J248" i="1" s="1"/>
  <c r="L266" i="3"/>
  <c r="H40" i="2" s="1"/>
  <c r="K130" i="3" s="1"/>
  <c r="L130" i="3" s="1"/>
  <c r="I881" i="1"/>
  <c r="J881" i="1" s="1"/>
  <c r="G415" i="1"/>
  <c r="G337" i="1"/>
  <c r="H337" i="1" s="1"/>
  <c r="AA18" i="1" s="1"/>
  <c r="AD1637" i="4"/>
  <c r="AD1645" i="4" s="1"/>
  <c r="AD1653" i="4" s="1"/>
  <c r="AF1659" i="4" s="1"/>
  <c r="A1637" i="4"/>
  <c r="D1637" i="4"/>
  <c r="B1637" i="4" s="1"/>
  <c r="AA22" i="1"/>
  <c r="E673" i="1"/>
  <c r="G747" i="1"/>
  <c r="H747" i="1" s="1"/>
  <c r="I749" i="1"/>
  <c r="J749" i="1" s="1"/>
  <c r="I741" i="1"/>
  <c r="J741" i="1" s="1"/>
  <c r="G27" i="1"/>
  <c r="H27" i="1" s="1"/>
  <c r="B2554" i="4"/>
  <c r="AB348" i="4"/>
  <c r="AD348" i="4" s="1"/>
  <c r="AB366" i="4" s="1"/>
  <c r="AA27" i="1"/>
  <c r="AD294" i="4"/>
  <c r="AJ298" i="4" s="1"/>
  <c r="E298" i="4" s="1"/>
  <c r="G433" i="1"/>
  <c r="AA26" i="1"/>
  <c r="AG602" i="1"/>
  <c r="J44" i="1"/>
  <c r="AA28" i="1"/>
  <c r="AA30" i="1"/>
  <c r="AG738" i="1"/>
  <c r="K145" i="1"/>
  <c r="AG739" i="1"/>
  <c r="AA29" i="1"/>
  <c r="AB9" i="1"/>
  <c r="G141" i="1"/>
  <c r="H141" i="1" s="1"/>
  <c r="G188" i="1"/>
  <c r="H188" i="1" s="1"/>
  <c r="AH1785" i="4"/>
  <c r="D1787" i="4" s="1"/>
  <c r="D1749" i="4" s="1"/>
  <c r="G832" i="1" s="1"/>
  <c r="H832" i="1" s="1"/>
  <c r="D1785" i="4"/>
  <c r="G827" i="1"/>
  <c r="H827" i="1" s="1"/>
  <c r="G822" i="1"/>
  <c r="H822" i="1" s="1"/>
  <c r="G824" i="1"/>
  <c r="H824" i="1" s="1"/>
  <c r="G143" i="1"/>
  <c r="H143" i="1" s="1"/>
  <c r="G190" i="1"/>
  <c r="H190" i="1" s="1"/>
  <c r="AH348" i="4"/>
  <c r="A348" i="4"/>
  <c r="E1053" i="4"/>
  <c r="B1053" i="4" s="1"/>
  <c r="A1053" i="4"/>
  <c r="E905" i="1"/>
  <c r="E977" i="4"/>
  <c r="B977" i="4" s="1"/>
  <c r="A977" i="4"/>
  <c r="E674" i="4"/>
  <c r="B674" i="4" s="1"/>
  <c r="A674" i="4"/>
  <c r="E696" i="1"/>
  <c r="E510" i="1"/>
  <c r="E446" i="1"/>
  <c r="AB2898" i="4"/>
  <c r="AF2894" i="4"/>
  <c r="AB2790" i="4"/>
  <c r="AF2786" i="4"/>
  <c r="D2786" i="4" s="1"/>
  <c r="B2786" i="4" s="1"/>
  <c r="AH44" i="4"/>
  <c r="A44" i="4"/>
  <c r="C3392" i="4"/>
  <c r="E565" i="1"/>
  <c r="I275" i="1"/>
  <c r="J275" i="1" s="1"/>
  <c r="L156" i="1"/>
  <c r="E895" i="1"/>
  <c r="G115" i="1"/>
  <c r="H115" i="1" s="1"/>
  <c r="G162" i="1"/>
  <c r="H162" i="1" s="1"/>
  <c r="E614" i="1"/>
  <c r="E456" i="1"/>
  <c r="G135" i="1"/>
  <c r="H135" i="1" s="1"/>
  <c r="G182" i="1"/>
  <c r="H182" i="1" s="1"/>
  <c r="B3094" i="4"/>
  <c r="G43" i="1"/>
  <c r="H43" i="1" s="1"/>
  <c r="A1886" i="4"/>
  <c r="D1886" i="4"/>
  <c r="B1886" i="4" s="1"/>
  <c r="AD1886" i="4"/>
  <c r="AD1890" i="4" s="1"/>
  <c r="AF1931" i="4" s="1"/>
  <c r="F139" i="3"/>
  <c r="G17" i="2"/>
  <c r="I1459" i="1"/>
  <c r="J1459" i="1" s="1"/>
  <c r="G743" i="1"/>
  <c r="H743" i="1" s="1"/>
  <c r="E544" i="1"/>
  <c r="E716" i="1"/>
  <c r="E449" i="1"/>
  <c r="G760" i="1"/>
  <c r="H760" i="1" s="1"/>
  <c r="A1270" i="4"/>
  <c r="D1270" i="4"/>
  <c r="B1270" i="4" s="1"/>
  <c r="D1345" i="4"/>
  <c r="B1345" i="4" s="1"/>
  <c r="A1345" i="4"/>
  <c r="E638" i="1"/>
  <c r="E472" i="1"/>
  <c r="AA23" i="1"/>
  <c r="AG605" i="1"/>
  <c r="AG348" i="1"/>
  <c r="AF3380" i="4"/>
  <c r="AB3384" i="4"/>
  <c r="AB3438" i="4"/>
  <c r="AF3434" i="4"/>
  <c r="D3434" i="4" s="1"/>
  <c r="B3434" i="4" s="1"/>
  <c r="AB1942" i="4"/>
  <c r="F1215" i="1"/>
  <c r="L1215" i="1" s="1"/>
  <c r="I756" i="1"/>
  <c r="J756" i="1" s="1"/>
  <c r="I739" i="1"/>
  <c r="J739" i="1" s="1"/>
  <c r="A3571" i="4"/>
  <c r="C3571" i="4"/>
  <c r="B3571" i="4" s="1"/>
  <c r="AD3571" i="4"/>
  <c r="AB3576" i="4" s="1"/>
  <c r="AD2088" i="4"/>
  <c r="AF2088" i="4" s="1"/>
  <c r="A748" i="4"/>
  <c r="D748" i="4"/>
  <c r="B748" i="4" s="1"/>
  <c r="I235" i="1"/>
  <c r="J235" i="1" s="1"/>
  <c r="A1355" i="4"/>
  <c r="E1355" i="4"/>
  <c r="B1355" i="4" s="1"/>
  <c r="I366" i="1"/>
  <c r="J366" i="1" s="1"/>
  <c r="G173" i="3"/>
  <c r="G191" i="3"/>
  <c r="G209" i="3"/>
  <c r="G233" i="3"/>
  <c r="G263" i="3"/>
  <c r="G179" i="3"/>
  <c r="G197" i="3"/>
  <c r="G215" i="3"/>
  <c r="G245" i="3"/>
  <c r="G269" i="3"/>
  <c r="G227" i="3"/>
  <c r="H8" i="5"/>
  <c r="G251" i="3"/>
  <c r="G19" i="2"/>
  <c r="F147" i="3"/>
  <c r="A1353" i="4"/>
  <c r="D1353" i="4"/>
  <c r="B1353" i="4" s="1"/>
  <c r="F218" i="3"/>
  <c r="G32" i="2"/>
  <c r="E451" i="1"/>
  <c r="E679" i="1"/>
  <c r="E574" i="1"/>
  <c r="E450" i="1"/>
  <c r="G1480" i="1"/>
  <c r="H1480" i="1" s="1"/>
  <c r="G1467" i="1"/>
  <c r="H1467" i="1" s="1"/>
  <c r="C2528" i="4"/>
  <c r="I128" i="1"/>
  <c r="J128" i="1" s="1"/>
  <c r="I175" i="1"/>
  <c r="J175" i="1" s="1"/>
  <c r="I119" i="1"/>
  <c r="J119" i="1" s="1"/>
  <c r="I166" i="1"/>
  <c r="J166" i="1" s="1"/>
  <c r="AD438" i="4"/>
  <c r="AD446" i="4" s="1"/>
  <c r="AJ450" i="4" s="1"/>
  <c r="A438" i="4"/>
  <c r="E438" i="4"/>
  <c r="B438" i="4" s="1"/>
  <c r="E514" i="4"/>
  <c r="B514" i="4" s="1"/>
  <c r="A514" i="4"/>
  <c r="L157" i="1"/>
  <c r="G229" i="1"/>
  <c r="H229" i="1" s="1"/>
  <c r="G239" i="1"/>
  <c r="H239" i="1" s="1"/>
  <c r="E587" i="1"/>
  <c r="G227" i="1"/>
  <c r="H227" i="1" s="1"/>
  <c r="AH40" i="4"/>
  <c r="A40" i="4"/>
  <c r="E540" i="1"/>
  <c r="AF2408" i="4"/>
  <c r="AB2412" i="4"/>
  <c r="C2420" i="4"/>
  <c r="AB2135" i="4"/>
  <c r="G37" i="1"/>
  <c r="H37" i="1" s="1"/>
  <c r="A975" i="4"/>
  <c r="D975" i="4"/>
  <c r="B975" i="4" s="1"/>
  <c r="AB890" i="4"/>
  <c r="AB965" i="4"/>
  <c r="AB814" i="4"/>
  <c r="AB1041" i="4"/>
  <c r="AB1268" i="4"/>
  <c r="AB1493" i="4"/>
  <c r="AB1343" i="4"/>
  <c r="AB1568" i="4"/>
  <c r="AB1418" i="4"/>
  <c r="AB1643" i="4"/>
  <c r="G46" i="3"/>
  <c r="G756" i="1"/>
  <c r="H756" i="1" s="1"/>
  <c r="A1129" i="4"/>
  <c r="E1129" i="4"/>
  <c r="B1129" i="4" s="1"/>
  <c r="G137" i="1"/>
  <c r="H137" i="1" s="1"/>
  <c r="G184" i="1"/>
  <c r="H184" i="1" s="1"/>
  <c r="D1570" i="4"/>
  <c r="B1570" i="4" s="1"/>
  <c r="A1570" i="4"/>
  <c r="AB2844" i="4"/>
  <c r="AF2840" i="4"/>
  <c r="E613" i="1"/>
  <c r="E496" i="1"/>
  <c r="E580" i="1"/>
  <c r="E538" i="1"/>
  <c r="L188" i="3"/>
  <c r="H27" i="2" s="1"/>
  <c r="K61" i="3" s="1"/>
  <c r="L61" i="3" s="1"/>
  <c r="A1578" i="4"/>
  <c r="D1578" i="4"/>
  <c r="B1578" i="4" s="1"/>
  <c r="E582" i="1"/>
  <c r="E521" i="1"/>
  <c r="AB1035" i="4"/>
  <c r="AB1051" i="4"/>
  <c r="I120" i="1"/>
  <c r="J120" i="1" s="1"/>
  <c r="I167" i="1"/>
  <c r="J167" i="1" s="1"/>
  <c r="E742" i="4"/>
  <c r="B742" i="4" s="1"/>
  <c r="A742" i="4"/>
  <c r="E473" i="1"/>
  <c r="AH1483" i="4"/>
  <c r="A1483" i="4"/>
  <c r="A750" i="4"/>
  <c r="E750" i="4"/>
  <c r="B750" i="4" s="1"/>
  <c r="E446" i="4"/>
  <c r="B446" i="4" s="1"/>
  <c r="A446" i="4"/>
  <c r="E660" i="1"/>
  <c r="E620" i="1"/>
  <c r="E703" i="1"/>
  <c r="E592" i="1"/>
  <c r="C2852" i="4"/>
  <c r="I215" i="1"/>
  <c r="J215" i="1" s="1"/>
  <c r="G14" i="1"/>
  <c r="H14" i="1" s="1"/>
  <c r="F254" i="3"/>
  <c r="G38" i="2"/>
  <c r="E657" i="1"/>
  <c r="E625" i="1"/>
  <c r="E499" i="1"/>
  <c r="G125" i="1"/>
  <c r="H125" i="1" s="1"/>
  <c r="G172" i="1"/>
  <c r="H172" i="1" s="1"/>
  <c r="AF1258" i="4"/>
  <c r="C3068" i="4"/>
  <c r="I276" i="1"/>
  <c r="J276" i="1" s="1"/>
  <c r="AD1813" i="4"/>
  <c r="AD1817" i="4" s="1"/>
  <c r="AF1858" i="4" s="1"/>
  <c r="A1813" i="4"/>
  <c r="D1813" i="4"/>
  <c r="B1813" i="4" s="1"/>
  <c r="E459" i="1"/>
  <c r="E492" i="1"/>
  <c r="E619" i="1"/>
  <c r="AB2213" i="4"/>
  <c r="AB1739" i="4"/>
  <c r="AB1779" i="4"/>
  <c r="AD1779" i="4" s="1"/>
  <c r="AB1785" i="4" s="1"/>
  <c r="AB1699" i="4"/>
  <c r="AD1699" i="4" s="1"/>
  <c r="AB1705" i="4" s="1"/>
  <c r="G758" i="1"/>
  <c r="H758" i="1" s="1"/>
  <c r="A1495" i="4"/>
  <c r="D1495" i="4"/>
  <c r="B1495" i="4" s="1"/>
  <c r="A816" i="4"/>
  <c r="D816" i="4"/>
  <c r="B816" i="4" s="1"/>
  <c r="G35" i="2"/>
  <c r="F236" i="3"/>
  <c r="E504" i="1"/>
  <c r="E464" i="1"/>
  <c r="C3284" i="4"/>
  <c r="AH1479" i="4"/>
  <c r="A1479" i="4"/>
  <c r="I764" i="1"/>
  <c r="J764" i="1" s="1"/>
  <c r="I754" i="1"/>
  <c r="J754" i="1" s="1"/>
  <c r="E715" i="1"/>
  <c r="E550" i="1"/>
  <c r="E662" i="1"/>
  <c r="AD2086" i="4"/>
  <c r="AF2086" i="4" s="1"/>
  <c r="A2086" i="4" s="1"/>
  <c r="A1769" i="4"/>
  <c r="E1769" i="4"/>
  <c r="B1769" i="4" s="1"/>
  <c r="AD1769" i="4"/>
  <c r="AH1775" i="4" s="1"/>
  <c r="AD1783" i="4" s="1"/>
  <c r="AJ1785" i="4" s="1"/>
  <c r="I365" i="1"/>
  <c r="J365" i="1" s="1"/>
  <c r="F104" i="3"/>
  <c r="F881" i="1"/>
  <c r="A1741" i="4"/>
  <c r="D1741" i="4"/>
  <c r="B1741" i="4" s="1"/>
  <c r="AD1741" i="4"/>
  <c r="AF1745" i="4" s="1"/>
  <c r="A1127" i="4"/>
  <c r="D1127" i="4"/>
  <c r="B1127" i="4" s="1"/>
  <c r="E1459" i="1"/>
  <c r="E735" i="1"/>
  <c r="D3326" i="4"/>
  <c r="B3326" i="4" s="1"/>
  <c r="AH3326" i="4"/>
  <c r="AH3332" i="4" s="1"/>
  <c r="D3336" i="4" s="1"/>
  <c r="D3284" i="4" s="1"/>
  <c r="AF2226" i="4" s="1"/>
  <c r="G25" i="1"/>
  <c r="H25" i="1" s="1"/>
  <c r="G127" i="1"/>
  <c r="H127" i="1" s="1"/>
  <c r="G174" i="1"/>
  <c r="H174" i="1" s="1"/>
  <c r="G1476" i="1"/>
  <c r="H1476" i="1" s="1"/>
  <c r="G1471" i="1"/>
  <c r="H1471" i="1" s="1"/>
  <c r="G1468" i="1"/>
  <c r="H1468" i="1" s="1"/>
  <c r="AH344" i="4"/>
  <c r="A344" i="4"/>
  <c r="I123" i="1"/>
  <c r="J123" i="1" s="1"/>
  <c r="I170" i="1"/>
  <c r="J170" i="1" s="1"/>
  <c r="I129" i="1"/>
  <c r="J129" i="1" s="1"/>
  <c r="I176" i="1"/>
  <c r="J176" i="1" s="1"/>
  <c r="AD666" i="4"/>
  <c r="AD674" i="4" s="1"/>
  <c r="AJ678" i="4" s="1"/>
  <c r="A666" i="4"/>
  <c r="E666" i="4"/>
  <c r="B666" i="4" s="1"/>
  <c r="E286" i="4"/>
  <c r="B286" i="4" s="1"/>
  <c r="A286" i="4"/>
  <c r="K157" i="1"/>
  <c r="G233" i="1"/>
  <c r="H233" i="1" s="1"/>
  <c r="AB1487" i="4"/>
  <c r="AB1505" i="4"/>
  <c r="AB62" i="4"/>
  <c r="AB290" i="4"/>
  <c r="AB518" i="4"/>
  <c r="AB746" i="4"/>
  <c r="AB973" i="4"/>
  <c r="AB138" i="4"/>
  <c r="AB594" i="4"/>
  <c r="AB822" i="4"/>
  <c r="AB214" i="4"/>
  <c r="AB442" i="4"/>
  <c r="AB670" i="4"/>
  <c r="AB898" i="4"/>
  <c r="E902" i="4"/>
  <c r="B902" i="4" s="1"/>
  <c r="A902" i="4"/>
  <c r="E631" i="1"/>
  <c r="G139" i="1"/>
  <c r="H139" i="1" s="1"/>
  <c r="G186" i="1"/>
  <c r="H186" i="1" s="1"/>
  <c r="I124" i="1"/>
  <c r="J124" i="1" s="1"/>
  <c r="I171" i="1"/>
  <c r="J171" i="1" s="1"/>
  <c r="E460" i="1"/>
  <c r="AB2059" i="4"/>
  <c r="AB1117" i="4"/>
  <c r="AB1193" i="4"/>
  <c r="H3" i="5"/>
  <c r="A522" i="4"/>
  <c r="E522" i="4"/>
  <c r="B522" i="4" s="1"/>
  <c r="E218" i="4"/>
  <c r="B218" i="4" s="1"/>
  <c r="A218" i="4"/>
  <c r="G31" i="1"/>
  <c r="H31" i="1" s="1"/>
  <c r="G826" i="1"/>
  <c r="H826" i="1" s="1"/>
  <c r="E491" i="1"/>
  <c r="AB3222" i="4"/>
  <c r="AF3218" i="4"/>
  <c r="AB48" i="4"/>
  <c r="AB64" i="4"/>
  <c r="G155" i="1"/>
  <c r="AL3116" i="4"/>
  <c r="E3120" i="4" s="1"/>
  <c r="E3068" i="4" s="1"/>
  <c r="AJ2174" i="4" s="1"/>
  <c r="I251" i="1"/>
  <c r="J251" i="1" s="1"/>
  <c r="E1197" i="4"/>
  <c r="B1197" i="4" s="1"/>
  <c r="A1197" i="4"/>
  <c r="F151" i="3"/>
  <c r="G20" i="2"/>
  <c r="E465" i="1"/>
  <c r="E686" i="1"/>
  <c r="E546" i="1"/>
  <c r="E444" i="1"/>
  <c r="C3014" i="4"/>
  <c r="D3002" i="4"/>
  <c r="B3002" i="4" s="1"/>
  <c r="AH3002" i="4"/>
  <c r="AH3008" i="4" s="1"/>
  <c r="D3012" i="4" s="1"/>
  <c r="D2960" i="4" s="1"/>
  <c r="AF2148" i="4" s="1"/>
  <c r="C3122" i="4"/>
  <c r="AB2466" i="4"/>
  <c r="AF2462" i="4"/>
  <c r="D2462" i="4" s="1"/>
  <c r="B2462" i="4" s="1"/>
  <c r="F1322" i="1"/>
  <c r="L1322" i="1" s="1"/>
  <c r="E597" i="1"/>
  <c r="E637" i="1"/>
  <c r="I226" i="1"/>
  <c r="J226" i="1" s="1"/>
  <c r="G117" i="1"/>
  <c r="H117" i="1" s="1"/>
  <c r="G164" i="1"/>
  <c r="H164" i="1" s="1"/>
  <c r="A132" i="4"/>
  <c r="D132" i="4"/>
  <c r="B132" i="4" s="1"/>
  <c r="E588" i="1"/>
  <c r="E684" i="1"/>
  <c r="E680" i="1"/>
  <c r="E593" i="1"/>
  <c r="G41" i="1"/>
  <c r="H41" i="1" s="1"/>
  <c r="A1043" i="4"/>
  <c r="D1043" i="4"/>
  <c r="B1043" i="4" s="1"/>
  <c r="D967" i="4"/>
  <c r="B967" i="4" s="1"/>
  <c r="A967" i="4"/>
  <c r="F182" i="3"/>
  <c r="G26" i="2"/>
  <c r="E710" i="1"/>
  <c r="E533" i="1"/>
  <c r="AB2020" i="4"/>
  <c r="AH1408" i="4"/>
  <c r="A1408" i="4"/>
  <c r="I760" i="1"/>
  <c r="J760" i="1" s="1"/>
  <c r="I758" i="1"/>
  <c r="J758" i="1" s="1"/>
  <c r="L145" i="1"/>
  <c r="E903" i="1"/>
  <c r="AB3168" i="4"/>
  <c r="AF3164" i="4"/>
  <c r="A1729" i="4"/>
  <c r="E1729" i="4"/>
  <c r="B1729" i="4" s="1"/>
  <c r="AD1729" i="4"/>
  <c r="AH1735" i="4" s="1"/>
  <c r="AD1743" i="4" s="1"/>
  <c r="AJ1745" i="4" s="1"/>
  <c r="I390" i="1"/>
  <c r="J390" i="1" s="1"/>
  <c r="G19" i="1"/>
  <c r="H19" i="1" s="1"/>
  <c r="A1701" i="4"/>
  <c r="D1701" i="4"/>
  <c r="B1701" i="4" s="1"/>
  <c r="E885" i="1"/>
  <c r="G816" i="1"/>
  <c r="H816" i="1" s="1"/>
  <c r="E668" i="1"/>
  <c r="AG737" i="1"/>
  <c r="E643" i="1"/>
  <c r="G39" i="1"/>
  <c r="H39" i="1" s="1"/>
  <c r="G1477" i="1"/>
  <c r="H1477" i="1" s="1"/>
  <c r="G1465" i="1"/>
  <c r="H1465" i="1" s="1"/>
  <c r="G1475" i="1"/>
  <c r="H1475" i="1" s="1"/>
  <c r="AD1197" i="4"/>
  <c r="AD1205" i="4" s="1"/>
  <c r="AJ1209" i="4" s="1"/>
  <c r="I126" i="1"/>
  <c r="J126" i="1" s="1"/>
  <c r="I173" i="1"/>
  <c r="J173" i="1" s="1"/>
  <c r="I122" i="1"/>
  <c r="J122" i="1" s="1"/>
  <c r="I169" i="1"/>
  <c r="J169" i="1" s="1"/>
  <c r="A210" i="4"/>
  <c r="E210" i="4"/>
  <c r="B210" i="4" s="1"/>
  <c r="AD210" i="4"/>
  <c r="AD218" i="4" s="1"/>
  <c r="AJ222" i="4" s="1"/>
  <c r="L151" i="1"/>
  <c r="E3576" i="4"/>
  <c r="AL3576" i="4"/>
  <c r="E3580" i="4" s="1"/>
  <c r="E3545" i="4" s="1"/>
  <c r="AH728" i="4"/>
  <c r="A728" i="4"/>
  <c r="AB2239" i="4"/>
  <c r="AG736" i="1"/>
  <c r="E575" i="1"/>
  <c r="E726" i="1"/>
  <c r="E445" i="1"/>
  <c r="G1473" i="1"/>
  <c r="H1473" i="1" s="1"/>
  <c r="AB1994" i="4"/>
  <c r="A294" i="4"/>
  <c r="E294" i="4"/>
  <c r="B294" i="4" s="1"/>
  <c r="A826" i="4"/>
  <c r="E826" i="4"/>
  <c r="B826" i="4" s="1"/>
  <c r="E901" i="1"/>
  <c r="E887" i="1"/>
  <c r="E672" i="1"/>
  <c r="E667" i="1"/>
  <c r="AA24" i="1"/>
  <c r="AH955" i="4"/>
  <c r="A955" i="4"/>
  <c r="A1558" i="4"/>
  <c r="AH1558" i="4"/>
  <c r="C2798" i="4"/>
  <c r="I290" i="1"/>
  <c r="J290" i="1" s="1"/>
  <c r="A1121" i="4"/>
  <c r="E1121" i="4"/>
  <c r="B1121" i="4" s="1"/>
  <c r="AD1121" i="4"/>
  <c r="AD1129" i="4" s="1"/>
  <c r="AJ1133" i="4" s="1"/>
  <c r="G12" i="1"/>
  <c r="H12" i="1" s="1"/>
  <c r="E568" i="1"/>
  <c r="E697" i="1"/>
  <c r="C2960" i="4"/>
  <c r="AB1262" i="4"/>
  <c r="AB1280" i="4"/>
  <c r="AL2738" i="4"/>
  <c r="E2742" i="4" s="1"/>
  <c r="E2690" i="4" s="1"/>
  <c r="AJ2046" i="4" s="1"/>
  <c r="AH500" i="4"/>
  <c r="A500" i="4"/>
  <c r="B2392" i="4"/>
  <c r="I265" i="1"/>
  <c r="J265" i="1" s="1"/>
  <c r="A1430" i="4"/>
  <c r="E1430" i="4"/>
  <c r="B1430" i="4" s="1"/>
  <c r="D56" i="4"/>
  <c r="B56" i="4" s="1"/>
  <c r="A56" i="4"/>
  <c r="F200" i="3"/>
  <c r="G29" i="2"/>
  <c r="E691" i="1"/>
  <c r="E562" i="1"/>
  <c r="E702" i="1"/>
  <c r="E454" i="1"/>
  <c r="AL2684" i="4"/>
  <c r="E2688" i="4" s="1"/>
  <c r="E2636" i="4" s="1"/>
  <c r="AJ2033" i="4" s="1"/>
  <c r="AB1201" i="4"/>
  <c r="AB1426" i="4"/>
  <c r="AB1651" i="4"/>
  <c r="AB1276" i="4"/>
  <c r="AB1501" i="4"/>
  <c r="AB1351" i="4"/>
  <c r="AB1576" i="4"/>
  <c r="AB1125" i="4"/>
  <c r="G133" i="1"/>
  <c r="H133" i="1" s="1"/>
  <c r="G180" i="1"/>
  <c r="H180" i="1" s="1"/>
  <c r="D1645" i="4"/>
  <c r="B1645" i="4" s="1"/>
  <c r="A1645" i="4"/>
  <c r="A892" i="4"/>
  <c r="D892" i="4"/>
  <c r="B892" i="4" s="1"/>
  <c r="G22" i="2"/>
  <c r="F160" i="3"/>
  <c r="E453" i="1"/>
  <c r="E457" i="1"/>
  <c r="E461" i="1"/>
  <c r="E452" i="1"/>
  <c r="E552" i="1"/>
  <c r="B2716" i="4"/>
  <c r="A1333" i="4"/>
  <c r="AH1333" i="4"/>
  <c r="I745" i="1"/>
  <c r="J745" i="1" s="1"/>
  <c r="I747" i="1"/>
  <c r="J747" i="1" s="1"/>
  <c r="E594" i="1"/>
  <c r="A2358" i="4"/>
  <c r="E2358" i="4"/>
  <c r="B2358" i="4" s="1"/>
  <c r="I249" i="1"/>
  <c r="J249" i="1" s="1"/>
  <c r="E1689" i="4"/>
  <c r="B1689" i="4" s="1"/>
  <c r="AD1689" i="4"/>
  <c r="AH1695" i="4" s="1"/>
  <c r="AD1703" i="4" s="1"/>
  <c r="AJ1705" i="4" s="1"/>
  <c r="A1689" i="4"/>
  <c r="A1781" i="4"/>
  <c r="D1781" i="4"/>
  <c r="B1781" i="4" s="1"/>
  <c r="AB1278" i="4"/>
  <c r="E447" i="1"/>
  <c r="E478" i="1"/>
  <c r="G35" i="1"/>
  <c r="H35" i="1" s="1"/>
  <c r="B3543" i="4"/>
  <c r="C2636" i="4"/>
  <c r="G1478" i="1"/>
  <c r="H1478" i="1" s="1"/>
  <c r="G1472" i="1"/>
  <c r="H1472" i="1" s="1"/>
  <c r="G1469" i="1"/>
  <c r="H1469" i="1" s="1"/>
  <c r="AF1031" i="4"/>
  <c r="I121" i="1"/>
  <c r="J121" i="1" s="1"/>
  <c r="I168" i="1"/>
  <c r="J168" i="1" s="1"/>
  <c r="I132" i="1"/>
  <c r="J132" i="1" s="1"/>
  <c r="I179" i="1"/>
  <c r="J179" i="1" s="1"/>
  <c r="A590" i="4"/>
  <c r="E590" i="4"/>
  <c r="B590" i="4" s="1"/>
  <c r="AD590" i="4"/>
  <c r="AD598" i="4" s="1"/>
  <c r="AJ602" i="4" s="1"/>
  <c r="K151" i="1"/>
  <c r="G235" i="1"/>
  <c r="H235" i="1" s="1"/>
  <c r="AG740" i="1"/>
  <c r="A2736" i="4"/>
  <c r="E2736" i="4"/>
  <c r="B2736" i="4" s="1"/>
  <c r="A370" i="4"/>
  <c r="E370" i="4"/>
  <c r="B370" i="4" s="1"/>
  <c r="G21" i="2"/>
  <c r="F156" i="3"/>
  <c r="E721" i="1"/>
  <c r="E591" i="1"/>
  <c r="AB54" i="4"/>
  <c r="AB130" i="4"/>
  <c r="AB1811" i="4"/>
  <c r="AB1884" i="4"/>
  <c r="G131" i="3"/>
  <c r="G114" i="3"/>
  <c r="E661" i="1"/>
  <c r="Y3507" i="4"/>
  <c r="B3507" i="4"/>
  <c r="G237" i="1"/>
  <c r="H237" i="1" s="1"/>
  <c r="C3176" i="4"/>
  <c r="A2682" i="4"/>
  <c r="E2682" i="4"/>
  <c r="B2682" i="4" s="1"/>
  <c r="E1457" i="1"/>
  <c r="E598" i="1"/>
  <c r="AD2090" i="4"/>
  <c r="AF2090" i="4" s="1"/>
  <c r="A2090" i="4" s="1"/>
  <c r="A1203" i="4"/>
  <c r="D1203" i="4"/>
  <c r="B1203" i="4" s="1"/>
  <c r="E648" i="1"/>
  <c r="G1479" i="1"/>
  <c r="H1479" i="1" s="1"/>
  <c r="G123" i="1"/>
  <c r="H123" i="1" s="1"/>
  <c r="G170" i="1"/>
  <c r="H170" i="1" s="1"/>
  <c r="I125" i="1"/>
  <c r="J125" i="1" s="1"/>
  <c r="I172" i="1"/>
  <c r="J172" i="1" s="1"/>
  <c r="A292" i="4"/>
  <c r="D292" i="4"/>
  <c r="B292" i="4" s="1"/>
  <c r="I233" i="1"/>
  <c r="J233" i="1" s="1"/>
  <c r="A66" i="4"/>
  <c r="E66" i="4"/>
  <c r="B66" i="4" s="1"/>
  <c r="A598" i="4"/>
  <c r="E598" i="4"/>
  <c r="B598" i="4" s="1"/>
  <c r="G18" i="2"/>
  <c r="F143" i="3"/>
  <c r="E458" i="1"/>
  <c r="B3483" i="4"/>
  <c r="Y3483" i="4"/>
  <c r="AF3056" i="4"/>
  <c r="D3056" i="4" s="1"/>
  <c r="B3056" i="4" s="1"/>
  <c r="AB3060" i="4"/>
  <c r="AH1254" i="4"/>
  <c r="A1254" i="4"/>
  <c r="E569" i="1"/>
  <c r="A520" i="4"/>
  <c r="D520" i="4"/>
  <c r="B520" i="4" s="1"/>
  <c r="G29" i="1"/>
  <c r="H29" i="1" s="1"/>
  <c r="F899" i="1"/>
  <c r="E650" i="1"/>
  <c r="A3114" i="4"/>
  <c r="E3114" i="4"/>
  <c r="B3114" i="4" s="1"/>
  <c r="AB2574" i="4"/>
  <c r="AF2570" i="4"/>
  <c r="AB2520" i="4"/>
  <c r="AF2516" i="4"/>
  <c r="B2446" i="4"/>
  <c r="AH272" i="4"/>
  <c r="A272" i="4"/>
  <c r="AD742" i="4"/>
  <c r="AD750" i="4" s="1"/>
  <c r="AJ754" i="4" s="1"/>
  <c r="E557" i="1"/>
  <c r="C2366" i="4"/>
  <c r="H63" i="3"/>
  <c r="A434" i="4"/>
  <c r="F87" i="3"/>
  <c r="E463" i="1"/>
  <c r="E644" i="1"/>
  <c r="G129" i="1"/>
  <c r="H129" i="1" s="1"/>
  <c r="G176" i="1"/>
  <c r="H176" i="1" s="1"/>
  <c r="E448" i="1"/>
  <c r="AD3465" i="4"/>
  <c r="AB3472" i="4" s="1"/>
  <c r="A3465" i="4"/>
  <c r="C3465" i="4"/>
  <c r="B3465" i="4" s="1"/>
  <c r="G765" i="1"/>
  <c r="H765" i="1" s="1"/>
  <c r="A1420" i="4"/>
  <c r="D1420" i="4"/>
  <c r="B1420" i="4" s="1"/>
  <c r="F133" i="3"/>
  <c r="G16" i="2"/>
  <c r="E674" i="1"/>
  <c r="E539" i="1"/>
  <c r="C2690" i="4"/>
  <c r="I278" i="1"/>
  <c r="J278" i="1" s="1"/>
  <c r="I762" i="1"/>
  <c r="J762" i="1" s="1"/>
  <c r="I743" i="1"/>
  <c r="J743" i="1" s="1"/>
  <c r="I765" i="1"/>
  <c r="J765" i="1" s="1"/>
  <c r="I750" i="1"/>
  <c r="J750" i="1" s="1"/>
  <c r="I378" i="1"/>
  <c r="J378" i="1" s="1"/>
  <c r="A1653" i="4"/>
  <c r="D1653" i="4"/>
  <c r="B1653" i="4" s="1"/>
  <c r="A1428" i="4"/>
  <c r="D1428" i="4"/>
  <c r="B1428" i="4" s="1"/>
  <c r="E632" i="1"/>
  <c r="E607" i="1"/>
  <c r="E462" i="1"/>
  <c r="C2312" i="4"/>
  <c r="G131" i="1"/>
  <c r="H131" i="1" s="1"/>
  <c r="G178" i="1"/>
  <c r="H178" i="1" s="1"/>
  <c r="G1474" i="1"/>
  <c r="H1474" i="1" s="1"/>
  <c r="G1466" i="1"/>
  <c r="H1466" i="1" s="1"/>
  <c r="G1470" i="1"/>
  <c r="H1470" i="1" s="1"/>
  <c r="AH2678" i="4"/>
  <c r="AH2684" i="4" s="1"/>
  <c r="D2688" i="4" s="1"/>
  <c r="D2636" i="4" s="1"/>
  <c r="AF2033" i="4" s="1"/>
  <c r="AB1031" i="4"/>
  <c r="AD1031" i="4" s="1"/>
  <c r="AB1049" i="4" s="1"/>
  <c r="AB352" i="4"/>
  <c r="AB368" i="4"/>
  <c r="I130" i="1"/>
  <c r="J130" i="1" s="1"/>
  <c r="I177" i="1"/>
  <c r="J177" i="1" s="1"/>
  <c r="I131" i="1"/>
  <c r="J131" i="1" s="1"/>
  <c r="I178" i="1"/>
  <c r="J178" i="1" s="1"/>
  <c r="I127" i="1"/>
  <c r="J127" i="1" s="1"/>
  <c r="I174" i="1"/>
  <c r="J174" i="1" s="1"/>
  <c r="A362" i="4"/>
  <c r="E362" i="4"/>
  <c r="B362" i="4" s="1"/>
  <c r="AD362" i="4"/>
  <c r="AD370" i="4" s="1"/>
  <c r="AJ374" i="4" s="1"/>
  <c r="G231" i="1"/>
  <c r="H231" i="1" s="1"/>
  <c r="G241" i="1"/>
  <c r="H241" i="1" s="1"/>
  <c r="E455" i="1"/>
  <c r="E698" i="1"/>
  <c r="AD1345" i="4"/>
  <c r="AD1353" i="4" s="1"/>
  <c r="AF1359" i="4" s="1"/>
  <c r="AH830" i="4" l="1"/>
  <c r="AF834" i="4" s="1"/>
  <c r="D830" i="4"/>
  <c r="A1497" i="4"/>
  <c r="E1497" i="4"/>
  <c r="B1497" i="4" s="1"/>
  <c r="AD1497" i="4"/>
  <c r="A1272" i="4"/>
  <c r="E1272" i="4"/>
  <c r="B1272" i="4" s="1"/>
  <c r="AD1272" i="4"/>
  <c r="E142" i="4"/>
  <c r="B142" i="4" s="1"/>
  <c r="AD1280" i="4"/>
  <c r="AJ1284" i="4" s="1"/>
  <c r="AD1505" i="4"/>
  <c r="AJ1509" i="4" s="1"/>
  <c r="AD1647" i="4"/>
  <c r="AD1655" i="4" s="1"/>
  <c r="AJ1659" i="4" s="1"/>
  <c r="E1659" i="4" s="1"/>
  <c r="E1647" i="4"/>
  <c r="B1647" i="4" s="1"/>
  <c r="A1647" i="4"/>
  <c r="AD1422" i="4"/>
  <c r="AD1430" i="4" s="1"/>
  <c r="AJ1434" i="4" s="1"/>
  <c r="AL1434" i="4" s="1"/>
  <c r="AJ1438" i="4" s="1"/>
  <c r="A1422" i="4"/>
  <c r="E1422" i="4"/>
  <c r="B1422" i="4" s="1"/>
  <c r="E894" i="4"/>
  <c r="B894" i="4" s="1"/>
  <c r="AD894" i="4"/>
  <c r="AD902" i="4" s="1"/>
  <c r="AJ906" i="4" s="1"/>
  <c r="A894" i="4"/>
  <c r="AD1572" i="4"/>
  <c r="AD1580" i="4" s="1"/>
  <c r="AJ1584" i="4" s="1"/>
  <c r="E1584" i="4" s="1"/>
  <c r="E1572" i="4"/>
  <c r="B1572" i="4" s="1"/>
  <c r="A1572" i="4"/>
  <c r="AD1815" i="4"/>
  <c r="AJ1858" i="4" s="1"/>
  <c r="E1858" i="4" s="1"/>
  <c r="A1815" i="4"/>
  <c r="E1815" i="4"/>
  <c r="B1815" i="4" s="1"/>
  <c r="AD1347" i="4"/>
  <c r="AD1355" i="4" s="1"/>
  <c r="AJ1359" i="4" s="1"/>
  <c r="A1347" i="4"/>
  <c r="E1347" i="4"/>
  <c r="B1347" i="4" s="1"/>
  <c r="E1888" i="4"/>
  <c r="B1888" i="4" s="1"/>
  <c r="A1888" i="4"/>
  <c r="AD1888" i="4"/>
  <c r="AJ1931" i="4" s="1"/>
  <c r="AL1931" i="4" s="1"/>
  <c r="E1933" i="4" s="1"/>
  <c r="E1862" i="4" s="1"/>
  <c r="I834" i="1" s="1"/>
  <c r="J834" i="1" s="1"/>
  <c r="AD818" i="4"/>
  <c r="AD826" i="4" s="1"/>
  <c r="AJ830" i="4" s="1"/>
  <c r="E830" i="4" s="1"/>
  <c r="A818" i="4"/>
  <c r="E818" i="4"/>
  <c r="B818" i="4" s="1"/>
  <c r="A134" i="4"/>
  <c r="E134" i="4"/>
  <c r="B134" i="4" s="1"/>
  <c r="AD134" i="4"/>
  <c r="AD142" i="4" s="1"/>
  <c r="AJ146" i="4" s="1"/>
  <c r="E146" i="4" s="1"/>
  <c r="AD3330" i="4"/>
  <c r="AJ3332" i="4" s="1"/>
  <c r="E3332" i="4" s="1"/>
  <c r="B3332" i="4" s="1"/>
  <c r="E1045" i="4"/>
  <c r="B1045" i="4" s="1"/>
  <c r="A1045" i="4"/>
  <c r="AD1045" i="4"/>
  <c r="AD1053" i="4" s="1"/>
  <c r="AJ1057" i="4" s="1"/>
  <c r="E58" i="4"/>
  <c r="B58" i="4" s="1"/>
  <c r="A58" i="4"/>
  <c r="AD58" i="4"/>
  <c r="AD66" i="4" s="1"/>
  <c r="AJ70" i="4" s="1"/>
  <c r="E70" i="4" s="1"/>
  <c r="A969" i="4"/>
  <c r="AD969" i="4"/>
  <c r="AD977" i="4" s="1"/>
  <c r="AJ981" i="4" s="1"/>
  <c r="E981" i="4" s="1"/>
  <c r="E969" i="4"/>
  <c r="B969" i="4" s="1"/>
  <c r="AD3276" i="4"/>
  <c r="AJ3278" i="4" s="1"/>
  <c r="E3278" i="4" s="1"/>
  <c r="B3278" i="4" s="1"/>
  <c r="F97" i="3"/>
  <c r="F63" i="3"/>
  <c r="E63" i="3"/>
  <c r="F80" i="3"/>
  <c r="AH906" i="4"/>
  <c r="AF910" i="4" s="1"/>
  <c r="D906" i="4"/>
  <c r="AL1858" i="4"/>
  <c r="E1860" i="4" s="1"/>
  <c r="E1789" i="4" s="1"/>
  <c r="I833" i="1" s="1"/>
  <c r="J833" i="1" s="1"/>
  <c r="A360" i="4"/>
  <c r="D360" i="4"/>
  <c r="B360" i="4" s="1"/>
  <c r="D740" i="4"/>
  <c r="B740" i="4" s="1"/>
  <c r="A740" i="4"/>
  <c r="D512" i="4"/>
  <c r="B512" i="4" s="1"/>
  <c r="A512" i="4"/>
  <c r="AD588" i="4"/>
  <c r="AD596" i="4" s="1"/>
  <c r="AF602" i="4" s="1"/>
  <c r="A588" i="4"/>
  <c r="D588" i="4"/>
  <c r="B588" i="4" s="1"/>
  <c r="A664" i="4"/>
  <c r="D664" i="4"/>
  <c r="B664" i="4" s="1"/>
  <c r="D900" i="4"/>
  <c r="B900" i="4" s="1"/>
  <c r="A900" i="4"/>
  <c r="AH2354" i="4"/>
  <c r="AH2360" i="4" s="1"/>
  <c r="D2364" i="4" s="1"/>
  <c r="D2312" i="4" s="1"/>
  <c r="AF1955" i="4" s="1"/>
  <c r="D1955" i="4" s="1"/>
  <c r="A436" i="4"/>
  <c r="D436" i="4"/>
  <c r="B436" i="4" s="1"/>
  <c r="A444" i="4"/>
  <c r="D444" i="4"/>
  <c r="B444" i="4" s="1"/>
  <c r="AD208" i="4"/>
  <c r="AD216" i="4" s="1"/>
  <c r="AF222" i="4" s="1"/>
  <c r="AH222" i="4" s="1"/>
  <c r="AF226" i="4" s="1"/>
  <c r="D208" i="4"/>
  <c r="B208" i="4" s="1"/>
  <c r="A208" i="4"/>
  <c r="AD436" i="4"/>
  <c r="AD444" i="4" s="1"/>
  <c r="AF450" i="4" s="1"/>
  <c r="D824" i="4"/>
  <c r="B824" i="4" s="1"/>
  <c r="A824" i="4"/>
  <c r="D596" i="4"/>
  <c r="B596" i="4" s="1"/>
  <c r="A596" i="4"/>
  <c r="D284" i="4"/>
  <c r="B284" i="4" s="1"/>
  <c r="A284" i="4"/>
  <c r="AD664" i="4"/>
  <c r="AD672" i="4" s="1"/>
  <c r="AF678" i="4" s="1"/>
  <c r="D678" i="4" s="1"/>
  <c r="D140" i="4"/>
  <c r="B140" i="4" s="1"/>
  <c r="A140" i="4"/>
  <c r="AD140" i="4"/>
  <c r="AF146" i="4" s="1"/>
  <c r="AD740" i="4"/>
  <c r="AD748" i="4" s="1"/>
  <c r="AF754" i="4" s="1"/>
  <c r="D754" i="4" s="1"/>
  <c r="K899" i="1"/>
  <c r="AL1955" i="4"/>
  <c r="AJ1957" i="4" s="1"/>
  <c r="AH1955" i="4"/>
  <c r="AF1957" i="4" s="1"/>
  <c r="D1957" i="4" s="1"/>
  <c r="L899" i="1"/>
  <c r="AH301" i="1"/>
  <c r="K883" i="1"/>
  <c r="D2046" i="4"/>
  <c r="K897" i="1"/>
  <c r="H852" i="1"/>
  <c r="K889" i="1"/>
  <c r="C434" i="4"/>
  <c r="B434" i="4" s="1"/>
  <c r="A3276" i="4"/>
  <c r="AD3006" i="4"/>
  <c r="AJ3008" i="4" s="1"/>
  <c r="E3008" i="4" s="1"/>
  <c r="B3008" i="4" s="1"/>
  <c r="E3330" i="4"/>
  <c r="B3330" i="4" s="1"/>
  <c r="E3006" i="4"/>
  <c r="B3006" i="4" s="1"/>
  <c r="AH2462" i="4"/>
  <c r="AH2468" i="4" s="1"/>
  <c r="D2472" i="4" s="1"/>
  <c r="D2420" i="4" s="1"/>
  <c r="AF1981" i="4" s="1"/>
  <c r="D1981" i="4" s="1"/>
  <c r="AH3110" i="4"/>
  <c r="AH3116" i="4" s="1"/>
  <c r="D3120" i="4" s="1"/>
  <c r="D3068" i="4" s="1"/>
  <c r="AF2174" i="4" s="1"/>
  <c r="AH2174" i="4" s="1"/>
  <c r="AF2176" i="4" s="1"/>
  <c r="D2624" i="4"/>
  <c r="B2624" i="4" s="1"/>
  <c r="AH2624" i="4"/>
  <c r="AH2630" i="4" s="1"/>
  <c r="D2634" i="4" s="1"/>
  <c r="AD2628" i="4"/>
  <c r="AJ2630" i="4" s="1"/>
  <c r="A2628" i="4"/>
  <c r="E2628" i="4"/>
  <c r="B2628" i="4" s="1"/>
  <c r="AL3008" i="4"/>
  <c r="E3012" i="4" s="1"/>
  <c r="E2960" i="4" s="1"/>
  <c r="AJ2148" i="4" s="1"/>
  <c r="E2148" i="4" s="1"/>
  <c r="L82" i="3"/>
  <c r="L99" i="3"/>
  <c r="D1133" i="4"/>
  <c r="I772" i="1"/>
  <c r="J772" i="1" s="1"/>
  <c r="I771" i="1"/>
  <c r="J771" i="1" s="1"/>
  <c r="D1705" i="4"/>
  <c r="L65" i="3"/>
  <c r="I775" i="1"/>
  <c r="J775" i="1" s="1"/>
  <c r="AD662" i="4"/>
  <c r="AD670" i="4" s="1"/>
  <c r="AB678" i="4" s="1"/>
  <c r="AD678" i="4" s="1"/>
  <c r="AB682" i="4" s="1"/>
  <c r="I773" i="1"/>
  <c r="J773" i="1" s="1"/>
  <c r="G819" i="1"/>
  <c r="H819" i="1" s="1"/>
  <c r="AD738" i="4"/>
  <c r="AD746" i="4" s="1"/>
  <c r="AB754" i="4" s="1"/>
  <c r="AL526" i="4"/>
  <c r="AJ530" i="4" s="1"/>
  <c r="E530" i="4" s="1"/>
  <c r="C738" i="4"/>
  <c r="B738" i="4" s="1"/>
  <c r="L116" i="3"/>
  <c r="C282" i="4"/>
  <c r="B282" i="4" s="1"/>
  <c r="AL298" i="4"/>
  <c r="AJ302" i="4" s="1"/>
  <c r="E302" i="4" s="1"/>
  <c r="A282" i="4"/>
  <c r="AL830" i="4"/>
  <c r="AJ834" i="4" s="1"/>
  <c r="E834" i="4" s="1"/>
  <c r="A662" i="4"/>
  <c r="L31" i="3"/>
  <c r="K6" i="3" s="1"/>
  <c r="L6" i="3" s="1"/>
  <c r="L5" i="3" s="1"/>
  <c r="I16" i="18" s="1"/>
  <c r="E80" i="3"/>
  <c r="I783" i="1"/>
  <c r="J783" i="1" s="1"/>
  <c r="I782" i="1"/>
  <c r="J782" i="1" s="1"/>
  <c r="E97" i="3"/>
  <c r="D1503" i="4"/>
  <c r="B1503" i="4" s="1"/>
  <c r="AL1584" i="4"/>
  <c r="AJ1588" i="4" s="1"/>
  <c r="AL1588" i="4" s="1"/>
  <c r="AJ1590" i="4" s="1"/>
  <c r="C586" i="4"/>
  <c r="B586" i="4" s="1"/>
  <c r="C358" i="4"/>
  <c r="B358" i="4" s="1"/>
  <c r="A358" i="4"/>
  <c r="L48" i="3"/>
  <c r="A586" i="4"/>
  <c r="AD510" i="4"/>
  <c r="AD518" i="4" s="1"/>
  <c r="AB526" i="4" s="1"/>
  <c r="C510" i="4"/>
  <c r="B510" i="4" s="1"/>
  <c r="AD214" i="4"/>
  <c r="AB222" i="4" s="1"/>
  <c r="AD222" i="4" s="1"/>
  <c r="AB226" i="4" s="1"/>
  <c r="A206" i="4"/>
  <c r="C206" i="4"/>
  <c r="B206" i="4" s="1"/>
  <c r="I389" i="1"/>
  <c r="J389" i="1" s="1"/>
  <c r="I371" i="1"/>
  <c r="J371" i="1" s="1"/>
  <c r="I781" i="1"/>
  <c r="J781" i="1" s="1"/>
  <c r="I373" i="1"/>
  <c r="J373" i="1" s="1"/>
  <c r="I356" i="1"/>
  <c r="J356" i="1" s="1"/>
  <c r="I360" i="1"/>
  <c r="J360" i="1" s="1"/>
  <c r="G289" i="1"/>
  <c r="H289" i="1" s="1"/>
  <c r="I770" i="1"/>
  <c r="J770" i="1" s="1"/>
  <c r="G828" i="1"/>
  <c r="H828" i="1" s="1"/>
  <c r="I379" i="1"/>
  <c r="J379" i="1" s="1"/>
  <c r="G829" i="1"/>
  <c r="H829" i="1" s="1"/>
  <c r="I353" i="1"/>
  <c r="J353" i="1" s="1"/>
  <c r="G355" i="1"/>
  <c r="H355" i="1" s="1"/>
  <c r="I774" i="1"/>
  <c r="J774" i="1" s="1"/>
  <c r="H20" i="23"/>
  <c r="L20" i="23" s="1"/>
  <c r="K20" i="23"/>
  <c r="H20" i="19"/>
  <c r="L20" i="19" s="1"/>
  <c r="D23" i="17" s="1"/>
  <c r="K20" i="19"/>
  <c r="AB14" i="1"/>
  <c r="D222" i="4"/>
  <c r="I354" i="1"/>
  <c r="J354" i="1" s="1"/>
  <c r="I369" i="1"/>
  <c r="J369" i="1" s="1"/>
  <c r="I382" i="1"/>
  <c r="J382" i="1" s="1"/>
  <c r="I362" i="1"/>
  <c r="J362" i="1" s="1"/>
  <c r="I367" i="1"/>
  <c r="J367" i="1" s="1"/>
  <c r="I385" i="1"/>
  <c r="J385" i="1" s="1"/>
  <c r="I364" i="1"/>
  <c r="J364" i="1" s="1"/>
  <c r="I370" i="1"/>
  <c r="J370" i="1" s="1"/>
  <c r="AL1659" i="4"/>
  <c r="AJ1663" i="4" s="1"/>
  <c r="G375" i="1"/>
  <c r="H375" i="1" s="1"/>
  <c r="G361" i="1"/>
  <c r="H361" i="1" s="1"/>
  <c r="I846" i="1"/>
  <c r="J846" i="1" s="1"/>
  <c r="AH1434" i="4"/>
  <c r="AF1438" i="4" s="1"/>
  <c r="D1438" i="4" s="1"/>
  <c r="G234" i="1"/>
  <c r="H234" i="1" s="1"/>
  <c r="G252" i="1"/>
  <c r="H252" i="1" s="1"/>
  <c r="G267" i="1"/>
  <c r="H267" i="1" s="1"/>
  <c r="G279" i="1"/>
  <c r="H279" i="1" s="1"/>
  <c r="G240" i="1"/>
  <c r="H240" i="1" s="1"/>
  <c r="G825" i="1"/>
  <c r="H825" i="1" s="1"/>
  <c r="E487" i="1"/>
  <c r="G167" i="1"/>
  <c r="H167" i="1" s="1"/>
  <c r="G385" i="1"/>
  <c r="H385" i="1" s="1"/>
  <c r="G389" i="1"/>
  <c r="H389" i="1" s="1"/>
  <c r="AH254" i="1"/>
  <c r="AH2213" i="4"/>
  <c r="AF2215" i="4" s="1"/>
  <c r="D2215" i="4" s="1"/>
  <c r="I769" i="1"/>
  <c r="J769" i="1" s="1"/>
  <c r="G15" i="1"/>
  <c r="H15" i="1" s="1"/>
  <c r="G246" i="1"/>
  <c r="H246" i="1" s="1"/>
  <c r="G351" i="1"/>
  <c r="H351" i="1" s="1"/>
  <c r="D2948" i="4"/>
  <c r="B2948" i="4" s="1"/>
  <c r="AH2948" i="4"/>
  <c r="AH2954" i="4" s="1"/>
  <c r="D2958" i="4" s="1"/>
  <c r="AD2952" i="4"/>
  <c r="AJ2954" i="4" s="1"/>
  <c r="A2952" i="4"/>
  <c r="E2952" i="4"/>
  <c r="B2952" i="4" s="1"/>
  <c r="G134" i="1"/>
  <c r="H134" i="1" s="1"/>
  <c r="AB17" i="1"/>
  <c r="G379" i="1"/>
  <c r="H379" i="1" s="1"/>
  <c r="D2300" i="4"/>
  <c r="B2300" i="4" s="1"/>
  <c r="AH2300" i="4"/>
  <c r="AH2306" i="4" s="1"/>
  <c r="D2310" i="4" s="1"/>
  <c r="AD290" i="4"/>
  <c r="AB298" i="4" s="1"/>
  <c r="AD298" i="4" s="1"/>
  <c r="AB302" i="4" s="1"/>
  <c r="AD2304" i="4"/>
  <c r="AJ2306" i="4" s="1"/>
  <c r="A2304" i="4"/>
  <c r="E2304" i="4"/>
  <c r="B2304" i="4" s="1"/>
  <c r="G220" i="1"/>
  <c r="H220" i="1" s="1"/>
  <c r="I740" i="1"/>
  <c r="J740" i="1" s="1"/>
  <c r="H1485" i="1"/>
  <c r="L1485" i="1" s="1"/>
  <c r="K1485" i="1"/>
  <c r="G359" i="1"/>
  <c r="H359" i="1" s="1"/>
  <c r="G369" i="1"/>
  <c r="H369" i="1" s="1"/>
  <c r="I748" i="1"/>
  <c r="J748" i="1" s="1"/>
  <c r="G367" i="1"/>
  <c r="H367" i="1" s="1"/>
  <c r="G277" i="1"/>
  <c r="H277" i="1" s="1"/>
  <c r="I840" i="1"/>
  <c r="J840" i="1" s="1"/>
  <c r="D1659" i="4"/>
  <c r="AH1659" i="4"/>
  <c r="AF1663" i="4" s="1"/>
  <c r="D1663" i="4" s="1"/>
  <c r="H415" i="1"/>
  <c r="L415" i="1" s="1"/>
  <c r="K415" i="1"/>
  <c r="E645" i="1"/>
  <c r="E693" i="1"/>
  <c r="E615" i="1"/>
  <c r="G265" i="1"/>
  <c r="H265" i="1" s="1"/>
  <c r="G57" i="1"/>
  <c r="G269" i="1"/>
  <c r="H269" i="1" s="1"/>
  <c r="G72" i="1"/>
  <c r="G214" i="1"/>
  <c r="H214" i="1" s="1"/>
  <c r="H601" i="1"/>
  <c r="E600" i="1"/>
  <c r="E559" i="1"/>
  <c r="G431" i="1"/>
  <c r="E639" i="1"/>
  <c r="E633" i="1"/>
  <c r="G425" i="1"/>
  <c r="G881" i="1"/>
  <c r="I755" i="1"/>
  <c r="J755" i="1" s="1"/>
  <c r="G416" i="1"/>
  <c r="I839" i="1"/>
  <c r="J839" i="1" s="1"/>
  <c r="I742" i="1"/>
  <c r="J742" i="1" s="1"/>
  <c r="I763" i="1"/>
  <c r="J763" i="1" s="1"/>
  <c r="G814" i="1"/>
  <c r="H814" i="1" s="1"/>
  <c r="AG347" i="1"/>
  <c r="H347" i="1" s="1"/>
  <c r="AD366" i="4"/>
  <c r="AB374" i="4" s="1"/>
  <c r="C374" i="4" s="1"/>
  <c r="H433" i="1"/>
  <c r="L433" i="1" s="1"/>
  <c r="K433" i="1"/>
  <c r="AB16" i="1"/>
  <c r="H766" i="1"/>
  <c r="G371" i="1"/>
  <c r="H371" i="1" s="1"/>
  <c r="G363" i="1"/>
  <c r="H363" i="1" s="1"/>
  <c r="AH2786" i="4"/>
  <c r="AH2792" i="4" s="1"/>
  <c r="D2796" i="4" s="1"/>
  <c r="D2744" i="4" s="1"/>
  <c r="I757" i="1"/>
  <c r="J757" i="1" s="1"/>
  <c r="E621" i="1"/>
  <c r="G413" i="1"/>
  <c r="G817" i="1"/>
  <c r="H817" i="1" s="1"/>
  <c r="E627" i="1"/>
  <c r="G434" i="1"/>
  <c r="G116" i="1"/>
  <c r="H116" i="1" s="1"/>
  <c r="G136" i="1"/>
  <c r="H136" i="1" s="1"/>
  <c r="G13" i="1"/>
  <c r="H13" i="1" s="1"/>
  <c r="G257" i="1"/>
  <c r="H257" i="1" s="1"/>
  <c r="G405" i="1"/>
  <c r="E699" i="1"/>
  <c r="AB13" i="1"/>
  <c r="AA56" i="1"/>
  <c r="AA31" i="1"/>
  <c r="AH206" i="1"/>
  <c r="AH159" i="1"/>
  <c r="A1049" i="4"/>
  <c r="C1049" i="4"/>
  <c r="B1049" i="4" s="1"/>
  <c r="G295" i="1"/>
  <c r="H295" i="1" s="1"/>
  <c r="E515" i="1"/>
  <c r="F721" i="1"/>
  <c r="L721" i="1" s="1"/>
  <c r="K721" i="1"/>
  <c r="E2033" i="4"/>
  <c r="AL2033" i="4"/>
  <c r="AJ2035" i="4" s="1"/>
  <c r="F562" i="1"/>
  <c r="L562" i="1" s="1"/>
  <c r="K562" i="1"/>
  <c r="G149" i="1"/>
  <c r="E341" i="1"/>
  <c r="E712" i="1"/>
  <c r="G124" i="1"/>
  <c r="H124" i="1" s="1"/>
  <c r="G171" i="1"/>
  <c r="H171" i="1" s="1"/>
  <c r="E636" i="1"/>
  <c r="H209" i="3"/>
  <c r="E209" i="3"/>
  <c r="D2088" i="4"/>
  <c r="B2088" i="4" s="1"/>
  <c r="AH2088" i="4"/>
  <c r="AD2094" i="4" s="1"/>
  <c r="AD2096" i="4" s="1"/>
  <c r="AF2098" i="4" s="1"/>
  <c r="E518" i="1"/>
  <c r="E503" i="1"/>
  <c r="I237" i="1"/>
  <c r="J237" i="1" s="1"/>
  <c r="AD1785" i="4"/>
  <c r="C1787" i="4" s="1"/>
  <c r="C1785" i="4"/>
  <c r="E528" i="1"/>
  <c r="E886" i="1"/>
  <c r="AB2252" i="4"/>
  <c r="E2898" i="4"/>
  <c r="B2898" i="4" s="1"/>
  <c r="A2898" i="4"/>
  <c r="AD2898" i="4"/>
  <c r="AJ2900" i="4" s="1"/>
  <c r="F905" i="1"/>
  <c r="F447" i="1"/>
  <c r="K447" i="1"/>
  <c r="F453" i="1"/>
  <c r="L453" i="1" s="1"/>
  <c r="K453" i="1"/>
  <c r="A1351" i="4"/>
  <c r="C1351" i="4"/>
  <c r="B1351" i="4" s="1"/>
  <c r="E685" i="1"/>
  <c r="E485" i="1"/>
  <c r="I847" i="1"/>
  <c r="J847" i="1" s="1"/>
  <c r="E476" i="1"/>
  <c r="A746" i="4"/>
  <c r="C746" i="4"/>
  <c r="B746" i="4" s="1"/>
  <c r="D1487" i="4"/>
  <c r="B1487" i="4" s="1"/>
  <c r="A1487" i="4"/>
  <c r="AD1487" i="4"/>
  <c r="AD1495" i="4" s="1"/>
  <c r="AD1503" i="4" s="1"/>
  <c r="AF1509" i="4" s="1"/>
  <c r="E554" i="1"/>
  <c r="E482" i="1"/>
  <c r="E676" i="1"/>
  <c r="K462" i="1"/>
  <c r="F462" i="1"/>
  <c r="L462" i="1" s="1"/>
  <c r="E2520" i="4"/>
  <c r="B2520" i="4" s="1"/>
  <c r="A2520" i="4"/>
  <c r="AD2520" i="4"/>
  <c r="AJ2522" i="4" s="1"/>
  <c r="I56" i="3"/>
  <c r="I124" i="3"/>
  <c r="I107" i="3"/>
  <c r="I90" i="3"/>
  <c r="I39" i="3"/>
  <c r="I73" i="3"/>
  <c r="E18" i="2"/>
  <c r="Y18" i="2" s="1"/>
  <c r="E2090" i="4"/>
  <c r="B2090" i="4" s="1"/>
  <c r="AH2090" i="4"/>
  <c r="AJ2098" i="4" s="1"/>
  <c r="E506" i="1"/>
  <c r="E882" i="1"/>
  <c r="G242" i="1"/>
  <c r="H242" i="1" s="1"/>
  <c r="B2688" i="4"/>
  <c r="E902" i="1"/>
  <c r="I844" i="1"/>
  <c r="J844" i="1" s="1"/>
  <c r="E340" i="1"/>
  <c r="A1501" i="4"/>
  <c r="C1501" i="4"/>
  <c r="B1501" i="4" s="1"/>
  <c r="E312" i="1"/>
  <c r="E595" i="1"/>
  <c r="K454" i="1"/>
  <c r="F454" i="1"/>
  <c r="L454" i="1" s="1"/>
  <c r="E320" i="1"/>
  <c r="E1280" i="4"/>
  <c r="B1280" i="4" s="1"/>
  <c r="A1280" i="4"/>
  <c r="AB2109" i="4"/>
  <c r="E545" i="1"/>
  <c r="E222" i="4"/>
  <c r="AL222" i="4"/>
  <c r="AJ226" i="4" s="1"/>
  <c r="AB12" i="1"/>
  <c r="K668" i="1"/>
  <c r="F668" i="1"/>
  <c r="L668" i="1" s="1"/>
  <c r="E3168" i="4"/>
  <c r="B3168" i="4" s="1"/>
  <c r="A3168" i="4"/>
  <c r="AD3168" i="4"/>
  <c r="AJ3170" i="4" s="1"/>
  <c r="AH3056" i="4"/>
  <c r="AH3062" i="4" s="1"/>
  <c r="D3066" i="4" s="1"/>
  <c r="E512" i="1"/>
  <c r="K593" i="1"/>
  <c r="F593" i="1"/>
  <c r="L593" i="1" s="1"/>
  <c r="F588" i="1"/>
  <c r="L588" i="1" s="1"/>
  <c r="K588" i="1"/>
  <c r="K597" i="1"/>
  <c r="F597" i="1"/>
  <c r="L597" i="1" s="1"/>
  <c r="A2466" i="4"/>
  <c r="E2466" i="4"/>
  <c r="B2466" i="4" s="1"/>
  <c r="AD2466" i="4"/>
  <c r="AJ2468" i="4" s="1"/>
  <c r="AB2161" i="4"/>
  <c r="K686" i="1"/>
  <c r="F686" i="1"/>
  <c r="L686" i="1" s="1"/>
  <c r="E2174" i="4"/>
  <c r="AL2174" i="4"/>
  <c r="AJ2176" i="4" s="1"/>
  <c r="D3218" i="4"/>
  <c r="B3218" i="4" s="1"/>
  <c r="AH3218" i="4"/>
  <c r="AH3224" i="4" s="1"/>
  <c r="D3228" i="4" s="1"/>
  <c r="F491" i="1"/>
  <c r="L491" i="1" s="1"/>
  <c r="K491" i="1"/>
  <c r="C822" i="4"/>
  <c r="B822" i="4" s="1"/>
  <c r="A822" i="4"/>
  <c r="A518" i="4"/>
  <c r="C518" i="4"/>
  <c r="B518" i="4" s="1"/>
  <c r="AH3434" i="4"/>
  <c r="AH3440" i="4" s="1"/>
  <c r="D3444" i="4" s="1"/>
  <c r="I239" i="1"/>
  <c r="J239" i="1" s="1"/>
  <c r="E522" i="1"/>
  <c r="E654" i="1"/>
  <c r="F715" i="1"/>
  <c r="L715" i="1" s="1"/>
  <c r="K715" i="1"/>
  <c r="E333" i="1"/>
  <c r="E724" i="1"/>
  <c r="E630" i="1"/>
  <c r="AL906" i="4"/>
  <c r="AJ910" i="4" s="1"/>
  <c r="E906" i="4"/>
  <c r="G383" i="1"/>
  <c r="H383" i="1" s="1"/>
  <c r="F619" i="1"/>
  <c r="L619" i="1" s="1"/>
  <c r="K619" i="1"/>
  <c r="E688" i="1"/>
  <c r="F657" i="1"/>
  <c r="L657" i="1" s="1"/>
  <c r="K657" i="1"/>
  <c r="F592" i="1"/>
  <c r="L592" i="1" s="1"/>
  <c r="K592" i="1"/>
  <c r="K620" i="1"/>
  <c r="F620" i="1"/>
  <c r="L620" i="1" s="1"/>
  <c r="K538" i="1"/>
  <c r="F538" i="1"/>
  <c r="L538" i="1" s="1"/>
  <c r="E331" i="1"/>
  <c r="C1568" i="4"/>
  <c r="B1568" i="4" s="1"/>
  <c r="A1568" i="4"/>
  <c r="AD1568" i="4"/>
  <c r="AD1576" i="4" s="1"/>
  <c r="AB1584" i="4" s="1"/>
  <c r="A965" i="4"/>
  <c r="C965" i="4"/>
  <c r="B965" i="4" s="1"/>
  <c r="AD965" i="4"/>
  <c r="AD973" i="4" s="1"/>
  <c r="AB981" i="4" s="1"/>
  <c r="K587" i="1"/>
  <c r="F587" i="1"/>
  <c r="L587" i="1" s="1"/>
  <c r="G261" i="1"/>
  <c r="H261" i="1" s="1"/>
  <c r="G299" i="1"/>
  <c r="H299" i="1" s="1"/>
  <c r="AL450" i="4"/>
  <c r="AJ454" i="4" s="1"/>
  <c r="E450" i="4"/>
  <c r="AB2007" i="4"/>
  <c r="H1481" i="1"/>
  <c r="K450" i="1"/>
  <c r="F450" i="1"/>
  <c r="L450" i="1" s="1"/>
  <c r="F451" i="1"/>
  <c r="L451" i="1" s="1"/>
  <c r="K451" i="1"/>
  <c r="H251" i="3"/>
  <c r="E251" i="3"/>
  <c r="E197" i="3"/>
  <c r="H197" i="3"/>
  <c r="I851" i="1"/>
  <c r="J851" i="1" s="1"/>
  <c r="C3576" i="4"/>
  <c r="B3576" i="4" s="1"/>
  <c r="AD3576" i="4"/>
  <c r="C3580" i="4" s="1"/>
  <c r="A3438" i="4"/>
  <c r="E3438" i="4"/>
  <c r="B3438" i="4" s="1"/>
  <c r="AD3438" i="4"/>
  <c r="AJ3440" i="4" s="1"/>
  <c r="K614" i="1"/>
  <c r="F614" i="1"/>
  <c r="K446" i="1"/>
  <c r="F446" i="1"/>
  <c r="L446" i="1" s="1"/>
  <c r="K696" i="1"/>
  <c r="F696" i="1"/>
  <c r="L696" i="1" s="1"/>
  <c r="I845" i="1"/>
  <c r="J845" i="1" s="1"/>
  <c r="E332" i="1"/>
  <c r="F463" i="1"/>
  <c r="L463" i="1" s="1"/>
  <c r="K463" i="1"/>
  <c r="E326" i="1"/>
  <c r="E325" i="1"/>
  <c r="E624" i="1"/>
  <c r="E628" i="1"/>
  <c r="AB2174" i="4"/>
  <c r="E345" i="1"/>
  <c r="E1284" i="4"/>
  <c r="AL1284" i="4"/>
  <c r="AJ1288" i="4" s="1"/>
  <c r="G147" i="1"/>
  <c r="E2844" i="4"/>
  <c r="B2844" i="4" s="1"/>
  <c r="A2844" i="4"/>
  <c r="AD2844" i="4"/>
  <c r="AJ2846" i="4" s="1"/>
  <c r="E306" i="1"/>
  <c r="A1418" i="4"/>
  <c r="C1418" i="4"/>
  <c r="B1418" i="4" s="1"/>
  <c r="AD1418" i="4"/>
  <c r="AD1426" i="4" s="1"/>
  <c r="AB1434" i="4" s="1"/>
  <c r="E327" i="1"/>
  <c r="G244" i="1"/>
  <c r="H244" i="1" s="1"/>
  <c r="F539" i="1"/>
  <c r="L539" i="1" s="1"/>
  <c r="K539" i="1"/>
  <c r="K674" i="1"/>
  <c r="F674" i="1"/>
  <c r="L674" i="1" s="1"/>
  <c r="K448" i="1"/>
  <c r="F448" i="1"/>
  <c r="L448" i="1" s="1"/>
  <c r="E572" i="1"/>
  <c r="G59" i="1"/>
  <c r="K698" i="1"/>
  <c r="F698" i="1"/>
  <c r="L698" i="1" s="1"/>
  <c r="G259" i="1"/>
  <c r="H259" i="1" s="1"/>
  <c r="G287" i="1"/>
  <c r="H287" i="1" s="1"/>
  <c r="I841" i="1"/>
  <c r="J841" i="1" s="1"/>
  <c r="B2742" i="4"/>
  <c r="G79" i="1"/>
  <c r="E700" i="1"/>
  <c r="AB1968" i="4"/>
  <c r="K557" i="1"/>
  <c r="F557" i="1"/>
  <c r="L557" i="1" s="1"/>
  <c r="E622" i="1"/>
  <c r="K569" i="1"/>
  <c r="F569" i="1"/>
  <c r="L569" i="1" s="1"/>
  <c r="E114" i="3"/>
  <c r="H114" i="3"/>
  <c r="F114" i="3" s="1"/>
  <c r="A1884" i="4"/>
  <c r="C1884" i="4"/>
  <c r="B1884" i="4" s="1"/>
  <c r="AD1884" i="4"/>
  <c r="AB1931" i="4" s="1"/>
  <c r="G281" i="1"/>
  <c r="H281" i="1" s="1"/>
  <c r="G224" i="1"/>
  <c r="H224" i="1" s="1"/>
  <c r="E602" i="4"/>
  <c r="AL602" i="4"/>
  <c r="AJ606" i="4" s="1"/>
  <c r="AB2033" i="4"/>
  <c r="D1278" i="4"/>
  <c r="B1278" i="4" s="1"/>
  <c r="A1278" i="4"/>
  <c r="E1705" i="4"/>
  <c r="AL1705" i="4"/>
  <c r="E1707" i="4" s="1"/>
  <c r="E1669" i="4" s="1"/>
  <c r="I830" i="1" s="1"/>
  <c r="J830" i="1" s="1"/>
  <c r="E727" i="1"/>
  <c r="I893" i="1"/>
  <c r="E1434" i="4"/>
  <c r="F457" i="1"/>
  <c r="L457" i="1" s="1"/>
  <c r="K457" i="1"/>
  <c r="A1276" i="4"/>
  <c r="C1276" i="4"/>
  <c r="B1276" i="4" s="1"/>
  <c r="F691" i="1"/>
  <c r="L691" i="1" s="1"/>
  <c r="K691" i="1"/>
  <c r="D1262" i="4"/>
  <c r="B1262" i="4" s="1"/>
  <c r="A1262" i="4"/>
  <c r="AD1262" i="4"/>
  <c r="AD1270" i="4" s="1"/>
  <c r="AD1278" i="4" s="1"/>
  <c r="AF1284" i="4" s="1"/>
  <c r="E309" i="1"/>
  <c r="E305" i="1"/>
  <c r="E646" i="1"/>
  <c r="E1133" i="4"/>
  <c r="AL1133" i="4"/>
  <c r="AJ1137" i="4" s="1"/>
  <c r="F667" i="1"/>
  <c r="L667" i="1" s="1"/>
  <c r="K667" i="1"/>
  <c r="K672" i="1"/>
  <c r="F672" i="1"/>
  <c r="L672" i="1" s="1"/>
  <c r="K901" i="1"/>
  <c r="F901" i="1"/>
  <c r="L901" i="1" s="1"/>
  <c r="G49" i="1"/>
  <c r="H736" i="1"/>
  <c r="E308" i="1"/>
  <c r="E344" i="1"/>
  <c r="E337" i="1"/>
  <c r="G271" i="1"/>
  <c r="H271" i="1" s="1"/>
  <c r="E1209" i="4"/>
  <c r="AL1209" i="4"/>
  <c r="AJ1213" i="4" s="1"/>
  <c r="F643" i="1"/>
  <c r="L643" i="1" s="1"/>
  <c r="K643" i="1"/>
  <c r="E319" i="1"/>
  <c r="E551" i="1"/>
  <c r="E581" i="1"/>
  <c r="E880" i="1"/>
  <c r="E888" i="1"/>
  <c r="AH2048" i="4"/>
  <c r="D2050" i="4" s="1"/>
  <c r="D2039" i="4" s="1"/>
  <c r="D2048" i="4"/>
  <c r="AB2187" i="4"/>
  <c r="G146" i="1"/>
  <c r="E658" i="1"/>
  <c r="E900" i="1"/>
  <c r="D910" i="4"/>
  <c r="AH910" i="4"/>
  <c r="AF912" i="4" s="1"/>
  <c r="E3222" i="4"/>
  <c r="B3222" i="4" s="1"/>
  <c r="A3222" i="4"/>
  <c r="AD3222" i="4"/>
  <c r="AJ3224" i="4" s="1"/>
  <c r="E494" i="1"/>
  <c r="C594" i="4"/>
  <c r="B594" i="4" s="1"/>
  <c r="A594" i="4"/>
  <c r="A290" i="4"/>
  <c r="C290" i="4"/>
  <c r="B290" i="4" s="1"/>
  <c r="G212" i="1"/>
  <c r="H212" i="1" s="1"/>
  <c r="D2226" i="4"/>
  <c r="AH2226" i="4"/>
  <c r="AF2228" i="4" s="1"/>
  <c r="F1459" i="1"/>
  <c r="K1459" i="1"/>
  <c r="E1785" i="4"/>
  <c r="AL1785" i="4"/>
  <c r="E1787" i="4" s="1"/>
  <c r="E1749" i="4" s="1"/>
  <c r="I832" i="1" s="1"/>
  <c r="J832" i="1" s="1"/>
  <c r="K464" i="1"/>
  <c r="F464" i="1"/>
  <c r="L464" i="1" s="1"/>
  <c r="G393" i="1"/>
  <c r="H393" i="1" s="1"/>
  <c r="G158" i="1"/>
  <c r="E316" i="1"/>
  <c r="I122" i="3"/>
  <c r="E38" i="2"/>
  <c r="Y38" i="2" s="1"/>
  <c r="E339" i="1"/>
  <c r="G398" i="1"/>
  <c r="F473" i="1"/>
  <c r="L473" i="1" s="1"/>
  <c r="K473" i="1"/>
  <c r="D1051" i="4"/>
  <c r="B1051" i="4" s="1"/>
  <c r="A1051" i="4"/>
  <c r="F521" i="1"/>
  <c r="L521" i="1" s="1"/>
  <c r="K521" i="1"/>
  <c r="K496" i="1"/>
  <c r="F496" i="1"/>
  <c r="L496" i="1" s="1"/>
  <c r="E578" i="1"/>
  <c r="C1343" i="4"/>
  <c r="B1343" i="4" s="1"/>
  <c r="A1343" i="4"/>
  <c r="AD1343" i="4"/>
  <c r="AD1351" i="4" s="1"/>
  <c r="AB1359" i="4" s="1"/>
  <c r="C890" i="4"/>
  <c r="B890" i="4" s="1"/>
  <c r="A890" i="4"/>
  <c r="AD890" i="4"/>
  <c r="AD898" i="4" s="1"/>
  <c r="AB906" i="4" s="1"/>
  <c r="AB1981" i="4"/>
  <c r="G283" i="1"/>
  <c r="H283" i="1" s="1"/>
  <c r="AL3332" i="4"/>
  <c r="E3336" i="4" s="1"/>
  <c r="E730" i="1"/>
  <c r="I88" i="3"/>
  <c r="E32" i="2"/>
  <c r="Y32" i="2" s="1"/>
  <c r="I108" i="3"/>
  <c r="I91" i="3"/>
  <c r="I40" i="3"/>
  <c r="I74" i="3"/>
  <c r="I125" i="3"/>
  <c r="I57" i="3"/>
  <c r="E19" i="2"/>
  <c r="Y19" i="2" s="1"/>
  <c r="H227" i="3"/>
  <c r="E227" i="3"/>
  <c r="H191" i="3"/>
  <c r="E191" i="3"/>
  <c r="E706" i="1"/>
  <c r="A3384" i="4"/>
  <c r="E3384" i="4"/>
  <c r="B3384" i="4" s="1"/>
  <c r="AD3384" i="4"/>
  <c r="AJ3386" i="4" s="1"/>
  <c r="E323" i="1"/>
  <c r="I106" i="3"/>
  <c r="I89" i="3"/>
  <c r="I38" i="3"/>
  <c r="I72" i="3"/>
  <c r="I123" i="3"/>
  <c r="I55" i="3"/>
  <c r="E17" i="2"/>
  <c r="Y17" i="2" s="1"/>
  <c r="G148" i="1"/>
  <c r="E616" i="1"/>
  <c r="E904" i="1"/>
  <c r="E542" i="1"/>
  <c r="I843" i="1"/>
  <c r="J843" i="1" s="1"/>
  <c r="AD594" i="4"/>
  <c r="AB602" i="4" s="1"/>
  <c r="I849" i="1"/>
  <c r="J849" i="1" s="1"/>
  <c r="AH300" i="1"/>
  <c r="J300" i="1" s="1"/>
  <c r="AH2033" i="4"/>
  <c r="AF2035" i="4" s="1"/>
  <c r="D2033" i="4"/>
  <c r="E670" i="1"/>
  <c r="AH1209" i="4"/>
  <c r="AF1213" i="4" s="1"/>
  <c r="D1209" i="4"/>
  <c r="G65" i="1"/>
  <c r="C1705" i="4"/>
  <c r="AD1705" i="4"/>
  <c r="C1707" i="4" s="1"/>
  <c r="D2516" i="4"/>
  <c r="B2516" i="4" s="1"/>
  <c r="AH2516" i="4"/>
  <c r="AH2522" i="4" s="1"/>
  <c r="D2526" i="4" s="1"/>
  <c r="G408" i="1"/>
  <c r="E524" i="1"/>
  <c r="K478" i="1"/>
  <c r="F478" i="1"/>
  <c r="L478" i="1" s="1"/>
  <c r="G820" i="1"/>
  <c r="H820" i="1" s="1"/>
  <c r="G76" i="1"/>
  <c r="K452" i="1"/>
  <c r="F452" i="1"/>
  <c r="L452" i="1" s="1"/>
  <c r="E604" i="1"/>
  <c r="K885" i="1"/>
  <c r="F885" i="1"/>
  <c r="L885" i="1" s="1"/>
  <c r="D3164" i="4"/>
  <c r="B3164" i="4" s="1"/>
  <c r="AH3164" i="4"/>
  <c r="AH3170" i="4" s="1"/>
  <c r="D3174" i="4" s="1"/>
  <c r="A48" i="4"/>
  <c r="D48" i="4"/>
  <c r="B48" i="4" s="1"/>
  <c r="AD48" i="4"/>
  <c r="AD56" i="4" s="1"/>
  <c r="AD64" i="4" s="1"/>
  <c r="AF70" i="4" s="1"/>
  <c r="A214" i="4"/>
  <c r="C214" i="4"/>
  <c r="B214" i="4" s="1"/>
  <c r="I227" i="1"/>
  <c r="J227" i="1" s="1"/>
  <c r="E652" i="1"/>
  <c r="E335" i="1"/>
  <c r="A814" i="4"/>
  <c r="C814" i="4"/>
  <c r="B814" i="4" s="1"/>
  <c r="AD814" i="4"/>
  <c r="AD822" i="4" s="1"/>
  <c r="AB830" i="4" s="1"/>
  <c r="AB1955" i="4"/>
  <c r="D368" i="4"/>
  <c r="B368" i="4" s="1"/>
  <c r="A368" i="4"/>
  <c r="G418" i="1"/>
  <c r="AB2046" i="4"/>
  <c r="G861" i="1"/>
  <c r="H861" i="1" s="1"/>
  <c r="G808" i="1"/>
  <c r="H808" i="1" s="1"/>
  <c r="G435" i="1"/>
  <c r="F673" i="1"/>
  <c r="L673" i="1" s="1"/>
  <c r="K673" i="1"/>
  <c r="G81" i="1"/>
  <c r="K650" i="1"/>
  <c r="F650" i="1"/>
  <c r="L650" i="1" s="1"/>
  <c r="E898" i="1"/>
  <c r="F598" i="1"/>
  <c r="L598" i="1" s="1"/>
  <c r="K598" i="1"/>
  <c r="F1457" i="1"/>
  <c r="K1457" i="1"/>
  <c r="F711" i="1"/>
  <c r="L711" i="1" s="1"/>
  <c r="K711" i="1"/>
  <c r="E131" i="3"/>
  <c r="H131" i="3"/>
  <c r="F131" i="3" s="1"/>
  <c r="C1811" i="4"/>
  <c r="B1811" i="4" s="1"/>
  <c r="AD1811" i="4"/>
  <c r="AB1858" i="4" s="1"/>
  <c r="A1811" i="4"/>
  <c r="G226" i="1"/>
  <c r="H226" i="1" s="1"/>
  <c r="G216" i="1"/>
  <c r="H216" i="1" s="1"/>
  <c r="G291" i="1"/>
  <c r="H291" i="1" s="1"/>
  <c r="G55" i="1"/>
  <c r="Y3525" i="4"/>
  <c r="B3525" i="4"/>
  <c r="E530" i="1"/>
  <c r="E618" i="1"/>
  <c r="G130" i="1"/>
  <c r="H130" i="1" s="1"/>
  <c r="G177" i="1"/>
  <c r="H177" i="1" s="1"/>
  <c r="E324" i="1"/>
  <c r="E509" i="1"/>
  <c r="A1651" i="4"/>
  <c r="C1651" i="4"/>
  <c r="B1651" i="4" s="1"/>
  <c r="K702" i="1"/>
  <c r="F702" i="1"/>
  <c r="L702" i="1" s="1"/>
  <c r="G373" i="1"/>
  <c r="H373" i="1" s="1"/>
  <c r="AB2148" i="4"/>
  <c r="F697" i="1"/>
  <c r="L697" i="1" s="1"/>
  <c r="K697" i="1"/>
  <c r="E338" i="1"/>
  <c r="AL1957" i="4"/>
  <c r="E1959" i="4" s="1"/>
  <c r="E1948" i="4" s="1"/>
  <c r="I856" i="1" s="1"/>
  <c r="J856" i="1" s="1"/>
  <c r="E1957" i="4"/>
  <c r="E586" i="1"/>
  <c r="E589" i="1"/>
  <c r="E892" i="1"/>
  <c r="G432" i="1"/>
  <c r="G439" i="1"/>
  <c r="I1465" i="1"/>
  <c r="J1465" i="1" s="1"/>
  <c r="I1471" i="1"/>
  <c r="J1471" i="1" s="1"/>
  <c r="I1470" i="1"/>
  <c r="J1470" i="1" s="1"/>
  <c r="I1469" i="1"/>
  <c r="J1469" i="1" s="1"/>
  <c r="I1468" i="1"/>
  <c r="J1468" i="1" s="1"/>
  <c r="I1474" i="1"/>
  <c r="J1474" i="1" s="1"/>
  <c r="I1467" i="1"/>
  <c r="J1467" i="1" s="1"/>
  <c r="I1473" i="1"/>
  <c r="J1473" i="1" s="1"/>
  <c r="I1466" i="1"/>
  <c r="J1466" i="1" s="1"/>
  <c r="I1472" i="1"/>
  <c r="J1472" i="1" s="1"/>
  <c r="I1476" i="1"/>
  <c r="J1476" i="1" s="1"/>
  <c r="I1475" i="1"/>
  <c r="J1475" i="1" s="1"/>
  <c r="I1480" i="1"/>
  <c r="J1480" i="1" s="1"/>
  <c r="I1479" i="1"/>
  <c r="J1479" i="1" s="1"/>
  <c r="I1478" i="1"/>
  <c r="J1478" i="1" s="1"/>
  <c r="I1477" i="1"/>
  <c r="J1477" i="1" s="1"/>
  <c r="G210" i="1"/>
  <c r="H210" i="1" s="1"/>
  <c r="C2020" i="4"/>
  <c r="B2020" i="4" s="1"/>
  <c r="AD2020" i="4"/>
  <c r="AB2022" i="4" s="1"/>
  <c r="G426" i="1"/>
  <c r="K680" i="1"/>
  <c r="F680" i="1"/>
  <c r="L680" i="1" s="1"/>
  <c r="F637" i="1"/>
  <c r="L637" i="1" s="1"/>
  <c r="K637" i="1"/>
  <c r="K444" i="1"/>
  <c r="F444" i="1"/>
  <c r="D981" i="4"/>
  <c r="AH981" i="4"/>
  <c r="AF985" i="4" s="1"/>
  <c r="A1193" i="4"/>
  <c r="C1193" i="4"/>
  <c r="B1193" i="4" s="1"/>
  <c r="AD1193" i="4"/>
  <c r="AD1201" i="4" s="1"/>
  <c r="AB1209" i="4" s="1"/>
  <c r="K460" i="1"/>
  <c r="F460" i="1"/>
  <c r="L460" i="1" s="1"/>
  <c r="G250" i="1"/>
  <c r="H250" i="1" s="1"/>
  <c r="G230" i="1"/>
  <c r="H230" i="1" s="1"/>
  <c r="G275" i="1"/>
  <c r="H275" i="1" s="1"/>
  <c r="A898" i="4"/>
  <c r="C898" i="4"/>
  <c r="B898" i="4" s="1"/>
  <c r="C366" i="4"/>
  <c r="B366" i="4" s="1"/>
  <c r="A366" i="4"/>
  <c r="A62" i="4"/>
  <c r="C62" i="4"/>
  <c r="B62" i="4" s="1"/>
  <c r="G153" i="1"/>
  <c r="G228" i="1"/>
  <c r="H228" i="1" s="1"/>
  <c r="G218" i="1"/>
  <c r="H218" i="1" s="1"/>
  <c r="E678" i="4"/>
  <c r="AL678" i="4"/>
  <c r="AJ682" i="4" s="1"/>
  <c r="E548" i="1"/>
  <c r="K662" i="1"/>
  <c r="F662" i="1"/>
  <c r="L662" i="1" s="1"/>
  <c r="E322" i="1"/>
  <c r="A1699" i="4"/>
  <c r="C1699" i="4"/>
  <c r="B1699" i="4" s="1"/>
  <c r="C2213" i="4"/>
  <c r="AD2213" i="4"/>
  <c r="AB2215" i="4" s="1"/>
  <c r="F459" i="1"/>
  <c r="L459" i="1" s="1"/>
  <c r="K459" i="1"/>
  <c r="F499" i="1"/>
  <c r="L499" i="1" s="1"/>
  <c r="K499" i="1"/>
  <c r="AH1137" i="4"/>
  <c r="AF1139" i="4" s="1"/>
  <c r="D1137" i="4"/>
  <c r="F703" i="1"/>
  <c r="L703" i="1" s="1"/>
  <c r="K703" i="1"/>
  <c r="K660" i="1"/>
  <c r="F660" i="1"/>
  <c r="L660" i="1" s="1"/>
  <c r="G73" i="1"/>
  <c r="D1035" i="4"/>
  <c r="B1035" i="4" s="1"/>
  <c r="A1035" i="4"/>
  <c r="AD1035" i="4"/>
  <c r="AD1043" i="4" s="1"/>
  <c r="AD1051" i="4" s="1"/>
  <c r="AF1057" i="4" s="1"/>
  <c r="F580" i="1"/>
  <c r="L580" i="1" s="1"/>
  <c r="K580" i="1"/>
  <c r="E315" i="1"/>
  <c r="E486" i="1"/>
  <c r="A1493" i="4"/>
  <c r="C1493" i="4"/>
  <c r="B1493" i="4" s="1"/>
  <c r="AD1493" i="4"/>
  <c r="AD1501" i="4" s="1"/>
  <c r="AB1509" i="4" s="1"/>
  <c r="K540" i="1"/>
  <c r="F540" i="1"/>
  <c r="G222" i="1"/>
  <c r="H222" i="1" s="1"/>
  <c r="G297" i="1"/>
  <c r="H297" i="1" s="1"/>
  <c r="F679" i="1"/>
  <c r="L679" i="1" s="1"/>
  <c r="K679" i="1"/>
  <c r="E269" i="3"/>
  <c r="H269" i="3"/>
  <c r="E179" i="3"/>
  <c r="H179" i="3"/>
  <c r="I746" i="1"/>
  <c r="J746" i="1" s="1"/>
  <c r="D3380" i="4"/>
  <c r="B3380" i="4" s="1"/>
  <c r="AH3380" i="4"/>
  <c r="AH3386" i="4" s="1"/>
  <c r="D3390" i="4" s="1"/>
  <c r="F449" i="1"/>
  <c r="L449" i="1" s="1"/>
  <c r="K449" i="1"/>
  <c r="K544" i="1"/>
  <c r="F544" i="1"/>
  <c r="L544" i="1" s="1"/>
  <c r="K456" i="1"/>
  <c r="F456" i="1"/>
  <c r="L456" i="1" s="1"/>
  <c r="K565" i="1"/>
  <c r="F565" i="1"/>
  <c r="L565" i="1" s="1"/>
  <c r="K510" i="1"/>
  <c r="F510" i="1"/>
  <c r="H751" i="1"/>
  <c r="E884" i="1"/>
  <c r="E606" i="1"/>
  <c r="F461" i="1"/>
  <c r="L461" i="1" s="1"/>
  <c r="K461" i="1"/>
  <c r="E2046" i="4"/>
  <c r="AL2046" i="4"/>
  <c r="AJ2048" i="4" s="1"/>
  <c r="E304" i="1"/>
  <c r="K887" i="1"/>
  <c r="F887" i="1"/>
  <c r="L887" i="1" s="1"/>
  <c r="E560" i="1"/>
  <c r="AH1258" i="4"/>
  <c r="A1258" i="4"/>
  <c r="F455" i="1"/>
  <c r="L455" i="1" s="1"/>
  <c r="K455" i="1"/>
  <c r="G75" i="1"/>
  <c r="E16" i="2"/>
  <c r="Y16" i="2" s="1"/>
  <c r="A3472" i="4"/>
  <c r="C3472" i="4"/>
  <c r="B3472" i="4" s="1"/>
  <c r="AD3472" i="4"/>
  <c r="AB3477" i="4" s="1"/>
  <c r="K644" i="1"/>
  <c r="F644" i="1"/>
  <c r="G353" i="1"/>
  <c r="H353" i="1" s="1"/>
  <c r="G391" i="1"/>
  <c r="H391" i="1" s="1"/>
  <c r="E718" i="1"/>
  <c r="K458" i="1"/>
  <c r="F458" i="1"/>
  <c r="L458" i="1" s="1"/>
  <c r="K648" i="1"/>
  <c r="F648" i="1"/>
  <c r="L648" i="1" s="1"/>
  <c r="E640" i="1"/>
  <c r="A130" i="4"/>
  <c r="C130" i="4"/>
  <c r="B130" i="4" s="1"/>
  <c r="AD130" i="4"/>
  <c r="AD138" i="4" s="1"/>
  <c r="AB146" i="4" s="1"/>
  <c r="K591" i="1"/>
  <c r="F591" i="1"/>
  <c r="L591" i="1" s="1"/>
  <c r="I110" i="3"/>
  <c r="I93" i="3"/>
  <c r="I42" i="3"/>
  <c r="I76" i="3"/>
  <c r="I127" i="3"/>
  <c r="I59" i="3"/>
  <c r="E21" i="2"/>
  <c r="Y21" i="2" s="1"/>
  <c r="G236" i="1"/>
  <c r="H236" i="1" s="1"/>
  <c r="AH1031" i="4"/>
  <c r="A1031" i="4"/>
  <c r="F552" i="1"/>
  <c r="L552" i="1" s="1"/>
  <c r="K552" i="1"/>
  <c r="I60" i="3"/>
  <c r="I128" i="3"/>
  <c r="I111" i="3"/>
  <c r="I94" i="3"/>
  <c r="I77" i="3"/>
  <c r="I43" i="3"/>
  <c r="E22" i="2"/>
  <c r="Y22" i="2" s="1"/>
  <c r="A1125" i="4"/>
  <c r="C1125" i="4"/>
  <c r="B1125" i="4" s="1"/>
  <c r="C1426" i="4"/>
  <c r="B1426" i="4" s="1"/>
  <c r="A1426" i="4"/>
  <c r="G381" i="1"/>
  <c r="H381" i="1" s="1"/>
  <c r="I778" i="1"/>
  <c r="J778" i="1" s="1"/>
  <c r="E336" i="1"/>
  <c r="E334" i="1"/>
  <c r="E566" i="1"/>
  <c r="G86" i="1"/>
  <c r="C1994" i="4"/>
  <c r="AD1994" i="4"/>
  <c r="AB1996" i="4" s="1"/>
  <c r="G58" i="1"/>
  <c r="F445" i="1"/>
  <c r="L445" i="1" s="1"/>
  <c r="K445" i="1"/>
  <c r="G66" i="1"/>
  <c r="E585" i="1"/>
  <c r="G232" i="1"/>
  <c r="H232" i="1" s="1"/>
  <c r="G285" i="1"/>
  <c r="H285" i="1" s="1"/>
  <c r="E493" i="1"/>
  <c r="E709" i="1"/>
  <c r="E1745" i="4"/>
  <c r="AL1745" i="4"/>
  <c r="E1747" i="4" s="1"/>
  <c r="E1709" i="4" s="1"/>
  <c r="I831" i="1" s="1"/>
  <c r="J831" i="1" s="1"/>
  <c r="I850" i="1"/>
  <c r="J850" i="1" s="1"/>
  <c r="E314" i="1"/>
  <c r="I54" i="3"/>
  <c r="E26" i="2"/>
  <c r="Y26" i="2" s="1"/>
  <c r="G387" i="1"/>
  <c r="H387" i="1" s="1"/>
  <c r="E1509" i="4"/>
  <c r="AL1509" i="4"/>
  <c r="AJ1513" i="4" s="1"/>
  <c r="D2148" i="4"/>
  <c r="AH2148" i="4"/>
  <c r="AF2150" i="4" s="1"/>
  <c r="E610" i="1"/>
  <c r="I58" i="3"/>
  <c r="I126" i="3"/>
  <c r="I109" i="3"/>
  <c r="I92" i="3"/>
  <c r="I41" i="3"/>
  <c r="I75" i="3"/>
  <c r="E20" i="2"/>
  <c r="Y20" i="2" s="1"/>
  <c r="G17" i="1"/>
  <c r="H17" i="1" s="1"/>
  <c r="H155" i="1"/>
  <c r="L155" i="1" s="1"/>
  <c r="K155" i="1"/>
  <c r="E470" i="1"/>
  <c r="E1057" i="4"/>
  <c r="AL1057" i="4"/>
  <c r="AJ1061" i="4" s="1"/>
  <c r="C1117" i="4"/>
  <c r="B1117" i="4" s="1"/>
  <c r="A1117" i="4"/>
  <c r="AD1117" i="4"/>
  <c r="AD1125" i="4" s="1"/>
  <c r="AB1133" i="4" s="1"/>
  <c r="A670" i="4"/>
  <c r="C670" i="4"/>
  <c r="B670" i="4" s="1"/>
  <c r="C138" i="4"/>
  <c r="B138" i="4" s="1"/>
  <c r="A138" i="4"/>
  <c r="G238" i="1"/>
  <c r="H238" i="1" s="1"/>
  <c r="G293" i="1"/>
  <c r="H293" i="1" s="1"/>
  <c r="F735" i="1"/>
  <c r="K735" i="1"/>
  <c r="AH1745" i="4"/>
  <c r="D1747" i="4" s="1"/>
  <c r="D1709" i="4" s="1"/>
  <c r="G831" i="1" s="1"/>
  <c r="H831" i="1" s="1"/>
  <c r="D1745" i="4"/>
  <c r="I842" i="1"/>
  <c r="J842" i="1" s="1"/>
  <c r="I744" i="1"/>
  <c r="J744" i="1" s="1"/>
  <c r="K504" i="1"/>
  <c r="F504" i="1"/>
  <c r="L504" i="1" s="1"/>
  <c r="I105" i="3"/>
  <c r="E35" i="2"/>
  <c r="Y35" i="2" s="1"/>
  <c r="C1779" i="4"/>
  <c r="B1779" i="4" s="1"/>
  <c r="A1779" i="4"/>
  <c r="E328" i="1"/>
  <c r="D1858" i="4"/>
  <c r="AH1858" i="4"/>
  <c r="D1860" i="4" s="1"/>
  <c r="D1789" i="4" s="1"/>
  <c r="G833" i="1" s="1"/>
  <c r="H833" i="1" s="1"/>
  <c r="G132" i="1"/>
  <c r="H132" i="1" s="1"/>
  <c r="G179" i="1"/>
  <c r="H179" i="1" s="1"/>
  <c r="E307" i="1"/>
  <c r="E318" i="1"/>
  <c r="E343" i="1"/>
  <c r="E634" i="1"/>
  <c r="E346" i="1"/>
  <c r="G152" i="1"/>
  <c r="F582" i="1"/>
  <c r="L582" i="1" s="1"/>
  <c r="K582" i="1"/>
  <c r="I1458" i="1"/>
  <c r="F613" i="1"/>
  <c r="L613" i="1" s="1"/>
  <c r="K613" i="1"/>
  <c r="H46" i="3"/>
  <c r="F46" i="3" s="1"/>
  <c r="E46" i="3"/>
  <c r="A1268" i="4"/>
  <c r="C1268" i="4"/>
  <c r="B1268" i="4" s="1"/>
  <c r="AD1268" i="4"/>
  <c r="AD1276" i="4" s="1"/>
  <c r="AB1284" i="4" s="1"/>
  <c r="A2412" i="4"/>
  <c r="E2412" i="4"/>
  <c r="B2412" i="4" s="1"/>
  <c r="AD2412" i="4"/>
  <c r="AJ2414" i="4" s="1"/>
  <c r="AH207" i="1"/>
  <c r="E733" i="1"/>
  <c r="E245" i="3"/>
  <c r="H245" i="3"/>
  <c r="H263" i="3"/>
  <c r="E263" i="3"/>
  <c r="H173" i="3"/>
  <c r="E173" i="3"/>
  <c r="E311" i="1"/>
  <c r="I761" i="1"/>
  <c r="J761" i="1" s="1"/>
  <c r="K472" i="1"/>
  <c r="F472" i="1"/>
  <c r="L472" i="1" s="1"/>
  <c r="K638" i="1"/>
  <c r="F638" i="1"/>
  <c r="L638" i="1" s="1"/>
  <c r="E500" i="1"/>
  <c r="D1931" i="4"/>
  <c r="AH1931" i="4"/>
  <c r="D1933" i="4" s="1"/>
  <c r="D1862" i="4" s="1"/>
  <c r="G834" i="1" s="1"/>
  <c r="H834" i="1" s="1"/>
  <c r="G377" i="1"/>
  <c r="H377" i="1" s="1"/>
  <c r="A2790" i="4"/>
  <c r="E2790" i="4"/>
  <c r="B2790" i="4" s="1"/>
  <c r="AD2790" i="4"/>
  <c r="AJ2792" i="4" s="1"/>
  <c r="G821" i="1"/>
  <c r="H821" i="1" s="1"/>
  <c r="G1486" i="1"/>
  <c r="H1486" i="1" s="1"/>
  <c r="G122" i="1"/>
  <c r="H122" i="1" s="1"/>
  <c r="G169" i="1"/>
  <c r="H169" i="1" s="1"/>
  <c r="G118" i="1"/>
  <c r="H118" i="1" s="1"/>
  <c r="G165" i="1"/>
  <c r="H165" i="1" s="1"/>
  <c r="E2574" i="4"/>
  <c r="B2574" i="4" s="1"/>
  <c r="A2574" i="4"/>
  <c r="AD2574" i="4"/>
  <c r="AJ2576" i="4" s="1"/>
  <c r="E896" i="1"/>
  <c r="G48" i="1"/>
  <c r="E534" i="1"/>
  <c r="G183" i="1"/>
  <c r="H183" i="1" s="1"/>
  <c r="E317" i="1"/>
  <c r="E330" i="1"/>
  <c r="AH1359" i="4"/>
  <c r="AF1363" i="4" s="1"/>
  <c r="D1359" i="4"/>
  <c r="G273" i="1"/>
  <c r="H273" i="1" s="1"/>
  <c r="G248" i="1"/>
  <c r="H248" i="1" s="1"/>
  <c r="A352" i="4"/>
  <c r="D352" i="4"/>
  <c r="B352" i="4" s="1"/>
  <c r="AD352" i="4"/>
  <c r="AD360" i="4" s="1"/>
  <c r="AD368" i="4" s="1"/>
  <c r="AF374" i="4" s="1"/>
  <c r="E584" i="1"/>
  <c r="E612" i="1"/>
  <c r="E329" i="1"/>
  <c r="E374" i="4"/>
  <c r="AL374" i="4"/>
  <c r="AJ378" i="4" s="1"/>
  <c r="F607" i="1"/>
  <c r="L607" i="1" s="1"/>
  <c r="K607" i="1"/>
  <c r="K632" i="1"/>
  <c r="F632" i="1"/>
  <c r="L632" i="1" s="1"/>
  <c r="E321" i="1"/>
  <c r="E527" i="1"/>
  <c r="E488" i="1"/>
  <c r="E474" i="1"/>
  <c r="E754" i="4"/>
  <c r="AL754" i="4"/>
  <c r="AJ758" i="4" s="1"/>
  <c r="D2570" i="4"/>
  <c r="B2570" i="4" s="1"/>
  <c r="AH2570" i="4"/>
  <c r="AH2576" i="4" s="1"/>
  <c r="D2580" i="4" s="1"/>
  <c r="G47" i="1"/>
  <c r="A3060" i="4"/>
  <c r="E3060" i="4"/>
  <c r="B3060" i="4" s="1"/>
  <c r="AD3060" i="4"/>
  <c r="AJ3062" i="4" s="1"/>
  <c r="E642" i="1"/>
  <c r="AB2200" i="4"/>
  <c r="F661" i="1"/>
  <c r="L661" i="1" s="1"/>
  <c r="K661" i="1"/>
  <c r="A54" i="4"/>
  <c r="C54" i="4"/>
  <c r="B54" i="4" s="1"/>
  <c r="AD54" i="4"/>
  <c r="AD62" i="4" s="1"/>
  <c r="AB70" i="4" s="1"/>
  <c r="G128" i="1"/>
  <c r="H128" i="1" s="1"/>
  <c r="G175" i="1"/>
  <c r="H175" i="1" s="1"/>
  <c r="G74" i="1"/>
  <c r="F594" i="1"/>
  <c r="L594" i="1" s="1"/>
  <c r="K594" i="1"/>
  <c r="E313" i="1"/>
  <c r="A1576" i="4"/>
  <c r="C1576" i="4"/>
  <c r="B1576" i="4" s="1"/>
  <c r="C1201" i="4"/>
  <c r="B1201" i="4" s="1"/>
  <c r="A1201" i="4"/>
  <c r="D526" i="4"/>
  <c r="AH526" i="4"/>
  <c r="AF530" i="4" s="1"/>
  <c r="I71" i="3"/>
  <c r="E29" i="2"/>
  <c r="Y29" i="2" s="1"/>
  <c r="AH1584" i="4"/>
  <c r="AF1588" i="4" s="1"/>
  <c r="D1584" i="4"/>
  <c r="G150" i="1"/>
  <c r="F568" i="1"/>
  <c r="L568" i="1" s="1"/>
  <c r="K568" i="1"/>
  <c r="E682" i="1"/>
  <c r="E563" i="1"/>
  <c r="E664" i="1"/>
  <c r="K726" i="1"/>
  <c r="F726" i="1"/>
  <c r="L726" i="1" s="1"/>
  <c r="K575" i="1"/>
  <c r="F575" i="1"/>
  <c r="L575" i="1" s="1"/>
  <c r="C2239" i="4"/>
  <c r="AD2239" i="4"/>
  <c r="AB2241" i="4" s="1"/>
  <c r="G126" i="1"/>
  <c r="H126" i="1" s="1"/>
  <c r="G173" i="1"/>
  <c r="H173" i="1" s="1"/>
  <c r="K903" i="1"/>
  <c r="F903" i="1"/>
  <c r="L903" i="1" s="1"/>
  <c r="F533" i="1"/>
  <c r="L533" i="1" s="1"/>
  <c r="K533" i="1"/>
  <c r="K710" i="1"/>
  <c r="F710" i="1"/>
  <c r="L710" i="1" s="1"/>
  <c r="I779" i="1"/>
  <c r="J779" i="1" s="1"/>
  <c r="E536" i="1"/>
  <c r="K684" i="1"/>
  <c r="F684" i="1"/>
  <c r="L684" i="1" s="1"/>
  <c r="G365" i="1"/>
  <c r="H365" i="1" s="1"/>
  <c r="K546" i="1"/>
  <c r="F546" i="1"/>
  <c r="L546" i="1" s="1"/>
  <c r="F465" i="1"/>
  <c r="K465" i="1"/>
  <c r="A64" i="4"/>
  <c r="D64" i="4"/>
  <c r="B64" i="4" s="1"/>
  <c r="C2086" i="4"/>
  <c r="B2086" i="4" s="1"/>
  <c r="AH2086" i="4"/>
  <c r="AB2098" i="4" s="1"/>
  <c r="C2059" i="4"/>
  <c r="AD2059" i="4"/>
  <c r="AB2061" i="4" s="1"/>
  <c r="F631" i="1"/>
  <c r="L631" i="1" s="1"/>
  <c r="K631" i="1"/>
  <c r="A442" i="4"/>
  <c r="C442" i="4"/>
  <c r="B442" i="4" s="1"/>
  <c r="A973" i="4"/>
  <c r="C973" i="4"/>
  <c r="B973" i="4" s="1"/>
  <c r="E1505" i="4"/>
  <c r="B1505" i="4" s="1"/>
  <c r="A1505" i="4"/>
  <c r="E497" i="1"/>
  <c r="E894" i="1"/>
  <c r="F550" i="1"/>
  <c r="L550" i="1" s="1"/>
  <c r="K550" i="1"/>
  <c r="I759" i="1"/>
  <c r="J759" i="1" s="1"/>
  <c r="AB2226" i="4"/>
  <c r="A1739" i="4"/>
  <c r="C1739" i="4"/>
  <c r="B1739" i="4" s="1"/>
  <c r="AD1739" i="4"/>
  <c r="AB1745" i="4" s="1"/>
  <c r="E303" i="1"/>
  <c r="K492" i="1"/>
  <c r="F492" i="1"/>
  <c r="L492" i="1" s="1"/>
  <c r="E890" i="1"/>
  <c r="G357" i="1"/>
  <c r="H357" i="1" s="1"/>
  <c r="E310" i="1"/>
  <c r="D298" i="4"/>
  <c r="AH298" i="4"/>
  <c r="AF302" i="4" s="1"/>
  <c r="F625" i="1"/>
  <c r="L625" i="1" s="1"/>
  <c r="K625" i="1"/>
  <c r="AB2122" i="4"/>
  <c r="I777" i="1"/>
  <c r="J777" i="1" s="1"/>
  <c r="I891" i="1"/>
  <c r="E342" i="1"/>
  <c r="AH2840" i="4"/>
  <c r="AH2846" i="4" s="1"/>
  <c r="D2850" i="4" s="1"/>
  <c r="D2840" i="4"/>
  <c r="B2840" i="4" s="1"/>
  <c r="A1643" i="4"/>
  <c r="C1643" i="4"/>
  <c r="B1643" i="4" s="1"/>
  <c r="AD1643" i="4"/>
  <c r="AD1651" i="4" s="1"/>
  <c r="AB1659" i="4" s="1"/>
  <c r="A1041" i="4"/>
  <c r="C1041" i="4"/>
  <c r="B1041" i="4" s="1"/>
  <c r="AD1041" i="4"/>
  <c r="AD1049" i="4" s="1"/>
  <c r="AB1057" i="4" s="1"/>
  <c r="C2135" i="4"/>
  <c r="AD2135" i="4"/>
  <c r="AB2137" i="4" s="1"/>
  <c r="D2408" i="4"/>
  <c r="B2408" i="4" s="1"/>
  <c r="AH2408" i="4"/>
  <c r="AH2414" i="4" s="1"/>
  <c r="D2418" i="4" s="1"/>
  <c r="G51" i="1"/>
  <c r="G263" i="1"/>
  <c r="H263" i="1" s="1"/>
  <c r="AH160" i="1"/>
  <c r="F574" i="1"/>
  <c r="L574" i="1" s="1"/>
  <c r="K574" i="1"/>
  <c r="E215" i="3"/>
  <c r="H215" i="3"/>
  <c r="H233" i="3"/>
  <c r="E233" i="3"/>
  <c r="I848" i="1"/>
  <c r="J848" i="1" s="1"/>
  <c r="A2088" i="4"/>
  <c r="C1942" i="4"/>
  <c r="AD1942" i="4"/>
  <c r="AB1944" i="4" s="1"/>
  <c r="G154" i="1"/>
  <c r="E694" i="1"/>
  <c r="G402" i="1"/>
  <c r="K716" i="1"/>
  <c r="F716" i="1"/>
  <c r="L716" i="1" s="1"/>
  <c r="F1454" i="1"/>
  <c r="L1454" i="1" s="1"/>
  <c r="AH834" i="4"/>
  <c r="AF836" i="4" s="1"/>
  <c r="D834" i="4"/>
  <c r="AL3278" i="4"/>
  <c r="E3282" i="4" s="1"/>
  <c r="G436" i="1"/>
  <c r="K895" i="1"/>
  <c r="F895" i="1"/>
  <c r="L895" i="1" s="1"/>
  <c r="AD442" i="4"/>
  <c r="AB450" i="4" s="1"/>
  <c r="D2894" i="4"/>
  <c r="B2894" i="4" s="1"/>
  <c r="AH2894" i="4"/>
  <c r="AH2900" i="4" s="1"/>
  <c r="D2904" i="4" s="1"/>
  <c r="E1931" i="4" l="1"/>
  <c r="E1359" i="4"/>
  <c r="AL1359" i="4"/>
  <c r="AJ1363" i="4" s="1"/>
  <c r="AL70" i="4"/>
  <c r="AJ74" i="4" s="1"/>
  <c r="E74" i="4" s="1"/>
  <c r="D2174" i="4"/>
  <c r="AL146" i="4"/>
  <c r="AJ150" i="4" s="1"/>
  <c r="E150" i="4" s="1"/>
  <c r="AH1957" i="4"/>
  <c r="D1959" i="4" s="1"/>
  <c r="D1948" i="4" s="1"/>
  <c r="G856" i="1" s="1"/>
  <c r="H856" i="1" s="1"/>
  <c r="AL981" i="4"/>
  <c r="AJ985" i="4" s="1"/>
  <c r="E985" i="4" s="1"/>
  <c r="I23" i="16"/>
  <c r="D23" i="21"/>
  <c r="D23" i="16" s="1"/>
  <c r="AH678" i="4"/>
  <c r="AF682" i="4" s="1"/>
  <c r="AH682" i="4" s="1"/>
  <c r="AF684" i="4" s="1"/>
  <c r="D146" i="4"/>
  <c r="AH146" i="4"/>
  <c r="AF150" i="4" s="1"/>
  <c r="AH602" i="4"/>
  <c r="AF606" i="4" s="1"/>
  <c r="D602" i="4"/>
  <c r="B3012" i="4"/>
  <c r="B2960" i="4" s="1"/>
  <c r="AH754" i="4"/>
  <c r="AF758" i="4" s="1"/>
  <c r="AH758" i="4" s="1"/>
  <c r="AF760" i="4" s="1"/>
  <c r="D760" i="4" s="1"/>
  <c r="B2364" i="4"/>
  <c r="AH450" i="4"/>
  <c r="AF454" i="4" s="1"/>
  <c r="D450" i="4"/>
  <c r="AL2148" i="4"/>
  <c r="AJ2150" i="4" s="1"/>
  <c r="AH1981" i="4"/>
  <c r="AF1983" i="4" s="1"/>
  <c r="AH395" i="1"/>
  <c r="B3120" i="4"/>
  <c r="Y3068" i="4" s="1"/>
  <c r="K26" i="3"/>
  <c r="L26" i="3" s="1"/>
  <c r="L25" i="3" s="1"/>
  <c r="I16" i="19" s="1"/>
  <c r="J16" i="19" s="1"/>
  <c r="I776" i="1"/>
  <c r="J776" i="1" s="1"/>
  <c r="K10" i="3"/>
  <c r="L10" i="3" s="1"/>
  <c r="L9" i="3" s="1"/>
  <c r="I19" i="18" s="1"/>
  <c r="J19" i="18" s="1"/>
  <c r="I21" i="22"/>
  <c r="J21" i="22" s="1"/>
  <c r="K22" i="3"/>
  <c r="L22" i="3" s="1"/>
  <c r="L21" i="3" s="1"/>
  <c r="I15" i="19" s="1"/>
  <c r="J15" i="19" s="1"/>
  <c r="I780" i="1"/>
  <c r="J780" i="1" s="1"/>
  <c r="K18" i="3"/>
  <c r="L18" i="3" s="1"/>
  <c r="L17" i="3" s="1"/>
  <c r="I23" i="18" s="1"/>
  <c r="J23" i="18" s="1"/>
  <c r="E2630" i="4"/>
  <c r="B2630" i="4" s="1"/>
  <c r="AL2630" i="4"/>
  <c r="E2634" i="4" s="1"/>
  <c r="E2582" i="4" s="1"/>
  <c r="AJ2020" i="4" s="1"/>
  <c r="D2582" i="4"/>
  <c r="AF2020" i="4" s="1"/>
  <c r="I787" i="1"/>
  <c r="J787" i="1" s="1"/>
  <c r="I791" i="1"/>
  <c r="J791" i="1" s="1"/>
  <c r="K14" i="3"/>
  <c r="L14" i="3" s="1"/>
  <c r="L13" i="3" s="1"/>
  <c r="I13" i="19" s="1"/>
  <c r="J13" i="19" s="1"/>
  <c r="I11" i="19"/>
  <c r="J11" i="19" s="1"/>
  <c r="AL530" i="4"/>
  <c r="AJ532" i="4" s="1"/>
  <c r="E532" i="4" s="1"/>
  <c r="C678" i="4"/>
  <c r="B678" i="4" s="1"/>
  <c r="AL302" i="4"/>
  <c r="AJ304" i="4" s="1"/>
  <c r="E304" i="4" s="1"/>
  <c r="AL150" i="4"/>
  <c r="AJ152" i="4" s="1"/>
  <c r="AL152" i="4" s="1"/>
  <c r="E154" i="4" s="1"/>
  <c r="E80" i="4" s="1"/>
  <c r="I91" i="1" s="1"/>
  <c r="J91" i="1" s="1"/>
  <c r="AL834" i="4"/>
  <c r="AJ836" i="4" s="1"/>
  <c r="E836" i="4" s="1"/>
  <c r="I11" i="24"/>
  <c r="J11" i="24" s="1"/>
  <c r="I16" i="22"/>
  <c r="J16" i="22" s="1"/>
  <c r="I11" i="23"/>
  <c r="J11" i="23" s="1"/>
  <c r="I789" i="1"/>
  <c r="J789" i="1" s="1"/>
  <c r="AL985" i="4"/>
  <c r="AJ987" i="4" s="1"/>
  <c r="AL987" i="4" s="1"/>
  <c r="E989" i="4" s="1"/>
  <c r="E916" i="4" s="1"/>
  <c r="I102" i="1" s="1"/>
  <c r="J102" i="1" s="1"/>
  <c r="I11" i="20"/>
  <c r="J11" i="20" s="1"/>
  <c r="E1588" i="4"/>
  <c r="AL74" i="4"/>
  <c r="AJ76" i="4" s="1"/>
  <c r="E76" i="4" s="1"/>
  <c r="C222" i="4"/>
  <c r="B222" i="4" s="1"/>
  <c r="D682" i="4"/>
  <c r="AH1438" i="4"/>
  <c r="AF1440" i="4" s="1"/>
  <c r="AH1440" i="4" s="1"/>
  <c r="D1442" i="4" s="1"/>
  <c r="D1369" i="4" s="1"/>
  <c r="G108" i="1" s="1"/>
  <c r="H108" i="1" s="1"/>
  <c r="I12" i="22"/>
  <c r="J12" i="22" s="1"/>
  <c r="I12" i="18"/>
  <c r="J12" i="18" s="1"/>
  <c r="I785" i="1"/>
  <c r="J785" i="1" s="1"/>
  <c r="AB20" i="1"/>
  <c r="AH2215" i="4"/>
  <c r="D2217" i="4" s="1"/>
  <c r="D2206" i="4" s="1"/>
  <c r="G873" i="1" s="1"/>
  <c r="H873" i="1" s="1"/>
  <c r="AH394" i="1"/>
  <c r="J394" i="1" s="1"/>
  <c r="H1487" i="1"/>
  <c r="AB19" i="1"/>
  <c r="C298" i="4"/>
  <c r="B298" i="4" s="1"/>
  <c r="D226" i="4"/>
  <c r="AH226" i="4"/>
  <c r="AF228" i="4" s="1"/>
  <c r="AD374" i="4"/>
  <c r="AB378" i="4" s="1"/>
  <c r="AD378" i="4" s="1"/>
  <c r="AB380" i="4" s="1"/>
  <c r="AH1663" i="4"/>
  <c r="AF1665" i="4" s="1"/>
  <c r="AH1665" i="4" s="1"/>
  <c r="D1667" i="4" s="1"/>
  <c r="D1594" i="4" s="1"/>
  <c r="G111" i="1" s="1"/>
  <c r="H111" i="1" s="1"/>
  <c r="E1663" i="4"/>
  <c r="AL1663" i="4"/>
  <c r="AJ1665" i="4" s="1"/>
  <c r="I793" i="1"/>
  <c r="J793" i="1" s="1"/>
  <c r="I20" i="22"/>
  <c r="J20" i="22" s="1"/>
  <c r="I20" i="18"/>
  <c r="J20" i="18" s="1"/>
  <c r="F487" i="1"/>
  <c r="L487" i="1" s="1"/>
  <c r="K487" i="1"/>
  <c r="J16" i="18"/>
  <c r="G60" i="1"/>
  <c r="H60" i="1" s="1"/>
  <c r="L60" i="1" s="1"/>
  <c r="J206" i="1"/>
  <c r="E577" i="1"/>
  <c r="I808" i="1"/>
  <c r="J808" i="1" s="1"/>
  <c r="H44" i="1"/>
  <c r="G163" i="1"/>
  <c r="H163" i="1" s="1"/>
  <c r="AG207" i="1" s="1"/>
  <c r="B1705" i="4"/>
  <c r="E484" i="1"/>
  <c r="E722" i="1"/>
  <c r="E690" i="1"/>
  <c r="E2306" i="4"/>
  <c r="B2306" i="4" s="1"/>
  <c r="AL2306" i="4"/>
  <c r="E2310" i="4" s="1"/>
  <c r="E2258" i="4" s="1"/>
  <c r="AJ1942" i="4" s="1"/>
  <c r="E599" i="1"/>
  <c r="D2176" i="4"/>
  <c r="AH2176" i="4"/>
  <c r="D2178" i="4" s="1"/>
  <c r="D2167" i="4" s="1"/>
  <c r="G870" i="1" s="1"/>
  <c r="H870" i="1" s="1"/>
  <c r="G181" i="1"/>
  <c r="H181" i="1" s="1"/>
  <c r="E526" i="1"/>
  <c r="AB31" i="1"/>
  <c r="D2258" i="4"/>
  <c r="J159" i="1"/>
  <c r="E705" i="1"/>
  <c r="E2954" i="4"/>
  <c r="B2954" i="4" s="1"/>
  <c r="AL2954" i="4"/>
  <c r="E2958" i="4" s="1"/>
  <c r="E2906" i="4" s="1"/>
  <c r="AJ2135" i="4" s="1"/>
  <c r="I905" i="1"/>
  <c r="D2906" i="4"/>
  <c r="E732" i="1"/>
  <c r="E729" i="1"/>
  <c r="E576" i="1"/>
  <c r="E675" i="1"/>
  <c r="E553" i="1"/>
  <c r="E678" i="1"/>
  <c r="AG395" i="1"/>
  <c r="E479" i="1"/>
  <c r="F699" i="1"/>
  <c r="L699" i="1" s="1"/>
  <c r="K699" i="1"/>
  <c r="E681" i="1"/>
  <c r="E666" i="1"/>
  <c r="E714" i="1"/>
  <c r="F633" i="1"/>
  <c r="L633" i="1" s="1"/>
  <c r="K633" i="1"/>
  <c r="E717" i="1"/>
  <c r="E564" i="1"/>
  <c r="E728" i="1"/>
  <c r="F693" i="1"/>
  <c r="L693" i="1" s="1"/>
  <c r="K693" i="1"/>
  <c r="E626" i="1"/>
  <c r="E663" i="1"/>
  <c r="E609" i="1"/>
  <c r="H413" i="1"/>
  <c r="L413" i="1" s="1"/>
  <c r="K413" i="1"/>
  <c r="E649" i="1"/>
  <c r="E656" i="1"/>
  <c r="E723" i="1"/>
  <c r="E490" i="1"/>
  <c r="AG301" i="1"/>
  <c r="E608" i="1"/>
  <c r="H405" i="1"/>
  <c r="L405" i="1" s="1"/>
  <c r="K405" i="1"/>
  <c r="E669" i="1"/>
  <c r="H434" i="1"/>
  <c r="L434" i="1" s="1"/>
  <c r="K434" i="1"/>
  <c r="E720" i="1"/>
  <c r="E708" i="1"/>
  <c r="E570" i="1"/>
  <c r="E571" i="1"/>
  <c r="H881" i="1"/>
  <c r="K881" i="1"/>
  <c r="H431" i="1"/>
  <c r="L431" i="1" s="1"/>
  <c r="K431" i="1"/>
  <c r="K600" i="1"/>
  <c r="F600" i="1"/>
  <c r="L600" i="1" s="1"/>
  <c r="F645" i="1"/>
  <c r="L645" i="1" s="1"/>
  <c r="K645" i="1"/>
  <c r="E516" i="1"/>
  <c r="E532" i="1"/>
  <c r="F627" i="1"/>
  <c r="L627" i="1" s="1"/>
  <c r="K627" i="1"/>
  <c r="K621" i="1"/>
  <c r="F621" i="1"/>
  <c r="L621" i="1" s="1"/>
  <c r="E556" i="1"/>
  <c r="E655" i="1"/>
  <c r="E692" i="1"/>
  <c r="E514" i="1"/>
  <c r="E558" i="1"/>
  <c r="E687" i="1"/>
  <c r="E502" i="1"/>
  <c r="E651" i="1"/>
  <c r="E508" i="1"/>
  <c r="H416" i="1"/>
  <c r="L416" i="1" s="1"/>
  <c r="K416" i="1"/>
  <c r="H425" i="1"/>
  <c r="L425" i="1" s="1"/>
  <c r="K425" i="1"/>
  <c r="K639" i="1"/>
  <c r="F639" i="1"/>
  <c r="L639" i="1" s="1"/>
  <c r="K559" i="1"/>
  <c r="F559" i="1"/>
  <c r="L559" i="1" s="1"/>
  <c r="E520" i="1"/>
  <c r="F615" i="1"/>
  <c r="L615" i="1" s="1"/>
  <c r="K615" i="1"/>
  <c r="AA17" i="1"/>
  <c r="J751" i="1"/>
  <c r="AA19" i="1"/>
  <c r="J766" i="1"/>
  <c r="AG253" i="1"/>
  <c r="AB15" i="1"/>
  <c r="J891" i="1"/>
  <c r="L891" i="1" s="1"/>
  <c r="K891" i="1"/>
  <c r="AH1363" i="4"/>
  <c r="AF1365" i="4" s="1"/>
  <c r="D1363" i="4"/>
  <c r="K534" i="1"/>
  <c r="F534" i="1"/>
  <c r="L534" i="1" s="1"/>
  <c r="E537" i="1"/>
  <c r="H152" i="1"/>
  <c r="L152" i="1" s="1"/>
  <c r="K152" i="1"/>
  <c r="E523" i="1"/>
  <c r="C1858" i="4"/>
  <c r="B1858" i="4" s="1"/>
  <c r="AD1858" i="4"/>
  <c r="C1860" i="4" s="1"/>
  <c r="E535" i="1"/>
  <c r="E579" i="1"/>
  <c r="C1669" i="4"/>
  <c r="B1707" i="4"/>
  <c r="G56" i="1"/>
  <c r="E583" i="1"/>
  <c r="K706" i="1"/>
  <c r="F706" i="1"/>
  <c r="L706" i="1" s="1"/>
  <c r="J91" i="3"/>
  <c r="F91" i="3" s="1"/>
  <c r="E91" i="3"/>
  <c r="AD1584" i="4"/>
  <c r="AB1588" i="4" s="1"/>
  <c r="C1584" i="4"/>
  <c r="B1584" i="4" s="1"/>
  <c r="D3014" i="4"/>
  <c r="C2109" i="4"/>
  <c r="AD2109" i="4"/>
  <c r="AB2111" i="4" s="1"/>
  <c r="E2098" i="4"/>
  <c r="AL2098" i="4"/>
  <c r="E2100" i="4" s="1"/>
  <c r="E2065" i="4" s="1"/>
  <c r="D2366" i="4"/>
  <c r="AD1057" i="4"/>
  <c r="AB1061" i="4" s="1"/>
  <c r="C1057" i="4"/>
  <c r="C2226" i="4"/>
  <c r="AD2226" i="4"/>
  <c r="AB2228" i="4" s="1"/>
  <c r="I814" i="1"/>
  <c r="J814" i="1" s="1"/>
  <c r="F497" i="1"/>
  <c r="L497" i="1" s="1"/>
  <c r="K497" i="1"/>
  <c r="E471" i="1"/>
  <c r="AH1588" i="4"/>
  <c r="AF1590" i="4" s="1"/>
  <c r="D1588" i="4"/>
  <c r="AD70" i="4"/>
  <c r="AB74" i="4" s="1"/>
  <c r="C70" i="4"/>
  <c r="K642" i="1"/>
  <c r="F642" i="1"/>
  <c r="L642" i="1" s="1"/>
  <c r="E758" i="4"/>
  <c r="AL758" i="4"/>
  <c r="AJ760" i="4" s="1"/>
  <c r="G142" i="1"/>
  <c r="H142" i="1" s="1"/>
  <c r="G189" i="1"/>
  <c r="H189" i="1" s="1"/>
  <c r="E196" i="1"/>
  <c r="E378" i="4"/>
  <c r="AL378" i="4"/>
  <c r="AJ380" i="4" s="1"/>
  <c r="E204" i="1"/>
  <c r="E695" i="1"/>
  <c r="E2414" i="4"/>
  <c r="B2414" i="4" s="1"/>
  <c r="AL2414" i="4"/>
  <c r="E2418" i="4" s="1"/>
  <c r="E2366" i="4" s="1"/>
  <c r="AJ1968" i="4" s="1"/>
  <c r="J1458" i="1"/>
  <c r="K1458" i="1"/>
  <c r="K328" i="1"/>
  <c r="F328" i="1"/>
  <c r="L328" i="1" s="1"/>
  <c r="G61" i="1"/>
  <c r="E611" i="1"/>
  <c r="AD1133" i="4"/>
  <c r="AB1137" i="4" s="1"/>
  <c r="C1133" i="4"/>
  <c r="B1133" i="4" s="1"/>
  <c r="J109" i="3"/>
  <c r="F109" i="3" s="1"/>
  <c r="E109" i="3"/>
  <c r="G63" i="1"/>
  <c r="E1513" i="4"/>
  <c r="AL1513" i="4"/>
  <c r="AJ1515" i="4" s="1"/>
  <c r="E555" i="1"/>
  <c r="J54" i="3"/>
  <c r="E54" i="3"/>
  <c r="I816" i="1"/>
  <c r="J816" i="1" s="1"/>
  <c r="E2150" i="4"/>
  <c r="AL2150" i="4"/>
  <c r="E2152" i="4" s="1"/>
  <c r="E2141" i="4" s="1"/>
  <c r="I868" i="1" s="1"/>
  <c r="J868" i="1" s="1"/>
  <c r="K585" i="1"/>
  <c r="F585" i="1"/>
  <c r="L585" i="1" s="1"/>
  <c r="E683" i="1"/>
  <c r="J43" i="3"/>
  <c r="F43" i="3" s="1"/>
  <c r="E43" i="3"/>
  <c r="J42" i="3"/>
  <c r="F42" i="3" s="1"/>
  <c r="E42" i="3"/>
  <c r="I820" i="1"/>
  <c r="J820" i="1" s="1"/>
  <c r="K718" i="1"/>
  <c r="F718" i="1"/>
  <c r="L718" i="1" s="1"/>
  <c r="L540" i="1"/>
  <c r="F315" i="1"/>
  <c r="L315" i="1" s="1"/>
  <c r="K315" i="1"/>
  <c r="K322" i="1"/>
  <c r="F322" i="1"/>
  <c r="L322" i="1" s="1"/>
  <c r="K548" i="1"/>
  <c r="F548" i="1"/>
  <c r="L548" i="1" s="1"/>
  <c r="C1209" i="4"/>
  <c r="B1209" i="4" s="1"/>
  <c r="AD1209" i="4"/>
  <c r="AB1213" i="4" s="1"/>
  <c r="C2148" i="4"/>
  <c r="B2148" i="4" s="1"/>
  <c r="AD2148" i="4"/>
  <c r="AB2150" i="4" s="1"/>
  <c r="I826" i="1"/>
  <c r="J826" i="1" s="1"/>
  <c r="K530" i="1"/>
  <c r="F530" i="1"/>
  <c r="L530" i="1" s="1"/>
  <c r="AD682" i="4"/>
  <c r="AB684" i="4" s="1"/>
  <c r="C682" i="4"/>
  <c r="L1457" i="1"/>
  <c r="H435" i="1"/>
  <c r="L435" i="1" s="1"/>
  <c r="K435" i="1"/>
  <c r="E731" i="1"/>
  <c r="D3122" i="4"/>
  <c r="H76" i="1"/>
  <c r="L76" i="1" s="1"/>
  <c r="K76" i="1"/>
  <c r="H408" i="1"/>
  <c r="K408" i="1"/>
  <c r="K670" i="1"/>
  <c r="F670" i="1"/>
  <c r="L670" i="1" s="1"/>
  <c r="F323" i="1"/>
  <c r="L323" i="1" s="1"/>
  <c r="K323" i="1"/>
  <c r="J88" i="3"/>
  <c r="E88" i="3"/>
  <c r="K316" i="1"/>
  <c r="F316" i="1"/>
  <c r="E734" i="1"/>
  <c r="F1460" i="1"/>
  <c r="L1459" i="1"/>
  <c r="K494" i="1"/>
  <c r="F494" i="1"/>
  <c r="L494" i="1" s="1"/>
  <c r="G863" i="1"/>
  <c r="H863" i="1" s="1"/>
  <c r="G806" i="1"/>
  <c r="H806" i="1" s="1"/>
  <c r="F880" i="1"/>
  <c r="L880" i="1" s="1"/>
  <c r="K880" i="1"/>
  <c r="K551" i="1"/>
  <c r="F551" i="1"/>
  <c r="L551" i="1" s="1"/>
  <c r="E567" i="1"/>
  <c r="H49" i="1"/>
  <c r="K49" i="1"/>
  <c r="K646" i="1"/>
  <c r="F646" i="1"/>
  <c r="L646" i="1" s="1"/>
  <c r="AH1284" i="4"/>
  <c r="AF1288" i="4" s="1"/>
  <c r="D1284" i="4"/>
  <c r="J893" i="1"/>
  <c r="K893" i="1"/>
  <c r="AD1931" i="4"/>
  <c r="C1933" i="4" s="1"/>
  <c r="C1931" i="4"/>
  <c r="B1931" i="4" s="1"/>
  <c r="K700" i="1"/>
  <c r="F700" i="1"/>
  <c r="L700" i="1" s="1"/>
  <c r="E481" i="1"/>
  <c r="K326" i="1"/>
  <c r="F326" i="1"/>
  <c r="L326" i="1" s="1"/>
  <c r="E704" i="1"/>
  <c r="C3545" i="4"/>
  <c r="B3580" i="4"/>
  <c r="I815" i="1"/>
  <c r="J815" i="1" s="1"/>
  <c r="E1590" i="4"/>
  <c r="AL1590" i="4"/>
  <c r="E1592" i="4" s="1"/>
  <c r="E1519" i="4" s="1"/>
  <c r="I110" i="1" s="1"/>
  <c r="J110" i="1" s="1"/>
  <c r="I813" i="1"/>
  <c r="J813" i="1" s="1"/>
  <c r="B2636" i="4"/>
  <c r="Y2636" i="4"/>
  <c r="K506" i="1"/>
  <c r="F506" i="1"/>
  <c r="L506" i="1" s="1"/>
  <c r="K676" i="1"/>
  <c r="F676" i="1"/>
  <c r="L676" i="1" s="1"/>
  <c r="F554" i="1"/>
  <c r="L554" i="1" s="1"/>
  <c r="K554" i="1"/>
  <c r="F485" i="1"/>
  <c r="L485" i="1" s="1"/>
  <c r="K485" i="1"/>
  <c r="L447" i="1"/>
  <c r="E2900" i="4"/>
  <c r="B2900" i="4" s="1"/>
  <c r="AL2900" i="4"/>
  <c r="E2904" i="4" s="1"/>
  <c r="E2852" i="4" s="1"/>
  <c r="AJ2122" i="4" s="1"/>
  <c r="F886" i="1"/>
  <c r="L886" i="1" s="1"/>
  <c r="K886" i="1"/>
  <c r="K518" i="1"/>
  <c r="F518" i="1"/>
  <c r="L518" i="1" s="1"/>
  <c r="F341" i="1"/>
  <c r="L341" i="1" s="1"/>
  <c r="K341" i="1"/>
  <c r="C2061" i="4"/>
  <c r="AD2061" i="4"/>
  <c r="C2063" i="4" s="1"/>
  <c r="E507" i="1"/>
  <c r="F709" i="1"/>
  <c r="L709" i="1" s="1"/>
  <c r="K709" i="1"/>
  <c r="K334" i="1"/>
  <c r="F334" i="1"/>
  <c r="L334" i="1" s="1"/>
  <c r="J76" i="3"/>
  <c r="F76" i="3" s="1"/>
  <c r="E76" i="3"/>
  <c r="G70" i="1"/>
  <c r="AD1509" i="4"/>
  <c r="AB1513" i="4" s="1"/>
  <c r="C1509" i="4"/>
  <c r="E682" i="4"/>
  <c r="AL682" i="4"/>
  <c r="AJ684" i="4" s="1"/>
  <c r="L444" i="1"/>
  <c r="Z21" i="1"/>
  <c r="H439" i="1"/>
  <c r="K439" i="1"/>
  <c r="AD1955" i="4"/>
  <c r="AB1957" i="4" s="1"/>
  <c r="C1955" i="4"/>
  <c r="B1955" i="4" s="1"/>
  <c r="C1434" i="4"/>
  <c r="B1434" i="4" s="1"/>
  <c r="AD1434" i="4"/>
  <c r="AB1438" i="4" s="1"/>
  <c r="K628" i="1"/>
  <c r="F628" i="1"/>
  <c r="L628" i="1" s="1"/>
  <c r="E477" i="1"/>
  <c r="H402" i="1"/>
  <c r="L402" i="1" s="1"/>
  <c r="K402" i="1"/>
  <c r="H154" i="1"/>
  <c r="L154" i="1" s="1"/>
  <c r="K154" i="1"/>
  <c r="H212" i="3"/>
  <c r="F215" i="3"/>
  <c r="D2798" i="4"/>
  <c r="K310" i="1"/>
  <c r="F310" i="1"/>
  <c r="L310" i="1" s="1"/>
  <c r="F303" i="1"/>
  <c r="L303" i="1" s="1"/>
  <c r="K303" i="1"/>
  <c r="AD2098" i="4"/>
  <c r="C2100" i="4" s="1"/>
  <c r="C2098" i="4"/>
  <c r="K664" i="1"/>
  <c r="F664" i="1"/>
  <c r="L664" i="1" s="1"/>
  <c r="I824" i="1"/>
  <c r="J824" i="1" s="1"/>
  <c r="E3062" i="4"/>
  <c r="B3062" i="4" s="1"/>
  <c r="AL3062" i="4"/>
  <c r="E3066" i="4" s="1"/>
  <c r="E3014" i="4" s="1"/>
  <c r="AJ2161" i="4" s="1"/>
  <c r="K488" i="1"/>
  <c r="F488" i="1"/>
  <c r="L488" i="1" s="1"/>
  <c r="K612" i="1"/>
  <c r="F612" i="1"/>
  <c r="L612" i="1" s="1"/>
  <c r="F317" i="1"/>
  <c r="L317" i="1" s="1"/>
  <c r="K317" i="1"/>
  <c r="E2792" i="4"/>
  <c r="B2792" i="4" s="1"/>
  <c r="AL2792" i="4"/>
  <c r="E2796" i="4" s="1"/>
  <c r="H835" i="1"/>
  <c r="H242" i="3"/>
  <c r="F245" i="3"/>
  <c r="E543" i="1"/>
  <c r="E511" i="1"/>
  <c r="K346" i="1"/>
  <c r="F346" i="1"/>
  <c r="K318" i="1"/>
  <c r="F318" i="1"/>
  <c r="J75" i="3"/>
  <c r="F75" i="3" s="1"/>
  <c r="E75" i="3"/>
  <c r="F493" i="1"/>
  <c r="L493" i="1" s="1"/>
  <c r="K493" i="1"/>
  <c r="E573" i="1"/>
  <c r="H58" i="1"/>
  <c r="L58" i="1" s="1"/>
  <c r="K58" i="1"/>
  <c r="K336" i="1"/>
  <c r="F336" i="1"/>
  <c r="L336" i="1" s="1"/>
  <c r="J77" i="3"/>
  <c r="F77" i="3" s="1"/>
  <c r="E77" i="3"/>
  <c r="J93" i="3"/>
  <c r="F93" i="3" s="1"/>
  <c r="E93" i="3"/>
  <c r="AD3477" i="4"/>
  <c r="C3481" i="4" s="1"/>
  <c r="C3477" i="4"/>
  <c r="B3477" i="4" s="1"/>
  <c r="H75" i="1"/>
  <c r="L75" i="1" s="1"/>
  <c r="K75" i="1"/>
  <c r="AD754" i="4"/>
  <c r="AB758" i="4" s="1"/>
  <c r="C754" i="4"/>
  <c r="B754" i="4" s="1"/>
  <c r="H176" i="3"/>
  <c r="F179" i="3"/>
  <c r="H73" i="1"/>
  <c r="L73" i="1" s="1"/>
  <c r="K73" i="1"/>
  <c r="G52" i="1"/>
  <c r="D985" i="4"/>
  <c r="AH985" i="4"/>
  <c r="AF987" i="4" s="1"/>
  <c r="G53" i="1"/>
  <c r="H432" i="1"/>
  <c r="L432" i="1" s="1"/>
  <c r="K432" i="1"/>
  <c r="K589" i="1"/>
  <c r="F589" i="1"/>
  <c r="L589" i="1" s="1"/>
  <c r="F509" i="1"/>
  <c r="L509" i="1" s="1"/>
  <c r="K509" i="1"/>
  <c r="D70" i="4"/>
  <c r="AH70" i="4"/>
  <c r="AF74" i="4" s="1"/>
  <c r="K604" i="1"/>
  <c r="F604" i="1"/>
  <c r="E480" i="1"/>
  <c r="C602" i="4"/>
  <c r="AD602" i="4"/>
  <c r="AB606" i="4" s="1"/>
  <c r="H148" i="1"/>
  <c r="L148" i="1" s="1"/>
  <c r="K148" i="1"/>
  <c r="J55" i="3"/>
  <c r="F55" i="3" s="1"/>
  <c r="E55" i="3"/>
  <c r="J106" i="3"/>
  <c r="F106" i="3" s="1"/>
  <c r="E106" i="3"/>
  <c r="E505" i="1"/>
  <c r="E3386" i="4"/>
  <c r="B3386" i="4" s="1"/>
  <c r="AL3386" i="4"/>
  <c r="E3390" i="4" s="1"/>
  <c r="E3338" i="4" s="1"/>
  <c r="AJ2239" i="4" s="1"/>
  <c r="C1981" i="4"/>
  <c r="AD1981" i="4"/>
  <c r="AB1983" i="4" s="1"/>
  <c r="I819" i="1"/>
  <c r="J819" i="1" s="1"/>
  <c r="D2228" i="4"/>
  <c r="AH2228" i="4"/>
  <c r="D2230" i="4" s="1"/>
  <c r="D2219" i="4" s="1"/>
  <c r="G874" i="1" s="1"/>
  <c r="H874" i="1" s="1"/>
  <c r="E3224" i="4"/>
  <c r="B3224" i="4" s="1"/>
  <c r="AL3224" i="4"/>
  <c r="E3228" i="4" s="1"/>
  <c r="E3176" i="4" s="1"/>
  <c r="AJ2200" i="4" s="1"/>
  <c r="F900" i="1"/>
  <c r="L900" i="1" s="1"/>
  <c r="K900" i="1"/>
  <c r="K344" i="1"/>
  <c r="F344" i="1"/>
  <c r="L344" i="1" s="1"/>
  <c r="F345" i="1"/>
  <c r="L345" i="1" s="1"/>
  <c r="K345" i="1"/>
  <c r="K624" i="1"/>
  <c r="F624" i="1"/>
  <c r="L624" i="1" s="1"/>
  <c r="F325" i="1"/>
  <c r="L325" i="1" s="1"/>
  <c r="K325" i="1"/>
  <c r="L614" i="1"/>
  <c r="G78" i="1"/>
  <c r="E454" i="4"/>
  <c r="AL454" i="4"/>
  <c r="AJ456" i="4" s="1"/>
  <c r="F331" i="1"/>
  <c r="L331" i="1" s="1"/>
  <c r="K331" i="1"/>
  <c r="K630" i="1"/>
  <c r="F630" i="1"/>
  <c r="L630" i="1" s="1"/>
  <c r="K522" i="1"/>
  <c r="F522" i="1"/>
  <c r="L522" i="1" s="1"/>
  <c r="K595" i="1"/>
  <c r="F595" i="1"/>
  <c r="L595" i="1" s="1"/>
  <c r="K340" i="1"/>
  <c r="F340" i="1"/>
  <c r="L340" i="1" s="1"/>
  <c r="J107" i="3"/>
  <c r="F107" i="3" s="1"/>
  <c r="E107" i="3"/>
  <c r="E2522" i="4"/>
  <c r="B2522" i="4" s="1"/>
  <c r="AL2522" i="4"/>
  <c r="E2526" i="4" s="1"/>
  <c r="E2474" i="4" s="1"/>
  <c r="AJ1994" i="4" s="1"/>
  <c r="G54" i="1"/>
  <c r="E529" i="1"/>
  <c r="AH1509" i="4"/>
  <c r="AF1513" i="4" s="1"/>
  <c r="D1509" i="4"/>
  <c r="AH1983" i="4"/>
  <c r="D1985" i="4" s="1"/>
  <c r="D1974" i="4" s="1"/>
  <c r="G858" i="1" s="1"/>
  <c r="H858" i="1" s="1"/>
  <c r="D1983" i="4"/>
  <c r="G83" i="1"/>
  <c r="D2098" i="4"/>
  <c r="AH2098" i="4"/>
  <c r="D2100" i="4" s="1"/>
  <c r="D2065" i="4" s="1"/>
  <c r="E671" i="1"/>
  <c r="AH836" i="4"/>
  <c r="D838" i="4" s="1"/>
  <c r="D764" i="4" s="1"/>
  <c r="G100" i="1" s="1"/>
  <c r="H100" i="1" s="1"/>
  <c r="D836" i="4"/>
  <c r="F890" i="1"/>
  <c r="L890" i="1" s="1"/>
  <c r="K890" i="1"/>
  <c r="E531" i="1"/>
  <c r="F343" i="1"/>
  <c r="L343" i="1" s="1"/>
  <c r="K343" i="1"/>
  <c r="G144" i="1"/>
  <c r="H144" i="1" s="1"/>
  <c r="G191" i="1"/>
  <c r="H191" i="1" s="1"/>
  <c r="K338" i="1"/>
  <c r="F338" i="1"/>
  <c r="L338" i="1" s="1"/>
  <c r="E641" i="1"/>
  <c r="H418" i="1"/>
  <c r="K418" i="1"/>
  <c r="AD1359" i="4"/>
  <c r="AB1363" i="4" s="1"/>
  <c r="C1359" i="4"/>
  <c r="B1359" i="4" s="1"/>
  <c r="K658" i="1"/>
  <c r="F658" i="1"/>
  <c r="L658" i="1" s="1"/>
  <c r="F337" i="1"/>
  <c r="L337" i="1" s="1"/>
  <c r="K337" i="1"/>
  <c r="C2007" i="4"/>
  <c r="AD2007" i="4"/>
  <c r="AB2009" i="4" s="1"/>
  <c r="E910" i="4"/>
  <c r="AL910" i="4"/>
  <c r="AJ912" i="4" s="1"/>
  <c r="E2468" i="4"/>
  <c r="B2468" i="4" s="1"/>
  <c r="AL2468" i="4"/>
  <c r="E2472" i="4" s="1"/>
  <c r="K320" i="1"/>
  <c r="F320" i="1"/>
  <c r="L320" i="1" s="1"/>
  <c r="J56" i="3"/>
  <c r="F56" i="3" s="1"/>
  <c r="E56" i="3"/>
  <c r="E596" i="1"/>
  <c r="D2852" i="4"/>
  <c r="AD1944" i="4"/>
  <c r="C1946" i="4" s="1"/>
  <c r="C1944" i="4"/>
  <c r="J71" i="3"/>
  <c r="E71" i="3"/>
  <c r="F313" i="1"/>
  <c r="L313" i="1" s="1"/>
  <c r="K313" i="1"/>
  <c r="C2200" i="4"/>
  <c r="AD2200" i="4"/>
  <c r="AB2202" i="4" s="1"/>
  <c r="E549" i="1"/>
  <c r="F173" i="3"/>
  <c r="H170" i="3"/>
  <c r="J105" i="3"/>
  <c r="E105" i="3"/>
  <c r="K470" i="1"/>
  <c r="F470" i="1"/>
  <c r="L470" i="1" s="1"/>
  <c r="J41" i="3"/>
  <c r="F41" i="3" s="1"/>
  <c r="E41" i="3"/>
  <c r="D2150" i="4"/>
  <c r="AH2150" i="4"/>
  <c r="D2152" i="4" s="1"/>
  <c r="D2141" i="4" s="1"/>
  <c r="G868" i="1" s="1"/>
  <c r="H868" i="1" s="1"/>
  <c r="K314" i="1"/>
  <c r="F314" i="1"/>
  <c r="L314" i="1" s="1"/>
  <c r="C1996" i="4"/>
  <c r="AD1996" i="4"/>
  <c r="C1998" i="4" s="1"/>
  <c r="J94" i="3"/>
  <c r="F94" i="3" s="1"/>
  <c r="E94" i="3"/>
  <c r="J128" i="3"/>
  <c r="F128" i="3" s="1"/>
  <c r="E128" i="3"/>
  <c r="E513" i="1"/>
  <c r="K304" i="1"/>
  <c r="F304" i="1"/>
  <c r="L304" i="1" s="1"/>
  <c r="K606" i="1"/>
  <c r="F606" i="1"/>
  <c r="L606" i="1" s="1"/>
  <c r="E200" i="1"/>
  <c r="D3338" i="4"/>
  <c r="G84" i="1"/>
  <c r="E197" i="1"/>
  <c r="E659" i="1"/>
  <c r="E629" i="1"/>
  <c r="H81" i="1"/>
  <c r="L81" i="1" s="1"/>
  <c r="K81" i="1"/>
  <c r="C830" i="4"/>
  <c r="B830" i="4" s="1"/>
  <c r="AD830" i="4"/>
  <c r="AB834" i="4" s="1"/>
  <c r="F335" i="1"/>
  <c r="L335" i="1" s="1"/>
  <c r="K335" i="1"/>
  <c r="E199" i="1"/>
  <c r="H65" i="1"/>
  <c r="L65" i="1" s="1"/>
  <c r="K65" i="1"/>
  <c r="F904" i="1"/>
  <c r="L904" i="1" s="1"/>
  <c r="K904" i="1"/>
  <c r="G50" i="1"/>
  <c r="J123" i="3"/>
  <c r="F123" i="3" s="1"/>
  <c r="E123" i="3"/>
  <c r="J72" i="3"/>
  <c r="F72" i="3" s="1"/>
  <c r="E72" i="3"/>
  <c r="I817" i="1"/>
  <c r="J817" i="1" s="1"/>
  <c r="F191" i="3"/>
  <c r="H188" i="3"/>
  <c r="J57" i="3"/>
  <c r="F57" i="3" s="1"/>
  <c r="E57" i="3"/>
  <c r="J108" i="3"/>
  <c r="F108" i="3" s="1"/>
  <c r="E108" i="3"/>
  <c r="K730" i="1"/>
  <c r="F730" i="1"/>
  <c r="L730" i="1" s="1"/>
  <c r="AD906" i="4"/>
  <c r="AB910" i="4" s="1"/>
  <c r="C906" i="4"/>
  <c r="B906" i="4" s="1"/>
  <c r="I818" i="1"/>
  <c r="J818" i="1" s="1"/>
  <c r="F339" i="1"/>
  <c r="L339" i="1" s="1"/>
  <c r="K339" i="1"/>
  <c r="E701" i="1"/>
  <c r="H146" i="1"/>
  <c r="L146" i="1" s="1"/>
  <c r="K146" i="1"/>
  <c r="F888" i="1"/>
  <c r="L888" i="1" s="1"/>
  <c r="K888" i="1"/>
  <c r="F319" i="1"/>
  <c r="L319" i="1" s="1"/>
  <c r="K319" i="1"/>
  <c r="H57" i="1"/>
  <c r="L57" i="1" s="1"/>
  <c r="K57" i="1"/>
  <c r="F305" i="1"/>
  <c r="L305" i="1" s="1"/>
  <c r="K305" i="1"/>
  <c r="F727" i="1"/>
  <c r="L727" i="1" s="1"/>
  <c r="K727" i="1"/>
  <c r="C1968" i="4"/>
  <c r="AD1968" i="4"/>
  <c r="AB1970" i="4" s="1"/>
  <c r="H79" i="1"/>
  <c r="L79" i="1" s="1"/>
  <c r="K79" i="1"/>
  <c r="H59" i="1"/>
  <c r="L59" i="1" s="1"/>
  <c r="K59" i="1"/>
  <c r="AA16" i="1"/>
  <c r="K332" i="1"/>
  <c r="F332" i="1"/>
  <c r="L332" i="1" s="1"/>
  <c r="J852" i="1"/>
  <c r="H248" i="3"/>
  <c r="F251" i="3"/>
  <c r="AG300" i="1"/>
  <c r="H300" i="1" s="1"/>
  <c r="AD981" i="4"/>
  <c r="AB985" i="4" s="1"/>
  <c r="C981" i="4"/>
  <c r="B981" i="4" s="1"/>
  <c r="G68" i="1"/>
  <c r="E3170" i="4"/>
  <c r="B3170" i="4" s="1"/>
  <c r="AL3170" i="4"/>
  <c r="E3174" i="4" s="1"/>
  <c r="E3122" i="4" s="1"/>
  <c r="AJ2187" i="4" s="1"/>
  <c r="E226" i="4"/>
  <c r="AL226" i="4"/>
  <c r="AJ228" i="4" s="1"/>
  <c r="E501" i="1"/>
  <c r="J73" i="3"/>
  <c r="F73" i="3" s="1"/>
  <c r="E73" i="3"/>
  <c r="E469" i="1"/>
  <c r="K528" i="1"/>
  <c r="F528" i="1"/>
  <c r="L528" i="1" s="1"/>
  <c r="F503" i="1"/>
  <c r="L503" i="1" s="1"/>
  <c r="K503" i="1"/>
  <c r="F209" i="3"/>
  <c r="H206" i="3"/>
  <c r="K636" i="1"/>
  <c r="F636" i="1"/>
  <c r="L636" i="1" s="1"/>
  <c r="AD226" i="4"/>
  <c r="AB228" i="4" s="1"/>
  <c r="C226" i="4"/>
  <c r="C2122" i="4"/>
  <c r="AD2122" i="4"/>
  <c r="AB2124" i="4" s="1"/>
  <c r="K536" i="1"/>
  <c r="F536" i="1"/>
  <c r="L536" i="1" s="1"/>
  <c r="AD2241" i="4"/>
  <c r="C2243" i="4" s="1"/>
  <c r="C2241" i="4"/>
  <c r="J111" i="3"/>
  <c r="F111" i="3" s="1"/>
  <c r="E111" i="3"/>
  <c r="H153" i="1"/>
  <c r="L153" i="1" s="1"/>
  <c r="K153" i="1"/>
  <c r="G71" i="1"/>
  <c r="C2022" i="4"/>
  <c r="B2022" i="4" s="1"/>
  <c r="AD2022" i="4"/>
  <c r="C2024" i="4" s="1"/>
  <c r="E719" i="1"/>
  <c r="I827" i="1"/>
  <c r="J827" i="1" s="1"/>
  <c r="E606" i="4"/>
  <c r="AL606" i="4"/>
  <c r="AJ608" i="4" s="1"/>
  <c r="E205" i="1"/>
  <c r="E561" i="1"/>
  <c r="F333" i="1"/>
  <c r="L333" i="1" s="1"/>
  <c r="K333" i="1"/>
  <c r="H72" i="1"/>
  <c r="L72" i="1" s="1"/>
  <c r="K72" i="1"/>
  <c r="E707" i="1"/>
  <c r="H436" i="1"/>
  <c r="L436" i="1" s="1"/>
  <c r="K436" i="1"/>
  <c r="K694" i="1"/>
  <c r="F694" i="1"/>
  <c r="E689" i="1"/>
  <c r="AD2137" i="4"/>
  <c r="C2139" i="4" s="1"/>
  <c r="C2137" i="4"/>
  <c r="AD526" i="4"/>
  <c r="AB530" i="4" s="1"/>
  <c r="C526" i="4"/>
  <c r="B526" i="4" s="1"/>
  <c r="C1745" i="4"/>
  <c r="B1745" i="4" s="1"/>
  <c r="AD1745" i="4"/>
  <c r="C1747" i="4" s="1"/>
  <c r="F894" i="1"/>
  <c r="L894" i="1" s="1"/>
  <c r="K894" i="1"/>
  <c r="F466" i="1"/>
  <c r="L466" i="1" s="1"/>
  <c r="L465" i="1"/>
  <c r="E647" i="1"/>
  <c r="E3230" i="4"/>
  <c r="B3282" i="4"/>
  <c r="E489" i="1"/>
  <c r="I822" i="1"/>
  <c r="J822" i="1" s="1"/>
  <c r="AD1659" i="4"/>
  <c r="AB1663" i="4" s="1"/>
  <c r="C1659" i="4"/>
  <c r="B1659" i="4" s="1"/>
  <c r="K342" i="1"/>
  <c r="F342" i="1"/>
  <c r="L342" i="1" s="1"/>
  <c r="E475" i="1"/>
  <c r="E665" i="1"/>
  <c r="K563" i="1"/>
  <c r="F563" i="1"/>
  <c r="L563" i="1" s="1"/>
  <c r="K682" i="1"/>
  <c r="F682" i="1"/>
  <c r="L682" i="1" s="1"/>
  <c r="AH530" i="4"/>
  <c r="AF532" i="4" s="1"/>
  <c r="D530" i="4"/>
  <c r="H74" i="1"/>
  <c r="L74" i="1" s="1"/>
  <c r="K74" i="1"/>
  <c r="K474" i="1"/>
  <c r="F474" i="1"/>
  <c r="L474" i="1" s="1"/>
  <c r="F527" i="1"/>
  <c r="L527" i="1" s="1"/>
  <c r="K527" i="1"/>
  <c r="F584" i="1"/>
  <c r="L584" i="1" s="1"/>
  <c r="K584" i="1"/>
  <c r="K330" i="1"/>
  <c r="F330" i="1"/>
  <c r="L330" i="1" s="1"/>
  <c r="H48" i="1"/>
  <c r="L48" i="1" s="1"/>
  <c r="K48" i="1"/>
  <c r="F896" i="1"/>
  <c r="L896" i="1" s="1"/>
  <c r="K896" i="1"/>
  <c r="E192" i="1"/>
  <c r="AD1284" i="4"/>
  <c r="AB1288" i="4" s="1"/>
  <c r="C1284" i="4"/>
  <c r="I825" i="1"/>
  <c r="J825" i="1" s="1"/>
  <c r="E201" i="1"/>
  <c r="K634" i="1"/>
  <c r="F634" i="1"/>
  <c r="F307" i="1"/>
  <c r="L307" i="1" s="1"/>
  <c r="K307" i="1"/>
  <c r="L735" i="1"/>
  <c r="E1061" i="4"/>
  <c r="AL1061" i="4"/>
  <c r="AJ1063" i="4" s="1"/>
  <c r="J92" i="3"/>
  <c r="F92" i="3" s="1"/>
  <c r="E92" i="3"/>
  <c r="J126" i="3"/>
  <c r="F126" i="3" s="1"/>
  <c r="E126" i="3"/>
  <c r="C302" i="4"/>
  <c r="AD302" i="4"/>
  <c r="AB304" i="4" s="1"/>
  <c r="H86" i="1"/>
  <c r="K86" i="1"/>
  <c r="F566" i="1"/>
  <c r="L566" i="1" s="1"/>
  <c r="K566" i="1"/>
  <c r="J60" i="3"/>
  <c r="F60" i="3" s="1"/>
  <c r="E60" i="3"/>
  <c r="C146" i="4"/>
  <c r="B146" i="4" s="1"/>
  <c r="AD146" i="4"/>
  <c r="AB150" i="4" s="1"/>
  <c r="K640" i="1"/>
  <c r="F640" i="1"/>
  <c r="L640" i="1" s="1"/>
  <c r="L644" i="1"/>
  <c r="F560" i="1"/>
  <c r="L560" i="1" s="1"/>
  <c r="K560" i="1"/>
  <c r="E2048" i="4"/>
  <c r="AL2048" i="4"/>
  <c r="E2050" i="4" s="1"/>
  <c r="E2039" i="4" s="1"/>
  <c r="G62" i="1"/>
  <c r="H266" i="3"/>
  <c r="F269" i="3"/>
  <c r="AA15" i="1"/>
  <c r="AG254" i="1"/>
  <c r="AH1057" i="4"/>
  <c r="AF1061" i="4" s="1"/>
  <c r="D1057" i="4"/>
  <c r="AH1139" i="4"/>
  <c r="D1141" i="4" s="1"/>
  <c r="D1067" i="4" s="1"/>
  <c r="G104" i="1" s="1"/>
  <c r="H104" i="1" s="1"/>
  <c r="D1139" i="4"/>
  <c r="AD2215" i="4"/>
  <c r="C2217" i="4" s="1"/>
  <c r="C2215" i="4"/>
  <c r="E193" i="1"/>
  <c r="E547" i="1"/>
  <c r="F586" i="1"/>
  <c r="L586" i="1" s="1"/>
  <c r="K586" i="1"/>
  <c r="K324" i="1"/>
  <c r="F324" i="1"/>
  <c r="L324" i="1" s="1"/>
  <c r="I823" i="1"/>
  <c r="J823" i="1" s="1"/>
  <c r="D2474" i="4"/>
  <c r="J38" i="3"/>
  <c r="E38" i="3"/>
  <c r="G140" i="1"/>
  <c r="H140" i="1" s="1"/>
  <c r="G187" i="1"/>
  <c r="H187" i="1" s="1"/>
  <c r="J125" i="3"/>
  <c r="F125" i="3" s="1"/>
  <c r="E125" i="3"/>
  <c r="J74" i="3"/>
  <c r="F74" i="3" s="1"/>
  <c r="E74" i="3"/>
  <c r="E3284" i="4"/>
  <c r="B3336" i="4"/>
  <c r="F578" i="1"/>
  <c r="L578" i="1" s="1"/>
  <c r="K578" i="1"/>
  <c r="H158" i="1"/>
  <c r="K158" i="1"/>
  <c r="E198" i="1"/>
  <c r="K308" i="1"/>
  <c r="F308" i="1"/>
  <c r="L308" i="1" s="1"/>
  <c r="E495" i="1"/>
  <c r="E1137" i="4"/>
  <c r="AL1137" i="4"/>
  <c r="AJ1139" i="4" s="1"/>
  <c r="E1438" i="4"/>
  <c r="AL1438" i="4"/>
  <c r="AJ1440" i="4" s="1"/>
  <c r="AA57" i="1"/>
  <c r="E194" i="1"/>
  <c r="Y2690" i="4"/>
  <c r="B2690" i="4"/>
  <c r="E623" i="1"/>
  <c r="K306" i="1"/>
  <c r="F306" i="1"/>
  <c r="L306" i="1" s="1"/>
  <c r="H147" i="1"/>
  <c r="L147" i="1" s="1"/>
  <c r="K147" i="1"/>
  <c r="C2174" i="4"/>
  <c r="B2174" i="4" s="1"/>
  <c r="AD2174" i="4"/>
  <c r="AB2176" i="4" s="1"/>
  <c r="E525" i="1"/>
  <c r="I828" i="1"/>
  <c r="J828" i="1" s="1"/>
  <c r="E195" i="1"/>
  <c r="G67" i="1"/>
  <c r="E3440" i="4"/>
  <c r="B3440" i="4" s="1"/>
  <c r="AL3440" i="4"/>
  <c r="E3444" i="4" s="1"/>
  <c r="E3392" i="4" s="1"/>
  <c r="AJ2252" i="4" s="1"/>
  <c r="H194" i="3"/>
  <c r="F197" i="3"/>
  <c r="K688" i="1"/>
  <c r="F688" i="1"/>
  <c r="L688" i="1" s="1"/>
  <c r="K724" i="1"/>
  <c r="F724" i="1"/>
  <c r="L724" i="1" s="1"/>
  <c r="AH253" i="1"/>
  <c r="J253" i="1" s="1"/>
  <c r="D3176" i="4"/>
  <c r="F545" i="1"/>
  <c r="L545" i="1" s="1"/>
  <c r="K545" i="1"/>
  <c r="K312" i="1"/>
  <c r="F312" i="1"/>
  <c r="L312" i="1" s="1"/>
  <c r="F902" i="1"/>
  <c r="L902" i="1" s="1"/>
  <c r="K902" i="1"/>
  <c r="J39" i="3"/>
  <c r="F39" i="3" s="1"/>
  <c r="E39" i="3"/>
  <c r="K476" i="1"/>
  <c r="F476" i="1"/>
  <c r="L476" i="1" s="1"/>
  <c r="B1785" i="4"/>
  <c r="E653" i="1"/>
  <c r="I829" i="1"/>
  <c r="J829" i="1" s="1"/>
  <c r="E2035" i="4"/>
  <c r="AL2035" i="4"/>
  <c r="E2037" i="4" s="1"/>
  <c r="E2026" i="4" s="1"/>
  <c r="H51" i="1"/>
  <c r="L51" i="1" s="1"/>
  <c r="K51" i="1"/>
  <c r="G82" i="1"/>
  <c r="AG160" i="1"/>
  <c r="H47" i="1"/>
  <c r="L47" i="1" s="1"/>
  <c r="K47" i="1"/>
  <c r="F321" i="1"/>
  <c r="L321" i="1" s="1"/>
  <c r="K321" i="1"/>
  <c r="F329" i="1"/>
  <c r="L329" i="1" s="1"/>
  <c r="K329" i="1"/>
  <c r="K610" i="1"/>
  <c r="F610" i="1"/>
  <c r="L610" i="1" s="1"/>
  <c r="AF2059" i="4"/>
  <c r="J127" i="3"/>
  <c r="F127" i="3" s="1"/>
  <c r="E127" i="3"/>
  <c r="L510" i="1"/>
  <c r="F892" i="1"/>
  <c r="L892" i="1" s="1"/>
  <c r="K892" i="1"/>
  <c r="K654" i="1"/>
  <c r="F654" i="1"/>
  <c r="L654" i="1" s="1"/>
  <c r="E2176" i="4"/>
  <c r="AL2176" i="4"/>
  <c r="E2178" i="4" s="1"/>
  <c r="E2167" i="4" s="1"/>
  <c r="I870" i="1" s="1"/>
  <c r="J870" i="1" s="1"/>
  <c r="E203" i="1"/>
  <c r="AD450" i="4"/>
  <c r="AB454" i="4" s="1"/>
  <c r="C450" i="4"/>
  <c r="F233" i="3"/>
  <c r="H230" i="3"/>
  <c r="AH302" i="4"/>
  <c r="AF304" i="4" s="1"/>
  <c r="D302" i="4"/>
  <c r="E517" i="1"/>
  <c r="H150" i="1"/>
  <c r="L150" i="1" s="1"/>
  <c r="K150" i="1"/>
  <c r="D2528" i="4"/>
  <c r="AH374" i="4"/>
  <c r="AF378" i="4" s="1"/>
  <c r="D374" i="4"/>
  <c r="B374" i="4" s="1"/>
  <c r="E483" i="1"/>
  <c r="E2576" i="4"/>
  <c r="B2576" i="4" s="1"/>
  <c r="AL2576" i="4"/>
  <c r="E2580" i="4" s="1"/>
  <c r="E2528" i="4" s="1"/>
  <c r="AJ2007" i="4" s="1"/>
  <c r="G64" i="1"/>
  <c r="K500" i="1"/>
  <c r="F500" i="1"/>
  <c r="L500" i="1" s="1"/>
  <c r="F311" i="1"/>
  <c r="L311" i="1" s="1"/>
  <c r="K311" i="1"/>
  <c r="F263" i="3"/>
  <c r="H260" i="3"/>
  <c r="F733" i="1"/>
  <c r="L733" i="1" s="1"/>
  <c r="K733" i="1"/>
  <c r="E590" i="1"/>
  <c r="E202" i="1"/>
  <c r="G85" i="1"/>
  <c r="J58" i="3"/>
  <c r="F58" i="3" s="1"/>
  <c r="E58" i="3"/>
  <c r="G80" i="1"/>
  <c r="G138" i="1"/>
  <c r="H138" i="1" s="1"/>
  <c r="G185" i="1"/>
  <c r="H185" i="1" s="1"/>
  <c r="H66" i="1"/>
  <c r="L66" i="1" s="1"/>
  <c r="K66" i="1"/>
  <c r="J59" i="3"/>
  <c r="F59" i="3" s="1"/>
  <c r="E59" i="3"/>
  <c r="J110" i="3"/>
  <c r="F110" i="3" s="1"/>
  <c r="E110" i="3"/>
  <c r="E498" i="1"/>
  <c r="J1481" i="1"/>
  <c r="F884" i="1"/>
  <c r="L884" i="1" s="1"/>
  <c r="K884" i="1"/>
  <c r="K486" i="1"/>
  <c r="F486" i="1"/>
  <c r="L486" i="1" s="1"/>
  <c r="E617" i="1"/>
  <c r="H426" i="1"/>
  <c r="L426" i="1" s="1"/>
  <c r="K426" i="1"/>
  <c r="E541" i="1"/>
  <c r="E519" i="1"/>
  <c r="E605" i="1"/>
  <c r="K618" i="1"/>
  <c r="F618" i="1"/>
  <c r="L618" i="1" s="1"/>
  <c r="H55" i="1"/>
  <c r="L55" i="1" s="1"/>
  <c r="K55" i="1"/>
  <c r="F898" i="1"/>
  <c r="K898" i="1"/>
  <c r="C2046" i="4"/>
  <c r="B2046" i="4" s="1"/>
  <c r="AD2046" i="4"/>
  <c r="AB2048" i="4" s="1"/>
  <c r="K652" i="1"/>
  <c r="F652" i="1"/>
  <c r="L652" i="1" s="1"/>
  <c r="K524" i="1"/>
  <c r="F524" i="1"/>
  <c r="L524" i="1" s="1"/>
  <c r="AH1213" i="4"/>
  <c r="AF1215" i="4" s="1"/>
  <c r="D1213" i="4"/>
  <c r="AH2035" i="4"/>
  <c r="D2037" i="4" s="1"/>
  <c r="D2026" i="4" s="1"/>
  <c r="D2035" i="4"/>
  <c r="K542" i="1"/>
  <c r="F542" i="1"/>
  <c r="L542" i="1" s="1"/>
  <c r="K616" i="1"/>
  <c r="F616" i="1"/>
  <c r="L616" i="1" s="1"/>
  <c r="J89" i="3"/>
  <c r="F89" i="3" s="1"/>
  <c r="E89" i="3"/>
  <c r="H224" i="3"/>
  <c r="F227" i="3"/>
  <c r="J40" i="3"/>
  <c r="F40" i="3" s="1"/>
  <c r="E40" i="3"/>
  <c r="H398" i="1"/>
  <c r="L398" i="1" s="1"/>
  <c r="K398" i="1"/>
  <c r="J122" i="3"/>
  <c r="E122" i="3"/>
  <c r="AG394" i="1"/>
  <c r="AH912" i="4"/>
  <c r="D914" i="4" s="1"/>
  <c r="D840" i="4" s="1"/>
  <c r="G101" i="1" s="1"/>
  <c r="H101" i="1" s="1"/>
  <c r="D912" i="4"/>
  <c r="C2187" i="4"/>
  <c r="AD2187" i="4"/>
  <c r="AB2189" i="4" s="1"/>
  <c r="K581" i="1"/>
  <c r="F581" i="1"/>
  <c r="L581" i="1" s="1"/>
  <c r="G77" i="1"/>
  <c r="E1213" i="4"/>
  <c r="AL1213" i="4"/>
  <c r="AJ1215" i="4" s="1"/>
  <c r="F309" i="1"/>
  <c r="L309" i="1" s="1"/>
  <c r="K309" i="1"/>
  <c r="C2033" i="4"/>
  <c r="B2033" i="4" s="1"/>
  <c r="AD2033" i="4"/>
  <c r="AB2035" i="4" s="1"/>
  <c r="K622" i="1"/>
  <c r="F622" i="1"/>
  <c r="L622" i="1" s="1"/>
  <c r="E725" i="1"/>
  <c r="F572" i="1"/>
  <c r="L572" i="1" s="1"/>
  <c r="K572" i="1"/>
  <c r="F327" i="1"/>
  <c r="L327" i="1" s="1"/>
  <c r="K327" i="1"/>
  <c r="E2846" i="4"/>
  <c r="B2846" i="4" s="1"/>
  <c r="AL2846" i="4"/>
  <c r="E2850" i="4" s="1"/>
  <c r="E2798" i="4" s="1"/>
  <c r="AJ2109" i="4" s="1"/>
  <c r="E1288" i="4"/>
  <c r="AL1288" i="4"/>
  <c r="AJ1290" i="4" s="1"/>
  <c r="E635" i="1"/>
  <c r="G69" i="1"/>
  <c r="D3392" i="4"/>
  <c r="C2161" i="4"/>
  <c r="AD2161" i="4"/>
  <c r="AB2163" i="4" s="1"/>
  <c r="K512" i="1"/>
  <c r="F512" i="1"/>
  <c r="L512" i="1" s="1"/>
  <c r="E677" i="1"/>
  <c r="F882" i="1"/>
  <c r="L882" i="1" s="1"/>
  <c r="K882" i="1"/>
  <c r="J90" i="3"/>
  <c r="F90" i="3" s="1"/>
  <c r="E90" i="3"/>
  <c r="J124" i="3"/>
  <c r="F124" i="3" s="1"/>
  <c r="E124" i="3"/>
  <c r="E713" i="1"/>
  <c r="K482" i="1"/>
  <c r="F482" i="1"/>
  <c r="L482" i="1" s="1"/>
  <c r="F685" i="1"/>
  <c r="L685" i="1" s="1"/>
  <c r="K685" i="1"/>
  <c r="C2252" i="4"/>
  <c r="AD2252" i="4"/>
  <c r="AB2254" i="4" s="1"/>
  <c r="C1749" i="4"/>
  <c r="B1787" i="4"/>
  <c r="K712" i="1"/>
  <c r="F712" i="1"/>
  <c r="L712" i="1" s="1"/>
  <c r="H149" i="1"/>
  <c r="L149" i="1" s="1"/>
  <c r="K149" i="1"/>
  <c r="F515" i="1"/>
  <c r="L515" i="1" s="1"/>
  <c r="K515" i="1"/>
  <c r="Y2960" i="4" l="1"/>
  <c r="B602" i="4"/>
  <c r="E1363" i="4"/>
  <c r="AL1363" i="4"/>
  <c r="AJ1365" i="4" s="1"/>
  <c r="J31" i="3"/>
  <c r="B450" i="4"/>
  <c r="B3068" i="4"/>
  <c r="AH760" i="4"/>
  <c r="D762" i="4" s="1"/>
  <c r="D688" i="4" s="1"/>
  <c r="G99" i="1" s="1"/>
  <c r="H99" i="1" s="1"/>
  <c r="B3228" i="4"/>
  <c r="D758" i="4"/>
  <c r="D454" i="4"/>
  <c r="AH454" i="4"/>
  <c r="AF456" i="4" s="1"/>
  <c r="Y2312" i="4"/>
  <c r="B2312" i="4"/>
  <c r="AH606" i="4"/>
  <c r="AF608" i="4" s="1"/>
  <c r="D606" i="4"/>
  <c r="AH150" i="4"/>
  <c r="AF152" i="4" s="1"/>
  <c r="D150" i="4"/>
  <c r="I16" i="23"/>
  <c r="J16" i="23" s="1"/>
  <c r="I16" i="20"/>
  <c r="J16" i="20" s="1"/>
  <c r="I25" i="22"/>
  <c r="J25" i="22" s="1"/>
  <c r="I25" i="18"/>
  <c r="J25" i="18" s="1"/>
  <c r="I798" i="1"/>
  <c r="J798" i="1" s="1"/>
  <c r="D2020" i="4"/>
  <c r="AH2020" i="4"/>
  <c r="AF2022" i="4" s="1"/>
  <c r="E2020" i="4"/>
  <c r="AL2020" i="4"/>
  <c r="AJ2022" i="4" s="1"/>
  <c r="D1665" i="4"/>
  <c r="AL532" i="4"/>
  <c r="E534" i="4" s="1"/>
  <c r="E460" i="4" s="1"/>
  <c r="I96" i="1" s="1"/>
  <c r="J96" i="1" s="1"/>
  <c r="I16" i="24"/>
  <c r="J16" i="24" s="1"/>
  <c r="B3444" i="4"/>
  <c r="Y3392" i="4" s="1"/>
  <c r="B2634" i="4"/>
  <c r="Y2582" i="4" s="1"/>
  <c r="I11" i="18"/>
  <c r="J11" i="18" s="1"/>
  <c r="I11" i="22"/>
  <c r="J11" i="22" s="1"/>
  <c r="I784" i="1"/>
  <c r="J784" i="1" s="1"/>
  <c r="I12" i="24"/>
  <c r="J12" i="24" s="1"/>
  <c r="I19" i="22"/>
  <c r="J19" i="22" s="1"/>
  <c r="I12" i="19"/>
  <c r="J12" i="19" s="1"/>
  <c r="I792" i="1"/>
  <c r="J792" i="1" s="1"/>
  <c r="I23" i="22"/>
  <c r="J23" i="22" s="1"/>
  <c r="I15" i="18"/>
  <c r="J15" i="18" s="1"/>
  <c r="I14" i="24"/>
  <c r="J14" i="24" s="1"/>
  <c r="I17" i="18"/>
  <c r="J17" i="18" s="1"/>
  <c r="I21" i="18"/>
  <c r="J21" i="18" s="1"/>
  <c r="I14" i="23"/>
  <c r="J14" i="23" s="1"/>
  <c r="I794" i="1"/>
  <c r="J794" i="1" s="1"/>
  <c r="I796" i="1"/>
  <c r="J796" i="1" s="1"/>
  <c r="I14" i="20"/>
  <c r="J14" i="20" s="1"/>
  <c r="I14" i="19"/>
  <c r="J14" i="19" s="1"/>
  <c r="I24" i="22"/>
  <c r="J24" i="22" s="1"/>
  <c r="I24" i="18"/>
  <c r="J24" i="18" s="1"/>
  <c r="I797" i="1"/>
  <c r="J797" i="1" s="1"/>
  <c r="I15" i="23"/>
  <c r="J15" i="23" s="1"/>
  <c r="I13" i="20"/>
  <c r="J13" i="20" s="1"/>
  <c r="I15" i="24"/>
  <c r="J15" i="24" s="1"/>
  <c r="I12" i="23"/>
  <c r="J12" i="23" s="1"/>
  <c r="I12" i="20"/>
  <c r="J12" i="20" s="1"/>
  <c r="I15" i="20"/>
  <c r="J15" i="20" s="1"/>
  <c r="I13" i="24"/>
  <c r="J13" i="24" s="1"/>
  <c r="I15" i="22"/>
  <c r="J15" i="22" s="1"/>
  <c r="I788" i="1"/>
  <c r="J788" i="1" s="1"/>
  <c r="I22" i="18"/>
  <c r="J22" i="18" s="1"/>
  <c r="I13" i="23"/>
  <c r="J13" i="23" s="1"/>
  <c r="I795" i="1"/>
  <c r="J795" i="1" s="1"/>
  <c r="I18" i="18"/>
  <c r="J18" i="18" s="1"/>
  <c r="I18" i="22"/>
  <c r="J18" i="22" s="1"/>
  <c r="I14" i="18"/>
  <c r="J14" i="18" s="1"/>
  <c r="I14" i="22"/>
  <c r="J14" i="22" s="1"/>
  <c r="I790" i="1"/>
  <c r="J790" i="1" s="1"/>
  <c r="I17" i="22"/>
  <c r="J17" i="22" s="1"/>
  <c r="I13" i="22"/>
  <c r="J13" i="22" s="1"/>
  <c r="I786" i="1"/>
  <c r="J786" i="1" s="1"/>
  <c r="I13" i="18"/>
  <c r="J13" i="18" s="1"/>
  <c r="I22" i="22"/>
  <c r="J22" i="22" s="1"/>
  <c r="AL304" i="4"/>
  <c r="E306" i="4" s="1"/>
  <c r="E232" i="4" s="1"/>
  <c r="I93" i="1" s="1"/>
  <c r="J93" i="1" s="1"/>
  <c r="E152" i="4"/>
  <c r="D1440" i="4"/>
  <c r="AL836" i="4"/>
  <c r="E838" i="4" s="1"/>
  <c r="E764" i="4" s="1"/>
  <c r="I100" i="1" s="1"/>
  <c r="J100" i="1" s="1"/>
  <c r="AL76" i="4"/>
  <c r="E78" i="4" s="1"/>
  <c r="E4" i="4" s="1"/>
  <c r="I90" i="1" s="1"/>
  <c r="J90" i="1" s="1"/>
  <c r="AB10" i="1" s="1"/>
  <c r="E987" i="4"/>
  <c r="C378" i="4"/>
  <c r="AH684" i="4"/>
  <c r="D686" i="4" s="1"/>
  <c r="D612" i="4" s="1"/>
  <c r="G98" i="1" s="1"/>
  <c r="H98" i="1" s="1"/>
  <c r="D684" i="4"/>
  <c r="D228" i="4"/>
  <c r="AH228" i="4"/>
  <c r="D230" i="4" s="1"/>
  <c r="D156" i="4" s="1"/>
  <c r="G92" i="1" s="1"/>
  <c r="H92" i="1" s="1"/>
  <c r="AL1665" i="4"/>
  <c r="E1667" i="4" s="1"/>
  <c r="E1594" i="4" s="1"/>
  <c r="I111" i="1" s="1"/>
  <c r="J111" i="1" s="1"/>
  <c r="E1665" i="4"/>
  <c r="K60" i="1"/>
  <c r="K577" i="1"/>
  <c r="F577" i="1"/>
  <c r="L577" i="1" s="1"/>
  <c r="H394" i="1"/>
  <c r="F690" i="1"/>
  <c r="L690" i="1" s="1"/>
  <c r="K690" i="1"/>
  <c r="E1942" i="4"/>
  <c r="AL1942" i="4"/>
  <c r="AJ1944" i="4" s="1"/>
  <c r="B2310" i="4"/>
  <c r="B2904" i="4"/>
  <c r="B2852" i="4" s="1"/>
  <c r="B2958" i="4"/>
  <c r="AF1942" i="4"/>
  <c r="K526" i="1"/>
  <c r="F526" i="1"/>
  <c r="L526" i="1" s="1"/>
  <c r="K722" i="1"/>
  <c r="F722" i="1"/>
  <c r="L722" i="1" s="1"/>
  <c r="E2135" i="4"/>
  <c r="AL2135" i="4"/>
  <c r="AJ2137" i="4" s="1"/>
  <c r="J905" i="1"/>
  <c r="L905" i="1" s="1"/>
  <c r="K905" i="1"/>
  <c r="AF2135" i="4"/>
  <c r="K484" i="1"/>
  <c r="F484" i="1"/>
  <c r="L484" i="1" s="1"/>
  <c r="K705" i="1"/>
  <c r="F705" i="1"/>
  <c r="L705" i="1" s="1"/>
  <c r="K599" i="1"/>
  <c r="F599" i="1"/>
  <c r="L599" i="1" s="1"/>
  <c r="K708" i="1"/>
  <c r="F708" i="1"/>
  <c r="L708" i="1" s="1"/>
  <c r="K576" i="1"/>
  <c r="F576" i="1"/>
  <c r="L576" i="1" s="1"/>
  <c r="B70" i="4"/>
  <c r="F502" i="1"/>
  <c r="L502" i="1" s="1"/>
  <c r="K502" i="1"/>
  <c r="K514" i="1"/>
  <c r="F514" i="1"/>
  <c r="L514" i="1" s="1"/>
  <c r="F655" i="1"/>
  <c r="L655" i="1" s="1"/>
  <c r="K655" i="1"/>
  <c r="H906" i="1"/>
  <c r="L881" i="1"/>
  <c r="F669" i="1"/>
  <c r="L669" i="1" s="1"/>
  <c r="K669" i="1"/>
  <c r="F656" i="1"/>
  <c r="L656" i="1" s="1"/>
  <c r="K656" i="1"/>
  <c r="F609" i="1"/>
  <c r="L609" i="1" s="1"/>
  <c r="K609" i="1"/>
  <c r="F717" i="1"/>
  <c r="L717" i="1" s="1"/>
  <c r="K717" i="1"/>
  <c r="F714" i="1"/>
  <c r="L714" i="1" s="1"/>
  <c r="K714" i="1"/>
  <c r="F678" i="1"/>
  <c r="L678" i="1" s="1"/>
  <c r="K678" i="1"/>
  <c r="F508" i="1"/>
  <c r="L508" i="1" s="1"/>
  <c r="K508" i="1"/>
  <c r="F556" i="1"/>
  <c r="L556" i="1" s="1"/>
  <c r="K556" i="1"/>
  <c r="F532" i="1"/>
  <c r="L532" i="1" s="1"/>
  <c r="K532" i="1"/>
  <c r="K728" i="1"/>
  <c r="F728" i="1"/>
  <c r="L728" i="1" s="1"/>
  <c r="B2418" i="4"/>
  <c r="Y2366" i="4" s="1"/>
  <c r="F687" i="1"/>
  <c r="L687" i="1" s="1"/>
  <c r="K687" i="1"/>
  <c r="K571" i="1"/>
  <c r="F571" i="1"/>
  <c r="L571" i="1" s="1"/>
  <c r="K720" i="1"/>
  <c r="F720" i="1"/>
  <c r="L720" i="1" s="1"/>
  <c r="K490" i="1"/>
  <c r="F490" i="1"/>
  <c r="L490" i="1" s="1"/>
  <c r="F649" i="1"/>
  <c r="L649" i="1" s="1"/>
  <c r="K649" i="1"/>
  <c r="F663" i="1"/>
  <c r="L663" i="1" s="1"/>
  <c r="K663" i="1"/>
  <c r="K666" i="1"/>
  <c r="F666" i="1"/>
  <c r="L666" i="1" s="1"/>
  <c r="F479" i="1"/>
  <c r="L479" i="1" s="1"/>
  <c r="K479" i="1"/>
  <c r="F553" i="1"/>
  <c r="L553" i="1" s="1"/>
  <c r="K553" i="1"/>
  <c r="F729" i="1"/>
  <c r="L729" i="1" s="1"/>
  <c r="K729" i="1"/>
  <c r="B1284" i="4"/>
  <c r="F651" i="1"/>
  <c r="L651" i="1" s="1"/>
  <c r="K651" i="1"/>
  <c r="K558" i="1"/>
  <c r="F558" i="1"/>
  <c r="L558" i="1" s="1"/>
  <c r="K692" i="1"/>
  <c r="F692" i="1"/>
  <c r="L692" i="1" s="1"/>
  <c r="K570" i="1"/>
  <c r="F570" i="1"/>
  <c r="L570" i="1" s="1"/>
  <c r="K608" i="1"/>
  <c r="F608" i="1"/>
  <c r="L608" i="1" s="1"/>
  <c r="F675" i="1"/>
  <c r="L675" i="1" s="1"/>
  <c r="K675" i="1"/>
  <c r="F732" i="1"/>
  <c r="L732" i="1" s="1"/>
  <c r="K732" i="1"/>
  <c r="F520" i="1"/>
  <c r="L520" i="1" s="1"/>
  <c r="K520" i="1"/>
  <c r="F516" i="1"/>
  <c r="L516" i="1" s="1"/>
  <c r="K516" i="1"/>
  <c r="F723" i="1"/>
  <c r="L723" i="1" s="1"/>
  <c r="K723" i="1"/>
  <c r="F626" i="1"/>
  <c r="L626" i="1" s="1"/>
  <c r="K626" i="1"/>
  <c r="F564" i="1"/>
  <c r="L564" i="1" s="1"/>
  <c r="K564" i="1"/>
  <c r="K681" i="1"/>
  <c r="F681" i="1"/>
  <c r="L681" i="1" s="1"/>
  <c r="F906" i="1"/>
  <c r="H253" i="1"/>
  <c r="AD2189" i="4"/>
  <c r="C2191" i="4" s="1"/>
  <c r="C2189" i="4"/>
  <c r="F483" i="1"/>
  <c r="L483" i="1" s="1"/>
  <c r="K483" i="1"/>
  <c r="AD150" i="4"/>
  <c r="AB152" i="4" s="1"/>
  <c r="C150" i="4"/>
  <c r="AJ2213" i="4"/>
  <c r="AD228" i="4"/>
  <c r="C230" i="4" s="1"/>
  <c r="C228" i="4"/>
  <c r="F529" i="1"/>
  <c r="L529" i="1" s="1"/>
  <c r="K529" i="1"/>
  <c r="AD606" i="4"/>
  <c r="AB608" i="4" s="1"/>
  <c r="C606" i="4"/>
  <c r="E749" i="1"/>
  <c r="E129" i="1"/>
  <c r="AD1438" i="4"/>
  <c r="AB1440" i="4" s="1"/>
  <c r="C1438" i="4"/>
  <c r="B1438" i="4" s="1"/>
  <c r="F731" i="1"/>
  <c r="L731" i="1" s="1"/>
  <c r="K731" i="1"/>
  <c r="E127" i="1"/>
  <c r="L1458" i="1"/>
  <c r="AB56" i="1"/>
  <c r="J1460" i="1"/>
  <c r="L1460" i="1" s="1"/>
  <c r="E765" i="1"/>
  <c r="H69" i="1"/>
  <c r="L69" i="1" s="1"/>
  <c r="K69" i="1"/>
  <c r="F635" i="1"/>
  <c r="L635" i="1" s="1"/>
  <c r="K635" i="1"/>
  <c r="H77" i="1"/>
  <c r="L77" i="1" s="1"/>
  <c r="K77" i="1"/>
  <c r="K498" i="1"/>
  <c r="F498" i="1"/>
  <c r="L498" i="1" s="1"/>
  <c r="H80" i="1"/>
  <c r="L80" i="1" s="1"/>
  <c r="K80" i="1"/>
  <c r="F202" i="1"/>
  <c r="H64" i="1"/>
  <c r="L64" i="1" s="1"/>
  <c r="K64" i="1"/>
  <c r="E761" i="1"/>
  <c r="AF2200" i="4"/>
  <c r="F198" i="1"/>
  <c r="L198" i="1" s="1"/>
  <c r="K198" i="1"/>
  <c r="C2206" i="4"/>
  <c r="H62" i="1"/>
  <c r="L62" i="1" s="1"/>
  <c r="K62" i="1"/>
  <c r="L86" i="1"/>
  <c r="C1709" i="4"/>
  <c r="B1747" i="4"/>
  <c r="F719" i="1"/>
  <c r="L719" i="1" s="1"/>
  <c r="K719" i="1"/>
  <c r="AD2124" i="4"/>
  <c r="C2126" i="4" s="1"/>
  <c r="C2124" i="4"/>
  <c r="F501" i="1"/>
  <c r="L501" i="1" s="1"/>
  <c r="K501" i="1"/>
  <c r="F199" i="1"/>
  <c r="F659" i="1"/>
  <c r="L659" i="1" s="1"/>
  <c r="K659" i="1"/>
  <c r="E2420" i="4"/>
  <c r="B2472" i="4"/>
  <c r="G910" i="1"/>
  <c r="H910" i="1" s="1"/>
  <c r="G918" i="1"/>
  <c r="H918" i="1" s="1"/>
  <c r="G924" i="1"/>
  <c r="H924" i="1" s="1"/>
  <c r="G930" i="1"/>
  <c r="H930" i="1" s="1"/>
  <c r="G936" i="1"/>
  <c r="H936" i="1" s="1"/>
  <c r="G942" i="1"/>
  <c r="H942" i="1" s="1"/>
  <c r="G912" i="1"/>
  <c r="H912" i="1" s="1"/>
  <c r="G919" i="1"/>
  <c r="H919" i="1" s="1"/>
  <c r="G925" i="1"/>
  <c r="H925" i="1" s="1"/>
  <c r="G931" i="1"/>
  <c r="H931" i="1" s="1"/>
  <c r="G937" i="1"/>
  <c r="H937" i="1" s="1"/>
  <c r="G943" i="1"/>
  <c r="H943" i="1" s="1"/>
  <c r="G914" i="1"/>
  <c r="H914" i="1" s="1"/>
  <c r="G920" i="1"/>
  <c r="H920" i="1" s="1"/>
  <c r="G926" i="1"/>
  <c r="H926" i="1" s="1"/>
  <c r="G932" i="1"/>
  <c r="H932" i="1" s="1"/>
  <c r="G938" i="1"/>
  <c r="H938" i="1" s="1"/>
  <c r="G944" i="1"/>
  <c r="H944" i="1" s="1"/>
  <c r="G911" i="1"/>
  <c r="H911" i="1" s="1"/>
  <c r="G915" i="1"/>
  <c r="H915" i="1" s="1"/>
  <c r="G921" i="1"/>
  <c r="H921" i="1" s="1"/>
  <c r="G927" i="1"/>
  <c r="H927" i="1" s="1"/>
  <c r="G933" i="1"/>
  <c r="H933" i="1" s="1"/>
  <c r="G939" i="1"/>
  <c r="H939" i="1" s="1"/>
  <c r="G913" i="1"/>
  <c r="H913" i="1" s="1"/>
  <c r="G916" i="1"/>
  <c r="H916" i="1" s="1"/>
  <c r="G922" i="1"/>
  <c r="H922" i="1" s="1"/>
  <c r="G928" i="1"/>
  <c r="H928" i="1" s="1"/>
  <c r="G934" i="1"/>
  <c r="H934" i="1" s="1"/>
  <c r="G940" i="1"/>
  <c r="H940" i="1" s="1"/>
  <c r="G929" i="1"/>
  <c r="H929" i="1" s="1"/>
  <c r="G923" i="1"/>
  <c r="H923" i="1" s="1"/>
  <c r="G909" i="1"/>
  <c r="H909" i="1" s="1"/>
  <c r="G935" i="1"/>
  <c r="H935" i="1" s="1"/>
  <c r="G941" i="1"/>
  <c r="H941" i="1" s="1"/>
  <c r="G917" i="1"/>
  <c r="H917" i="1" s="1"/>
  <c r="E126" i="1"/>
  <c r="H53" i="1"/>
  <c r="L53" i="1" s="1"/>
  <c r="K53" i="1"/>
  <c r="F176" i="3"/>
  <c r="F25" i="2"/>
  <c r="C758" i="4"/>
  <c r="B758" i="4" s="1"/>
  <c r="AD758" i="4"/>
  <c r="AB760" i="4" s="1"/>
  <c r="F511" i="1"/>
  <c r="K511" i="1"/>
  <c r="F36" i="2"/>
  <c r="F242" i="3"/>
  <c r="F212" i="3"/>
  <c r="F31" i="2"/>
  <c r="B1509" i="4"/>
  <c r="C2052" i="4"/>
  <c r="E121" i="1"/>
  <c r="B1933" i="4"/>
  <c r="C1862" i="4"/>
  <c r="K567" i="1"/>
  <c r="F567" i="1"/>
  <c r="B3174" i="4"/>
  <c r="E1968" i="4"/>
  <c r="AL1968" i="4"/>
  <c r="AJ1970" i="4" s="1"/>
  <c r="K204" i="1"/>
  <c r="F204" i="1"/>
  <c r="L204" i="1" s="1"/>
  <c r="C74" i="4"/>
  <c r="AD74" i="4"/>
  <c r="AB76" i="4" s="1"/>
  <c r="AD2111" i="4"/>
  <c r="C2113" i="4" s="1"/>
  <c r="C2111" i="4"/>
  <c r="K579" i="1"/>
  <c r="F579" i="1"/>
  <c r="L579" i="1" s="1"/>
  <c r="F523" i="1"/>
  <c r="L523" i="1" s="1"/>
  <c r="K523" i="1"/>
  <c r="F537" i="1"/>
  <c r="K537" i="1"/>
  <c r="E123" i="1"/>
  <c r="F617" i="1"/>
  <c r="L617" i="1" s="1"/>
  <c r="K617" i="1"/>
  <c r="F203" i="1"/>
  <c r="L203" i="1" s="1"/>
  <c r="K203" i="1"/>
  <c r="E745" i="1"/>
  <c r="E1440" i="4"/>
  <c r="AL1440" i="4"/>
  <c r="E1442" i="4" s="1"/>
  <c r="E1369" i="4" s="1"/>
  <c r="I108" i="1" s="1"/>
  <c r="J108" i="1" s="1"/>
  <c r="F192" i="1"/>
  <c r="L192" i="1" s="1"/>
  <c r="K192" i="1"/>
  <c r="E744" i="1"/>
  <c r="F671" i="1"/>
  <c r="K671" i="1"/>
  <c r="E764" i="1"/>
  <c r="E2239" i="4"/>
  <c r="AL2239" i="4"/>
  <c r="AJ2241" i="4" s="1"/>
  <c r="H52" i="1"/>
  <c r="K52" i="1"/>
  <c r="C1957" i="4"/>
  <c r="B1957" i="4" s="1"/>
  <c r="AD1957" i="4"/>
  <c r="C1959" i="4" s="1"/>
  <c r="H70" i="1"/>
  <c r="L70" i="1" s="1"/>
  <c r="K70" i="1"/>
  <c r="F507" i="1"/>
  <c r="K507" i="1"/>
  <c r="AD684" i="4"/>
  <c r="C686" i="4" s="1"/>
  <c r="C684" i="4"/>
  <c r="J48" i="3"/>
  <c r="F54" i="3"/>
  <c r="H63" i="1"/>
  <c r="L63" i="1" s="1"/>
  <c r="K63" i="1"/>
  <c r="F471" i="1"/>
  <c r="L471" i="1" s="1"/>
  <c r="K471" i="1"/>
  <c r="AF1968" i="4"/>
  <c r="Y1749" i="4"/>
  <c r="B1749" i="4"/>
  <c r="AF2252" i="4"/>
  <c r="E1290" i="4"/>
  <c r="AL1290" i="4"/>
  <c r="E1292" i="4" s="1"/>
  <c r="E1219" i="4" s="1"/>
  <c r="I106" i="1" s="1"/>
  <c r="J106" i="1" s="1"/>
  <c r="C2035" i="4"/>
  <c r="B2035" i="4" s="1"/>
  <c r="AD2035" i="4"/>
  <c r="C2037" i="4" s="1"/>
  <c r="J116" i="3"/>
  <c r="F122" i="3"/>
  <c r="F224" i="3"/>
  <c r="F33" i="2"/>
  <c r="E748" i="1"/>
  <c r="E2252" i="4"/>
  <c r="AL2252" i="4"/>
  <c r="AJ2254" i="4" s="1"/>
  <c r="H67" i="1"/>
  <c r="L67" i="1" s="1"/>
  <c r="K67" i="1"/>
  <c r="F525" i="1"/>
  <c r="L525" i="1" s="1"/>
  <c r="K525" i="1"/>
  <c r="E1139" i="4"/>
  <c r="AL1139" i="4"/>
  <c r="E1141" i="4" s="1"/>
  <c r="E1067" i="4" s="1"/>
  <c r="I104" i="1" s="1"/>
  <c r="J104" i="1" s="1"/>
  <c r="B3284" i="4"/>
  <c r="Y3284" i="4"/>
  <c r="B2526" i="4"/>
  <c r="E762" i="1"/>
  <c r="I863" i="1"/>
  <c r="J863" i="1" s="1"/>
  <c r="I806" i="1"/>
  <c r="J806" i="1" s="1"/>
  <c r="D532" i="4"/>
  <c r="AH532" i="4"/>
  <c r="D534" i="4" s="1"/>
  <c r="D460" i="4" s="1"/>
  <c r="G96" i="1" s="1"/>
  <c r="H96" i="1" s="1"/>
  <c r="F647" i="1"/>
  <c r="L647" i="1" s="1"/>
  <c r="K647" i="1"/>
  <c r="F689" i="1"/>
  <c r="L689" i="1" s="1"/>
  <c r="K689" i="1"/>
  <c r="C2013" i="4"/>
  <c r="B2024" i="4"/>
  <c r="E228" i="4"/>
  <c r="AL228" i="4"/>
  <c r="E230" i="4" s="1"/>
  <c r="E156" i="4" s="1"/>
  <c r="I92" i="1" s="1"/>
  <c r="J92" i="1" s="1"/>
  <c r="F248" i="3"/>
  <c r="F37" i="2"/>
  <c r="AD1970" i="4"/>
  <c r="C1972" i="4" s="1"/>
  <c r="C1970" i="4"/>
  <c r="F188" i="3"/>
  <c r="F27" i="2"/>
  <c r="E750" i="1"/>
  <c r="F200" i="1"/>
  <c r="C1935" i="4"/>
  <c r="H54" i="1"/>
  <c r="L54" i="1" s="1"/>
  <c r="K54" i="1"/>
  <c r="H78" i="1"/>
  <c r="L78" i="1" s="1"/>
  <c r="K78" i="1"/>
  <c r="L604" i="1"/>
  <c r="AH987" i="4"/>
  <c r="D989" i="4" s="1"/>
  <c r="D916" i="4" s="1"/>
  <c r="G102" i="1" s="1"/>
  <c r="H102" i="1" s="1"/>
  <c r="D987" i="4"/>
  <c r="L318" i="1"/>
  <c r="B2098" i="4"/>
  <c r="L439" i="1"/>
  <c r="AG441" i="1"/>
  <c r="AD1513" i="4"/>
  <c r="AB1515" i="4" s="1"/>
  <c r="C1513" i="4"/>
  <c r="Y3545" i="4"/>
  <c r="B3545" i="4"/>
  <c r="J82" i="3"/>
  <c r="F88" i="3"/>
  <c r="AF2187" i="4"/>
  <c r="E122" i="1"/>
  <c r="AA20" i="1"/>
  <c r="K555" i="1"/>
  <c r="F555" i="1"/>
  <c r="L555" i="1" s="1"/>
  <c r="C1137" i="4"/>
  <c r="B1137" i="4" s="1"/>
  <c r="AD1137" i="4"/>
  <c r="AB1139" i="4" s="1"/>
  <c r="H61" i="1"/>
  <c r="L61" i="1" s="1"/>
  <c r="K61" i="1"/>
  <c r="E380" i="4"/>
  <c r="AL380" i="4"/>
  <c r="E382" i="4" s="1"/>
  <c r="E308" i="4" s="1"/>
  <c r="I94" i="1" s="1"/>
  <c r="J94" i="1" s="1"/>
  <c r="E760" i="4"/>
  <c r="AL760" i="4"/>
  <c r="E762" i="4" s="1"/>
  <c r="E688" i="4" s="1"/>
  <c r="I99" i="1" s="1"/>
  <c r="J99" i="1" s="1"/>
  <c r="C1588" i="4"/>
  <c r="B1588" i="4" s="1"/>
  <c r="AD1588" i="4"/>
  <c r="AB1590" i="4" s="1"/>
  <c r="AH1215" i="4"/>
  <c r="D1217" i="4" s="1"/>
  <c r="D1143" i="4" s="1"/>
  <c r="G105" i="1" s="1"/>
  <c r="H105" i="1" s="1"/>
  <c r="D1215" i="4"/>
  <c r="AF2007" i="4"/>
  <c r="B3176" i="4"/>
  <c r="Y3176" i="4"/>
  <c r="C2128" i="4"/>
  <c r="E741" i="1"/>
  <c r="F170" i="3"/>
  <c r="F24" i="2"/>
  <c r="AD2202" i="4"/>
  <c r="C2204" i="4" s="1"/>
  <c r="C2202" i="4"/>
  <c r="F596" i="1"/>
  <c r="K596" i="1"/>
  <c r="E124" i="1"/>
  <c r="AD1983" i="4"/>
  <c r="C1985" i="4" s="1"/>
  <c r="C1983" i="4"/>
  <c r="K605" i="1"/>
  <c r="F605" i="1"/>
  <c r="L605" i="1" s="1"/>
  <c r="F541" i="1"/>
  <c r="K541" i="1"/>
  <c r="F28" i="2"/>
  <c r="F194" i="3"/>
  <c r="AJ2226" i="4"/>
  <c r="AF1994" i="4"/>
  <c r="AD304" i="4"/>
  <c r="C306" i="4" s="1"/>
  <c r="C304" i="4"/>
  <c r="L634" i="1"/>
  <c r="F205" i="1"/>
  <c r="F469" i="1"/>
  <c r="K469" i="1"/>
  <c r="H68" i="1"/>
  <c r="L68" i="1" s="1"/>
  <c r="K68" i="1"/>
  <c r="AD910" i="4"/>
  <c r="AB912" i="4" s="1"/>
  <c r="C910" i="4"/>
  <c r="B910" i="4" s="1"/>
  <c r="F197" i="1"/>
  <c r="J99" i="3"/>
  <c r="F105" i="3"/>
  <c r="K549" i="1"/>
  <c r="F549" i="1"/>
  <c r="L549" i="1" s="1"/>
  <c r="E912" i="4"/>
  <c r="AL912" i="4"/>
  <c r="E914" i="4" s="1"/>
  <c r="E840" i="4" s="1"/>
  <c r="I101" i="1" s="1"/>
  <c r="J101" i="1" s="1"/>
  <c r="C1363" i="4"/>
  <c r="B1363" i="4" s="1"/>
  <c r="AD1363" i="4"/>
  <c r="AB1365" i="4" s="1"/>
  <c r="AA21" i="1"/>
  <c r="L418" i="1"/>
  <c r="F531" i="1"/>
  <c r="L531" i="1" s="1"/>
  <c r="K531" i="1"/>
  <c r="E1994" i="4"/>
  <c r="AL1994" i="4"/>
  <c r="AJ1996" i="4" s="1"/>
  <c r="F505" i="1"/>
  <c r="L505" i="1" s="1"/>
  <c r="K505" i="1"/>
  <c r="B3481" i="4"/>
  <c r="C3446" i="4"/>
  <c r="K573" i="1"/>
  <c r="F573" i="1"/>
  <c r="L573" i="1" s="1"/>
  <c r="E2744" i="4"/>
  <c r="B2796" i="4"/>
  <c r="B2100" i="4"/>
  <c r="C2065" i="4"/>
  <c r="E2122" i="4"/>
  <c r="AL2122" i="4"/>
  <c r="AJ2124" i="4" s="1"/>
  <c r="F481" i="1"/>
  <c r="L481" i="1" s="1"/>
  <c r="K481" i="1"/>
  <c r="L893" i="1"/>
  <c r="AG88" i="1"/>
  <c r="L49" i="1"/>
  <c r="E1515" i="4"/>
  <c r="AL1515" i="4"/>
  <c r="E1517" i="4" s="1"/>
  <c r="E1444" i="4" s="1"/>
  <c r="I109" i="1" s="1"/>
  <c r="J109" i="1" s="1"/>
  <c r="AH1590" i="4"/>
  <c r="D1592" i="4" s="1"/>
  <c r="D1519" i="4" s="1"/>
  <c r="G110" i="1" s="1"/>
  <c r="H110" i="1" s="1"/>
  <c r="D1590" i="4"/>
  <c r="B1057" i="4"/>
  <c r="B3066" i="4"/>
  <c r="H56" i="1"/>
  <c r="L56" i="1" s="1"/>
  <c r="K56" i="1"/>
  <c r="F535" i="1"/>
  <c r="L535" i="1" s="1"/>
  <c r="K535" i="1"/>
  <c r="AA12" i="1"/>
  <c r="F201" i="1"/>
  <c r="F475" i="1"/>
  <c r="L475" i="1" s="1"/>
  <c r="K475" i="1"/>
  <c r="E132" i="1"/>
  <c r="E2200" i="4"/>
  <c r="AL2200" i="4"/>
  <c r="AJ2202" i="4" s="1"/>
  <c r="E832" i="1"/>
  <c r="AD2163" i="4"/>
  <c r="C2165" i="4" s="1"/>
  <c r="C2163" i="4"/>
  <c r="L898" i="1"/>
  <c r="E2007" i="4"/>
  <c r="AL2007" i="4"/>
  <c r="AJ2009" i="4" s="1"/>
  <c r="F653" i="1"/>
  <c r="L653" i="1" s="1"/>
  <c r="K653" i="1"/>
  <c r="AD2176" i="4"/>
  <c r="C2178" i="4" s="1"/>
  <c r="C2176" i="4"/>
  <c r="B2176" i="4" s="1"/>
  <c r="AG159" i="1"/>
  <c r="H159" i="1" s="1"/>
  <c r="L158" i="1"/>
  <c r="AA13" i="1"/>
  <c r="AD2254" i="4"/>
  <c r="C2256" i="4" s="1"/>
  <c r="C2254" i="4"/>
  <c r="F677" i="1"/>
  <c r="L677" i="1" s="1"/>
  <c r="K677" i="1"/>
  <c r="E2109" i="4"/>
  <c r="AL2109" i="4"/>
  <c r="AJ2111" i="4" s="1"/>
  <c r="E1215" i="4"/>
  <c r="AL1215" i="4"/>
  <c r="E1217" i="4" s="1"/>
  <c r="E1143" i="4" s="1"/>
  <c r="I105" i="1" s="1"/>
  <c r="J105" i="1" s="1"/>
  <c r="E128" i="1"/>
  <c r="G862" i="1"/>
  <c r="H862" i="1" s="1"/>
  <c r="G807" i="1"/>
  <c r="H807" i="1" s="1"/>
  <c r="F260" i="3"/>
  <c r="F39" i="2"/>
  <c r="AH378" i="4"/>
  <c r="AF380" i="4" s="1"/>
  <c r="D378" i="4"/>
  <c r="AD454" i="4"/>
  <c r="AB456" i="4" s="1"/>
  <c r="C454" i="4"/>
  <c r="H82" i="1"/>
  <c r="L82" i="1" s="1"/>
  <c r="K82" i="1"/>
  <c r="F195" i="1"/>
  <c r="F623" i="1"/>
  <c r="L623" i="1" s="1"/>
  <c r="K623" i="1"/>
  <c r="F194" i="1"/>
  <c r="F193" i="1"/>
  <c r="B302" i="4"/>
  <c r="AD1288" i="4"/>
  <c r="AB1290" i="4" s="1"/>
  <c r="C1288" i="4"/>
  <c r="F665" i="1"/>
  <c r="K665" i="1"/>
  <c r="F489" i="1"/>
  <c r="L489" i="1" s="1"/>
  <c r="K489" i="1"/>
  <c r="C530" i="4"/>
  <c r="B530" i="4" s="1"/>
  <c r="AD530" i="4"/>
  <c r="AB532" i="4" s="1"/>
  <c r="K561" i="1"/>
  <c r="F561" i="1"/>
  <c r="L561" i="1" s="1"/>
  <c r="E608" i="4"/>
  <c r="AL608" i="4"/>
  <c r="E610" i="4" s="1"/>
  <c r="E536" i="4" s="1"/>
  <c r="I97" i="1" s="1"/>
  <c r="J97" i="1" s="1"/>
  <c r="E2187" i="4"/>
  <c r="AL2187" i="4"/>
  <c r="AJ2189" i="4" s="1"/>
  <c r="F701" i="1"/>
  <c r="L701" i="1" s="1"/>
  <c r="K701" i="1"/>
  <c r="AD834" i="4"/>
  <c r="AB836" i="4" s="1"/>
  <c r="C834" i="4"/>
  <c r="B834" i="4" s="1"/>
  <c r="B3390" i="4"/>
  <c r="C1987" i="4"/>
  <c r="E131" i="1"/>
  <c r="AF2122" i="4"/>
  <c r="H83" i="1"/>
  <c r="L83" i="1" s="1"/>
  <c r="K83" i="1"/>
  <c r="AH1513" i="4"/>
  <c r="AF1515" i="4" s="1"/>
  <c r="D1513" i="4"/>
  <c r="AH74" i="4"/>
  <c r="AF76" i="4" s="1"/>
  <c r="D74" i="4"/>
  <c r="E755" i="1"/>
  <c r="L346" i="1"/>
  <c r="AF347" i="1"/>
  <c r="B2850" i="4"/>
  <c r="K734" i="1"/>
  <c r="F734" i="1"/>
  <c r="AG442" i="1"/>
  <c r="L408" i="1"/>
  <c r="AD1213" i="4"/>
  <c r="AB1215" i="4" s="1"/>
  <c r="C1213" i="4"/>
  <c r="B1213" i="4" s="1"/>
  <c r="E125" i="1"/>
  <c r="F683" i="1"/>
  <c r="L683" i="1" s="1"/>
  <c r="K683" i="1"/>
  <c r="F611" i="1"/>
  <c r="K611" i="1"/>
  <c r="AD2228" i="4"/>
  <c r="C2230" i="4" s="1"/>
  <c r="C2228" i="4"/>
  <c r="AD1061" i="4"/>
  <c r="AB1063" i="4" s="1"/>
  <c r="C1061" i="4"/>
  <c r="AF2161" i="4"/>
  <c r="B1669" i="4"/>
  <c r="Y1669" i="4"/>
  <c r="B1860" i="4"/>
  <c r="C1789" i="4"/>
  <c r="D304" i="4"/>
  <c r="AH304" i="4"/>
  <c r="D306" i="4" s="1"/>
  <c r="D232" i="4" s="1"/>
  <c r="G93" i="1" s="1"/>
  <c r="H93" i="1" s="1"/>
  <c r="C1663" i="4"/>
  <c r="B1663" i="4" s="1"/>
  <c r="AD1663" i="4"/>
  <c r="AB1665" i="4" s="1"/>
  <c r="F707" i="1"/>
  <c r="L707" i="1" s="1"/>
  <c r="K707" i="1"/>
  <c r="F713" i="1"/>
  <c r="L713" i="1" s="1"/>
  <c r="K713" i="1"/>
  <c r="F725" i="1"/>
  <c r="L725" i="1" s="1"/>
  <c r="K725" i="1"/>
  <c r="C2048" i="4"/>
  <c r="B2048" i="4" s="1"/>
  <c r="AD2048" i="4"/>
  <c r="C2050" i="4" s="1"/>
  <c r="F519" i="1"/>
  <c r="L519" i="1" s="1"/>
  <c r="K519" i="1"/>
  <c r="E120" i="1"/>
  <c r="H85" i="1"/>
  <c r="L85" i="1" s="1"/>
  <c r="K85" i="1"/>
  <c r="F590" i="1"/>
  <c r="L590" i="1" s="1"/>
  <c r="K590" i="1"/>
  <c r="B2580" i="4"/>
  <c r="F517" i="1"/>
  <c r="L517" i="1" s="1"/>
  <c r="K517" i="1"/>
  <c r="F230" i="3"/>
  <c r="F34" i="2"/>
  <c r="E119" i="1"/>
  <c r="AH2059" i="4"/>
  <c r="AF2061" i="4" s="1"/>
  <c r="D2059" i="4"/>
  <c r="I862" i="1"/>
  <c r="J862" i="1" s="1"/>
  <c r="I807" i="1"/>
  <c r="J807" i="1" s="1"/>
  <c r="E130" i="1"/>
  <c r="I821" i="1"/>
  <c r="J821" i="1" s="1"/>
  <c r="J835" i="1" s="1"/>
  <c r="I1486" i="1"/>
  <c r="J1486" i="1" s="1"/>
  <c r="F495" i="1"/>
  <c r="L495" i="1" s="1"/>
  <c r="K495" i="1"/>
  <c r="F38" i="3"/>
  <c r="C380" i="4"/>
  <c r="AD380" i="4"/>
  <c r="C382" i="4" s="1"/>
  <c r="F547" i="1"/>
  <c r="L547" i="1" s="1"/>
  <c r="K547" i="1"/>
  <c r="AH1061" i="4"/>
  <c r="AF1063" i="4" s="1"/>
  <c r="D1061" i="4"/>
  <c r="F40" i="2"/>
  <c r="F266" i="3"/>
  <c r="E1063" i="4"/>
  <c r="AL1063" i="4"/>
  <c r="E1065" i="4" s="1"/>
  <c r="E991" i="4" s="1"/>
  <c r="I103" i="1" s="1"/>
  <c r="J103" i="1" s="1"/>
  <c r="B3230" i="4"/>
  <c r="Y3230" i="4"/>
  <c r="L694" i="1"/>
  <c r="H71" i="1"/>
  <c r="L71" i="1" s="1"/>
  <c r="K71" i="1"/>
  <c r="C2232" i="4"/>
  <c r="B226" i="4"/>
  <c r="F206" i="3"/>
  <c r="F30" i="2"/>
  <c r="C985" i="4"/>
  <c r="B985" i="4" s="1"/>
  <c r="AD985" i="4"/>
  <c r="AB987" i="4" s="1"/>
  <c r="H50" i="1"/>
  <c r="L50" i="1" s="1"/>
  <c r="K50" i="1"/>
  <c r="F629" i="1"/>
  <c r="L629" i="1" s="1"/>
  <c r="K629" i="1"/>
  <c r="H84" i="1"/>
  <c r="L84" i="1" s="1"/>
  <c r="K84" i="1"/>
  <c r="AF2239" i="4"/>
  <c r="F513" i="1"/>
  <c r="L513" i="1" s="1"/>
  <c r="K513" i="1"/>
  <c r="J65" i="3"/>
  <c r="F71" i="3"/>
  <c r="E746" i="1"/>
  <c r="C2009" i="4"/>
  <c r="AD2009" i="4"/>
  <c r="C2011" i="4" s="1"/>
  <c r="F641" i="1"/>
  <c r="K641" i="1"/>
  <c r="E456" i="4"/>
  <c r="AL456" i="4"/>
  <c r="E458" i="4" s="1"/>
  <c r="E384" i="4" s="1"/>
  <c r="I95" i="1" s="1"/>
  <c r="J95" i="1" s="1"/>
  <c r="K480" i="1"/>
  <c r="F480" i="1"/>
  <c r="F543" i="1"/>
  <c r="L543" i="1" s="1"/>
  <c r="K543" i="1"/>
  <c r="E2161" i="4"/>
  <c r="AL2161" i="4"/>
  <c r="AJ2163" i="4" s="1"/>
  <c r="AF2109" i="4"/>
  <c r="F477" i="1"/>
  <c r="L477" i="1" s="1"/>
  <c r="K477" i="1"/>
  <c r="E684" i="4"/>
  <c r="AL684" i="4"/>
  <c r="E686" i="4" s="1"/>
  <c r="E612" i="4" s="1"/>
  <c r="I98" i="1" s="1"/>
  <c r="J98" i="1" s="1"/>
  <c r="K704" i="1"/>
  <c r="F704" i="1"/>
  <c r="AH1288" i="4"/>
  <c r="AF1290" i="4" s="1"/>
  <c r="D1288" i="4"/>
  <c r="L316" i="1"/>
  <c r="AF348" i="1"/>
  <c r="B682" i="4"/>
  <c r="AD2150" i="4"/>
  <c r="C2152" i="4" s="1"/>
  <c r="C2150" i="4"/>
  <c r="B2150" i="4" s="1"/>
  <c r="F695" i="1"/>
  <c r="L695" i="1" s="1"/>
  <c r="K695" i="1"/>
  <c r="F196" i="1"/>
  <c r="E756" i="1"/>
  <c r="I913" i="1"/>
  <c r="J913" i="1" s="1"/>
  <c r="I916" i="1"/>
  <c r="J916" i="1" s="1"/>
  <c r="I922" i="1"/>
  <c r="J922" i="1" s="1"/>
  <c r="I928" i="1"/>
  <c r="J928" i="1" s="1"/>
  <c r="I934" i="1"/>
  <c r="J934" i="1" s="1"/>
  <c r="I940" i="1"/>
  <c r="J940" i="1" s="1"/>
  <c r="I909" i="1"/>
  <c r="J909" i="1" s="1"/>
  <c r="I917" i="1"/>
  <c r="J917" i="1" s="1"/>
  <c r="I923" i="1"/>
  <c r="J923" i="1" s="1"/>
  <c r="I929" i="1"/>
  <c r="J929" i="1" s="1"/>
  <c r="I935" i="1"/>
  <c r="J935" i="1" s="1"/>
  <c r="I941" i="1"/>
  <c r="J941" i="1" s="1"/>
  <c r="I910" i="1"/>
  <c r="J910" i="1" s="1"/>
  <c r="I918" i="1"/>
  <c r="J918" i="1" s="1"/>
  <c r="I924" i="1"/>
  <c r="J924" i="1" s="1"/>
  <c r="I930" i="1"/>
  <c r="J930" i="1" s="1"/>
  <c r="I936" i="1"/>
  <c r="J936" i="1" s="1"/>
  <c r="I942" i="1"/>
  <c r="J942" i="1" s="1"/>
  <c r="I912" i="1"/>
  <c r="J912" i="1" s="1"/>
  <c r="I919" i="1"/>
  <c r="J919" i="1" s="1"/>
  <c r="I925" i="1"/>
  <c r="J925" i="1" s="1"/>
  <c r="I931" i="1"/>
  <c r="J931" i="1" s="1"/>
  <c r="I937" i="1"/>
  <c r="J937" i="1" s="1"/>
  <c r="I943" i="1"/>
  <c r="J943" i="1" s="1"/>
  <c r="I914" i="1"/>
  <c r="J914" i="1" s="1"/>
  <c r="I920" i="1"/>
  <c r="J920" i="1" s="1"/>
  <c r="I926" i="1"/>
  <c r="J926" i="1" s="1"/>
  <c r="I932" i="1"/>
  <c r="J932" i="1" s="1"/>
  <c r="I938" i="1"/>
  <c r="J938" i="1" s="1"/>
  <c r="I944" i="1"/>
  <c r="J944" i="1" s="1"/>
  <c r="I939" i="1"/>
  <c r="J939" i="1" s="1"/>
  <c r="I933" i="1"/>
  <c r="J933" i="1" s="1"/>
  <c r="I921" i="1"/>
  <c r="J921" i="1" s="1"/>
  <c r="I927" i="1"/>
  <c r="J927" i="1" s="1"/>
  <c r="I911" i="1"/>
  <c r="J911" i="1" s="1"/>
  <c r="I915" i="1"/>
  <c r="J915" i="1" s="1"/>
  <c r="K583" i="1"/>
  <c r="F583" i="1"/>
  <c r="L583" i="1" s="1"/>
  <c r="E830" i="1"/>
  <c r="AH1365" i="4"/>
  <c r="D1367" i="4" s="1"/>
  <c r="D1294" i="4" s="1"/>
  <c r="G107" i="1" s="1"/>
  <c r="H107" i="1" s="1"/>
  <c r="D1365" i="4"/>
  <c r="B3392" i="4" l="1"/>
  <c r="E1365" i="4"/>
  <c r="AL1365" i="4"/>
  <c r="E1367" i="4" s="1"/>
  <c r="E1294" i="4" s="1"/>
  <c r="I107" i="1" s="1"/>
  <c r="J107" i="1" s="1"/>
  <c r="B606" i="4"/>
  <c r="J17" i="19"/>
  <c r="J9" i="19" s="1"/>
  <c r="B2582" i="4"/>
  <c r="B150" i="4"/>
  <c r="B454" i="4"/>
  <c r="D152" i="4"/>
  <c r="AH152" i="4"/>
  <c r="D154" i="4" s="1"/>
  <c r="D80" i="4" s="1"/>
  <c r="G91" i="1" s="1"/>
  <c r="H91" i="1" s="1"/>
  <c r="AH608" i="4"/>
  <c r="D610" i="4" s="1"/>
  <c r="D536" i="4" s="1"/>
  <c r="G97" i="1" s="1"/>
  <c r="H97" i="1" s="1"/>
  <c r="D608" i="4"/>
  <c r="D456" i="4"/>
  <c r="AH456" i="4"/>
  <c r="D458" i="4" s="1"/>
  <c r="D384" i="4" s="1"/>
  <c r="G95" i="1" s="1"/>
  <c r="H95" i="1" s="1"/>
  <c r="J17" i="20"/>
  <c r="J9" i="20" s="1"/>
  <c r="J17" i="23"/>
  <c r="J9" i="23" s="1"/>
  <c r="I5" i="23" s="1"/>
  <c r="J5" i="23" s="1"/>
  <c r="J4" i="23" s="1"/>
  <c r="J17" i="24"/>
  <c r="J9" i="24" s="1"/>
  <c r="I5" i="24" s="1"/>
  <c r="J5" i="24" s="1"/>
  <c r="E2022" i="4"/>
  <c r="AL2022" i="4"/>
  <c r="E2024" i="4" s="1"/>
  <c r="E2013" i="4" s="1"/>
  <c r="I861" i="1" s="1"/>
  <c r="J861" i="1" s="1"/>
  <c r="AH2022" i="4"/>
  <c r="D2024" i="4" s="1"/>
  <c r="D2013" i="4" s="1"/>
  <c r="D2022" i="4"/>
  <c r="B378" i="4"/>
  <c r="Y2852" i="4"/>
  <c r="J799" i="1"/>
  <c r="J26" i="18"/>
  <c r="J9" i="18" s="1"/>
  <c r="I5" i="18" s="1"/>
  <c r="J5" i="18" s="1"/>
  <c r="J6" i="18" s="1"/>
  <c r="J26" i="22"/>
  <c r="J9" i="22" s="1"/>
  <c r="I5" i="22" s="1"/>
  <c r="J5" i="22" s="1"/>
  <c r="B2366" i="4"/>
  <c r="AB32" i="1"/>
  <c r="B1061" i="4"/>
  <c r="J906" i="1"/>
  <c r="L906" i="1" s="1"/>
  <c r="B2906" i="4"/>
  <c r="Y2906" i="4"/>
  <c r="D1942" i="4"/>
  <c r="B1942" i="4" s="1"/>
  <c r="AH1942" i="4"/>
  <c r="AF1944" i="4" s="1"/>
  <c r="E2137" i="4"/>
  <c r="AL2137" i="4"/>
  <c r="E2139" i="4" s="1"/>
  <c r="E2128" i="4" s="1"/>
  <c r="B2258" i="4"/>
  <c r="Y2258" i="4"/>
  <c r="AL1944" i="4"/>
  <c r="E1946" i="4" s="1"/>
  <c r="E1935" i="4" s="1"/>
  <c r="I855" i="1" s="1"/>
  <c r="J855" i="1" s="1"/>
  <c r="E1944" i="4"/>
  <c r="B1288" i="4"/>
  <c r="D2135" i="4"/>
  <c r="B2135" i="4" s="1"/>
  <c r="AH2135" i="4"/>
  <c r="AF2137" i="4" s="1"/>
  <c r="F347" i="1"/>
  <c r="L347" i="1" s="1"/>
  <c r="E13" i="1"/>
  <c r="L469" i="1"/>
  <c r="Z22" i="1"/>
  <c r="C2193" i="4"/>
  <c r="E353" i="1"/>
  <c r="E841" i="1"/>
  <c r="E230" i="1"/>
  <c r="E273" i="1"/>
  <c r="C2026" i="4"/>
  <c r="B2037" i="4"/>
  <c r="L671" i="1"/>
  <c r="AF738" i="1"/>
  <c r="E142" i="1"/>
  <c r="G769" i="1"/>
  <c r="H769" i="1" s="1"/>
  <c r="AJ1981" i="4"/>
  <c r="E296" i="1"/>
  <c r="E250" i="1"/>
  <c r="E358" i="1"/>
  <c r="E287" i="1"/>
  <c r="E34" i="1"/>
  <c r="E272" i="1"/>
  <c r="E293" i="1"/>
  <c r="E271" i="1"/>
  <c r="E361" i="1"/>
  <c r="E213" i="1"/>
  <c r="E2163" i="4"/>
  <c r="AL2163" i="4"/>
  <c r="E2165" i="4" s="1"/>
  <c r="E2154" i="4" s="1"/>
  <c r="I869" i="1" s="1"/>
  <c r="J869" i="1" s="1"/>
  <c r="E747" i="1"/>
  <c r="E234" i="1"/>
  <c r="E279" i="1"/>
  <c r="E43" i="1"/>
  <c r="AD987" i="4"/>
  <c r="C989" i="4" s="1"/>
  <c r="C987" i="4"/>
  <c r="B987" i="4" s="1"/>
  <c r="G130" i="3"/>
  <c r="E40" i="2"/>
  <c r="Y40" i="2" s="1"/>
  <c r="G774" i="1"/>
  <c r="H774" i="1" s="1"/>
  <c r="I6" i="3"/>
  <c r="Y2528" i="4"/>
  <c r="B2528" i="4"/>
  <c r="AD1063" i="4"/>
  <c r="C1065" i="4" s="1"/>
  <c r="C1063" i="4"/>
  <c r="E258" i="1"/>
  <c r="E209" i="1"/>
  <c r="E375" i="1"/>
  <c r="E138" i="1"/>
  <c r="K755" i="1"/>
  <c r="F755" i="1"/>
  <c r="L755" i="1" s="1"/>
  <c r="AH1515" i="4"/>
  <c r="D1517" i="4" s="1"/>
  <c r="D1444" i="4" s="1"/>
  <c r="G109" i="1" s="1"/>
  <c r="H109" i="1" s="1"/>
  <c r="D1515" i="4"/>
  <c r="E281" i="1"/>
  <c r="E249" i="1"/>
  <c r="AD1290" i="4"/>
  <c r="C1292" i="4" s="1"/>
  <c r="C1290" i="4"/>
  <c r="AH380" i="4"/>
  <c r="D382" i="4" s="1"/>
  <c r="D308" i="4" s="1"/>
  <c r="G94" i="1" s="1"/>
  <c r="H94" i="1" s="1"/>
  <c r="D380" i="4"/>
  <c r="B380" i="4" s="1"/>
  <c r="G778" i="1"/>
  <c r="H778" i="1" s="1"/>
  <c r="C2245" i="4"/>
  <c r="E2009" i="4"/>
  <c r="AL2009" i="4"/>
  <c r="E2011" i="4" s="1"/>
  <c r="E2000" i="4" s="1"/>
  <c r="E143" i="1"/>
  <c r="E252" i="1"/>
  <c r="E370" i="1"/>
  <c r="E388" i="1"/>
  <c r="J112" i="1"/>
  <c r="AJ2059" i="4"/>
  <c r="AD912" i="4"/>
  <c r="C914" i="4" s="1"/>
  <c r="C912" i="4"/>
  <c r="B912" i="4" s="1"/>
  <c r="E274" i="1"/>
  <c r="E246" i="1"/>
  <c r="E15" i="1"/>
  <c r="F124" i="1"/>
  <c r="L124" i="1" s="1"/>
  <c r="K124" i="1"/>
  <c r="G44" i="3"/>
  <c r="E24" i="2"/>
  <c r="Y24" i="2" s="1"/>
  <c r="E232" i="1"/>
  <c r="E846" i="1"/>
  <c r="D2187" i="4"/>
  <c r="B2187" i="4" s="1"/>
  <c r="AH2187" i="4"/>
  <c r="AF2189" i="4" s="1"/>
  <c r="H441" i="1"/>
  <c r="L441" i="1" s="1"/>
  <c r="Z27" i="1"/>
  <c r="F750" i="1"/>
  <c r="K750" i="1"/>
  <c r="E374" i="1"/>
  <c r="E277" i="1"/>
  <c r="Y2474" i="4"/>
  <c r="B2474" i="4"/>
  <c r="D2252" i="4"/>
  <c r="B2252" i="4" s="1"/>
  <c r="AH2252" i="4"/>
  <c r="AF2254" i="4" s="1"/>
  <c r="E355" i="1"/>
  <c r="E260" i="1"/>
  <c r="E233" i="1"/>
  <c r="E283" i="1"/>
  <c r="E864" i="1"/>
  <c r="AD760" i="4"/>
  <c r="C762" i="4" s="1"/>
  <c r="C760" i="4"/>
  <c r="B760" i="4" s="1"/>
  <c r="E384" i="1"/>
  <c r="AA37" i="1"/>
  <c r="AG87" i="1"/>
  <c r="H87" i="1" s="1"/>
  <c r="L87" i="1" s="1"/>
  <c r="K761" i="1"/>
  <c r="F761" i="1"/>
  <c r="L761" i="1" s="1"/>
  <c r="E760" i="1"/>
  <c r="E291" i="1"/>
  <c r="K129" i="1"/>
  <c r="F129" i="1"/>
  <c r="L129" i="1" s="1"/>
  <c r="C608" i="4"/>
  <c r="AD608" i="4"/>
  <c r="C610" i="4" s="1"/>
  <c r="E845" i="1"/>
  <c r="AD1665" i="4"/>
  <c r="C1667" i="4" s="1"/>
  <c r="C1665" i="4"/>
  <c r="B1665" i="4" s="1"/>
  <c r="E839" i="1"/>
  <c r="E2189" i="4"/>
  <c r="AL2189" i="4"/>
  <c r="E2191" i="4" s="1"/>
  <c r="E2180" i="4" s="1"/>
  <c r="I871" i="1" s="1"/>
  <c r="J871" i="1" s="1"/>
  <c r="E275" i="1"/>
  <c r="F832" i="1"/>
  <c r="L832" i="1" s="1"/>
  <c r="K832" i="1"/>
  <c r="E267" i="1"/>
  <c r="Y2744" i="4"/>
  <c r="B2744" i="4"/>
  <c r="L541" i="1"/>
  <c r="Z25" i="1"/>
  <c r="D2007" i="4"/>
  <c r="B2007" i="4" s="1"/>
  <c r="AH2007" i="4"/>
  <c r="AF2009" i="4" s="1"/>
  <c r="E30" i="1"/>
  <c r="E849" i="1"/>
  <c r="E739" i="1"/>
  <c r="F762" i="1"/>
  <c r="L762" i="1" s="1"/>
  <c r="K762" i="1"/>
  <c r="E2254" i="4"/>
  <c r="AL2254" i="4"/>
  <c r="E2256" i="4" s="1"/>
  <c r="E2245" i="4" s="1"/>
  <c r="I876" i="1" s="1"/>
  <c r="J876" i="1" s="1"/>
  <c r="E16" i="1"/>
  <c r="G777" i="1"/>
  <c r="H777" i="1" s="1"/>
  <c r="I10" i="3"/>
  <c r="J10" i="3" s="1"/>
  <c r="J9" i="3" s="1"/>
  <c r="L507" i="1"/>
  <c r="AF604" i="1"/>
  <c r="C2102" i="4"/>
  <c r="Y3122" i="4"/>
  <c r="B3122" i="4"/>
  <c r="B1862" i="4"/>
  <c r="Y1862" i="4"/>
  <c r="E220" i="1"/>
  <c r="E14" i="1"/>
  <c r="E278" i="1"/>
  <c r="E850" i="1"/>
  <c r="E299" i="1"/>
  <c r="E362" i="1"/>
  <c r="C2141" i="4"/>
  <c r="B2152" i="4"/>
  <c r="AH1290" i="4"/>
  <c r="D1292" i="4" s="1"/>
  <c r="D1219" i="4" s="1"/>
  <c r="G106" i="1" s="1"/>
  <c r="H106" i="1" s="1"/>
  <c r="D1290" i="4"/>
  <c r="G771" i="1"/>
  <c r="H771" i="1" s="1"/>
  <c r="L641" i="1"/>
  <c r="AF739" i="1"/>
  <c r="G780" i="1"/>
  <c r="H780" i="1" s="1"/>
  <c r="I14" i="3"/>
  <c r="J14" i="3" s="1"/>
  <c r="J13" i="3" s="1"/>
  <c r="E32" i="1"/>
  <c r="E368" i="1"/>
  <c r="K119" i="1"/>
  <c r="F119" i="1"/>
  <c r="L119" i="1" s="1"/>
  <c r="F120" i="1"/>
  <c r="L120" i="1" s="1"/>
  <c r="K120" i="1"/>
  <c r="E351" i="1"/>
  <c r="C1215" i="4"/>
  <c r="B1215" i="4" s="1"/>
  <c r="AD1215" i="4"/>
  <c r="C1217" i="4" s="1"/>
  <c r="E393" i="1"/>
  <c r="E276" i="1"/>
  <c r="E297" i="1"/>
  <c r="E859" i="1"/>
  <c r="E383" i="1"/>
  <c r="E261" i="1"/>
  <c r="E743" i="1"/>
  <c r="E759" i="1"/>
  <c r="G129" i="3"/>
  <c r="E39" i="2"/>
  <c r="Y39" i="2" s="1"/>
  <c r="E18" i="1"/>
  <c r="E359" i="1"/>
  <c r="E259" i="1"/>
  <c r="E2124" i="4"/>
  <c r="AL2124" i="4"/>
  <c r="E2126" i="4" s="1"/>
  <c r="E2115" i="4" s="1"/>
  <c r="E265" i="1"/>
  <c r="E239" i="1"/>
  <c r="E280" i="1"/>
  <c r="E257" i="1"/>
  <c r="D1994" i="4"/>
  <c r="B1994" i="4" s="1"/>
  <c r="AH1994" i="4"/>
  <c r="AF1996" i="4" s="1"/>
  <c r="E867" i="1"/>
  <c r="AD1139" i="4"/>
  <c r="C1141" i="4" s="1"/>
  <c r="C1139" i="4"/>
  <c r="B1139" i="4" s="1"/>
  <c r="E843" i="1"/>
  <c r="E855" i="1"/>
  <c r="G61" i="3"/>
  <c r="E27" i="2"/>
  <c r="Y27" i="2" s="1"/>
  <c r="G113" i="3"/>
  <c r="E37" i="2"/>
  <c r="Y37" i="2" s="1"/>
  <c r="E385" i="1"/>
  <c r="G95" i="3"/>
  <c r="E33" i="2"/>
  <c r="Y33" i="2" s="1"/>
  <c r="L52" i="1"/>
  <c r="F764" i="1"/>
  <c r="L764" i="1" s="1"/>
  <c r="K764" i="1"/>
  <c r="F744" i="1"/>
  <c r="L744" i="1" s="1"/>
  <c r="K744" i="1"/>
  <c r="E137" i="1"/>
  <c r="G773" i="1"/>
  <c r="H773" i="1" s="1"/>
  <c r="G112" i="3"/>
  <c r="E36" i="2"/>
  <c r="Y36" i="2" s="1"/>
  <c r="F126" i="1"/>
  <c r="K126" i="1"/>
  <c r="AA36" i="1"/>
  <c r="G775" i="1"/>
  <c r="H775" i="1" s="1"/>
  <c r="E294" i="1"/>
  <c r="B1709" i="4"/>
  <c r="Y1709" i="4"/>
  <c r="E140" i="1"/>
  <c r="E1464" i="1"/>
  <c r="C1440" i="4"/>
  <c r="B1440" i="4" s="1"/>
  <c r="AD1440" i="4"/>
  <c r="C1442" i="4" s="1"/>
  <c r="E40" i="1"/>
  <c r="E363" i="1"/>
  <c r="E285" i="1"/>
  <c r="B228" i="4"/>
  <c r="E27" i="1"/>
  <c r="E392" i="1"/>
  <c r="E389" i="1"/>
  <c r="E41" i="1"/>
  <c r="E238" i="1"/>
  <c r="AD1365" i="4"/>
  <c r="C1367" i="4" s="1"/>
  <c r="C1365" i="4"/>
  <c r="B1365" i="4" s="1"/>
  <c r="G62" i="3"/>
  <c r="E28" i="2"/>
  <c r="Y28" i="2" s="1"/>
  <c r="K741" i="1"/>
  <c r="F741" i="1"/>
  <c r="L741" i="1" s="1"/>
  <c r="E227" i="1"/>
  <c r="AD1515" i="4"/>
  <c r="C1517" i="4" s="1"/>
  <c r="C1515" i="4"/>
  <c r="AH946" i="1"/>
  <c r="E387" i="1"/>
  <c r="E224" i="1"/>
  <c r="E116" i="1"/>
  <c r="D2161" i="4"/>
  <c r="B2161" i="4" s="1"/>
  <c r="AH2161" i="4"/>
  <c r="AF2163" i="4" s="1"/>
  <c r="L611" i="1"/>
  <c r="AF740" i="1"/>
  <c r="E12" i="1"/>
  <c r="E215" i="1"/>
  <c r="B3338" i="4"/>
  <c r="Y3338" i="4"/>
  <c r="E350" i="1"/>
  <c r="E2202" i="4"/>
  <c r="AL2202" i="4"/>
  <c r="E2204" i="4" s="1"/>
  <c r="E2193" i="4" s="1"/>
  <c r="I872" i="1" s="1"/>
  <c r="J872" i="1" s="1"/>
  <c r="Y3014" i="4"/>
  <c r="B3014" i="4"/>
  <c r="E26" i="1"/>
  <c r="G776" i="1"/>
  <c r="H776" i="1" s="1"/>
  <c r="Y3446" i="4"/>
  <c r="B3446" i="4"/>
  <c r="E264" i="1"/>
  <c r="E33" i="1"/>
  <c r="Z28" i="1"/>
  <c r="E244" i="1"/>
  <c r="AD1590" i="4"/>
  <c r="C1592" i="4" s="1"/>
  <c r="C1590" i="4"/>
  <c r="B1590" i="4" s="1"/>
  <c r="Y2013" i="4"/>
  <c r="B2013" i="4"/>
  <c r="E29" i="1"/>
  <c r="B684" i="4"/>
  <c r="E367" i="1"/>
  <c r="B1959" i="4"/>
  <c r="C1948" i="4"/>
  <c r="E377" i="1"/>
  <c r="E364" i="1"/>
  <c r="E386" i="1"/>
  <c r="K745" i="1"/>
  <c r="F745" i="1"/>
  <c r="L745" i="1" s="1"/>
  <c r="AD76" i="4"/>
  <c r="C78" i="4" s="1"/>
  <c r="C76" i="4"/>
  <c r="AL1970" i="4"/>
  <c r="E1972" i="4" s="1"/>
  <c r="E1961" i="4" s="1"/>
  <c r="I857" i="1" s="1"/>
  <c r="J857" i="1" s="1"/>
  <c r="E1970" i="4"/>
  <c r="E25" i="1"/>
  <c r="L567" i="1"/>
  <c r="AF602" i="1"/>
  <c r="E22" i="1"/>
  <c r="G79" i="3"/>
  <c r="E31" i="2"/>
  <c r="Y31" i="2" s="1"/>
  <c r="G45" i="3"/>
  <c r="E25" i="2"/>
  <c r="Y25" i="2" s="1"/>
  <c r="E381" i="1"/>
  <c r="E223" i="1"/>
  <c r="C2115" i="4"/>
  <c r="E831" i="1"/>
  <c r="G772" i="1"/>
  <c r="H772" i="1" s="1"/>
  <c r="D2200" i="4"/>
  <c r="B2200" i="4" s="1"/>
  <c r="AH2200" i="4"/>
  <c r="AF2202" i="4" s="1"/>
  <c r="G202" i="1"/>
  <c r="E292" i="1"/>
  <c r="E231" i="1"/>
  <c r="E379" i="1"/>
  <c r="E210" i="1"/>
  <c r="B230" i="4"/>
  <c r="C156" i="4"/>
  <c r="C152" i="4"/>
  <c r="B152" i="4" s="1"/>
  <c r="AD152" i="4"/>
  <c r="C154" i="4" s="1"/>
  <c r="C2180" i="4"/>
  <c r="D2239" i="4"/>
  <c r="B2239" i="4" s="1"/>
  <c r="AH2239" i="4"/>
  <c r="AF2241" i="4" s="1"/>
  <c r="Z30" i="1"/>
  <c r="E37" i="1"/>
  <c r="E391" i="1"/>
  <c r="E218" i="1"/>
  <c r="E754" i="1"/>
  <c r="E35" i="1"/>
  <c r="E19" i="1"/>
  <c r="E141" i="1"/>
  <c r="F128" i="1"/>
  <c r="K128" i="1"/>
  <c r="C2167" i="4"/>
  <c r="B2178" i="4"/>
  <c r="E247" i="1"/>
  <c r="E352" i="1"/>
  <c r="E20" i="1"/>
  <c r="B306" i="4"/>
  <c r="C232" i="4"/>
  <c r="AB36" i="1"/>
  <c r="L704" i="1"/>
  <c r="AF737" i="1"/>
  <c r="E262" i="1"/>
  <c r="C2000" i="4"/>
  <c r="E282" i="1"/>
  <c r="AH1063" i="4"/>
  <c r="D1065" i="4" s="1"/>
  <c r="D991" i="4" s="1"/>
  <c r="G103" i="1" s="1"/>
  <c r="H103" i="1" s="1"/>
  <c r="D1063" i="4"/>
  <c r="F130" i="1"/>
  <c r="L130" i="1" s="1"/>
  <c r="K130" i="1"/>
  <c r="G96" i="3"/>
  <c r="E34" i="2"/>
  <c r="Y34" i="2" s="1"/>
  <c r="E269" i="1"/>
  <c r="C2219" i="4"/>
  <c r="L734" i="1"/>
  <c r="AF736" i="1"/>
  <c r="E270" i="1"/>
  <c r="D76" i="4"/>
  <c r="AH76" i="4"/>
  <c r="D78" i="4" s="1"/>
  <c r="D4" i="4" s="1"/>
  <c r="G90" i="1" s="1"/>
  <c r="H90" i="1" s="1"/>
  <c r="AD532" i="4"/>
  <c r="C534" i="4" s="1"/>
  <c r="C532" i="4"/>
  <c r="B532" i="4" s="1"/>
  <c r="E133" i="1"/>
  <c r="E115" i="1"/>
  <c r="E38" i="1"/>
  <c r="AD456" i="4"/>
  <c r="C458" i="4" s="1"/>
  <c r="C456" i="4"/>
  <c r="E2111" i="4"/>
  <c r="AL2111" i="4"/>
  <c r="E2113" i="4" s="1"/>
  <c r="E2102" i="4" s="1"/>
  <c r="AH945" i="1"/>
  <c r="D2109" i="4"/>
  <c r="B2109" i="4" s="1"/>
  <c r="AH2109" i="4"/>
  <c r="AF2111" i="4" s="1"/>
  <c r="Z26" i="1"/>
  <c r="G770" i="1"/>
  <c r="H770" i="1" s="1"/>
  <c r="E235" i="1"/>
  <c r="E757" i="1"/>
  <c r="C308" i="4"/>
  <c r="J1487" i="1"/>
  <c r="AB57" i="1"/>
  <c r="E226" i="1"/>
  <c r="E24" i="1"/>
  <c r="E298" i="1"/>
  <c r="E833" i="1"/>
  <c r="E242" i="1"/>
  <c r="E380" i="1"/>
  <c r="K125" i="1"/>
  <c r="F125" i="1"/>
  <c r="L125" i="1" s="1"/>
  <c r="E286" i="1"/>
  <c r="E222" i="1"/>
  <c r="E840" i="1"/>
  <c r="E248" i="1"/>
  <c r="K131" i="1"/>
  <c r="F131" i="1"/>
  <c r="L131" i="1" s="1"/>
  <c r="E228" i="1"/>
  <c r="E139" i="1"/>
  <c r="E268" i="1"/>
  <c r="E373" i="1"/>
  <c r="E225" i="1"/>
  <c r="C2154" i="4"/>
  <c r="E28" i="1"/>
  <c r="E217" i="1"/>
  <c r="E356" i="1"/>
  <c r="E135" i="1"/>
  <c r="E214" i="1"/>
  <c r="E236" i="1"/>
  <c r="E1996" i="4"/>
  <c r="AL1996" i="4"/>
  <c r="E1998" i="4" s="1"/>
  <c r="E1987" i="4" s="1"/>
  <c r="I859" i="1" s="1"/>
  <c r="J859" i="1" s="1"/>
  <c r="E36" i="1"/>
  <c r="E2226" i="4"/>
  <c r="B2226" i="4" s="1"/>
  <c r="AL2226" i="4"/>
  <c r="AJ2228" i="4" s="1"/>
  <c r="C1974" i="4"/>
  <c r="L596" i="1"/>
  <c r="AF601" i="1"/>
  <c r="E144" i="1"/>
  <c r="E243" i="1"/>
  <c r="E354" i="1"/>
  <c r="G779" i="1"/>
  <c r="H779" i="1" s="1"/>
  <c r="E266" i="1"/>
  <c r="E382" i="1"/>
  <c r="AB11" i="1"/>
  <c r="E861" i="1"/>
  <c r="E23" i="1"/>
  <c r="E366" i="1"/>
  <c r="E17" i="1"/>
  <c r="E284" i="1"/>
  <c r="B686" i="4"/>
  <c r="C612" i="4"/>
  <c r="K123" i="1"/>
  <c r="F123" i="1"/>
  <c r="L123" i="1" s="1"/>
  <c r="L537" i="1"/>
  <c r="AF603" i="1"/>
  <c r="B74" i="4"/>
  <c r="L511" i="1"/>
  <c r="Z24" i="1"/>
  <c r="AG946" i="1"/>
  <c r="E378" i="1"/>
  <c r="E290" i="1"/>
  <c r="E371" i="1"/>
  <c r="E221" i="1"/>
  <c r="K765" i="1"/>
  <c r="F765" i="1"/>
  <c r="K127" i="1"/>
  <c r="F127" i="1"/>
  <c r="L127" i="1" s="1"/>
  <c r="E848" i="1"/>
  <c r="E365" i="1"/>
  <c r="AB37" i="1"/>
  <c r="F746" i="1"/>
  <c r="L746" i="1" s="1"/>
  <c r="K746" i="1"/>
  <c r="E240" i="1"/>
  <c r="E118" i="1"/>
  <c r="L665" i="1"/>
  <c r="Z29" i="1"/>
  <c r="E844" i="1"/>
  <c r="E288" i="1"/>
  <c r="F830" i="1"/>
  <c r="L830" i="1" s="1"/>
  <c r="K830" i="1"/>
  <c r="F756" i="1"/>
  <c r="L756" i="1" s="1"/>
  <c r="K756" i="1"/>
  <c r="E758" i="1"/>
  <c r="E740" i="1"/>
  <c r="Z23" i="1"/>
  <c r="L480" i="1"/>
  <c r="AF605" i="1"/>
  <c r="E289" i="1"/>
  <c r="E134" i="1"/>
  <c r="E39" i="1"/>
  <c r="E216" i="1"/>
  <c r="E245" i="1"/>
  <c r="G78" i="3"/>
  <c r="E30" i="2"/>
  <c r="Y30" i="2" s="1"/>
  <c r="E875" i="1"/>
  <c r="AH2061" i="4"/>
  <c r="D2063" i="4" s="1"/>
  <c r="D2061" i="4"/>
  <c r="C2039" i="4"/>
  <c r="B2050" i="4"/>
  <c r="E360" i="1"/>
  <c r="Y1789" i="4"/>
  <c r="B1789" i="4"/>
  <c r="E390" i="1"/>
  <c r="E847" i="1"/>
  <c r="E21" i="1"/>
  <c r="E256" i="1"/>
  <c r="Y2798" i="4"/>
  <c r="B2798" i="4"/>
  <c r="D2122" i="4"/>
  <c r="B2122" i="4" s="1"/>
  <c r="AH2122" i="4"/>
  <c r="AF2124" i="4" s="1"/>
  <c r="E851" i="1"/>
  <c r="C836" i="4"/>
  <c r="B836" i="4" s="1"/>
  <c r="AD836" i="4"/>
  <c r="C838" i="4" s="1"/>
  <c r="E357" i="1"/>
  <c r="E212" i="1"/>
  <c r="E211" i="1"/>
  <c r="E372" i="1"/>
  <c r="E369" i="1"/>
  <c r="F132" i="1"/>
  <c r="L132" i="1" s="1"/>
  <c r="K132" i="1"/>
  <c r="Y2065" i="4"/>
  <c r="B2065" i="4"/>
  <c r="G782" i="1"/>
  <c r="H782" i="1" s="1"/>
  <c r="I22" i="3"/>
  <c r="J22" i="3" s="1"/>
  <c r="J21" i="3" s="1"/>
  <c r="E42" i="1"/>
  <c r="B304" i="4"/>
  <c r="E742" i="1"/>
  <c r="E136" i="1"/>
  <c r="F122" i="1"/>
  <c r="L122" i="1" s="1"/>
  <c r="K122" i="1"/>
  <c r="G781" i="1"/>
  <c r="H781" i="1" s="1"/>
  <c r="I18" i="3"/>
  <c r="J18" i="3" s="1"/>
  <c r="J17" i="3" s="1"/>
  <c r="B1513" i="4"/>
  <c r="C1961" i="4"/>
  <c r="E237" i="1"/>
  <c r="E263" i="1"/>
  <c r="F748" i="1"/>
  <c r="L748" i="1" s="1"/>
  <c r="K748" i="1"/>
  <c r="G783" i="1"/>
  <c r="H783" i="1" s="1"/>
  <c r="I26" i="3"/>
  <c r="J26" i="3" s="1"/>
  <c r="J25" i="3" s="1"/>
  <c r="D1968" i="4"/>
  <c r="B1968" i="4" s="1"/>
  <c r="AH1968" i="4"/>
  <c r="AF1970" i="4" s="1"/>
  <c r="E842" i="1"/>
  <c r="E2241" i="4"/>
  <c r="AL2241" i="4"/>
  <c r="E2243" i="4" s="1"/>
  <c r="E2232" i="4" s="1"/>
  <c r="I875" i="1" s="1"/>
  <c r="J875" i="1" s="1"/>
  <c r="E219" i="1"/>
  <c r="E31" i="1"/>
  <c r="E117" i="1"/>
  <c r="AA9" i="1"/>
  <c r="E834" i="1"/>
  <c r="E295" i="1"/>
  <c r="K121" i="1"/>
  <c r="F121" i="1"/>
  <c r="L121" i="1" s="1"/>
  <c r="E376" i="1"/>
  <c r="E251" i="1"/>
  <c r="AG945" i="1"/>
  <c r="E763" i="1"/>
  <c r="Y2420" i="4"/>
  <c r="B2420" i="4"/>
  <c r="E873" i="1"/>
  <c r="E229" i="1"/>
  <c r="E241" i="1"/>
  <c r="K749" i="1"/>
  <c r="F749" i="1"/>
  <c r="L749" i="1" s="1"/>
  <c r="E2213" i="4"/>
  <c r="B2213" i="4" s="1"/>
  <c r="AL2213" i="4"/>
  <c r="AJ2215" i="4" s="1"/>
  <c r="B608" i="4" l="1"/>
  <c r="AA10" i="1"/>
  <c r="I5" i="19"/>
  <c r="J5" i="19" s="1"/>
  <c r="J4" i="19" s="1"/>
  <c r="B456" i="4"/>
  <c r="J6" i="3"/>
  <c r="J5" i="3" s="1"/>
  <c r="B1515" i="4"/>
  <c r="J6" i="23"/>
  <c r="I12" i="21" s="1"/>
  <c r="J4" i="18"/>
  <c r="I5" i="20"/>
  <c r="J5" i="20" s="1"/>
  <c r="J4" i="20" s="1"/>
  <c r="B382" i="4"/>
  <c r="B308" i="4" s="1"/>
  <c r="G785" i="1"/>
  <c r="H785" i="1" s="1"/>
  <c r="G12" i="18"/>
  <c r="H12" i="18" s="1"/>
  <c r="G12" i="22"/>
  <c r="H12" i="22" s="1"/>
  <c r="G787" i="1"/>
  <c r="H787" i="1" s="1"/>
  <c r="G14" i="18"/>
  <c r="H14" i="18" s="1"/>
  <c r="G14" i="22"/>
  <c r="H14" i="22" s="1"/>
  <c r="G786" i="1"/>
  <c r="H786" i="1" s="1"/>
  <c r="G13" i="18"/>
  <c r="H13" i="18" s="1"/>
  <c r="G13" i="22"/>
  <c r="H13" i="22" s="1"/>
  <c r="G791" i="1"/>
  <c r="H791" i="1" s="1"/>
  <c r="G18" i="22"/>
  <c r="H18" i="22" s="1"/>
  <c r="G18" i="18"/>
  <c r="H18" i="18" s="1"/>
  <c r="G794" i="1"/>
  <c r="H794" i="1" s="1"/>
  <c r="G21" i="22"/>
  <c r="H21" i="22" s="1"/>
  <c r="G21" i="18"/>
  <c r="H21" i="18" s="1"/>
  <c r="J6" i="24"/>
  <c r="N12" i="21" s="1"/>
  <c r="J4" i="24"/>
  <c r="G796" i="1"/>
  <c r="H796" i="1" s="1"/>
  <c r="G23" i="18"/>
  <c r="H23" i="18" s="1"/>
  <c r="G14" i="23"/>
  <c r="H14" i="23" s="1"/>
  <c r="G14" i="20"/>
  <c r="H14" i="20" s="1"/>
  <c r="G23" i="22"/>
  <c r="H23" i="22" s="1"/>
  <c r="G14" i="24"/>
  <c r="H14" i="24" s="1"/>
  <c r="G14" i="19"/>
  <c r="H14" i="19" s="1"/>
  <c r="G797" i="1"/>
  <c r="H797" i="1" s="1"/>
  <c r="G24" i="18"/>
  <c r="H24" i="18" s="1"/>
  <c r="G15" i="23"/>
  <c r="H15" i="23" s="1"/>
  <c r="G15" i="20"/>
  <c r="H15" i="20" s="1"/>
  <c r="G24" i="22"/>
  <c r="H24" i="22" s="1"/>
  <c r="G15" i="24"/>
  <c r="H15" i="24" s="1"/>
  <c r="G15" i="19"/>
  <c r="H15" i="19" s="1"/>
  <c r="G788" i="1"/>
  <c r="H788" i="1" s="1"/>
  <c r="G15" i="18"/>
  <c r="H15" i="18" s="1"/>
  <c r="G15" i="22"/>
  <c r="H15" i="22" s="1"/>
  <c r="G798" i="1"/>
  <c r="H798" i="1" s="1"/>
  <c r="G25" i="18"/>
  <c r="H25" i="18" s="1"/>
  <c r="G16" i="23"/>
  <c r="H16" i="23" s="1"/>
  <c r="G16" i="20"/>
  <c r="H16" i="20" s="1"/>
  <c r="G25" i="22"/>
  <c r="H25" i="22" s="1"/>
  <c r="G16" i="24"/>
  <c r="H16" i="24" s="1"/>
  <c r="G16" i="19"/>
  <c r="H16" i="19" s="1"/>
  <c r="G792" i="1"/>
  <c r="H792" i="1" s="1"/>
  <c r="G19" i="22"/>
  <c r="H19" i="22" s="1"/>
  <c r="G12" i="24"/>
  <c r="H12" i="24" s="1"/>
  <c r="G12" i="19"/>
  <c r="H12" i="19" s="1"/>
  <c r="G19" i="18"/>
  <c r="H19" i="18" s="1"/>
  <c r="G12" i="23"/>
  <c r="H12" i="23" s="1"/>
  <c r="G12" i="20"/>
  <c r="H12" i="20" s="1"/>
  <c r="J6" i="22"/>
  <c r="J4" i="22"/>
  <c r="G790" i="1"/>
  <c r="H790" i="1" s="1"/>
  <c r="G17" i="22"/>
  <c r="H17" i="22" s="1"/>
  <c r="G17" i="18"/>
  <c r="H17" i="18" s="1"/>
  <c r="G795" i="1"/>
  <c r="H795" i="1" s="1"/>
  <c r="G22" i="18"/>
  <c r="H22" i="18" s="1"/>
  <c r="G13" i="20"/>
  <c r="H13" i="20" s="1"/>
  <c r="G22" i="22"/>
  <c r="H22" i="22" s="1"/>
  <c r="G13" i="24"/>
  <c r="H13" i="24" s="1"/>
  <c r="G13" i="19"/>
  <c r="H13" i="19" s="1"/>
  <c r="G13" i="23"/>
  <c r="H13" i="23" s="1"/>
  <c r="G793" i="1"/>
  <c r="H793" i="1" s="1"/>
  <c r="G20" i="22"/>
  <c r="H20" i="22" s="1"/>
  <c r="G20" i="18"/>
  <c r="H20" i="18" s="1"/>
  <c r="J6" i="19"/>
  <c r="I12" i="17" s="1"/>
  <c r="AA11" i="1"/>
  <c r="B1290" i="4"/>
  <c r="I867" i="1"/>
  <c r="J867" i="1" s="1"/>
  <c r="I802" i="1"/>
  <c r="J802" i="1" s="1"/>
  <c r="AH1944" i="4"/>
  <c r="D1946" i="4" s="1"/>
  <c r="D1944" i="4"/>
  <c r="B1944" i="4" s="1"/>
  <c r="AH2137" i="4"/>
  <c r="D2139" i="4" s="1"/>
  <c r="D2137" i="4"/>
  <c r="B2137" i="4" s="1"/>
  <c r="H112" i="1"/>
  <c r="E857" i="1"/>
  <c r="F245" i="1"/>
  <c r="L245" i="1" s="1"/>
  <c r="K245" i="1"/>
  <c r="K28" i="1"/>
  <c r="F28" i="1"/>
  <c r="L28" i="1" s="1"/>
  <c r="L128" i="1"/>
  <c r="K1464" i="1"/>
  <c r="F1464" i="1"/>
  <c r="L1464" i="1" s="1"/>
  <c r="E61" i="3"/>
  <c r="H61" i="3"/>
  <c r="B2141" i="4"/>
  <c r="Y2141" i="4"/>
  <c r="K16" i="1"/>
  <c r="F16" i="1"/>
  <c r="L16" i="1" s="1"/>
  <c r="D2189" i="4"/>
  <c r="B2189" i="4" s="1"/>
  <c r="AH2189" i="4"/>
  <c r="D2191" i="4" s="1"/>
  <c r="I860" i="1"/>
  <c r="J860" i="1" s="1"/>
  <c r="I809" i="1"/>
  <c r="J809" i="1" s="1"/>
  <c r="F249" i="1"/>
  <c r="L249" i="1" s="1"/>
  <c r="K249" i="1"/>
  <c r="G195" i="1"/>
  <c r="K230" i="1"/>
  <c r="F230" i="1"/>
  <c r="L230" i="1" s="1"/>
  <c r="D1970" i="4"/>
  <c r="B1970" i="4" s="1"/>
  <c r="AH1970" i="4"/>
  <c r="D1972" i="4" s="1"/>
  <c r="K212" i="1"/>
  <c r="F212" i="1"/>
  <c r="L212" i="1" s="1"/>
  <c r="K851" i="1"/>
  <c r="F851" i="1"/>
  <c r="K256" i="1"/>
  <c r="F256" i="1"/>
  <c r="L256" i="1" s="1"/>
  <c r="K390" i="1"/>
  <c r="F390" i="1"/>
  <c r="L390" i="1" s="1"/>
  <c r="E863" i="1"/>
  <c r="F134" i="1"/>
  <c r="L134" i="1" s="1"/>
  <c r="K134" i="1"/>
  <c r="K240" i="1"/>
  <c r="F240" i="1"/>
  <c r="L240" i="1" s="1"/>
  <c r="L765" i="1"/>
  <c r="F371" i="1"/>
  <c r="L371" i="1" s="1"/>
  <c r="K371" i="1"/>
  <c r="K284" i="1"/>
  <c r="F284" i="1"/>
  <c r="L284" i="1" s="1"/>
  <c r="K23" i="1"/>
  <c r="F23" i="1"/>
  <c r="L23" i="1" s="1"/>
  <c r="K135" i="1"/>
  <c r="F135" i="1"/>
  <c r="L135" i="1" s="1"/>
  <c r="K139" i="1"/>
  <c r="F139" i="1"/>
  <c r="L139" i="1" s="1"/>
  <c r="K248" i="1"/>
  <c r="F248" i="1"/>
  <c r="L248" i="1" s="1"/>
  <c r="K286" i="1"/>
  <c r="F286" i="1"/>
  <c r="L286" i="1" s="1"/>
  <c r="K242" i="1"/>
  <c r="F242" i="1"/>
  <c r="L242" i="1" s="1"/>
  <c r="K24" i="1"/>
  <c r="F24" i="1"/>
  <c r="L24" i="1" s="1"/>
  <c r="F235" i="1"/>
  <c r="L235" i="1" s="1"/>
  <c r="K235" i="1"/>
  <c r="J945" i="1"/>
  <c r="K38" i="1"/>
  <c r="F38" i="1"/>
  <c r="L38" i="1" s="1"/>
  <c r="K133" i="1"/>
  <c r="F133" i="1"/>
  <c r="L133" i="1" s="1"/>
  <c r="F269" i="1"/>
  <c r="K269" i="1"/>
  <c r="E860" i="1"/>
  <c r="E825" i="1"/>
  <c r="K35" i="1"/>
  <c r="F35" i="1"/>
  <c r="L35" i="1" s="1"/>
  <c r="F391" i="1"/>
  <c r="L391" i="1" s="1"/>
  <c r="K391" i="1"/>
  <c r="H202" i="1"/>
  <c r="L202" i="1" s="1"/>
  <c r="K202" i="1"/>
  <c r="K831" i="1"/>
  <c r="F831" i="1"/>
  <c r="L831" i="1" s="1"/>
  <c r="F381" i="1"/>
  <c r="K381" i="1"/>
  <c r="K22" i="1"/>
  <c r="F22" i="1"/>
  <c r="L22" i="1" s="1"/>
  <c r="F377" i="1"/>
  <c r="L377" i="1" s="1"/>
  <c r="K377" i="1"/>
  <c r="B1592" i="4"/>
  <c r="C1519" i="4"/>
  <c r="G205" i="1"/>
  <c r="K350" i="1"/>
  <c r="F350" i="1"/>
  <c r="D2163" i="4"/>
  <c r="B2163" i="4" s="1"/>
  <c r="AH2163" i="4"/>
  <c r="D2165" i="4" s="1"/>
  <c r="F116" i="1"/>
  <c r="L116" i="1" s="1"/>
  <c r="K116" i="1"/>
  <c r="C1444" i="4"/>
  <c r="B1517" i="4"/>
  <c r="K27" i="1"/>
  <c r="F27" i="1"/>
  <c r="L27" i="1" s="1"/>
  <c r="E818" i="1"/>
  <c r="E821" i="1"/>
  <c r="E1486" i="1"/>
  <c r="F265" i="1"/>
  <c r="L265" i="1" s="1"/>
  <c r="K265" i="1"/>
  <c r="F259" i="1"/>
  <c r="L259" i="1" s="1"/>
  <c r="K259" i="1"/>
  <c r="E129" i="3"/>
  <c r="H129" i="3"/>
  <c r="F261" i="1"/>
  <c r="L261" i="1" s="1"/>
  <c r="K261" i="1"/>
  <c r="K276" i="1"/>
  <c r="F276" i="1"/>
  <c r="L276" i="1" s="1"/>
  <c r="K32" i="1"/>
  <c r="F32" i="1"/>
  <c r="L32" i="1" s="1"/>
  <c r="E868" i="1"/>
  <c r="F850" i="1"/>
  <c r="L850" i="1" s="1"/>
  <c r="K850" i="1"/>
  <c r="K14" i="1"/>
  <c r="F14" i="1"/>
  <c r="L14" i="1" s="1"/>
  <c r="AH2009" i="4"/>
  <c r="D2011" i="4" s="1"/>
  <c r="D2009" i="4"/>
  <c r="B2009" i="4" s="1"/>
  <c r="F283" i="1"/>
  <c r="L283" i="1" s="1"/>
  <c r="K283" i="1"/>
  <c r="K374" i="1"/>
  <c r="F374" i="1"/>
  <c r="L374" i="1" s="1"/>
  <c r="K232" i="1"/>
  <c r="F232" i="1"/>
  <c r="L232" i="1" s="1"/>
  <c r="E2059" i="4"/>
  <c r="B2059" i="4" s="1"/>
  <c r="AL2059" i="4"/>
  <c r="AJ2061" i="4" s="1"/>
  <c r="F209" i="1"/>
  <c r="L209" i="1" s="1"/>
  <c r="K209" i="1"/>
  <c r="C916" i="4"/>
  <c r="B989" i="4"/>
  <c r="K234" i="1"/>
  <c r="F234" i="1"/>
  <c r="L234" i="1" s="1"/>
  <c r="F213" i="1"/>
  <c r="L213" i="1" s="1"/>
  <c r="K213" i="1"/>
  <c r="F293" i="1"/>
  <c r="L293" i="1" s="1"/>
  <c r="K293" i="1"/>
  <c r="F287" i="1"/>
  <c r="L287" i="1" s="1"/>
  <c r="K287" i="1"/>
  <c r="K296" i="1"/>
  <c r="F296" i="1"/>
  <c r="L296" i="1" s="1"/>
  <c r="Y2026" i="4"/>
  <c r="B2026" i="4"/>
  <c r="F873" i="1"/>
  <c r="K31" i="1"/>
  <c r="F31" i="1"/>
  <c r="L31" i="1" s="1"/>
  <c r="Y2039" i="4"/>
  <c r="B2039" i="4"/>
  <c r="F217" i="1"/>
  <c r="L217" i="1" s="1"/>
  <c r="K217" i="1"/>
  <c r="F215" i="1"/>
  <c r="L215" i="1" s="1"/>
  <c r="K215" i="1"/>
  <c r="K238" i="1"/>
  <c r="F238" i="1"/>
  <c r="L238" i="1" s="1"/>
  <c r="F363" i="1"/>
  <c r="K363" i="1"/>
  <c r="F385" i="1"/>
  <c r="L385" i="1" s="1"/>
  <c r="K385" i="1"/>
  <c r="K280" i="1"/>
  <c r="F280" i="1"/>
  <c r="L280" i="1" s="1"/>
  <c r="E865" i="1"/>
  <c r="K30" i="1"/>
  <c r="F30" i="1"/>
  <c r="L30" i="1" s="1"/>
  <c r="F275" i="1"/>
  <c r="L275" i="1" s="1"/>
  <c r="K275" i="1"/>
  <c r="C1594" i="4"/>
  <c r="B1667" i="4"/>
  <c r="B762" i="4"/>
  <c r="C688" i="4"/>
  <c r="K370" i="1"/>
  <c r="F370" i="1"/>
  <c r="L370" i="1" s="1"/>
  <c r="E826" i="1"/>
  <c r="E872" i="1"/>
  <c r="F229" i="1"/>
  <c r="L229" i="1" s="1"/>
  <c r="K229" i="1"/>
  <c r="F219" i="1"/>
  <c r="L219" i="1" s="1"/>
  <c r="K219" i="1"/>
  <c r="F263" i="1"/>
  <c r="L263" i="1" s="1"/>
  <c r="K263" i="1"/>
  <c r="F369" i="1"/>
  <c r="L369" i="1" s="1"/>
  <c r="K369" i="1"/>
  <c r="D2124" i="4"/>
  <c r="B2124" i="4" s="1"/>
  <c r="AH2124" i="4"/>
  <c r="D2126" i="4" s="1"/>
  <c r="F875" i="1"/>
  <c r="K216" i="1"/>
  <c r="F216" i="1"/>
  <c r="L216" i="1" s="1"/>
  <c r="K740" i="1"/>
  <c r="F740" i="1"/>
  <c r="L740" i="1" s="1"/>
  <c r="F365" i="1"/>
  <c r="L365" i="1" s="1"/>
  <c r="K365" i="1"/>
  <c r="F243" i="1"/>
  <c r="L243" i="1" s="1"/>
  <c r="K243" i="1"/>
  <c r="E858" i="1"/>
  <c r="K236" i="1"/>
  <c r="F236" i="1"/>
  <c r="L236" i="1" s="1"/>
  <c r="F225" i="1"/>
  <c r="L225" i="1" s="1"/>
  <c r="K225" i="1"/>
  <c r="E94" i="1"/>
  <c r="E827" i="1"/>
  <c r="E814" i="1"/>
  <c r="I865" i="1"/>
  <c r="J865" i="1" s="1"/>
  <c r="I804" i="1"/>
  <c r="J804" i="1" s="1"/>
  <c r="E829" i="1"/>
  <c r="K20" i="1"/>
  <c r="F20" i="1"/>
  <c r="L20" i="1" s="1"/>
  <c r="E871" i="1"/>
  <c r="K210" i="1"/>
  <c r="F210" i="1"/>
  <c r="L210" i="1" s="1"/>
  <c r="D2202" i="4"/>
  <c r="B2202" i="4" s="1"/>
  <c r="AH2202" i="4"/>
  <c r="D2204" i="4" s="1"/>
  <c r="B76" i="4"/>
  <c r="E856" i="1"/>
  <c r="G196" i="1"/>
  <c r="H62" i="3"/>
  <c r="F62" i="3" s="1"/>
  <c r="E62" i="3"/>
  <c r="K41" i="1"/>
  <c r="F41" i="1"/>
  <c r="L41" i="1" s="1"/>
  <c r="F389" i="1"/>
  <c r="L389" i="1" s="1"/>
  <c r="K389" i="1"/>
  <c r="K40" i="1"/>
  <c r="F40" i="1"/>
  <c r="L40" i="1" s="1"/>
  <c r="K137" i="1"/>
  <c r="F137" i="1"/>
  <c r="L137" i="1" s="1"/>
  <c r="F867" i="1"/>
  <c r="G194" i="1"/>
  <c r="I866" i="1"/>
  <c r="J866" i="1" s="1"/>
  <c r="I803" i="1"/>
  <c r="J803" i="1" s="1"/>
  <c r="E816" i="1"/>
  <c r="K739" i="1"/>
  <c r="F739" i="1"/>
  <c r="F267" i="1"/>
  <c r="L267" i="1" s="1"/>
  <c r="K267" i="1"/>
  <c r="K845" i="1"/>
  <c r="F845" i="1"/>
  <c r="L845" i="1" s="1"/>
  <c r="F760" i="1"/>
  <c r="L760" i="1" s="1"/>
  <c r="K760" i="1"/>
  <c r="E815" i="1"/>
  <c r="K252" i="1"/>
  <c r="F252" i="1"/>
  <c r="F281" i="1"/>
  <c r="L281" i="1" s="1"/>
  <c r="K281" i="1"/>
  <c r="F142" i="1"/>
  <c r="L142" i="1" s="1"/>
  <c r="K142" i="1"/>
  <c r="E862" i="1"/>
  <c r="K841" i="1"/>
  <c r="F841" i="1"/>
  <c r="L841" i="1" s="1"/>
  <c r="E813" i="1"/>
  <c r="F601" i="1"/>
  <c r="L601" i="1" s="1"/>
  <c r="K268" i="1"/>
  <c r="F268" i="1"/>
  <c r="L268" i="1" s="1"/>
  <c r="K244" i="1"/>
  <c r="F244" i="1"/>
  <c r="L244" i="1" s="1"/>
  <c r="E2215" i="4"/>
  <c r="B2215" i="4" s="1"/>
  <c r="AL2215" i="4"/>
  <c r="E2217" i="4" s="1"/>
  <c r="F136" i="1"/>
  <c r="L136" i="1" s="1"/>
  <c r="K136" i="1"/>
  <c r="F357" i="1"/>
  <c r="L357" i="1" s="1"/>
  <c r="K357" i="1"/>
  <c r="K21" i="1"/>
  <c r="F21" i="1"/>
  <c r="L21" i="1" s="1"/>
  <c r="D2052" i="4"/>
  <c r="F289" i="1"/>
  <c r="L289" i="1" s="1"/>
  <c r="K289" i="1"/>
  <c r="K290" i="1"/>
  <c r="F290" i="1"/>
  <c r="L290" i="1" s="1"/>
  <c r="F840" i="1"/>
  <c r="L840" i="1" s="1"/>
  <c r="K840" i="1"/>
  <c r="K270" i="1"/>
  <c r="F270" i="1"/>
  <c r="L270" i="1" s="1"/>
  <c r="F754" i="1"/>
  <c r="L754" i="1" s="1"/>
  <c r="K754" i="1"/>
  <c r="E866" i="1"/>
  <c r="E45" i="3"/>
  <c r="H45" i="3"/>
  <c r="F45" i="3" s="1"/>
  <c r="K386" i="1"/>
  <c r="F386" i="1"/>
  <c r="L386" i="1" s="1"/>
  <c r="Y1948" i="4"/>
  <c r="B1948" i="4"/>
  <c r="K33" i="1"/>
  <c r="F33" i="1"/>
  <c r="L33" i="1" s="1"/>
  <c r="G193" i="1"/>
  <c r="E822" i="1"/>
  <c r="C1369" i="4"/>
  <c r="B1442" i="4"/>
  <c r="E112" i="3"/>
  <c r="H112" i="3"/>
  <c r="F855" i="1"/>
  <c r="B1141" i="4"/>
  <c r="C1067" i="4"/>
  <c r="E828" i="1"/>
  <c r="F359" i="1"/>
  <c r="L359" i="1" s="1"/>
  <c r="K359" i="1"/>
  <c r="K759" i="1"/>
  <c r="F759" i="1"/>
  <c r="F383" i="1"/>
  <c r="L383" i="1" s="1"/>
  <c r="K383" i="1"/>
  <c r="F859" i="1"/>
  <c r="F393" i="1"/>
  <c r="K393" i="1"/>
  <c r="F351" i="1"/>
  <c r="K351" i="1"/>
  <c r="K368" i="1"/>
  <c r="F368" i="1"/>
  <c r="L368" i="1" s="1"/>
  <c r="K362" i="1"/>
  <c r="F362" i="1"/>
  <c r="L362" i="1" s="1"/>
  <c r="K278" i="1"/>
  <c r="F278" i="1"/>
  <c r="L278" i="1" s="1"/>
  <c r="F864" i="1"/>
  <c r="K260" i="1"/>
  <c r="F260" i="1"/>
  <c r="L260" i="1" s="1"/>
  <c r="L750" i="1"/>
  <c r="F846" i="1"/>
  <c r="L846" i="1" s="1"/>
  <c r="K846" i="1"/>
  <c r="K15" i="1"/>
  <c r="F15" i="1"/>
  <c r="L15" i="1" s="1"/>
  <c r="K274" i="1"/>
  <c r="F274" i="1"/>
  <c r="L274" i="1" s="1"/>
  <c r="E876" i="1"/>
  <c r="F138" i="1"/>
  <c r="L138" i="1" s="1"/>
  <c r="K138" i="1"/>
  <c r="K258" i="1"/>
  <c r="F258" i="1"/>
  <c r="L258" i="1" s="1"/>
  <c r="K43" i="1"/>
  <c r="F43" i="1"/>
  <c r="K747" i="1"/>
  <c r="F747" i="1"/>
  <c r="L747" i="1" s="1"/>
  <c r="F361" i="1"/>
  <c r="L361" i="1" s="1"/>
  <c r="K361" i="1"/>
  <c r="K272" i="1"/>
  <c r="F272" i="1"/>
  <c r="L272" i="1" s="1"/>
  <c r="K358" i="1"/>
  <c r="F358" i="1"/>
  <c r="L358" i="1" s="1"/>
  <c r="E1981" i="4"/>
  <c r="B1981" i="4" s="1"/>
  <c r="AL1981" i="4"/>
  <c r="AJ1983" i="4" s="1"/>
  <c r="E2228" i="4"/>
  <c r="B2228" i="4" s="1"/>
  <c r="AL2228" i="4"/>
  <c r="E2230" i="4" s="1"/>
  <c r="Y232" i="4"/>
  <c r="B232" i="4"/>
  <c r="F247" i="1"/>
  <c r="L247" i="1" s="1"/>
  <c r="K247" i="1"/>
  <c r="Y156" i="4"/>
  <c r="B156" i="4"/>
  <c r="K26" i="1"/>
  <c r="F26" i="1"/>
  <c r="L26" i="1" s="1"/>
  <c r="F251" i="1"/>
  <c r="L251" i="1" s="1"/>
  <c r="K251" i="1"/>
  <c r="F295" i="1"/>
  <c r="L295" i="1" s="1"/>
  <c r="K295" i="1"/>
  <c r="K117" i="1"/>
  <c r="F117" i="1"/>
  <c r="L117" i="1" s="1"/>
  <c r="K42" i="1"/>
  <c r="F42" i="1"/>
  <c r="L42" i="1" s="1"/>
  <c r="K17" i="1"/>
  <c r="F17" i="1"/>
  <c r="L17" i="1" s="1"/>
  <c r="K36" i="1"/>
  <c r="F36" i="1"/>
  <c r="L36" i="1" s="1"/>
  <c r="K228" i="1"/>
  <c r="F228" i="1"/>
  <c r="L228" i="1" s="1"/>
  <c r="K833" i="1"/>
  <c r="F833" i="1"/>
  <c r="L833" i="1" s="1"/>
  <c r="B534" i="4"/>
  <c r="C460" i="4"/>
  <c r="E874" i="1"/>
  <c r="E96" i="3"/>
  <c r="H96" i="3"/>
  <c r="F96" i="3" s="1"/>
  <c r="K262" i="1"/>
  <c r="F262" i="1"/>
  <c r="L262" i="1" s="1"/>
  <c r="B2167" i="4"/>
  <c r="Y2167" i="4"/>
  <c r="K141" i="1"/>
  <c r="F141" i="1"/>
  <c r="L141" i="1" s="1"/>
  <c r="K37" i="1"/>
  <c r="F37" i="1"/>
  <c r="L37" i="1" s="1"/>
  <c r="C80" i="4"/>
  <c r="B154" i="4"/>
  <c r="F231" i="1"/>
  <c r="L231" i="1" s="1"/>
  <c r="K231" i="1"/>
  <c r="B78" i="4"/>
  <c r="C4" i="4"/>
  <c r="K763" i="1"/>
  <c r="F763" i="1"/>
  <c r="L763" i="1" s="1"/>
  <c r="K372" i="1"/>
  <c r="F372" i="1"/>
  <c r="L372" i="1" s="1"/>
  <c r="F211" i="1"/>
  <c r="L211" i="1" s="1"/>
  <c r="K211" i="1"/>
  <c r="C764" i="4"/>
  <c r="B838" i="4"/>
  <c r="H78" i="3"/>
  <c r="E78" i="3"/>
  <c r="K39" i="1"/>
  <c r="F39" i="1"/>
  <c r="L39" i="1" s="1"/>
  <c r="F758" i="1"/>
  <c r="L758" i="1" s="1"/>
  <c r="K758" i="1"/>
  <c r="K288" i="1"/>
  <c r="F288" i="1"/>
  <c r="L288" i="1" s="1"/>
  <c r="E819" i="1"/>
  <c r="F848" i="1"/>
  <c r="L848" i="1" s="1"/>
  <c r="K848" i="1"/>
  <c r="E98" i="1"/>
  <c r="K861" i="1"/>
  <c r="F861" i="1"/>
  <c r="L861" i="1" s="1"/>
  <c r="K382" i="1"/>
  <c r="F382" i="1"/>
  <c r="L382" i="1" s="1"/>
  <c r="K354" i="1"/>
  <c r="F354" i="1"/>
  <c r="L354" i="1" s="1"/>
  <c r="K214" i="1"/>
  <c r="F214" i="1"/>
  <c r="L214" i="1" s="1"/>
  <c r="K356" i="1"/>
  <c r="F356" i="1"/>
  <c r="L356" i="1" s="1"/>
  <c r="E869" i="1"/>
  <c r="F373" i="1"/>
  <c r="L373" i="1" s="1"/>
  <c r="K373" i="1"/>
  <c r="K226" i="1"/>
  <c r="F226" i="1"/>
  <c r="L226" i="1" s="1"/>
  <c r="K757" i="1"/>
  <c r="F757" i="1"/>
  <c r="L757" i="1" s="1"/>
  <c r="D2111" i="4"/>
  <c r="B2111" i="4" s="1"/>
  <c r="AH2111" i="4"/>
  <c r="D2113" i="4" s="1"/>
  <c r="K115" i="1"/>
  <c r="F115" i="1"/>
  <c r="L115" i="1" s="1"/>
  <c r="F736" i="1"/>
  <c r="L736" i="1" s="1"/>
  <c r="E817" i="1"/>
  <c r="K352" i="1"/>
  <c r="F352" i="1"/>
  <c r="L352" i="1" s="1"/>
  <c r="E870" i="1"/>
  <c r="F379" i="1"/>
  <c r="L379" i="1" s="1"/>
  <c r="K379" i="1"/>
  <c r="K29" i="1"/>
  <c r="F29" i="1"/>
  <c r="L29" i="1" s="1"/>
  <c r="K12" i="1"/>
  <c r="F12" i="1"/>
  <c r="F387" i="1"/>
  <c r="L387" i="1" s="1"/>
  <c r="K387" i="1"/>
  <c r="F227" i="1"/>
  <c r="L227" i="1" s="1"/>
  <c r="K227" i="1"/>
  <c r="B1367" i="4"/>
  <c r="C1294" i="4"/>
  <c r="K392" i="1"/>
  <c r="F392" i="1"/>
  <c r="L392" i="1" s="1"/>
  <c r="F285" i="1"/>
  <c r="K285" i="1"/>
  <c r="K294" i="1"/>
  <c r="F294" i="1"/>
  <c r="L294" i="1" s="1"/>
  <c r="H95" i="3"/>
  <c r="E95" i="3"/>
  <c r="H113" i="3"/>
  <c r="F113" i="3" s="1"/>
  <c r="E113" i="3"/>
  <c r="F257" i="1"/>
  <c r="L257" i="1" s="1"/>
  <c r="K257" i="1"/>
  <c r="E820" i="1"/>
  <c r="C1143" i="4"/>
  <c r="B1217" i="4"/>
  <c r="K849" i="1"/>
  <c r="F849" i="1"/>
  <c r="L849" i="1" s="1"/>
  <c r="K839" i="1"/>
  <c r="F839" i="1"/>
  <c r="L839" i="1" s="1"/>
  <c r="G201" i="1"/>
  <c r="F291" i="1"/>
  <c r="L291" i="1" s="1"/>
  <c r="K291" i="1"/>
  <c r="K384" i="1"/>
  <c r="F384" i="1"/>
  <c r="L384" i="1" s="1"/>
  <c r="F233" i="1"/>
  <c r="L233" i="1" s="1"/>
  <c r="K233" i="1"/>
  <c r="D2254" i="4"/>
  <c r="B2254" i="4" s="1"/>
  <c r="AH2254" i="4"/>
  <c r="D2256" i="4" s="1"/>
  <c r="K388" i="1"/>
  <c r="F388" i="1"/>
  <c r="L388" i="1" s="1"/>
  <c r="C1219" i="4"/>
  <c r="B1292" i="4"/>
  <c r="B1063" i="4"/>
  <c r="F273" i="1"/>
  <c r="L273" i="1" s="1"/>
  <c r="K273" i="1"/>
  <c r="F353" i="1"/>
  <c r="L353" i="1" s="1"/>
  <c r="K353" i="1"/>
  <c r="K13" i="1"/>
  <c r="F13" i="1"/>
  <c r="L13" i="1" s="1"/>
  <c r="F842" i="1"/>
  <c r="L842" i="1" s="1"/>
  <c r="K842" i="1"/>
  <c r="F742" i="1"/>
  <c r="L742" i="1" s="1"/>
  <c r="K742" i="1"/>
  <c r="F844" i="1"/>
  <c r="L844" i="1" s="1"/>
  <c r="K844" i="1"/>
  <c r="K266" i="1"/>
  <c r="F266" i="1"/>
  <c r="L266" i="1" s="1"/>
  <c r="G200" i="1"/>
  <c r="E823" i="1"/>
  <c r="F241" i="1"/>
  <c r="L241" i="1" s="1"/>
  <c r="K241" i="1"/>
  <c r="H945" i="1"/>
  <c r="K376" i="1"/>
  <c r="F376" i="1"/>
  <c r="L376" i="1" s="1"/>
  <c r="F834" i="1"/>
  <c r="K834" i="1"/>
  <c r="F237" i="1"/>
  <c r="L237" i="1" s="1"/>
  <c r="K237" i="1"/>
  <c r="K847" i="1"/>
  <c r="F847" i="1"/>
  <c r="L847" i="1" s="1"/>
  <c r="K360" i="1"/>
  <c r="F360" i="1"/>
  <c r="L360" i="1" s="1"/>
  <c r="F118" i="1"/>
  <c r="L118" i="1" s="1"/>
  <c r="K118" i="1"/>
  <c r="F221" i="1"/>
  <c r="L221" i="1" s="1"/>
  <c r="K221" i="1"/>
  <c r="K378" i="1"/>
  <c r="F378" i="1"/>
  <c r="L378" i="1" s="1"/>
  <c r="Y612" i="4"/>
  <c r="B612" i="4"/>
  <c r="K366" i="1"/>
  <c r="F366" i="1"/>
  <c r="L366" i="1" s="1"/>
  <c r="F144" i="1"/>
  <c r="K144" i="1"/>
  <c r="G199" i="1"/>
  <c r="K222" i="1"/>
  <c r="F222" i="1"/>
  <c r="K380" i="1"/>
  <c r="F380" i="1"/>
  <c r="L380" i="1" s="1"/>
  <c r="K298" i="1"/>
  <c r="F298" i="1"/>
  <c r="L298" i="1" s="1"/>
  <c r="B458" i="4"/>
  <c r="C384" i="4"/>
  <c r="K282" i="1"/>
  <c r="F282" i="1"/>
  <c r="L282" i="1" s="1"/>
  <c r="E93" i="1"/>
  <c r="K19" i="1"/>
  <c r="F19" i="1"/>
  <c r="L19" i="1" s="1"/>
  <c r="K218" i="1"/>
  <c r="F218" i="1"/>
  <c r="L218" i="1" s="1"/>
  <c r="D2241" i="4"/>
  <c r="B2241" i="4" s="1"/>
  <c r="AH2241" i="4"/>
  <c r="D2243" i="4" s="1"/>
  <c r="E92" i="1"/>
  <c r="K292" i="1"/>
  <c r="F292" i="1"/>
  <c r="L292" i="1" s="1"/>
  <c r="F223" i="1"/>
  <c r="L223" i="1" s="1"/>
  <c r="K223" i="1"/>
  <c r="E79" i="3"/>
  <c r="H79" i="3"/>
  <c r="F79" i="3" s="1"/>
  <c r="K25" i="1"/>
  <c r="F25" i="1"/>
  <c r="L25" i="1" s="1"/>
  <c r="K364" i="1"/>
  <c r="F364" i="1"/>
  <c r="L364" i="1" s="1"/>
  <c r="F367" i="1"/>
  <c r="L367" i="1" s="1"/>
  <c r="K367" i="1"/>
  <c r="K264" i="1"/>
  <c r="F264" i="1"/>
  <c r="L264" i="1" s="1"/>
  <c r="K224" i="1"/>
  <c r="F224" i="1"/>
  <c r="L224" i="1" s="1"/>
  <c r="E824" i="1"/>
  <c r="F140" i="1"/>
  <c r="L140" i="1" s="1"/>
  <c r="K140" i="1"/>
  <c r="L126" i="1"/>
  <c r="K843" i="1"/>
  <c r="F843" i="1"/>
  <c r="L843" i="1" s="1"/>
  <c r="AH1996" i="4"/>
  <c r="D1998" i="4" s="1"/>
  <c r="D1996" i="4"/>
  <c r="B1996" i="4" s="1"/>
  <c r="F239" i="1"/>
  <c r="L239" i="1" s="1"/>
  <c r="K239" i="1"/>
  <c r="K18" i="1"/>
  <c r="F18" i="1"/>
  <c r="L18" i="1" s="1"/>
  <c r="K743" i="1"/>
  <c r="F743" i="1"/>
  <c r="L743" i="1" s="1"/>
  <c r="G197" i="1"/>
  <c r="F297" i="1"/>
  <c r="L297" i="1" s="1"/>
  <c r="K297" i="1"/>
  <c r="F299" i="1"/>
  <c r="K299" i="1"/>
  <c r="K220" i="1"/>
  <c r="F220" i="1"/>
  <c r="L220" i="1" s="1"/>
  <c r="C536" i="4"/>
  <c r="B610" i="4"/>
  <c r="F355" i="1"/>
  <c r="L355" i="1" s="1"/>
  <c r="K355" i="1"/>
  <c r="F277" i="1"/>
  <c r="L277" i="1" s="1"/>
  <c r="K277" i="1"/>
  <c r="H44" i="3"/>
  <c r="E44" i="3"/>
  <c r="K246" i="1"/>
  <c r="F246" i="1"/>
  <c r="L246" i="1" s="1"/>
  <c r="B914" i="4"/>
  <c r="C840" i="4"/>
  <c r="K143" i="1"/>
  <c r="F143" i="1"/>
  <c r="L143" i="1" s="1"/>
  <c r="F375" i="1"/>
  <c r="L375" i="1" s="1"/>
  <c r="K375" i="1"/>
  <c r="C991" i="4"/>
  <c r="B1065" i="4"/>
  <c r="H130" i="3"/>
  <c r="F130" i="3" s="1"/>
  <c r="E130" i="3"/>
  <c r="F279" i="1"/>
  <c r="L279" i="1" s="1"/>
  <c r="K279" i="1"/>
  <c r="F271" i="1"/>
  <c r="L271" i="1" s="1"/>
  <c r="K271" i="1"/>
  <c r="K34" i="1"/>
  <c r="F34" i="1"/>
  <c r="L34" i="1" s="1"/>
  <c r="K250" i="1"/>
  <c r="F250" i="1"/>
  <c r="L250" i="1" s="1"/>
  <c r="I12" i="16" l="1"/>
  <c r="D12" i="21"/>
  <c r="G16" i="22"/>
  <c r="H16" i="22" s="1"/>
  <c r="G789" i="1"/>
  <c r="H789" i="1" s="1"/>
  <c r="G16" i="18"/>
  <c r="H16" i="18" s="1"/>
  <c r="G11" i="23"/>
  <c r="H11" i="23" s="1"/>
  <c r="H17" i="23" s="1"/>
  <c r="H9" i="23" s="1"/>
  <c r="G5" i="23" s="1"/>
  <c r="H5" i="23" s="1"/>
  <c r="G11" i="20"/>
  <c r="H11" i="20" s="1"/>
  <c r="H17" i="20" s="1"/>
  <c r="H9" i="20" s="1"/>
  <c r="G5" i="20" s="1"/>
  <c r="H5" i="20" s="1"/>
  <c r="G11" i="19"/>
  <c r="H11" i="19" s="1"/>
  <c r="H17" i="19" s="1"/>
  <c r="H9" i="19" s="1"/>
  <c r="G5" i="19" s="1"/>
  <c r="H5" i="19" s="1"/>
  <c r="H6" i="19" s="1"/>
  <c r="I9" i="17" s="1"/>
  <c r="G11" i="24"/>
  <c r="H11" i="24" s="1"/>
  <c r="H17" i="24" s="1"/>
  <c r="H9" i="24" s="1"/>
  <c r="G784" i="1"/>
  <c r="H784" i="1" s="1"/>
  <c r="G11" i="22"/>
  <c r="H11" i="22" s="1"/>
  <c r="H26" i="22" s="1"/>
  <c r="H9" i="22" s="1"/>
  <c r="G5" i="22" s="1"/>
  <c r="H5" i="22" s="1"/>
  <c r="G11" i="18"/>
  <c r="H11" i="18" s="1"/>
  <c r="Y308" i="4"/>
  <c r="J6" i="20"/>
  <c r="N12" i="17" s="1"/>
  <c r="N12" i="16" s="1"/>
  <c r="D2128" i="4"/>
  <c r="B2139" i="4"/>
  <c r="D1935" i="4"/>
  <c r="B1946" i="4"/>
  <c r="L299" i="1"/>
  <c r="AF300" i="1"/>
  <c r="F856" i="1"/>
  <c r="L856" i="1" s="1"/>
  <c r="K856" i="1"/>
  <c r="F129" i="3"/>
  <c r="H116" i="3"/>
  <c r="K821" i="1"/>
  <c r="F821" i="1"/>
  <c r="L821" i="1" s="1"/>
  <c r="F860" i="1"/>
  <c r="H195" i="1"/>
  <c r="L195" i="1" s="1"/>
  <c r="K195" i="1"/>
  <c r="E95" i="1"/>
  <c r="Z15" i="1"/>
  <c r="L222" i="1"/>
  <c r="AF254" i="1"/>
  <c r="H200" i="1"/>
  <c r="L200" i="1" s="1"/>
  <c r="K200" i="1"/>
  <c r="H201" i="1"/>
  <c r="L201" i="1" s="1"/>
  <c r="K201" i="1"/>
  <c r="F95" i="3"/>
  <c r="H82" i="3"/>
  <c r="Z17" i="1"/>
  <c r="L285" i="1"/>
  <c r="B80" i="4"/>
  <c r="Y80" i="4"/>
  <c r="F112" i="3"/>
  <c r="H99" i="3"/>
  <c r="E2206" i="4"/>
  <c r="B2217" i="4"/>
  <c r="K813" i="1"/>
  <c r="F813" i="1"/>
  <c r="L813" i="1" s="1"/>
  <c r="Z16" i="1"/>
  <c r="L252" i="1"/>
  <c r="AF253" i="1"/>
  <c r="F94" i="1"/>
  <c r="L94" i="1" s="1"/>
  <c r="K94" i="1"/>
  <c r="D2115" i="4"/>
  <c r="B2126" i="4"/>
  <c r="E99" i="1"/>
  <c r="F766" i="1"/>
  <c r="L766" i="1" s="1"/>
  <c r="L851" i="1"/>
  <c r="F852" i="1"/>
  <c r="L852" i="1" s="1"/>
  <c r="D1961" i="4"/>
  <c r="B1972" i="4"/>
  <c r="E103" i="1"/>
  <c r="F44" i="3"/>
  <c r="H31" i="3"/>
  <c r="H197" i="1"/>
  <c r="L197" i="1" s="1"/>
  <c r="K197" i="1"/>
  <c r="L144" i="1"/>
  <c r="AF159" i="1"/>
  <c r="E100" i="1"/>
  <c r="E111" i="1"/>
  <c r="F818" i="1"/>
  <c r="L818" i="1" s="1"/>
  <c r="K818" i="1"/>
  <c r="Y840" i="4"/>
  <c r="B840" i="4"/>
  <c r="F824" i="1"/>
  <c r="L824" i="1" s="1"/>
  <c r="K824" i="1"/>
  <c r="F92" i="1"/>
  <c r="K92" i="1"/>
  <c r="Y384" i="4"/>
  <c r="B384" i="4"/>
  <c r="L834" i="1"/>
  <c r="Y1143" i="4"/>
  <c r="B1143" i="4"/>
  <c r="F98" i="1"/>
  <c r="L98" i="1" s="1"/>
  <c r="K98" i="1"/>
  <c r="E91" i="1"/>
  <c r="F874" i="1"/>
  <c r="F751" i="1"/>
  <c r="L751" i="1" s="1"/>
  <c r="Z19" i="1"/>
  <c r="L351" i="1"/>
  <c r="F828" i="1"/>
  <c r="K828" i="1"/>
  <c r="F816" i="1"/>
  <c r="L816" i="1" s="1"/>
  <c r="K816" i="1"/>
  <c r="D2193" i="4"/>
  <c r="B2204" i="4"/>
  <c r="F872" i="1"/>
  <c r="Y688" i="4"/>
  <c r="B688" i="4"/>
  <c r="Y916" i="4"/>
  <c r="B916" i="4"/>
  <c r="H205" i="1"/>
  <c r="K205" i="1"/>
  <c r="L269" i="1"/>
  <c r="AF301" i="1"/>
  <c r="K863" i="1"/>
  <c r="F863" i="1"/>
  <c r="L863" i="1" s="1"/>
  <c r="B991" i="4"/>
  <c r="Y991" i="4"/>
  <c r="K819" i="1"/>
  <c r="F819" i="1"/>
  <c r="L819" i="1" s="1"/>
  <c r="E2061" i="4"/>
  <c r="B2061" i="4" s="1"/>
  <c r="AL2061" i="4"/>
  <c r="E2063" i="4" s="1"/>
  <c r="F870" i="1"/>
  <c r="L870" i="1" s="1"/>
  <c r="K870" i="1"/>
  <c r="D2102" i="4"/>
  <c r="B2113" i="4"/>
  <c r="E90" i="1"/>
  <c r="E96" i="1"/>
  <c r="E2219" i="4"/>
  <c r="B2230" i="4"/>
  <c r="L43" i="1"/>
  <c r="F44" i="1"/>
  <c r="L44" i="1" s="1"/>
  <c r="L759" i="1"/>
  <c r="E104" i="1"/>
  <c r="Y1369" i="4"/>
  <c r="B1369" i="4"/>
  <c r="G864" i="1"/>
  <c r="L739" i="1"/>
  <c r="Z31" i="1"/>
  <c r="F871" i="1"/>
  <c r="F814" i="1"/>
  <c r="L814" i="1" s="1"/>
  <c r="K814" i="1"/>
  <c r="L363" i="1"/>
  <c r="AF395" i="1"/>
  <c r="E102" i="1"/>
  <c r="D2000" i="4"/>
  <c r="B2011" i="4"/>
  <c r="F868" i="1"/>
  <c r="L868" i="1" s="1"/>
  <c r="K868" i="1"/>
  <c r="B1444" i="4"/>
  <c r="Y1444" i="4"/>
  <c r="D2154" i="4"/>
  <c r="B2165" i="4"/>
  <c r="E110" i="1"/>
  <c r="K825" i="1"/>
  <c r="F825" i="1"/>
  <c r="L825" i="1" s="1"/>
  <c r="D2180" i="4"/>
  <c r="B2191" i="4"/>
  <c r="F61" i="3"/>
  <c r="H48" i="3"/>
  <c r="AF160" i="1"/>
  <c r="F862" i="1"/>
  <c r="L862" i="1" s="1"/>
  <c r="K862" i="1"/>
  <c r="E101" i="1"/>
  <c r="B536" i="4"/>
  <c r="Y536" i="4"/>
  <c r="D2232" i="4"/>
  <c r="B2243" i="4"/>
  <c r="K823" i="1"/>
  <c r="F823" i="1"/>
  <c r="L823" i="1" s="1"/>
  <c r="E105" i="1"/>
  <c r="K817" i="1"/>
  <c r="F817" i="1"/>
  <c r="L817" i="1" s="1"/>
  <c r="E97" i="1"/>
  <c r="D1987" i="4"/>
  <c r="B1998" i="4"/>
  <c r="Z12" i="1"/>
  <c r="K93" i="1"/>
  <c r="F93" i="1"/>
  <c r="L93" i="1" s="1"/>
  <c r="H199" i="1"/>
  <c r="L199" i="1" s="1"/>
  <c r="K199" i="1"/>
  <c r="B1219" i="4"/>
  <c r="Y1219" i="4"/>
  <c r="D2245" i="4"/>
  <c r="B2256" i="4"/>
  <c r="E107" i="1"/>
  <c r="L12" i="1"/>
  <c r="Z9" i="1"/>
  <c r="F869" i="1"/>
  <c r="F78" i="3"/>
  <c r="H65" i="3"/>
  <c r="Y4" i="4"/>
  <c r="B4" i="4"/>
  <c r="Y460" i="4"/>
  <c r="B460" i="4"/>
  <c r="F876" i="1"/>
  <c r="L393" i="1"/>
  <c r="AF394" i="1"/>
  <c r="F394" i="1" s="1"/>
  <c r="L394" i="1" s="1"/>
  <c r="Y1067" i="4"/>
  <c r="B1067" i="4"/>
  <c r="E108" i="1"/>
  <c r="F822" i="1"/>
  <c r="L822" i="1" s="1"/>
  <c r="K822" i="1"/>
  <c r="H193" i="1"/>
  <c r="K193" i="1"/>
  <c r="K815" i="1"/>
  <c r="F815" i="1"/>
  <c r="L815" i="1" s="1"/>
  <c r="H194" i="1"/>
  <c r="L194" i="1" s="1"/>
  <c r="K194" i="1"/>
  <c r="H196" i="1"/>
  <c r="L196" i="1" s="1"/>
  <c r="K196" i="1"/>
  <c r="F826" i="1"/>
  <c r="L826" i="1" s="1"/>
  <c r="K826" i="1"/>
  <c r="E109" i="1"/>
  <c r="Y1519" i="4"/>
  <c r="B1519" i="4"/>
  <c r="F857" i="1"/>
  <c r="E106" i="1"/>
  <c r="F820" i="1"/>
  <c r="L820" i="1" s="1"/>
  <c r="K820" i="1"/>
  <c r="Y1294" i="4"/>
  <c r="B1294" i="4"/>
  <c r="B764" i="4"/>
  <c r="Y764" i="4"/>
  <c r="E1983" i="4"/>
  <c r="B1983" i="4" s="1"/>
  <c r="AL1983" i="4"/>
  <c r="E1985" i="4" s="1"/>
  <c r="F866" i="1"/>
  <c r="K829" i="1"/>
  <c r="F829" i="1"/>
  <c r="L829" i="1" s="1"/>
  <c r="K827" i="1"/>
  <c r="F827" i="1"/>
  <c r="L827" i="1" s="1"/>
  <c r="F858" i="1"/>
  <c r="Y1594" i="4"/>
  <c r="B1594" i="4"/>
  <c r="F865" i="1"/>
  <c r="K1486" i="1"/>
  <c r="F1486" i="1"/>
  <c r="L350" i="1"/>
  <c r="Z18" i="1"/>
  <c r="Z20" i="1"/>
  <c r="L381" i="1"/>
  <c r="H799" i="1" l="1"/>
  <c r="I10" i="17"/>
  <c r="I11" i="17" s="1"/>
  <c r="H26" i="18"/>
  <c r="H9" i="18" s="1"/>
  <c r="G5" i="18" s="1"/>
  <c r="H5" i="18" s="1"/>
  <c r="D12" i="17"/>
  <c r="D12" i="16" s="1"/>
  <c r="AA32" i="1"/>
  <c r="G5" i="24"/>
  <c r="H5" i="24" s="1"/>
  <c r="H4" i="23"/>
  <c r="H6" i="23"/>
  <c r="I9" i="21" s="1"/>
  <c r="H4" i="20"/>
  <c r="H6" i="20"/>
  <c r="N9" i="17" s="1"/>
  <c r="H4" i="22"/>
  <c r="H6" i="22"/>
  <c r="G855" i="1"/>
  <c r="B2128" i="4"/>
  <c r="Y2128" i="4"/>
  <c r="G867" i="1"/>
  <c r="Y1935" i="4"/>
  <c r="B1935" i="4"/>
  <c r="F253" i="1"/>
  <c r="L253" i="1" s="1"/>
  <c r="Y2000" i="4"/>
  <c r="B2000" i="4"/>
  <c r="E1475" i="1"/>
  <c r="F96" i="1"/>
  <c r="L96" i="1" s="1"/>
  <c r="K96" i="1"/>
  <c r="F100" i="1"/>
  <c r="L100" i="1" s="1"/>
  <c r="K100" i="1"/>
  <c r="G857" i="1"/>
  <c r="E1466" i="1"/>
  <c r="E1465" i="1"/>
  <c r="E173" i="1"/>
  <c r="K107" i="1"/>
  <c r="F107" i="1"/>
  <c r="L107" i="1" s="1"/>
  <c r="E176" i="1"/>
  <c r="E1474" i="1"/>
  <c r="G869" i="1"/>
  <c r="G860" i="1"/>
  <c r="B2219" i="4"/>
  <c r="Y2219" i="4"/>
  <c r="E169" i="1"/>
  <c r="F159" i="1"/>
  <c r="L159" i="1" s="1"/>
  <c r="E1476" i="1"/>
  <c r="E1480" i="1"/>
  <c r="E1467" i="1"/>
  <c r="E166" i="1"/>
  <c r="K109" i="1"/>
  <c r="F109" i="1"/>
  <c r="L109" i="1" s="1"/>
  <c r="G875" i="1"/>
  <c r="K99" i="1"/>
  <c r="F99" i="1"/>
  <c r="L99" i="1" s="1"/>
  <c r="I873" i="1"/>
  <c r="F116" i="3"/>
  <c r="E171" i="1"/>
  <c r="L1486" i="1"/>
  <c r="F1487" i="1"/>
  <c r="L1487" i="1" s="1"/>
  <c r="E172" i="1"/>
  <c r="F106" i="1"/>
  <c r="L106" i="1" s="1"/>
  <c r="K106" i="1"/>
  <c r="E175" i="1"/>
  <c r="F108" i="1"/>
  <c r="L108" i="1" s="1"/>
  <c r="K108" i="1"/>
  <c r="B2245" i="4"/>
  <c r="Y2245" i="4"/>
  <c r="K105" i="1"/>
  <c r="F105" i="1"/>
  <c r="L105" i="1" s="1"/>
  <c r="F48" i="3"/>
  <c r="H864" i="1"/>
  <c r="F104" i="1"/>
  <c r="L104" i="1" s="1"/>
  <c r="K104" i="1"/>
  <c r="I874" i="1"/>
  <c r="F90" i="1"/>
  <c r="K90" i="1"/>
  <c r="B2193" i="4"/>
  <c r="Y2193" i="4"/>
  <c r="K91" i="1"/>
  <c r="F91" i="1"/>
  <c r="L91" i="1" s="1"/>
  <c r="K103" i="1"/>
  <c r="F103" i="1"/>
  <c r="L103" i="1" s="1"/>
  <c r="E177" i="1"/>
  <c r="E1469" i="1"/>
  <c r="E1974" i="4"/>
  <c r="B1985" i="4"/>
  <c r="E1477" i="1"/>
  <c r="E174" i="1"/>
  <c r="F877" i="1"/>
  <c r="G876" i="1"/>
  <c r="E1473" i="1"/>
  <c r="F102" i="1"/>
  <c r="L102" i="1" s="1"/>
  <c r="K102" i="1"/>
  <c r="E168" i="1"/>
  <c r="E2052" i="4"/>
  <c r="B2063" i="4"/>
  <c r="G872" i="1"/>
  <c r="E1470" i="1"/>
  <c r="E167" i="1"/>
  <c r="B2115" i="4"/>
  <c r="Y2115" i="4"/>
  <c r="F99" i="3"/>
  <c r="F82" i="3"/>
  <c r="G859" i="1"/>
  <c r="G865" i="1"/>
  <c r="E1471" i="1"/>
  <c r="E1478" i="1"/>
  <c r="AA14" i="1"/>
  <c r="L193" i="1"/>
  <c r="F65" i="3"/>
  <c r="K97" i="1"/>
  <c r="F97" i="1"/>
  <c r="L97" i="1" s="1"/>
  <c r="K101" i="1"/>
  <c r="F101" i="1"/>
  <c r="L101" i="1" s="1"/>
  <c r="B2180" i="4"/>
  <c r="Y2180" i="4"/>
  <c r="E1479" i="1"/>
  <c r="F835" i="1"/>
  <c r="L835" i="1" s="1"/>
  <c r="L92" i="1"/>
  <c r="K111" i="1"/>
  <c r="F111" i="1"/>
  <c r="G866" i="1"/>
  <c r="F300" i="1"/>
  <c r="L300" i="1" s="1"/>
  <c r="B2154" i="4"/>
  <c r="Y2154" i="4"/>
  <c r="Z35" i="1"/>
  <c r="E178" i="1"/>
  <c r="Y1987" i="4"/>
  <c r="B1987" i="4"/>
  <c r="B2232" i="4"/>
  <c r="Y2232" i="4"/>
  <c r="G871" i="1"/>
  <c r="F110" i="1"/>
  <c r="L110" i="1" s="1"/>
  <c r="K110" i="1"/>
  <c r="B2102" i="4"/>
  <c r="Y2102" i="4"/>
  <c r="AG206" i="1"/>
  <c r="H206" i="1" s="1"/>
  <c r="L205" i="1"/>
  <c r="Z34" i="1"/>
  <c r="L828" i="1"/>
  <c r="E170" i="1"/>
  <c r="E179" i="1"/>
  <c r="F31" i="3"/>
  <c r="E1468" i="1"/>
  <c r="Y1961" i="4"/>
  <c r="B1961" i="4"/>
  <c r="B2206" i="4"/>
  <c r="Y2206" i="4"/>
  <c r="E1472" i="1"/>
  <c r="K95" i="1"/>
  <c r="F95" i="1"/>
  <c r="L95" i="1" s="1"/>
  <c r="I13" i="17" l="1"/>
  <c r="I14" i="17"/>
  <c r="I9" i="16"/>
  <c r="D9" i="17"/>
  <c r="I28" i="16"/>
  <c r="N15" i="17"/>
  <c r="N17" i="17"/>
  <c r="N10" i="17"/>
  <c r="N20" i="17"/>
  <c r="N11" i="17"/>
  <c r="H4" i="19"/>
  <c r="H6" i="24"/>
  <c r="N9" i="21" s="1"/>
  <c r="D9" i="21" s="1"/>
  <c r="H4" i="24"/>
  <c r="H4" i="18"/>
  <c r="H6" i="18"/>
  <c r="I10" i="21"/>
  <c r="H867" i="1"/>
  <c r="L867" i="1" s="1"/>
  <c r="K867" i="1"/>
  <c r="H855" i="1"/>
  <c r="L855" i="1" s="1"/>
  <c r="K855" i="1"/>
  <c r="E924" i="1"/>
  <c r="E913" i="1"/>
  <c r="E923" i="1"/>
  <c r="G22" i="3"/>
  <c r="E14" i="2"/>
  <c r="Y14" i="2" s="1"/>
  <c r="E935" i="1"/>
  <c r="K171" i="1"/>
  <c r="F171" i="1"/>
  <c r="L171" i="1" s="1"/>
  <c r="K1474" i="1"/>
  <c r="F1474" i="1"/>
  <c r="L1474" i="1" s="1"/>
  <c r="F170" i="1"/>
  <c r="L170" i="1" s="1"/>
  <c r="K170" i="1"/>
  <c r="E919" i="1"/>
  <c r="K177" i="1"/>
  <c r="F177" i="1"/>
  <c r="L177" i="1" s="1"/>
  <c r="E802" i="1"/>
  <c r="K1476" i="1"/>
  <c r="F1476" i="1"/>
  <c r="L1476" i="1" s="1"/>
  <c r="E936" i="1"/>
  <c r="E943" i="1"/>
  <c r="E927" i="1"/>
  <c r="E920" i="1"/>
  <c r="F112" i="1"/>
  <c r="L112" i="1" s="1"/>
  <c r="L111" i="1"/>
  <c r="F1479" i="1"/>
  <c r="K1479" i="1"/>
  <c r="E189" i="1"/>
  <c r="H865" i="1"/>
  <c r="K865" i="1"/>
  <c r="Y2052" i="4"/>
  <c r="B2052" i="4"/>
  <c r="E940" i="1"/>
  <c r="Y1974" i="4"/>
  <c r="B1974" i="4"/>
  <c r="E939" i="1"/>
  <c r="E163" i="1"/>
  <c r="K175" i="1"/>
  <c r="F175" i="1"/>
  <c r="E911" i="1"/>
  <c r="E182" i="1"/>
  <c r="H869" i="1"/>
  <c r="L869" i="1" s="1"/>
  <c r="K869" i="1"/>
  <c r="F176" i="1"/>
  <c r="L176" i="1" s="1"/>
  <c r="K176" i="1"/>
  <c r="E926" i="1"/>
  <c r="H857" i="1"/>
  <c r="K857" i="1"/>
  <c r="E930" i="1"/>
  <c r="E181" i="1"/>
  <c r="E184" i="1"/>
  <c r="E921" i="1"/>
  <c r="E808" i="1"/>
  <c r="H860" i="1"/>
  <c r="L860" i="1" s="1"/>
  <c r="K860" i="1"/>
  <c r="K1466" i="1"/>
  <c r="F1466" i="1"/>
  <c r="L1466" i="1" s="1"/>
  <c r="E188" i="1"/>
  <c r="F1477" i="1"/>
  <c r="L1477" i="1" s="1"/>
  <c r="K1477" i="1"/>
  <c r="E932" i="1"/>
  <c r="E805" i="1"/>
  <c r="G26" i="3"/>
  <c r="E15" i="2"/>
  <c r="Y15" i="2" s="1"/>
  <c r="F1467" i="1"/>
  <c r="L1467" i="1" s="1"/>
  <c r="K1467" i="1"/>
  <c r="E934" i="1"/>
  <c r="G6" i="3"/>
  <c r="E10" i="2"/>
  <c r="Y10" i="2" s="1"/>
  <c r="E933" i="1"/>
  <c r="E1463" i="1"/>
  <c r="E185" i="1"/>
  <c r="K1478" i="1"/>
  <c r="F1478" i="1"/>
  <c r="L1478" i="1" s="1"/>
  <c r="E925" i="1"/>
  <c r="K1470" i="1"/>
  <c r="F1470" i="1"/>
  <c r="L1470" i="1" s="1"/>
  <c r="H872" i="1"/>
  <c r="L872" i="1" s="1"/>
  <c r="K872" i="1"/>
  <c r="I864" i="1"/>
  <c r="F168" i="1"/>
  <c r="L168" i="1" s="1"/>
  <c r="K168" i="1"/>
  <c r="F1473" i="1"/>
  <c r="L1473" i="1" s="1"/>
  <c r="K1473" i="1"/>
  <c r="I858" i="1"/>
  <c r="E938" i="1"/>
  <c r="L90" i="1"/>
  <c r="Z10" i="1"/>
  <c r="E915" i="1"/>
  <c r="F166" i="1"/>
  <c r="L166" i="1" s="1"/>
  <c r="K166" i="1"/>
  <c r="E914" i="1"/>
  <c r="E922" i="1"/>
  <c r="K169" i="1"/>
  <c r="F169" i="1"/>
  <c r="L169" i="1" s="1"/>
  <c r="E942" i="1"/>
  <c r="F172" i="1"/>
  <c r="L172" i="1" s="1"/>
  <c r="K172" i="1"/>
  <c r="K1468" i="1"/>
  <c r="F1468" i="1"/>
  <c r="L1468" i="1" s="1"/>
  <c r="E909" i="1"/>
  <c r="F178" i="1"/>
  <c r="L178" i="1" s="1"/>
  <c r="K178" i="1"/>
  <c r="E912" i="1"/>
  <c r="E165" i="1"/>
  <c r="E164" i="1"/>
  <c r="E928" i="1"/>
  <c r="E186" i="1"/>
  <c r="E931" i="1"/>
  <c r="J873" i="1"/>
  <c r="K873" i="1"/>
  <c r="E941" i="1"/>
  <c r="K173" i="1"/>
  <c r="F173" i="1"/>
  <c r="L173" i="1" s="1"/>
  <c r="F1465" i="1"/>
  <c r="L1465" i="1" s="1"/>
  <c r="K1465" i="1"/>
  <c r="F1475" i="1"/>
  <c r="L1475" i="1" s="1"/>
  <c r="K1475" i="1"/>
  <c r="H859" i="1"/>
  <c r="L859" i="1" s="1"/>
  <c r="K859" i="1"/>
  <c r="E190" i="1"/>
  <c r="E180" i="1"/>
  <c r="H866" i="1"/>
  <c r="L866" i="1" s="1"/>
  <c r="K866" i="1"/>
  <c r="E916" i="1"/>
  <c r="E187" i="1"/>
  <c r="E162" i="1"/>
  <c r="G18" i="3"/>
  <c r="E13" i="2"/>
  <c r="Y13" i="2" s="1"/>
  <c r="E944" i="1"/>
  <c r="K1472" i="1"/>
  <c r="F1472" i="1"/>
  <c r="L1472" i="1" s="1"/>
  <c r="K179" i="1"/>
  <c r="F179" i="1"/>
  <c r="L179" i="1" s="1"/>
  <c r="H871" i="1"/>
  <c r="L871" i="1" s="1"/>
  <c r="K871" i="1"/>
  <c r="E191" i="1"/>
  <c r="Z11" i="1"/>
  <c r="E183" i="1"/>
  <c r="G14" i="3"/>
  <c r="E12" i="2"/>
  <c r="Y12" i="2" s="1"/>
  <c r="F1471" i="1"/>
  <c r="L1471" i="1" s="1"/>
  <c r="K1471" i="1"/>
  <c r="K167" i="1"/>
  <c r="F167" i="1"/>
  <c r="L167" i="1" s="1"/>
  <c r="H876" i="1"/>
  <c r="K876" i="1"/>
  <c r="F174" i="1"/>
  <c r="L174" i="1" s="1"/>
  <c r="K174" i="1"/>
  <c r="F1469" i="1"/>
  <c r="L1469" i="1" s="1"/>
  <c r="K1469" i="1"/>
  <c r="J874" i="1"/>
  <c r="K874" i="1"/>
  <c r="G10" i="3"/>
  <c r="E11" i="2"/>
  <c r="Y11" i="2" s="1"/>
  <c r="H875" i="1"/>
  <c r="L875" i="1" s="1"/>
  <c r="K875" i="1"/>
  <c r="K1480" i="1"/>
  <c r="F1480" i="1"/>
  <c r="E937" i="1"/>
  <c r="E917" i="1"/>
  <c r="E918" i="1"/>
  <c r="E929" i="1"/>
  <c r="E910" i="1"/>
  <c r="N9" i="16" l="1"/>
  <c r="D9" i="16"/>
  <c r="N28" i="16"/>
  <c r="N20" i="16"/>
  <c r="N17" i="16"/>
  <c r="N10" i="21"/>
  <c r="N10" i="16" s="1"/>
  <c r="I17" i="16"/>
  <c r="D17" i="21"/>
  <c r="D16" i="21"/>
  <c r="I15" i="16"/>
  <c r="D15" i="21"/>
  <c r="I20" i="16"/>
  <c r="D20" i="21"/>
  <c r="I11" i="21"/>
  <c r="I10" i="16"/>
  <c r="D10" i="17"/>
  <c r="D17" i="17"/>
  <c r="D28" i="17"/>
  <c r="D11" i="17"/>
  <c r="D20" i="17"/>
  <c r="N16" i="17"/>
  <c r="D16" i="17" s="1"/>
  <c r="N15" i="16"/>
  <c r="D15" i="17"/>
  <c r="I16" i="16"/>
  <c r="N14" i="17"/>
  <c r="N13" i="17"/>
  <c r="K183" i="1"/>
  <c r="F183" i="1"/>
  <c r="L183" i="1" s="1"/>
  <c r="K165" i="1"/>
  <c r="F165" i="1"/>
  <c r="L165" i="1" s="1"/>
  <c r="K933" i="1"/>
  <c r="F933" i="1"/>
  <c r="L933" i="1" s="1"/>
  <c r="K919" i="1"/>
  <c r="F919" i="1"/>
  <c r="L919" i="1" s="1"/>
  <c r="L874" i="1"/>
  <c r="H877" i="1"/>
  <c r="L876" i="1"/>
  <c r="K931" i="1"/>
  <c r="F931" i="1"/>
  <c r="J858" i="1"/>
  <c r="K858" i="1"/>
  <c r="K939" i="1"/>
  <c r="F939" i="1"/>
  <c r="L939" i="1" s="1"/>
  <c r="K189" i="1"/>
  <c r="F189" i="1"/>
  <c r="F920" i="1"/>
  <c r="L920" i="1" s="1"/>
  <c r="K920" i="1"/>
  <c r="F936" i="1"/>
  <c r="L936" i="1" s="1"/>
  <c r="K936" i="1"/>
  <c r="F802" i="1"/>
  <c r="K923" i="1"/>
  <c r="F923" i="1"/>
  <c r="L923" i="1" s="1"/>
  <c r="F916" i="1"/>
  <c r="L916" i="1" s="1"/>
  <c r="K916" i="1"/>
  <c r="K909" i="1"/>
  <c r="F909" i="1"/>
  <c r="F922" i="1"/>
  <c r="L922" i="1" s="1"/>
  <c r="K922" i="1"/>
  <c r="E809" i="1"/>
  <c r="F184" i="1"/>
  <c r="L184" i="1" s="1"/>
  <c r="K184" i="1"/>
  <c r="F910" i="1"/>
  <c r="L910" i="1" s="1"/>
  <c r="K910" i="1"/>
  <c r="F918" i="1"/>
  <c r="L918" i="1" s="1"/>
  <c r="K918" i="1"/>
  <c r="F162" i="1"/>
  <c r="K162" i="1"/>
  <c r="F928" i="1"/>
  <c r="L928" i="1" s="1"/>
  <c r="K928" i="1"/>
  <c r="F912" i="1"/>
  <c r="L912" i="1" s="1"/>
  <c r="K912" i="1"/>
  <c r="F914" i="1"/>
  <c r="K914" i="1"/>
  <c r="J864" i="1"/>
  <c r="L864" i="1" s="1"/>
  <c r="K864" i="1"/>
  <c r="K925" i="1"/>
  <c r="F925" i="1"/>
  <c r="L925" i="1" s="1"/>
  <c r="K185" i="1"/>
  <c r="F185" i="1"/>
  <c r="L185" i="1" s="1"/>
  <c r="H6" i="3"/>
  <c r="E6" i="3"/>
  <c r="F805" i="1"/>
  <c r="F188" i="1"/>
  <c r="L188" i="1" s="1"/>
  <c r="K188" i="1"/>
  <c r="F808" i="1"/>
  <c r="L808" i="1" s="1"/>
  <c r="K808" i="1"/>
  <c r="K181" i="1"/>
  <c r="F181" i="1"/>
  <c r="L181" i="1" s="1"/>
  <c r="F926" i="1"/>
  <c r="L926" i="1" s="1"/>
  <c r="K926" i="1"/>
  <c r="F182" i="1"/>
  <c r="L182" i="1" s="1"/>
  <c r="K182" i="1"/>
  <c r="E806" i="1"/>
  <c r="K935" i="1"/>
  <c r="F935" i="1"/>
  <c r="L935" i="1" s="1"/>
  <c r="K915" i="1"/>
  <c r="F915" i="1"/>
  <c r="L915" i="1" s="1"/>
  <c r="AA34" i="1"/>
  <c r="L857" i="1"/>
  <c r="K191" i="1"/>
  <c r="F191" i="1"/>
  <c r="F186" i="1"/>
  <c r="L186" i="1" s="1"/>
  <c r="K186" i="1"/>
  <c r="Z57" i="1"/>
  <c r="L1479" i="1"/>
  <c r="K927" i="1"/>
  <c r="F927" i="1"/>
  <c r="L927" i="1" s="1"/>
  <c r="K913" i="1"/>
  <c r="F913" i="1"/>
  <c r="L913" i="1" s="1"/>
  <c r="F190" i="1"/>
  <c r="L190" i="1" s="1"/>
  <c r="K190" i="1"/>
  <c r="K929" i="1"/>
  <c r="F929" i="1"/>
  <c r="L929" i="1" s="1"/>
  <c r="E14" i="3"/>
  <c r="H14" i="3"/>
  <c r="K941" i="1"/>
  <c r="F941" i="1"/>
  <c r="L941" i="1" s="1"/>
  <c r="K917" i="1"/>
  <c r="F917" i="1"/>
  <c r="L917" i="1" s="1"/>
  <c r="K937" i="1"/>
  <c r="F937" i="1"/>
  <c r="L937" i="1" s="1"/>
  <c r="E10" i="3"/>
  <c r="H10" i="3"/>
  <c r="H18" i="3"/>
  <c r="E18" i="3"/>
  <c r="K187" i="1"/>
  <c r="F187" i="1"/>
  <c r="L187" i="1" s="1"/>
  <c r="F180" i="1"/>
  <c r="L180" i="1" s="1"/>
  <c r="K180" i="1"/>
  <c r="F164" i="1"/>
  <c r="L164" i="1" s="1"/>
  <c r="K164" i="1"/>
  <c r="F1463" i="1"/>
  <c r="F1481" i="1" s="1"/>
  <c r="L1481" i="1" s="1"/>
  <c r="K1463" i="1"/>
  <c r="F932" i="1"/>
  <c r="L932" i="1" s="1"/>
  <c r="K932" i="1"/>
  <c r="K921" i="1"/>
  <c r="F921" i="1"/>
  <c r="L921" i="1" s="1"/>
  <c r="F930" i="1"/>
  <c r="L930" i="1" s="1"/>
  <c r="K930" i="1"/>
  <c r="K911" i="1"/>
  <c r="F911" i="1"/>
  <c r="L911" i="1" s="1"/>
  <c r="E22" i="3"/>
  <c r="H22" i="3"/>
  <c r="E804" i="1"/>
  <c r="E803" i="1"/>
  <c r="L1480" i="1"/>
  <c r="F944" i="1"/>
  <c r="K944" i="1"/>
  <c r="AB35" i="1"/>
  <c r="L873" i="1"/>
  <c r="F942" i="1"/>
  <c r="L942" i="1" s="1"/>
  <c r="K942" i="1"/>
  <c r="F938" i="1"/>
  <c r="L938" i="1" s="1"/>
  <c r="K938" i="1"/>
  <c r="E807" i="1"/>
  <c r="F934" i="1"/>
  <c r="L934" i="1" s="1"/>
  <c r="K934" i="1"/>
  <c r="E26" i="3"/>
  <c r="H26" i="3"/>
  <c r="L175" i="1"/>
  <c r="K163" i="1"/>
  <c r="F163" i="1"/>
  <c r="L163" i="1" s="1"/>
  <c r="F940" i="1"/>
  <c r="L940" i="1" s="1"/>
  <c r="K940" i="1"/>
  <c r="AA35" i="1"/>
  <c r="L865" i="1"/>
  <c r="K943" i="1"/>
  <c r="F943" i="1"/>
  <c r="L943" i="1" s="1"/>
  <c r="F924" i="1"/>
  <c r="L924" i="1" s="1"/>
  <c r="K924" i="1"/>
  <c r="D28" i="21" l="1"/>
  <c r="D28" i="16" s="1"/>
  <c r="N16" i="16"/>
  <c r="D16" i="16"/>
  <c r="D15" i="16"/>
  <c r="I14" i="21"/>
  <c r="I13" i="21"/>
  <c r="D10" i="21"/>
  <c r="D10" i="16" s="1"/>
  <c r="D17" i="16"/>
  <c r="D13" i="17"/>
  <c r="I11" i="16"/>
  <c r="D20" i="16"/>
  <c r="D14" i="17"/>
  <c r="AF207" i="1"/>
  <c r="F804" i="1"/>
  <c r="F22" i="3"/>
  <c r="H21" i="3"/>
  <c r="F14" i="3"/>
  <c r="H13" i="3"/>
  <c r="L162" i="1"/>
  <c r="Z13" i="1"/>
  <c r="F809" i="1"/>
  <c r="H5" i="3"/>
  <c r="F6" i="3"/>
  <c r="Z37" i="1"/>
  <c r="L931" i="1"/>
  <c r="L944" i="1"/>
  <c r="AF945" i="1"/>
  <c r="F803" i="1"/>
  <c r="L1463" i="1"/>
  <c r="Z56" i="1"/>
  <c r="F806" i="1"/>
  <c r="L806" i="1" s="1"/>
  <c r="K806" i="1"/>
  <c r="Z14" i="1"/>
  <c r="L189" i="1"/>
  <c r="H9" i="3"/>
  <c r="F10" i="3"/>
  <c r="AF946" i="1"/>
  <c r="L914" i="1"/>
  <c r="AB34" i="1"/>
  <c r="L858" i="1"/>
  <c r="J877" i="1"/>
  <c r="L877" i="1" s="1"/>
  <c r="H17" i="3"/>
  <c r="F18" i="3"/>
  <c r="K807" i="1"/>
  <c r="F807" i="1"/>
  <c r="L807" i="1" s="1"/>
  <c r="G805" i="1"/>
  <c r="L909" i="1"/>
  <c r="Z36" i="1"/>
  <c r="F26" i="3"/>
  <c r="H25" i="3"/>
  <c r="L191" i="1"/>
  <c r="AF206" i="1"/>
  <c r="D11" i="21" l="1"/>
  <c r="D11" i="16" s="1"/>
  <c r="N14" i="21"/>
  <c r="N14" i="16" s="1"/>
  <c r="N13" i="21"/>
  <c r="N13" i="16" s="1"/>
  <c r="N11" i="16"/>
  <c r="I14" i="16"/>
  <c r="I13" i="16"/>
  <c r="G802" i="1"/>
  <c r="F206" i="1"/>
  <c r="L206" i="1" s="1"/>
  <c r="G804" i="1"/>
  <c r="F21" i="3"/>
  <c r="F945" i="1"/>
  <c r="G803" i="1"/>
  <c r="F25" i="3"/>
  <c r="F5" i="3"/>
  <c r="G809" i="1"/>
  <c r="H805" i="1"/>
  <c r="F9" i="3"/>
  <c r="F810" i="1"/>
  <c r="F13" i="3"/>
  <c r="F17" i="3"/>
  <c r="D13" i="21" l="1"/>
  <c r="D13" i="16" s="1"/>
  <c r="D14" i="21"/>
  <c r="D14" i="16" s="1"/>
  <c r="E17" i="22"/>
  <c r="E17" i="18"/>
  <c r="E13" i="20"/>
  <c r="E13" i="23"/>
  <c r="E22" i="18"/>
  <c r="E13" i="24"/>
  <c r="E13" i="19"/>
  <c r="E22" i="22"/>
  <c r="E11" i="22"/>
  <c r="E11" i="18"/>
  <c r="E13" i="22"/>
  <c r="E13" i="18"/>
  <c r="E15" i="18"/>
  <c r="E15" i="22"/>
  <c r="E24" i="22"/>
  <c r="E24" i="18"/>
  <c r="E15" i="23"/>
  <c r="E15" i="19"/>
  <c r="E15" i="20"/>
  <c r="E15" i="24"/>
  <c r="E12" i="22"/>
  <c r="E12" i="18"/>
  <c r="E21" i="18"/>
  <c r="E21" i="22"/>
  <c r="E25" i="22"/>
  <c r="E16" i="24"/>
  <c r="E25" i="18"/>
  <c r="E16" i="23"/>
  <c r="E16" i="19"/>
  <c r="E16" i="20"/>
  <c r="E18" i="22"/>
  <c r="E18" i="18"/>
  <c r="E12" i="19"/>
  <c r="E12" i="20"/>
  <c r="E12" i="24"/>
  <c r="E19" i="22"/>
  <c r="E19" i="18"/>
  <c r="E12" i="23"/>
  <c r="E14" i="24"/>
  <c r="E14" i="23"/>
  <c r="E23" i="18"/>
  <c r="E14" i="20"/>
  <c r="E14" i="19"/>
  <c r="E23" i="22"/>
  <c r="E20" i="22"/>
  <c r="E20" i="18"/>
  <c r="E16" i="18"/>
  <c r="E11" i="24"/>
  <c r="E11" i="19"/>
  <c r="E16" i="22"/>
  <c r="E11" i="20"/>
  <c r="E11" i="23"/>
  <c r="E14" i="22"/>
  <c r="E14" i="18"/>
  <c r="H802" i="1"/>
  <c r="L802" i="1" s="1"/>
  <c r="K802" i="1"/>
  <c r="E792" i="1"/>
  <c r="E4" i="2"/>
  <c r="Y4" i="2" s="1"/>
  <c r="E789" i="1"/>
  <c r="E3" i="2"/>
  <c r="Y3" i="2" s="1"/>
  <c r="E794" i="1"/>
  <c r="E776" i="1"/>
  <c r="E798" i="1"/>
  <c r="E8" i="2"/>
  <c r="Y8" i="2" s="1"/>
  <c r="E788" i="1"/>
  <c r="E770" i="1"/>
  <c r="E797" i="1"/>
  <c r="E7" i="2"/>
  <c r="Y7" i="2" s="1"/>
  <c r="E796" i="1"/>
  <c r="E6" i="2"/>
  <c r="Y6" i="2" s="1"/>
  <c r="E795" i="1"/>
  <c r="E5" i="2"/>
  <c r="Y5" i="2" s="1"/>
  <c r="E775" i="1"/>
  <c r="E786" i="1"/>
  <c r="E779" i="1"/>
  <c r="H809" i="1"/>
  <c r="K809" i="1"/>
  <c r="E791" i="1"/>
  <c r="E784" i="1"/>
  <c r="E787" i="1"/>
  <c r="E782" i="1"/>
  <c r="E783" i="1"/>
  <c r="E781" i="1"/>
  <c r="E790" i="1"/>
  <c r="E793" i="1"/>
  <c r="L945" i="1"/>
  <c r="E771" i="1"/>
  <c r="I805" i="1"/>
  <c r="E772" i="1"/>
  <c r="E778" i="1"/>
  <c r="E785" i="1"/>
  <c r="E769" i="1"/>
  <c r="H803" i="1"/>
  <c r="K803" i="1"/>
  <c r="E780" i="1"/>
  <c r="E777" i="1"/>
  <c r="E773" i="1"/>
  <c r="E774" i="1"/>
  <c r="H804" i="1"/>
  <c r="L804" i="1" s="1"/>
  <c r="K804" i="1"/>
  <c r="K11" i="23" l="1"/>
  <c r="F11" i="23"/>
  <c r="L11" i="23" s="1"/>
  <c r="K23" i="22"/>
  <c r="F23" i="22"/>
  <c r="L23" i="22" s="1"/>
  <c r="K15" i="24"/>
  <c r="F15" i="24"/>
  <c r="L15" i="24" s="1"/>
  <c r="F22" i="22"/>
  <c r="L22" i="22" s="1"/>
  <c r="K22" i="22"/>
  <c r="K11" i="20"/>
  <c r="F11" i="20"/>
  <c r="L11" i="20" s="1"/>
  <c r="F14" i="19"/>
  <c r="L14" i="19" s="1"/>
  <c r="K14" i="19"/>
  <c r="F18" i="18"/>
  <c r="L18" i="18" s="1"/>
  <c r="K18" i="18"/>
  <c r="F21" i="22"/>
  <c r="L21" i="22" s="1"/>
  <c r="K21" i="22"/>
  <c r="K15" i="20"/>
  <c r="F15" i="20"/>
  <c r="L15" i="20" s="1"/>
  <c r="F13" i="19"/>
  <c r="L13" i="19" s="1"/>
  <c r="K13" i="19"/>
  <c r="F14" i="20"/>
  <c r="L14" i="20" s="1"/>
  <c r="K14" i="20"/>
  <c r="K11" i="19"/>
  <c r="F11" i="19"/>
  <c r="F23" i="18"/>
  <c r="L23" i="18" s="1"/>
  <c r="K23" i="18"/>
  <c r="F21" i="18"/>
  <c r="L21" i="18" s="1"/>
  <c r="K21" i="18"/>
  <c r="F15" i="23"/>
  <c r="L15" i="23" s="1"/>
  <c r="K15" i="23"/>
  <c r="K13" i="18"/>
  <c r="F13" i="18"/>
  <c r="L13" i="18" s="1"/>
  <c r="K22" i="18"/>
  <c r="F22" i="18"/>
  <c r="L22" i="18" s="1"/>
  <c r="K14" i="23"/>
  <c r="F14" i="23"/>
  <c r="L14" i="23" s="1"/>
  <c r="F16" i="18"/>
  <c r="L16" i="18" s="1"/>
  <c r="K16" i="18"/>
  <c r="K14" i="24"/>
  <c r="F14" i="24"/>
  <c r="L14" i="24" s="1"/>
  <c r="F24" i="22"/>
  <c r="L24" i="22" s="1"/>
  <c r="K24" i="22"/>
  <c r="K13" i="22"/>
  <c r="F13" i="22"/>
  <c r="L13" i="22" s="1"/>
  <c r="F13" i="20"/>
  <c r="L13" i="20" s="1"/>
  <c r="K13" i="20"/>
  <c r="F18" i="22"/>
  <c r="L18" i="22" s="1"/>
  <c r="K18" i="22"/>
  <c r="K24" i="18"/>
  <c r="F24" i="18"/>
  <c r="L24" i="18" s="1"/>
  <c r="F12" i="23"/>
  <c r="L12" i="23" s="1"/>
  <c r="K12" i="23"/>
  <c r="K16" i="20"/>
  <c r="F16" i="20"/>
  <c r="F19" i="18"/>
  <c r="L19" i="18" s="1"/>
  <c r="K19" i="18"/>
  <c r="K17" i="18"/>
  <c r="F17" i="18"/>
  <c r="L17" i="18" s="1"/>
  <c r="K20" i="22"/>
  <c r="F20" i="22"/>
  <c r="L20" i="22" s="1"/>
  <c r="K19" i="22"/>
  <c r="F19" i="22"/>
  <c r="L19" i="22" s="1"/>
  <c r="F16" i="23"/>
  <c r="K16" i="23"/>
  <c r="K11" i="18"/>
  <c r="F11" i="18"/>
  <c r="L11" i="18" s="1"/>
  <c r="F16" i="22"/>
  <c r="L16" i="22" s="1"/>
  <c r="K16" i="22"/>
  <c r="F13" i="23"/>
  <c r="L13" i="23" s="1"/>
  <c r="K13" i="23"/>
  <c r="K12" i="24"/>
  <c r="F12" i="24"/>
  <c r="L12" i="24" s="1"/>
  <c r="K25" i="18"/>
  <c r="F25" i="18"/>
  <c r="K15" i="22"/>
  <c r="F15" i="22"/>
  <c r="L15" i="22" s="1"/>
  <c r="K17" i="22"/>
  <c r="F17" i="22"/>
  <c r="L17" i="22" s="1"/>
  <c r="K15" i="19"/>
  <c r="F15" i="19"/>
  <c r="L15" i="19" s="1"/>
  <c r="F11" i="24"/>
  <c r="L11" i="24" s="1"/>
  <c r="K11" i="24"/>
  <c r="K16" i="19"/>
  <c r="F16" i="19"/>
  <c r="K14" i="18"/>
  <c r="F14" i="18"/>
  <c r="L14" i="18" s="1"/>
  <c r="F12" i="20"/>
  <c r="L12" i="20" s="1"/>
  <c r="K12" i="20"/>
  <c r="K16" i="24"/>
  <c r="F16" i="24"/>
  <c r="F12" i="18"/>
  <c r="L12" i="18" s="1"/>
  <c r="K12" i="18"/>
  <c r="K11" i="22"/>
  <c r="F11" i="22"/>
  <c r="L11" i="22" s="1"/>
  <c r="F13" i="24"/>
  <c r="L13" i="24" s="1"/>
  <c r="K13" i="24"/>
  <c r="K20" i="18"/>
  <c r="F20" i="18"/>
  <c r="L20" i="18" s="1"/>
  <c r="K14" i="22"/>
  <c r="F14" i="22"/>
  <c r="L14" i="22" s="1"/>
  <c r="F12" i="19"/>
  <c r="L12" i="19" s="1"/>
  <c r="K12" i="19"/>
  <c r="F25" i="22"/>
  <c r="K25" i="22"/>
  <c r="K12" i="22"/>
  <c r="F12" i="22"/>
  <c r="L12" i="22" s="1"/>
  <c r="K15" i="18"/>
  <c r="F15" i="18"/>
  <c r="L15" i="18" s="1"/>
  <c r="F774" i="1"/>
  <c r="L774" i="1" s="1"/>
  <c r="K774" i="1"/>
  <c r="K785" i="1"/>
  <c r="F785" i="1"/>
  <c r="L785" i="1" s="1"/>
  <c r="F790" i="1"/>
  <c r="L790" i="1" s="1"/>
  <c r="K790" i="1"/>
  <c r="K791" i="1"/>
  <c r="F791" i="1"/>
  <c r="L791" i="1" s="1"/>
  <c r="K777" i="1"/>
  <c r="F777" i="1"/>
  <c r="L777" i="1" s="1"/>
  <c r="K769" i="1"/>
  <c r="F769" i="1"/>
  <c r="F772" i="1"/>
  <c r="L772" i="1" s="1"/>
  <c r="K772" i="1"/>
  <c r="F796" i="1"/>
  <c r="L796" i="1" s="1"/>
  <c r="K796" i="1"/>
  <c r="F788" i="1"/>
  <c r="L788" i="1" s="1"/>
  <c r="K788" i="1"/>
  <c r="F794" i="1"/>
  <c r="L794" i="1" s="1"/>
  <c r="K794" i="1"/>
  <c r="K771" i="1"/>
  <c r="F771" i="1"/>
  <c r="L771" i="1" s="1"/>
  <c r="F782" i="1"/>
  <c r="L782" i="1" s="1"/>
  <c r="K782" i="1"/>
  <c r="F786" i="1"/>
  <c r="L786" i="1" s="1"/>
  <c r="K786" i="1"/>
  <c r="K781" i="1"/>
  <c r="F781" i="1"/>
  <c r="L781" i="1" s="1"/>
  <c r="K787" i="1"/>
  <c r="F787" i="1"/>
  <c r="L787" i="1" s="1"/>
  <c r="H810" i="1"/>
  <c r="L809" i="1"/>
  <c r="K775" i="1"/>
  <c r="F775" i="1"/>
  <c r="L775" i="1" s="1"/>
  <c r="K797" i="1"/>
  <c r="F797" i="1"/>
  <c r="L797" i="1" s="1"/>
  <c r="F798" i="1"/>
  <c r="K798" i="1"/>
  <c r="K789" i="1"/>
  <c r="F789" i="1"/>
  <c r="L789" i="1" s="1"/>
  <c r="J805" i="1"/>
  <c r="K805" i="1"/>
  <c r="K793" i="1"/>
  <c r="F793" i="1"/>
  <c r="L793" i="1" s="1"/>
  <c r="K783" i="1"/>
  <c r="F783" i="1"/>
  <c r="L783" i="1" s="1"/>
  <c r="F784" i="1"/>
  <c r="L784" i="1" s="1"/>
  <c r="K784" i="1"/>
  <c r="K779" i="1"/>
  <c r="F779" i="1"/>
  <c r="L779" i="1" s="1"/>
  <c r="F780" i="1"/>
  <c r="L780" i="1" s="1"/>
  <c r="K780" i="1"/>
  <c r="K773" i="1"/>
  <c r="F773" i="1"/>
  <c r="L773" i="1" s="1"/>
  <c r="AA33" i="1"/>
  <c r="H9" i="1" s="1"/>
  <c r="G5" i="1" s="1"/>
  <c r="H5" i="1" s="1"/>
  <c r="L803" i="1"/>
  <c r="F778" i="1"/>
  <c r="L778" i="1" s="1"/>
  <c r="K778" i="1"/>
  <c r="K795" i="1"/>
  <c r="F795" i="1"/>
  <c r="L795" i="1" s="1"/>
  <c r="F770" i="1"/>
  <c r="L770" i="1" s="1"/>
  <c r="K770" i="1"/>
  <c r="F776" i="1"/>
  <c r="L776" i="1" s="1"/>
  <c r="K776" i="1"/>
  <c r="F792" i="1"/>
  <c r="K792" i="1"/>
  <c r="L11" i="19" l="1"/>
  <c r="F17" i="19"/>
  <c r="F9" i="19" s="1"/>
  <c r="F17" i="20"/>
  <c r="L16" i="19"/>
  <c r="F17" i="24"/>
  <c r="F17" i="23"/>
  <c r="L16" i="24"/>
  <c r="L17" i="24" s="1"/>
  <c r="L25" i="22"/>
  <c r="F26" i="22"/>
  <c r="L25" i="18"/>
  <c r="F26" i="18"/>
  <c r="L16" i="20"/>
  <c r="L16" i="23"/>
  <c r="L17" i="23" s="1"/>
  <c r="L769" i="1"/>
  <c r="Z32" i="1"/>
  <c r="Z33" i="1"/>
  <c r="L792" i="1"/>
  <c r="J810" i="1"/>
  <c r="J946" i="1" s="1"/>
  <c r="AB33" i="1"/>
  <c r="J9" i="1" s="1"/>
  <c r="I5" i="1" s="1"/>
  <c r="J5" i="1" s="1"/>
  <c r="L805" i="1"/>
  <c r="H4" i="1"/>
  <c r="H6" i="1"/>
  <c r="D9" i="15" s="1"/>
  <c r="D26" i="15" s="1"/>
  <c r="F799" i="1"/>
  <c r="L798" i="1"/>
  <c r="H946" i="1"/>
  <c r="L17" i="19" l="1"/>
  <c r="F9" i="1"/>
  <c r="L9" i="1" s="1"/>
  <c r="L26" i="22"/>
  <c r="F9" i="22"/>
  <c r="F9" i="20"/>
  <c r="L17" i="20"/>
  <c r="F9" i="18"/>
  <c r="L26" i="18"/>
  <c r="F9" i="24"/>
  <c r="F9" i="23"/>
  <c r="D20" i="15"/>
  <c r="D15" i="15"/>
  <c r="D16" i="15" s="1"/>
  <c r="D10" i="15"/>
  <c r="D11" i="15" s="1"/>
  <c r="D17" i="15"/>
  <c r="L810" i="1"/>
  <c r="J4" i="1"/>
  <c r="J6" i="1"/>
  <c r="D12" i="15" s="1"/>
  <c r="L799" i="1"/>
  <c r="F946" i="1"/>
  <c r="L946" i="1" s="1"/>
  <c r="L9" i="23" l="1"/>
  <c r="E5" i="23"/>
  <c r="E5" i="1"/>
  <c r="F5" i="1" s="1"/>
  <c r="E5" i="19"/>
  <c r="L9" i="19"/>
  <c r="E5" i="20"/>
  <c r="L9" i="20"/>
  <c r="L9" i="24"/>
  <c r="E5" i="24"/>
  <c r="E5" i="18"/>
  <c r="L9" i="18"/>
  <c r="L9" i="22"/>
  <c r="E5" i="22"/>
  <c r="D14" i="15"/>
  <c r="D13" i="15"/>
  <c r="K5" i="1" l="1"/>
  <c r="F5" i="22"/>
  <c r="K5" i="22"/>
  <c r="K5" i="20"/>
  <c r="F5" i="20"/>
  <c r="K5" i="18"/>
  <c r="F5" i="18"/>
  <c r="F5" i="24"/>
  <c r="K5" i="24"/>
  <c r="F5" i="23"/>
  <c r="K5" i="23"/>
  <c r="F5" i="19"/>
  <c r="K5" i="19"/>
  <c r="F4" i="1"/>
  <c r="L4" i="1" s="1"/>
  <c r="F6" i="1"/>
  <c r="L5" i="1"/>
  <c r="F6" i="19" l="1"/>
  <c r="I6" i="17" s="1"/>
  <c r="I18" i="17" s="1"/>
  <c r="L5" i="19"/>
  <c r="F4" i="19"/>
  <c r="L4" i="19" s="1"/>
  <c r="F6" i="22"/>
  <c r="L5" i="22"/>
  <c r="F4" i="22"/>
  <c r="L4" i="22" s="1"/>
  <c r="F6" i="24"/>
  <c r="L5" i="24"/>
  <c r="F4" i="24"/>
  <c r="L4" i="24" s="1"/>
  <c r="F6" i="23"/>
  <c r="F4" i="23"/>
  <c r="L4" i="23" s="1"/>
  <c r="L5" i="23"/>
  <c r="L5" i="18"/>
  <c r="F4" i="18"/>
  <c r="L4" i="18" s="1"/>
  <c r="F6" i="18"/>
  <c r="L6" i="18" s="1"/>
  <c r="F4" i="20"/>
  <c r="L4" i="20" s="1"/>
  <c r="F6" i="20"/>
  <c r="L5" i="20"/>
  <c r="L6" i="1"/>
  <c r="D6" i="15"/>
  <c r="D8" i="15" s="1"/>
  <c r="L6" i="24" l="1"/>
  <c r="N6" i="21"/>
  <c r="N18" i="21" s="1"/>
  <c r="I39" i="21"/>
  <c r="I39" i="17"/>
  <c r="I8" i="17"/>
  <c r="I22" i="17"/>
  <c r="I21" i="17"/>
  <c r="L6" i="20"/>
  <c r="N6" i="17"/>
  <c r="N18" i="17" s="1"/>
  <c r="I37" i="21"/>
  <c r="I37" i="17"/>
  <c r="I38" i="17"/>
  <c r="I38" i="21"/>
  <c r="L6" i="19"/>
  <c r="I36" i="21"/>
  <c r="I36" i="17"/>
  <c r="L6" i="22"/>
  <c r="I6" i="21"/>
  <c r="I18" i="21" s="1"/>
  <c r="L6" i="23"/>
  <c r="D19" i="15"/>
  <c r="D18" i="15"/>
  <c r="D21" i="15"/>
  <c r="N21" i="17" l="1"/>
  <c r="D21" i="17" s="1"/>
  <c r="D18" i="17"/>
  <c r="N22" i="17"/>
  <c r="D22" i="17" s="1"/>
  <c r="N6" i="16"/>
  <c r="N8" i="17"/>
  <c r="D8" i="17" s="1"/>
  <c r="D6" i="17"/>
  <c r="N8" i="21"/>
  <c r="N22" i="21"/>
  <c r="N21" i="21"/>
  <c r="I21" i="21"/>
  <c r="I8" i="21"/>
  <c r="D6" i="21"/>
  <c r="I22" i="21"/>
  <c r="J37" i="17"/>
  <c r="K37" i="17" s="1"/>
  <c r="N19" i="17" s="1"/>
  <c r="J36" i="17"/>
  <c r="K36" i="17" s="1"/>
  <c r="J38" i="17"/>
  <c r="K38" i="17" s="1"/>
  <c r="J39" i="17"/>
  <c r="K39" i="17" s="1"/>
  <c r="J36" i="21"/>
  <c r="K36" i="21" s="1"/>
  <c r="J38" i="21"/>
  <c r="K38" i="21" s="1"/>
  <c r="J37" i="21"/>
  <c r="K37" i="21" s="1"/>
  <c r="J39" i="21"/>
  <c r="K39" i="21" s="1"/>
  <c r="I6" i="16"/>
  <c r="D22" i="15"/>
  <c r="D23" i="15" s="1"/>
  <c r="D6" i="16" l="1"/>
  <c r="N22" i="16"/>
  <c r="N8" i="16"/>
  <c r="N18" i="16"/>
  <c r="N24" i="21"/>
  <c r="I24" i="21"/>
  <c r="N21" i="16"/>
  <c r="D21" i="21"/>
  <c r="D21" i="16" s="1"/>
  <c r="I21" i="16"/>
  <c r="I22" i="16"/>
  <c r="D22" i="21"/>
  <c r="D22" i="16" s="1"/>
  <c r="D18" i="21"/>
  <c r="D18" i="16" s="1"/>
  <c r="I18" i="16"/>
  <c r="D19" i="21"/>
  <c r="I19" i="16"/>
  <c r="I24" i="17"/>
  <c r="D19" i="17"/>
  <c r="N19" i="16"/>
  <c r="D8" i="21"/>
  <c r="D8" i="16" s="1"/>
  <c r="I8" i="16"/>
  <c r="K41" i="17"/>
  <c r="K41" i="21"/>
  <c r="D24" i="15"/>
  <c r="D25" i="15" s="1"/>
  <c r="N25" i="21" l="1"/>
  <c r="N26" i="21" s="1"/>
  <c r="D19" i="16"/>
  <c r="I25" i="21"/>
  <c r="I26" i="21" s="1"/>
  <c r="D24" i="21"/>
  <c r="I25" i="17"/>
  <c r="N24" i="17"/>
  <c r="N24" i="16" s="1"/>
  <c r="D27" i="15"/>
  <c r="D28" i="15" s="1"/>
  <c r="D29" i="15" s="1"/>
  <c r="I29" i="21" l="1"/>
  <c r="I30" i="21" s="1"/>
  <c r="I31" i="21" s="1"/>
  <c r="D25" i="21"/>
  <c r="N29" i="21"/>
  <c r="N31" i="21" s="1"/>
  <c r="N31" i="16" s="1"/>
  <c r="I26" i="17"/>
  <c r="I27" i="16" s="1"/>
  <c r="D24" i="17"/>
  <c r="D24" i="16" s="1"/>
  <c r="I24" i="16"/>
  <c r="N25" i="17"/>
  <c r="N25" i="16" s="1"/>
  <c r="I29" i="17" l="1"/>
  <c r="I30" i="17" s="1"/>
  <c r="I31" i="17" s="1"/>
  <c r="I31" i="16" s="1"/>
  <c r="N26" i="17"/>
  <c r="I25" i="16"/>
  <c r="D25" i="17"/>
  <c r="D25" i="16" s="1"/>
  <c r="D26" i="21" l="1"/>
  <c r="N26" i="16"/>
  <c r="D26" i="17"/>
  <c r="I26" i="16"/>
  <c r="N27" i="17"/>
  <c r="N27" i="16" l="1"/>
  <c r="D26" i="16"/>
  <c r="D27" i="17"/>
  <c r="D27" i="21"/>
  <c r="G9" i="26"/>
  <c r="G10" i="26"/>
  <c r="N29" i="17"/>
  <c r="N29" i="16" s="1"/>
  <c r="C9" i="26"/>
  <c r="D27" i="16" l="1"/>
  <c r="D29" i="17"/>
  <c r="N30" i="17"/>
  <c r="N30" i="16" s="1"/>
  <c r="H10" i="26" s="1"/>
  <c r="G11" i="26"/>
  <c r="F9" i="26"/>
  <c r="H9" i="26"/>
  <c r="C10" i="26"/>
  <c r="C11" i="26" s="1"/>
  <c r="F10" i="26" l="1"/>
  <c r="D29" i="21"/>
  <c r="D29" i="16" s="1"/>
  <c r="F14" i="31" s="1"/>
  <c r="I29" i="16"/>
  <c r="E9" i="26" s="1"/>
  <c r="D30" i="17"/>
  <c r="I10" i="26" s="1"/>
  <c r="N31" i="17"/>
  <c r="D9" i="26"/>
  <c r="I9" i="26"/>
  <c r="J9" i="26" l="1"/>
  <c r="D30" i="21"/>
  <c r="I30" i="16"/>
  <c r="E10" i="26" s="1"/>
  <c r="D30" i="16"/>
  <c r="F15" i="31" s="1"/>
  <c r="F11" i="31" s="1"/>
  <c r="H11" i="26"/>
  <c r="D31" i="17"/>
  <c r="I11" i="26" s="1"/>
  <c r="F11" i="26"/>
  <c r="D10" i="26"/>
  <c r="D31" i="21" l="1"/>
  <c r="E11" i="26"/>
  <c r="K9" i="26"/>
  <c r="J10" i="26"/>
  <c r="D11" i="26"/>
  <c r="D31" i="16" l="1"/>
  <c r="D43" i="16" s="1"/>
  <c r="J11" i="26"/>
  <c r="K10" i="26"/>
  <c r="AD2" i="2" l="1"/>
  <c r="AF1" i="2" s="1"/>
  <c r="D35" i="16"/>
  <c r="K11" i="26"/>
</calcChain>
</file>

<file path=xl/comments1.xml><?xml version="1.0" encoding="utf-8"?>
<comments xmlns="http://schemas.openxmlformats.org/spreadsheetml/2006/main">
  <authors>
    <author>USER</author>
  </authors>
  <commentList>
    <comment ref="I19" authorId="0" shapeId="0">
      <text>
        <r>
          <rPr>
            <b/>
            <sz val="9"/>
            <color indexed="81"/>
            <rFont val="돋움"/>
            <family val="3"/>
            <charset val="129"/>
          </rPr>
          <t>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</t>
        </r>
        <r>
          <rPr>
            <sz val="8"/>
            <color indexed="8"/>
            <rFont val="돋움"/>
            <family val="3"/>
            <charset val="129"/>
          </rPr>
          <t>열에</t>
        </r>
        <r>
          <rPr>
            <sz val="8"/>
            <color indexed="8"/>
            <rFont val="Arial"/>
            <family val="2"/>
          </rPr>
          <t xml:space="preserve"> </t>
        </r>
        <r>
          <rPr>
            <sz val="8"/>
            <color indexed="8"/>
            <rFont val="돋움"/>
            <family val="3"/>
            <charset val="129"/>
          </rPr>
          <t>수식을</t>
        </r>
        <r>
          <rPr>
            <sz val="8"/>
            <color indexed="8"/>
            <rFont val="Arial"/>
            <family val="2"/>
          </rPr>
          <t xml:space="preserve"> </t>
        </r>
        <r>
          <rPr>
            <sz val="8"/>
            <color indexed="8"/>
            <rFont val="돋움"/>
            <family val="3"/>
            <charset val="129"/>
          </rPr>
          <t>나누어</t>
        </r>
        <r>
          <rPr>
            <sz val="8"/>
            <color indexed="8"/>
            <rFont val="Arial"/>
            <family val="2"/>
          </rPr>
          <t xml:space="preserve"> </t>
        </r>
        <r>
          <rPr>
            <sz val="8"/>
            <color indexed="8"/>
            <rFont val="돋움"/>
            <family val="3"/>
            <charset val="129"/>
          </rPr>
          <t>참조하였습니다</t>
        </r>
        <r>
          <rPr>
            <sz val="8"/>
            <color indexed="8"/>
            <rFont val="Arial"/>
            <family val="2"/>
          </rPr>
          <t>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9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J9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  <comment ref="F87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87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87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159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159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159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206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206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206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253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253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253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300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300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300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347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347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347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394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394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394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441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441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441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601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601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601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736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736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736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945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945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945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1215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1215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1215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1322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1322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1322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1365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1365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1365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  <comment ref="F1453" authorId="0" shapeId="0">
      <text>
        <r>
          <rPr>
            <sz val="8"/>
            <color indexed="8"/>
            <rFont val="Arial"/>
            <family val="2"/>
          </rPr>
          <t>AF열에 수식을 나누어 참조하였습니다.</t>
        </r>
      </text>
    </comment>
    <comment ref="H1453" authorId="0" shapeId="0">
      <text>
        <r>
          <rPr>
            <sz val="8"/>
            <color indexed="8"/>
            <rFont val="Arial"/>
            <family val="2"/>
          </rPr>
          <t>AG열에 수식을 나누어 참조하였습니다.</t>
        </r>
      </text>
    </comment>
    <comment ref="J1453" authorId="0" shapeId="0">
      <text>
        <r>
          <rPr>
            <sz val="8"/>
            <color indexed="8"/>
            <rFont val="Arial"/>
            <family val="2"/>
          </rPr>
          <t>AH열에 수식을 나누어 참조하였습니다.</t>
        </r>
      </text>
    </comment>
  </commentList>
</comments>
</file>

<file path=xl/sharedStrings.xml><?xml version="1.0" encoding="utf-8"?>
<sst xmlns="http://schemas.openxmlformats.org/spreadsheetml/2006/main" count="44148" uniqueCount="6615">
  <si>
    <t>9720</t>
  </si>
  <si>
    <t>TM-408-500</t>
  </si>
  <si>
    <t>S024W50060</t>
  </si>
  <si>
    <t>S00000W750</t>
  </si>
  <si>
    <t>S02001W025</t>
  </si>
  <si>
    <t>6380</t>
  </si>
  <si>
    <t>SC0608W250</t>
  </si>
  <si>
    <t xml:space="preserve">112_1_1 = </t>
  </si>
  <si>
    <t>MV-5100-12560</t>
  </si>
  <si>
    <t>MV-5100-25040</t>
  </si>
  <si>
    <t>MV-5100-30060</t>
  </si>
  <si>
    <t>No.883 L-O-R PLUG마감 용접</t>
  </si>
  <si>
    <t xml:space="preserve"> '4) PE 용접봉 :' 10.29 'kg' * ~M9021009~= ?MA1+</t>
  </si>
  <si>
    <t>10680</t>
  </si>
  <si>
    <t>MV-4400-040020</t>
  </si>
  <si>
    <t>16280</t>
  </si>
  <si>
    <t>S024W45040</t>
  </si>
  <si>
    <t xml:space="preserve"> 발전기(250kW) : 원/hr</t>
  </si>
  <si>
    <t>M4507009</t>
  </si>
  <si>
    <t>7660</t>
  </si>
  <si>
    <t>S00000A300YA</t>
  </si>
  <si>
    <t>MV-4400-040020</t>
  </si>
  <si>
    <t>S02002W550YA</t>
  </si>
  <si>
    <t>M4507009</t>
  </si>
  <si>
    <t>11360</t>
  </si>
  <si>
    <t>QEQTY2</t>
  </si>
  <si>
    <t>S02W02060YA</t>
  </si>
  <si>
    <t>S02002W400</t>
  </si>
  <si>
    <t>MV-4300-150032</t>
  </si>
  <si>
    <t>(SANG + JUNG + KWAN)*10^-4</t>
  </si>
  <si>
    <t>#47 PE용접(M당) | 650A|M</t>
  </si>
  <si>
    <t>12620</t>
  </si>
  <si>
    <t>MV-5000-65060</t>
  </si>
  <si>
    <t>MV-5000-70040</t>
  </si>
  <si>
    <t>MV-4400-080020</t>
  </si>
  <si>
    <t>4320</t>
  </si>
  <si>
    <t xml:space="preserve"> ◈ PE용접 650A / 개소</t>
  </si>
  <si>
    <t xml:space="preserve">     ':' MA1 * 0.38 = ?MA2 '원/월'</t>
  </si>
  <si>
    <t>2720</t>
  </si>
  <si>
    <t xml:space="preserve"> '4) PE 용접봉 :' 13.49 'kg' * ~M9021009~= ?MA1+</t>
  </si>
  <si>
    <t>No.821  HOT TAPPING</t>
  </si>
  <si>
    <t>S00000A020</t>
  </si>
  <si>
    <t>40A,40t(곡관부)</t>
  </si>
  <si>
    <t>14220</t>
  </si>
  <si>
    <t>일위대가_호표</t>
  </si>
  <si>
    <t>125A,80t(직관부)</t>
  </si>
  <si>
    <t>S00000W040YA</t>
  </si>
  <si>
    <t>MV-4300-150032</t>
  </si>
  <si>
    <t>MV-4400-080020</t>
  </si>
  <si>
    <t>989</t>
  </si>
  <si>
    <t xml:space="preserve"> 전력케이블 철거손료 1.5%</t>
  </si>
  <si>
    <t>14540</t>
  </si>
  <si>
    <t xml:space="preserve">      3 회 x 6 분/회 = 18 분</t>
  </si>
  <si>
    <t xml:space="preserve">  기타사급자재 운반비반영 :  [2] * 1.097 =1,236.3</t>
  </si>
  <si>
    <t>150x50A</t>
  </si>
  <si>
    <t>150x50A</t>
  </si>
  <si>
    <t>물정/1430/</t>
  </si>
  <si>
    <t>500x080A</t>
  </si>
  <si>
    <t>SD0001W0550</t>
  </si>
  <si>
    <t xml:space="preserve">268_1_1 = </t>
  </si>
  <si>
    <t>Q = 6'분/회'  * 2'회' * 3'대'  = ?'분'</t>
  </si>
  <si>
    <t>500x080A</t>
  </si>
  <si>
    <t>4440</t>
  </si>
  <si>
    <t>10800</t>
  </si>
  <si>
    <t>12140</t>
  </si>
  <si>
    <t>M5796025</t>
  </si>
  <si>
    <t>650A(VENT일체형)</t>
  </si>
  <si>
    <t>MV-9960-010-350</t>
  </si>
  <si>
    <t>11400</t>
  </si>
  <si>
    <t>S02003W200</t>
  </si>
  <si>
    <t>5840</t>
  </si>
  <si>
    <t>7100</t>
  </si>
  <si>
    <t>650A(VENT일체형)</t>
  </si>
  <si>
    <t>TM-700-300Y</t>
  </si>
  <si>
    <t>#65 PE용접 | 450A|개소</t>
  </si>
  <si>
    <t xml:space="preserve"> ◈ PE용접 65A / M</t>
  </si>
  <si>
    <t>15940</t>
  </si>
  <si>
    <t>MV-4400-250125</t>
  </si>
  <si>
    <t xml:space="preserve">  3. 배치인원</t>
  </si>
  <si>
    <t>9040</t>
  </si>
  <si>
    <t>SZD0002-650</t>
  </si>
  <si>
    <t>물자/1074/</t>
  </si>
  <si>
    <t>17000</t>
  </si>
  <si>
    <t>350A x 40t</t>
  </si>
  <si>
    <t>S02W60080YA</t>
  </si>
  <si>
    <t>MV-4400-250125</t>
  </si>
  <si>
    <t>MV-4700-000050</t>
  </si>
  <si>
    <t>7620</t>
  </si>
  <si>
    <t>MV-4300-450300</t>
  </si>
  <si>
    <t>MV-9960-007-550</t>
  </si>
  <si>
    <t>11320</t>
  </si>
  <si>
    <t>8280</t>
  </si>
  <si>
    <t>MV-4300-750650</t>
  </si>
  <si>
    <t>BALL V/V</t>
  </si>
  <si>
    <t>S02W75080YA</t>
  </si>
  <si>
    <t>500A,80t(곡관부)</t>
  </si>
  <si>
    <t>S02001W065</t>
  </si>
  <si>
    <t>No.864  STOPPLE FITTING 용접</t>
  </si>
  <si>
    <t>S4840-050</t>
  </si>
  <si>
    <t>20x20A</t>
  </si>
  <si>
    <t>9760</t>
  </si>
  <si>
    <t>대주이엔티</t>
  </si>
  <si>
    <t>S02003W450YA</t>
  </si>
  <si>
    <t>S00000W250YA</t>
  </si>
  <si>
    <t>MV-4300-450300</t>
  </si>
  <si>
    <t>MV-4300-750650</t>
  </si>
  <si>
    <t>MV-4700-000050</t>
  </si>
  <si>
    <t>20x20A</t>
  </si>
  <si>
    <t>휴먼인텍</t>
  </si>
  <si>
    <t>MV-4500-200150</t>
  </si>
  <si>
    <t>13380</t>
  </si>
  <si>
    <t xml:space="preserve">724_1_1 = </t>
  </si>
  <si>
    <t>5680</t>
  </si>
  <si>
    <t>2760</t>
  </si>
  <si>
    <t>No.865  L-O-R PLUG마감 용접</t>
  </si>
  <si>
    <t>S02W55040</t>
  </si>
  <si>
    <t>S02001W080</t>
  </si>
  <si>
    <t>No.839 칩제거 장비 설치</t>
  </si>
  <si>
    <t>14260</t>
  </si>
  <si>
    <t>MV-5100-04040</t>
  </si>
  <si>
    <t>350A,40t(곡관부)</t>
  </si>
  <si>
    <t xml:space="preserve"> '5) HDPE 관 :' 6.18 'm' * ~M5796025~ = ?MA1+</t>
  </si>
  <si>
    <t>12660</t>
  </si>
  <si>
    <t xml:space="preserve">   이중보온관 부설(야간)</t>
  </si>
  <si>
    <t>4360</t>
  </si>
  <si>
    <t>3280</t>
  </si>
  <si>
    <t xml:space="preserve"> * 전기예열기 묶기 : 1분</t>
  </si>
  <si>
    <t>S02W40060</t>
  </si>
  <si>
    <t>MV-4500-200150</t>
  </si>
  <si>
    <t>15780</t>
  </si>
  <si>
    <t>TM-700-600</t>
  </si>
  <si>
    <t>MU00240-100</t>
  </si>
  <si>
    <t xml:space="preserve"> ◈ 자재운반 32A  / M</t>
  </si>
  <si>
    <t>4400</t>
  </si>
  <si>
    <t>[2]'소계'=?[]+</t>
  </si>
  <si>
    <t>10840</t>
  </si>
  <si>
    <t>TM-700-050Y</t>
  </si>
  <si>
    <t>12100</t>
  </si>
  <si>
    <t xml:space="preserve"> * 원위치 1분</t>
  </si>
  <si>
    <t>100A,40t(직관부)</t>
  </si>
  <si>
    <t xml:space="preserve"> ◈ PE용접 125A / M</t>
  </si>
  <si>
    <t>MV-4300-400250</t>
  </si>
  <si>
    <t>S024W03280YA</t>
  </si>
  <si>
    <t>65A,80t(곡관부)</t>
  </si>
  <si>
    <t>MV-4300-700700</t>
  </si>
  <si>
    <t>500x450A</t>
  </si>
  <si>
    <t xml:space="preserve">         1/{Q}/60 = {?,'9.999C'}Q2'HR/TON'</t>
  </si>
  <si>
    <t>S1303W500YA</t>
  </si>
  <si>
    <t>TE-SLEEVE</t>
  </si>
  <si>
    <t xml:space="preserve">424_1_1 = </t>
  </si>
  <si>
    <t>S13030W500YA</t>
  </si>
  <si>
    <t>MV-4500-450350</t>
  </si>
  <si>
    <t xml:space="preserve">2090_1_1+ = </t>
  </si>
  <si>
    <t>14500</t>
  </si>
  <si>
    <t>S00000A700</t>
  </si>
  <si>
    <t>MV-4300-400250</t>
  </si>
  <si>
    <t>MV-4300-700700</t>
  </si>
  <si>
    <t>MV-4500-450350</t>
  </si>
  <si>
    <t>No.812 HOT TAPPING</t>
  </si>
  <si>
    <t>MV-7000-100</t>
  </si>
  <si>
    <t>500x450A</t>
  </si>
  <si>
    <t>적용단위</t>
  </si>
  <si>
    <t>400A(부설의 40%)</t>
  </si>
  <si>
    <t>15900</t>
  </si>
  <si>
    <t>S01000W300</t>
  </si>
  <si>
    <t xml:space="preserve">   지하시설물(열수송관)탐사</t>
  </si>
  <si>
    <t>견단/거래/</t>
  </si>
  <si>
    <t>S024W12580YA</t>
  </si>
  <si>
    <t>9000</t>
  </si>
  <si>
    <t>17040</t>
  </si>
  <si>
    <t>수 량</t>
  </si>
  <si>
    <t>11440</t>
  </si>
  <si>
    <t>MV-4300-200100</t>
  </si>
  <si>
    <t>5800</t>
  </si>
  <si>
    <t>수 량</t>
  </si>
  <si>
    <t>7140</t>
  </si>
  <si>
    <t xml:space="preserve"> ◈ PE용접 250A / 개소</t>
  </si>
  <si>
    <t>750A,80t(직관부)</t>
  </si>
  <si>
    <t>MV-4300-200100</t>
  </si>
  <si>
    <t>14</t>
  </si>
  <si>
    <t>8240</t>
  </si>
  <si>
    <t>16200</t>
  </si>
  <si>
    <t xml:space="preserve">    1.228 '인' * Q * ~L001010101000002~ = ?LA2+</t>
  </si>
  <si>
    <t>MV-9960-004-150</t>
  </si>
  <si>
    <t xml:space="preserve">    '재료비:' ~E00002104001500000.M~ * 5.1 / 60 = ?MA1+</t>
  </si>
  <si>
    <t xml:space="preserve">OT                                                                                                  </t>
  </si>
  <si>
    <t>MV-4500-050040</t>
  </si>
  <si>
    <t xml:space="preserve"> ◈ PE용접 20A / M</t>
  </si>
  <si>
    <t>MV-4100-200</t>
  </si>
  <si>
    <t>450x200A</t>
  </si>
  <si>
    <t>MV-4400-100032</t>
  </si>
  <si>
    <t xml:space="preserve">    '1) 운반차량 : 12.0 TON'</t>
  </si>
  <si>
    <t xml:space="preserve"> '6) 공장보온재 :' 2.992 'm' * ~MU00450-400A~ = ?MA1+</t>
  </si>
  <si>
    <t>[2]'소계'=?</t>
  </si>
  <si>
    <t xml:space="preserve">    '재료비:' ~E00002104001500000.M~ * 9 / 60 = ?MA1+</t>
  </si>
  <si>
    <t>S02W65040YA</t>
  </si>
  <si>
    <t>SZJ000001</t>
  </si>
  <si>
    <t>450x200A</t>
  </si>
  <si>
    <t>6300</t>
  </si>
  <si>
    <t>600A x 40t</t>
  </si>
  <si>
    <t>MV-4400-100032</t>
  </si>
  <si>
    <t>MV-4500-050040</t>
  </si>
  <si>
    <t>MU00240-125</t>
  </si>
  <si>
    <t>MV-4100-200</t>
  </si>
  <si>
    <t>10600</t>
  </si>
  <si>
    <t xml:space="preserve"> ◈ 자재운반 150A  / M</t>
  </si>
  <si>
    <t>견단/일진레이텍/</t>
  </si>
  <si>
    <t>S02001W040</t>
  </si>
  <si>
    <t>S02W55080</t>
  </si>
  <si>
    <t>No.838  T-101  설치</t>
  </si>
  <si>
    <t>M4507051-700</t>
  </si>
  <si>
    <t>S130301X700</t>
  </si>
  <si>
    <t>13340</t>
  </si>
  <si>
    <t>M4507051-700</t>
  </si>
  <si>
    <t>MV-5100-04080</t>
  </si>
  <si>
    <t>5640</t>
  </si>
  <si>
    <t>3240</t>
  </si>
  <si>
    <t>50x32A</t>
  </si>
  <si>
    <t>50x32A</t>
  </si>
  <si>
    <t>15740</t>
  </si>
  <si>
    <t>150A,60t(곡관부)</t>
  </si>
  <si>
    <t>MV-4300-200125</t>
  </si>
  <si>
    <t xml:space="preserve">LA2+ = </t>
  </si>
  <si>
    <t>15020</t>
  </si>
  <si>
    <t>125x25A</t>
  </si>
  <si>
    <t>400x65A</t>
  </si>
  <si>
    <t>9920</t>
  </si>
  <si>
    <t>3520</t>
  </si>
  <si>
    <t>300A,60t(직관부)</t>
  </si>
  <si>
    <t>10880</t>
  </si>
  <si>
    <t>125x25A</t>
  </si>
  <si>
    <t xml:space="preserve">  2.보온공량</t>
  </si>
  <si>
    <t xml:space="preserve">576_1_1 = </t>
  </si>
  <si>
    <t>노임계금액소숫점</t>
  </si>
  <si>
    <t>MV-4810-000700</t>
  </si>
  <si>
    <t>S1303W500</t>
  </si>
  <si>
    <t>400x65A</t>
  </si>
  <si>
    <t>5120</t>
  </si>
  <si>
    <t>13420</t>
  </si>
  <si>
    <t>MV-4300-200125</t>
  </si>
  <si>
    <t>MV-4810-000700</t>
  </si>
  <si>
    <t xml:space="preserve">   누수탐사</t>
  </si>
  <si>
    <t>MV-6700-250</t>
  </si>
  <si>
    <t>7860</t>
  </si>
  <si>
    <t xml:space="preserve"> '4) PE 용접봉 :' 0.64 'kg' * ~M9021009~= ?MA1+</t>
  </si>
  <si>
    <t>SC0608W550YA</t>
  </si>
  <si>
    <t>10160</t>
  </si>
  <si>
    <t xml:space="preserve">V = </t>
  </si>
  <si>
    <t>6460</t>
  </si>
  <si>
    <t>화성밸브</t>
  </si>
  <si>
    <t>12820</t>
  </si>
  <si>
    <t>500A(보온두께 76~95mm)</t>
  </si>
  <si>
    <t xml:space="preserve">   m당 금액 :  [1] /12 = 1,295.1</t>
  </si>
  <si>
    <t>2920</t>
  </si>
  <si>
    <t>8520</t>
  </si>
  <si>
    <t>16560</t>
  </si>
  <si>
    <t>11480</t>
  </si>
  <si>
    <t xml:space="preserve">   - 운반대기 시간 : 125A 이상 1본당,  100A 이하 2본당(분)</t>
  </si>
  <si>
    <t>7180</t>
  </si>
  <si>
    <t>500A x 40t</t>
  </si>
  <si>
    <t>S024W02540YA</t>
  </si>
  <si>
    <t>QEINC2</t>
  </si>
  <si>
    <t xml:space="preserve">    1.904 '인' * Q * ~L001010101000044~ = ?LA2+</t>
  </si>
  <si>
    <t>MV-4400-200050</t>
  </si>
  <si>
    <t>6340</t>
  </si>
  <si>
    <t xml:space="preserve"> '1) POLYOL :' 3.60 'kg' * ~MU-001~ = ?MA1+</t>
  </si>
  <si>
    <t>10640</t>
  </si>
  <si>
    <t>MV-4800-000750</t>
  </si>
  <si>
    <t xml:space="preserve"> '2.보온공량'</t>
  </si>
  <si>
    <t>'내 선 전 공 :' TOT("L001010101000075") * K / F =?MA1</t>
  </si>
  <si>
    <t>MV-5100-25080</t>
  </si>
  <si>
    <t>MV-4200-650</t>
  </si>
  <si>
    <t>8200</t>
  </si>
  <si>
    <t>16240</t>
  </si>
  <si>
    <t>MV-4400-200050</t>
  </si>
  <si>
    <t>MV-4800-000750</t>
  </si>
  <si>
    <t>MV-4200-650</t>
  </si>
  <si>
    <t>MV-6600-450</t>
  </si>
  <si>
    <t>S024W45080</t>
  </si>
  <si>
    <t>MV-4600-000150</t>
  </si>
  <si>
    <t>특별인부</t>
  </si>
  <si>
    <t>S02W15060YA</t>
  </si>
  <si>
    <t>No.875 STOPPLE FITTING 및 SANDWICH V/V설치</t>
  </si>
  <si>
    <t>S02002M250</t>
  </si>
  <si>
    <t>3200</t>
  </si>
  <si>
    <t>L001010101000078</t>
  </si>
  <si>
    <t>15700</t>
  </si>
  <si>
    <t>MV-5000-70080</t>
  </si>
  <si>
    <t xml:space="preserve">1625_1_1+ = </t>
  </si>
  <si>
    <t xml:space="preserve">CM = </t>
  </si>
  <si>
    <t xml:space="preserve"> 'PE용접:'~S4830-350.T~ / L = ?[1]+</t>
  </si>
  <si>
    <t>13300</t>
  </si>
  <si>
    <t>MV-4300-600250</t>
  </si>
  <si>
    <t>'- 접속점 설치수량 = 예열기 1대당 4개(전면,후면) : 4개/개소'</t>
  </si>
  <si>
    <t>450x150A</t>
  </si>
  <si>
    <t>[1]=0</t>
  </si>
  <si>
    <t>5600</t>
  </si>
  <si>
    <t>MV-4400-400300</t>
  </si>
  <si>
    <t xml:space="preserve"> - 접속점 설치수량 = 예열기 1대당 4개(전면,후면) : 8개/개소</t>
  </si>
  <si>
    <t>MV-4300-600250</t>
  </si>
  <si>
    <t>MV-4400-400300</t>
  </si>
  <si>
    <t>MV-4600-000150</t>
  </si>
  <si>
    <t>20A(부설의 40%)</t>
  </si>
  <si>
    <t>MV-4400-250100</t>
  </si>
  <si>
    <t>5160</t>
  </si>
  <si>
    <t xml:space="preserve">   맹판설치(야간)</t>
  </si>
  <si>
    <t>13460</t>
  </si>
  <si>
    <t>MV-4300-050050</t>
  </si>
  <si>
    <t xml:space="preserve">MA3+ = </t>
  </si>
  <si>
    <t>'◈ PE용접 700A / 개소'</t>
  </si>
  <si>
    <t>7820</t>
  </si>
  <si>
    <t xml:space="preserve"> '1.재료비'</t>
  </si>
  <si>
    <t>S130301X020</t>
  </si>
  <si>
    <t>ST0000TW700</t>
  </si>
  <si>
    <t>S1303W032</t>
  </si>
  <si>
    <t>14580</t>
  </si>
  <si>
    <t xml:space="preserve">804_1_1 = </t>
  </si>
  <si>
    <t>S13030W750</t>
  </si>
  <si>
    <t xml:space="preserve">   m당 금액 :  [1] /12 = 3,434.3</t>
  </si>
  <si>
    <t>4480</t>
  </si>
  <si>
    <t>50x40A</t>
  </si>
  <si>
    <t>600x400A</t>
  </si>
  <si>
    <t>12180</t>
  </si>
  <si>
    <t>600x400A</t>
  </si>
  <si>
    <t xml:space="preserve">    '노무비:' ~E00002104001500000.L~ * 6 / 60 = ?LA1+</t>
  </si>
  <si>
    <t>15060</t>
  </si>
  <si>
    <t>9960</t>
  </si>
  <si>
    <t>MV-4300-050050</t>
  </si>
  <si>
    <t>MV-4400-250100</t>
  </si>
  <si>
    <t>3560</t>
  </si>
  <si>
    <t>S4830-650</t>
  </si>
  <si>
    <t>50x40A</t>
  </si>
  <si>
    <t>MV-4000-400</t>
  </si>
  <si>
    <t>MV-4000-400</t>
  </si>
  <si>
    <t xml:space="preserve">LA2 = </t>
  </si>
  <si>
    <t>M9015017</t>
  </si>
  <si>
    <t xml:space="preserve"> 'PE용접:'~S4830-650.T~ / L = ?[1]+</t>
  </si>
  <si>
    <t xml:space="preserve">  3) WEPS :  20  EA  *  사급자재</t>
  </si>
  <si>
    <t>5880</t>
  </si>
  <si>
    <t>No.881 STOPPLE FITTING 및 SANDWICH V/V설치</t>
  </si>
  <si>
    <t>SS00200W300</t>
  </si>
  <si>
    <t>견단/대주이엔티/</t>
  </si>
  <si>
    <t>S02W70040YA</t>
  </si>
  <si>
    <t>SZD0001-250</t>
  </si>
  <si>
    <t>2960</t>
  </si>
  <si>
    <t>KSM6020 2급 흑색 18ℓ</t>
  </si>
  <si>
    <t>8560</t>
  </si>
  <si>
    <t>16520</t>
  </si>
  <si>
    <t>10120</t>
  </si>
  <si>
    <t xml:space="preserve">    1.647 '인' * Q * ~L001010101000002~ = ?LA2+</t>
  </si>
  <si>
    <t>S02000W600</t>
  </si>
  <si>
    <t>S02002M100YA</t>
  </si>
  <si>
    <t>MV-4300-650300</t>
  </si>
  <si>
    <t>LA</t>
  </si>
  <si>
    <t>6420</t>
  </si>
  <si>
    <t xml:space="preserve">   이중보온관 철거(야간)</t>
  </si>
  <si>
    <t>100A(보온두께 31~40mm)</t>
  </si>
  <si>
    <t>12860</t>
  </si>
  <si>
    <t>S02001W125YA</t>
  </si>
  <si>
    <t>15980</t>
  </si>
  <si>
    <t xml:space="preserve">340_1_1 = </t>
  </si>
  <si>
    <t>S02001W300YA</t>
  </si>
  <si>
    <t>MV-4300-650300</t>
  </si>
  <si>
    <t>9080</t>
  </si>
  <si>
    <t>S00000A400YA</t>
  </si>
  <si>
    <t>300 AMP</t>
  </si>
  <si>
    <t>650x300A</t>
  </si>
  <si>
    <t>MV-4800-000400</t>
  </si>
  <si>
    <t>MV-5100-55040</t>
  </si>
  <si>
    <t>650A</t>
  </si>
  <si>
    <t>S02002W250YA</t>
  </si>
  <si>
    <t>12.0 ＜T≤ 20.0  2438x6096mm SS41</t>
  </si>
  <si>
    <t>MV-4800-000400</t>
  </si>
  <si>
    <t>MV-5100-40060</t>
  </si>
  <si>
    <t>MV-5100-55040</t>
  </si>
  <si>
    <t>6010</t>
  </si>
  <si>
    <t>MU00450-450A</t>
  </si>
  <si>
    <t>6562</t>
  </si>
  <si>
    <t>4950</t>
  </si>
  <si>
    <t>S024W35040</t>
  </si>
  <si>
    <t>'◈ PE용접 50A / 개소'</t>
  </si>
  <si>
    <t>10510</t>
  </si>
  <si>
    <t>500A,80t(직관부)</t>
  </si>
  <si>
    <t>MV-6600-700</t>
  </si>
  <si>
    <t>650A(부설의 40%)</t>
  </si>
  <si>
    <t>16110</t>
  </si>
  <si>
    <t>MU00450-450A</t>
  </si>
  <si>
    <t>S024W02560</t>
  </si>
  <si>
    <t>MV-4200-500</t>
  </si>
  <si>
    <t>8150</t>
  </si>
  <si>
    <t>S6014W750</t>
  </si>
  <si>
    <t>650x300A</t>
  </si>
  <si>
    <t>MV-5100-40060</t>
  </si>
  <si>
    <t>14850</t>
  </si>
  <si>
    <t>S02W04040</t>
  </si>
  <si>
    <t>S02W20080YA</t>
  </si>
  <si>
    <t>S024W20060</t>
  </si>
  <si>
    <t>650A</t>
  </si>
  <si>
    <t>MV-4200-500</t>
  </si>
  <si>
    <t>12.0 ＜T≤ 20.0  2438x6096mm SS41</t>
  </si>
  <si>
    <t>3150</t>
  </si>
  <si>
    <t>경유</t>
  </si>
  <si>
    <t>700A(25% 할증)</t>
  </si>
  <si>
    <t>15450</t>
  </si>
  <si>
    <t>MV-4600-000200</t>
  </si>
  <si>
    <t>MV-4300-500450</t>
  </si>
  <si>
    <t>MV-4600-000200</t>
  </si>
  <si>
    <t>MV-5000-15060</t>
  </si>
  <si>
    <t>경유</t>
  </si>
  <si>
    <t>140</t>
  </si>
  <si>
    <t xml:space="preserve"> ◈ PE용접 200A / 개소</t>
  </si>
  <si>
    <t>M0624060</t>
  </si>
  <si>
    <t>500A(550A)</t>
  </si>
  <si>
    <t>경    비</t>
  </si>
  <si>
    <t>S02002M100</t>
  </si>
  <si>
    <t>S024W08080</t>
  </si>
  <si>
    <t>500A(550A)</t>
  </si>
  <si>
    <t>350A,40t(직관부)</t>
  </si>
  <si>
    <t>SC0608W125</t>
  </si>
  <si>
    <t>MV-4300-500450</t>
  </si>
  <si>
    <t>S02001W350</t>
  </si>
  <si>
    <t>보통인부</t>
  </si>
  <si>
    <t>경    비</t>
  </si>
  <si>
    <t>M0624060</t>
  </si>
  <si>
    <t>350x200A</t>
  </si>
  <si>
    <t>350x200A</t>
  </si>
  <si>
    <t>MV-5000-15060</t>
  </si>
  <si>
    <t>13050</t>
  </si>
  <si>
    <t>11910</t>
  </si>
  <si>
    <t xml:space="preserve">   - 트CARGOTRUCK(8ton)</t>
  </si>
  <si>
    <t>'◈ PE용접 200A / 개소'</t>
  </si>
  <si>
    <t>5550</t>
  </si>
  <si>
    <t>ST0000TW450</t>
  </si>
  <si>
    <t xml:space="preserve">MA5 = </t>
  </si>
  <si>
    <t xml:space="preserve"> ◈ 이중보온관전기예열 200A이하 / Hr</t>
  </si>
  <si>
    <t>100A,40t(곡관부)</t>
  </si>
  <si>
    <t>S13030W400</t>
  </si>
  <si>
    <t>크레인(타이어)   20Ton</t>
  </si>
  <si>
    <t>MV-4400-250250</t>
  </si>
  <si>
    <t>유물/683/∨</t>
  </si>
  <si>
    <t>5230</t>
  </si>
  <si>
    <t>유물/1140/</t>
  </si>
  <si>
    <t>시간당노임산출계수(해상장비:버켓준설선)</t>
  </si>
  <si>
    <t>13730</t>
  </si>
  <si>
    <t>65A,80t(직관부)</t>
  </si>
  <si>
    <t>15330</t>
  </si>
  <si>
    <t>MV-4000-750</t>
  </si>
  <si>
    <t>3630</t>
  </si>
  <si>
    <t>S4830-500</t>
  </si>
  <si>
    <t>'- 총 작업시간(Q)'</t>
  </si>
  <si>
    <t>MV-4400-250250</t>
  </si>
  <si>
    <t>MV-4000-750</t>
  </si>
  <si>
    <t>M0063059</t>
  </si>
  <si>
    <t>100W</t>
  </si>
  <si>
    <t>MV-4500-500400</t>
  </si>
  <si>
    <t>화물차운전사</t>
  </si>
  <si>
    <t>SZD0001-100</t>
  </si>
  <si>
    <t xml:space="preserve">   - CARGO TRUCK(8ton)</t>
  </si>
  <si>
    <t>16670</t>
  </si>
  <si>
    <t>8630</t>
  </si>
  <si>
    <t>노임금액소숫점</t>
  </si>
  <si>
    <t>11790</t>
  </si>
  <si>
    <t>'트럭크레인 25톤'</t>
  </si>
  <si>
    <t>7290</t>
  </si>
  <si>
    <t>MV-5000-03260</t>
  </si>
  <si>
    <t>SS00200W050</t>
  </si>
  <si>
    <t>MV-4300-550500</t>
  </si>
  <si>
    <t>No.821 HOT TAPPING</t>
  </si>
  <si>
    <t>.sang=1071,jung=536, kwan=691</t>
  </si>
  <si>
    <t>10270</t>
  </si>
  <si>
    <t>S02000W550</t>
  </si>
  <si>
    <t>750A,80t(곡관부)</t>
  </si>
  <si>
    <t>6770</t>
  </si>
  <si>
    <t>MV-4300-550500</t>
  </si>
  <si>
    <t>MV-4500-500400</t>
  </si>
  <si>
    <t>MV-7100-001</t>
  </si>
  <si>
    <t>#37 강판운반 | L=10KM|ton</t>
  </si>
  <si>
    <t>S02003W350YA</t>
  </si>
  <si>
    <t>450A x 60t</t>
  </si>
  <si>
    <t>잡    품</t>
  </si>
  <si>
    <t>MV-6500-350</t>
  </si>
  <si>
    <t>S00000W550YA</t>
  </si>
  <si>
    <t>노임단가소숫점</t>
  </si>
  <si>
    <t>16150</t>
  </si>
  <si>
    <t>8110</t>
  </si>
  <si>
    <t>MV-4300-040032</t>
  </si>
  <si>
    <t>MV-4400-032025</t>
  </si>
  <si>
    <t>MU00450-080A</t>
  </si>
  <si>
    <t>MV-4400-032025</t>
  </si>
  <si>
    <t>용해용(특) (매입가)</t>
  </si>
  <si>
    <t>14810</t>
  </si>
  <si>
    <t>MV-4200-032</t>
  </si>
  <si>
    <t>MU00450-080A</t>
  </si>
  <si>
    <t xml:space="preserve">   m당 금액 :  [1] /12 = 1,700.2</t>
  </si>
  <si>
    <t>6050</t>
  </si>
  <si>
    <t>400A(VENT일체형)</t>
  </si>
  <si>
    <t>MV-9960-004-200</t>
  </si>
  <si>
    <t>350x150A</t>
  </si>
  <si>
    <t>4910</t>
  </si>
  <si>
    <t>350x150A</t>
  </si>
  <si>
    <t>10550</t>
  </si>
  <si>
    <t>MV-4300-040032</t>
  </si>
  <si>
    <t xml:space="preserve">    2.310 '인' * Q * ~L001010101000002~ = ?LA2+</t>
  </si>
  <si>
    <t>MV-4100-150</t>
  </si>
  <si>
    <t>SD0001W0800</t>
  </si>
  <si>
    <t>MV-4100-150</t>
  </si>
  <si>
    <t>MV-4200-032</t>
  </si>
  <si>
    <t>용해용(특) (매입가)</t>
  </si>
  <si>
    <t xml:space="preserve">  기타사급자재 운반비반영 :  [2] * 1.097 =8,681.0</t>
  </si>
  <si>
    <t>S130301X450</t>
  </si>
  <si>
    <t>125A(10% 할증)</t>
  </si>
  <si>
    <t>S02002W040YA</t>
  </si>
  <si>
    <t>500A</t>
  </si>
  <si>
    <t>13010</t>
  </si>
  <si>
    <t>MV-4300-080032</t>
  </si>
  <si>
    <t>11950</t>
  </si>
  <si>
    <t>S02W30060</t>
  </si>
  <si>
    <t>5510</t>
  </si>
  <si>
    <t xml:space="preserve">    2.722 '인' * Q * ~L001010101000043~ = ?LA2+</t>
  </si>
  <si>
    <t>MU00450-700A</t>
  </si>
  <si>
    <t xml:space="preserve"> 6. 화물 운반비, 왕복</t>
  </si>
  <si>
    <t xml:space="preserve">   이중보온관 보온재철거</t>
  </si>
  <si>
    <t>S02W12560</t>
  </si>
  <si>
    <t>MV-4400-150020</t>
  </si>
  <si>
    <t>500A</t>
  </si>
  <si>
    <t>S02W25040</t>
  </si>
  <si>
    <t xml:space="preserve">LAA+ = </t>
  </si>
  <si>
    <t>40A,40t(직관부)</t>
  </si>
  <si>
    <t>100</t>
  </si>
  <si>
    <t xml:space="preserve"> '7) 석동선 :' 13.81 'm' * ~MU00460~ = ?MA1+</t>
  </si>
  <si>
    <t xml:space="preserve">   이중보온관</t>
  </si>
  <si>
    <t>3110</t>
  </si>
  <si>
    <t>125A,80t(곡관부)</t>
  </si>
  <si>
    <t>100A x 80t</t>
  </si>
  <si>
    <t>15410</t>
  </si>
  <si>
    <t>MV-4300-080032</t>
  </si>
  <si>
    <t>MV-4400-150020</t>
  </si>
  <si>
    <t>#16 자재운반(야적--&gt;현장) | 80A|m</t>
  </si>
  <si>
    <t>플랜트배관공</t>
  </si>
  <si>
    <t>M0063057</t>
  </si>
  <si>
    <t>4790</t>
  </si>
  <si>
    <t xml:space="preserve">496_1_1+ = </t>
  </si>
  <si>
    <t>TM-410-450</t>
  </si>
  <si>
    <t>S1303W025YA</t>
  </si>
  <si>
    <t>TM-407</t>
  </si>
  <si>
    <t>12290</t>
  </si>
  <si>
    <t>S13030W025YA</t>
  </si>
  <si>
    <t>MV-9960-001-350</t>
  </si>
  <si>
    <t>S4830-032</t>
  </si>
  <si>
    <t>90</t>
  </si>
  <si>
    <t>S1303W200YA</t>
  </si>
  <si>
    <t>15370</t>
  </si>
  <si>
    <t>S13030W200YA</t>
  </si>
  <si>
    <t>3670</t>
  </si>
  <si>
    <t>'◈공기압축기'</t>
  </si>
  <si>
    <t xml:space="preserve">44_1_1 = </t>
  </si>
  <si>
    <t>5270</t>
  </si>
  <si>
    <t>8.0  ＜T≤  9.0  2438x6096mm SS41</t>
  </si>
  <si>
    <t>13770</t>
  </si>
  <si>
    <t>물정/672/</t>
  </si>
  <si>
    <t>50A(5% 할증)</t>
  </si>
  <si>
    <t xml:space="preserve">  '- 장비 조합: T/C 10ton + CARGOTRUCK 8ton'</t>
  </si>
  <si>
    <t>14690</t>
  </si>
  <si>
    <t>S1303W650</t>
  </si>
  <si>
    <t>200A x 80t</t>
  </si>
  <si>
    <t>MV-4810-000450</t>
  </si>
  <si>
    <t>MV-4810-000450</t>
  </si>
  <si>
    <t>SZG0001-650</t>
  </si>
  <si>
    <t>2390</t>
  </si>
  <si>
    <t>QLINCZ</t>
  </si>
  <si>
    <t>10230</t>
  </si>
  <si>
    <t>QH21</t>
  </si>
  <si>
    <t>6730</t>
  </si>
  <si>
    <t xml:space="preserve">    '노무비:' ~E00002104002000000.L~ * 9 / 60 = ?LA1+</t>
  </si>
  <si>
    <t>S02W35080YA</t>
  </si>
  <si>
    <t xml:space="preserve">  PE용접: 547,217 / L = 43,533.4</t>
  </si>
  <si>
    <t xml:space="preserve">796_1_1+ = </t>
  </si>
  <si>
    <t>중급기술자</t>
  </si>
  <si>
    <t>9390</t>
  </si>
  <si>
    <t xml:space="preserve"> ◈ PE용접 600A / 개소</t>
  </si>
  <si>
    <t>'저압케이블전공 :'  0.01331 * TOT("L001010101000078") * 96'm'  * 0.80  * 0.5 =?LA3+</t>
  </si>
  <si>
    <t xml:space="preserve">  PE용접: 744,467 / L = 57,800.1</t>
  </si>
  <si>
    <t>MV-4300-400125</t>
  </si>
  <si>
    <t>750A x 60t</t>
  </si>
  <si>
    <t>MV-4300-400125</t>
  </si>
  <si>
    <t xml:space="preserve">  2) 닥 트 공 :</t>
  </si>
  <si>
    <t>16630</t>
  </si>
  <si>
    <t>#29 PE용접(M당) | 25A|M</t>
  </si>
  <si>
    <t>8670</t>
  </si>
  <si>
    <t>32A x 40t</t>
  </si>
  <si>
    <t xml:space="preserve"> ◈ PE용접 25A / M</t>
  </si>
  <si>
    <t>16190</t>
  </si>
  <si>
    <t>변 수 명</t>
  </si>
  <si>
    <t xml:space="preserve">   END-CAP 설치 및 보온</t>
  </si>
  <si>
    <t>MV-4300-750500</t>
  </si>
  <si>
    <t>MV-9960-007-600</t>
  </si>
  <si>
    <t>MV-4700-000300</t>
  </si>
  <si>
    <t>13930</t>
  </si>
  <si>
    <t>MV-9960-007-600</t>
  </si>
  <si>
    <t>7570</t>
  </si>
  <si>
    <t>550x350A</t>
  </si>
  <si>
    <t>MV-5000-02060</t>
  </si>
  <si>
    <t>11070</t>
  </si>
  <si>
    <t>인출단관</t>
  </si>
  <si>
    <t>#35 PE용접(M당) | 100A|M</t>
  </si>
  <si>
    <t>9430</t>
  </si>
  <si>
    <t>3830</t>
  </si>
  <si>
    <t>550x350A</t>
  </si>
  <si>
    <t>6090</t>
  </si>
  <si>
    <t>MV-4300-750500</t>
  </si>
  <si>
    <t>MV-4700-000300</t>
  </si>
  <si>
    <t>S4840-300</t>
  </si>
  <si>
    <t xml:space="preserve">192_1_1 = </t>
  </si>
  <si>
    <t>10590</t>
  </si>
  <si>
    <t xml:space="preserve"> '6) 공장보온재 :' 2.992 'm' * ~MU00450-025A~ = ?MA1+</t>
  </si>
  <si>
    <t>2430</t>
  </si>
  <si>
    <t>G503-300</t>
  </si>
  <si>
    <t>8830</t>
  </si>
  <si>
    <t>16870</t>
  </si>
  <si>
    <t>14130</t>
  </si>
  <si>
    <t>총   계</t>
  </si>
  <si>
    <t>40x20A</t>
  </si>
  <si>
    <t>11990</t>
  </si>
  <si>
    <t xml:space="preserve">1629_1_1+ = </t>
  </si>
  <si>
    <t>S02W40060YA</t>
  </si>
  <si>
    <t>TM-700-550</t>
  </si>
  <si>
    <t>S02003W080YA</t>
  </si>
  <si>
    <t>S02W25080</t>
  </si>
  <si>
    <t>20 Ton</t>
  </si>
  <si>
    <t>6970</t>
  </si>
  <si>
    <t>12530</t>
  </si>
  <si>
    <t>MU00240-250</t>
  </si>
  <si>
    <t>40x20A</t>
  </si>
  <si>
    <t>No.711 부단수 천공(차단)</t>
  </si>
  <si>
    <t>4030</t>
  </si>
  <si>
    <t>QUS2WON3</t>
  </si>
  <si>
    <t>1387</t>
  </si>
  <si>
    <t>50</t>
  </si>
  <si>
    <t>발전기</t>
  </si>
  <si>
    <t>MV-4300-700450</t>
  </si>
  <si>
    <t>4750</t>
  </si>
  <si>
    <t>TM-700-065Y</t>
  </si>
  <si>
    <t xml:space="preserve">492_1_1+ = </t>
  </si>
  <si>
    <t>ma = TOT(20,30) * 0.12</t>
  </si>
  <si>
    <t>No.836 LOCK-O-RING PLUG  M/C 설치</t>
  </si>
  <si>
    <t>12250</t>
  </si>
  <si>
    <t>MV-4300-400100</t>
  </si>
  <si>
    <t>14650</t>
  </si>
  <si>
    <t>S00000A450</t>
  </si>
  <si>
    <t>2350</t>
  </si>
  <si>
    <t xml:space="preserve">LA5+ = </t>
  </si>
  <si>
    <t>MV-4300-400100</t>
  </si>
  <si>
    <t>MV-4300-700450</t>
  </si>
  <si>
    <t>50</t>
  </si>
  <si>
    <t>200x40A</t>
  </si>
  <si>
    <t>No.864 STOPPLE FITTING 용접</t>
  </si>
  <si>
    <t>9350</t>
  </si>
  <si>
    <t xml:space="preserve">951_1_1 = </t>
  </si>
  <si>
    <t xml:space="preserve">    2.018 '인' * Q * ~L001010101000043~ = ?LA2+</t>
  </si>
  <si>
    <t>125A(1㎞*2열)</t>
  </si>
  <si>
    <t>700x600A</t>
  </si>
  <si>
    <t>200x40A</t>
  </si>
  <si>
    <t>11710</t>
  </si>
  <si>
    <t xml:space="preserve">   - 장비 조합: T/C 20ton + TRAILER 20ton</t>
  </si>
  <si>
    <t>650A(보온두께 76~95mm)</t>
  </si>
  <si>
    <t>S02W25040YA</t>
  </si>
  <si>
    <t xml:space="preserve">LA+ = </t>
  </si>
  <si>
    <t>SZN000001</t>
  </si>
  <si>
    <t>SC0608W250YA</t>
  </si>
  <si>
    <t xml:space="preserve">    7.550 '인' * Q * ~L001010101000044~ = ?LA2+</t>
  </si>
  <si>
    <t>7210</t>
  </si>
  <si>
    <t>700x600A</t>
  </si>
  <si>
    <t>200x32A</t>
  </si>
  <si>
    <t>SC0608W100</t>
  </si>
  <si>
    <t>S024W35080</t>
  </si>
  <si>
    <t>4990</t>
  </si>
  <si>
    <t>9470</t>
  </si>
  <si>
    <t>TM-408-650</t>
  </si>
  <si>
    <t>3870</t>
  </si>
  <si>
    <t xml:space="preserve">      야적장 상차비 + 현장 하차비 = 2회 적용</t>
  </si>
  <si>
    <t>S00000W400</t>
  </si>
  <si>
    <t>MV-5100-55080</t>
  </si>
  <si>
    <t>S02W30040YA</t>
  </si>
  <si>
    <t>13970</t>
  </si>
  <si>
    <t>7530</t>
  </si>
  <si>
    <t>11030</t>
  </si>
  <si>
    <t xml:space="preserve">2090_1_1 = </t>
  </si>
  <si>
    <t>8190</t>
  </si>
  <si>
    <t>200x32A</t>
  </si>
  <si>
    <t>200A x 60t</t>
  </si>
  <si>
    <t>S02002M125</t>
  </si>
  <si>
    <t>S02W04060YA</t>
  </si>
  <si>
    <t xml:space="preserve">  PE용접: 2,342,337 / L = 157,945.8</t>
  </si>
  <si>
    <t>MV-4300-100020</t>
  </si>
  <si>
    <t>MV-4300-100020</t>
  </si>
  <si>
    <t>S02W04080</t>
  </si>
  <si>
    <t>14890</t>
  </si>
  <si>
    <t>6930</t>
  </si>
  <si>
    <t>12570</t>
  </si>
  <si>
    <t xml:space="preserve"> '4) PE 용접봉 :' 0.31 'kg' * ~M9021009~= ?MA1+</t>
  </si>
  <si>
    <t>4070</t>
  </si>
  <si>
    <t>S02002W750</t>
  </si>
  <si>
    <t>3190</t>
  </si>
  <si>
    <t>S024W08040YA</t>
  </si>
  <si>
    <t>'◈산근''자재운반 500A  / M'</t>
  </si>
  <si>
    <t xml:space="preserve">1031_1_1 = </t>
  </si>
  <si>
    <t>15490</t>
  </si>
  <si>
    <t>#11 자재운반(야적--&gt;현장) | 250A|m</t>
  </si>
  <si>
    <t>MV-4400-025025</t>
  </si>
  <si>
    <t>13090</t>
  </si>
  <si>
    <t>50A(보온두께 30mm이하)</t>
  </si>
  <si>
    <t>SZD0003-300</t>
  </si>
  <si>
    <t>S024W06540YA</t>
  </si>
  <si>
    <t>5590</t>
  </si>
  <si>
    <t>S024W08040</t>
  </si>
  <si>
    <t>2470</t>
  </si>
  <si>
    <t>8870</t>
  </si>
  <si>
    <t>16830</t>
  </si>
  <si>
    <t>용접기 (교류)   300 AMP</t>
  </si>
  <si>
    <t>750A x 80t</t>
  </si>
  <si>
    <t>150A,60t(직관부)</t>
  </si>
  <si>
    <t>14170</t>
  </si>
  <si>
    <t>MV-4400-025025</t>
  </si>
  <si>
    <t>MV-6000-600</t>
  </si>
  <si>
    <t>150x65A</t>
  </si>
  <si>
    <t>내역서</t>
  </si>
  <si>
    <t>QDECLA</t>
  </si>
  <si>
    <t>S02W55060YA</t>
  </si>
  <si>
    <t>700x550A</t>
  </si>
  <si>
    <t xml:space="preserve">  기타사급자재 운반비반영 :  [2] * 1.097 =6,701.0</t>
  </si>
  <si>
    <t>M4507003</t>
  </si>
  <si>
    <t>300A,60t(곡관부)</t>
  </si>
  <si>
    <t>14610</t>
  </si>
  <si>
    <t>150x65A</t>
  </si>
  <si>
    <t>2310</t>
  </si>
  <si>
    <t xml:space="preserve"> '1) POLYOL :' 6.12 'kg' * ~MU-001~ = ?MA1+</t>
  </si>
  <si>
    <t>4710</t>
  </si>
  <si>
    <t>700x550A</t>
  </si>
  <si>
    <t>12210</t>
  </si>
  <si>
    <t>SZD0001-125</t>
  </si>
  <si>
    <t>SD0001W0600</t>
  </si>
  <si>
    <t>500A(25% 할증)</t>
  </si>
  <si>
    <t>10</t>
  </si>
  <si>
    <t>450A x 80t</t>
  </si>
  <si>
    <t xml:space="preserve">MA4+ = </t>
  </si>
  <si>
    <t>M4507003</t>
  </si>
  <si>
    <t>10</t>
  </si>
  <si>
    <t>11750</t>
  </si>
  <si>
    <t>QYEN2WON</t>
  </si>
  <si>
    <t xml:space="preserve">   전기예열</t>
  </si>
  <si>
    <t>S02003W150</t>
  </si>
  <si>
    <t xml:space="preserve"> '6) 공장보온재 :' 2.992 'm' * ~MU00450-650A~ = ?MA1+</t>
  </si>
  <si>
    <t>7250</t>
  </si>
  <si>
    <t xml:space="preserve">천원  </t>
  </si>
  <si>
    <t>S02001W400YA</t>
  </si>
  <si>
    <t xml:space="preserve"> '4) PE 용접봉 :' 0.41 'kg' * ~M9021009~= ?MA1+</t>
  </si>
  <si>
    <t>S02002M600YA</t>
  </si>
  <si>
    <t xml:space="preserve"> 'PE용접:'~S4830-500.T~ / L = ?[1]+</t>
  </si>
  <si>
    <t>[1]+[2]+[3]+[4]+[5]'계'=?[]</t>
  </si>
  <si>
    <t xml:space="preserve">D = </t>
  </si>
  <si>
    <t xml:space="preserve">  3. 기구손료: 직접 노무비의 2 % :</t>
  </si>
  <si>
    <t>100A x 60t</t>
  </si>
  <si>
    <t>9310</t>
  </si>
  <si>
    <t>SZD0002-500</t>
  </si>
  <si>
    <t>QOPtimeDecOp</t>
  </si>
  <si>
    <t xml:space="preserve">2088_1_1+ = </t>
  </si>
  <si>
    <t>9290</t>
  </si>
  <si>
    <t>600A,40t(직관부)</t>
  </si>
  <si>
    <t>6630</t>
  </si>
  <si>
    <t>'◈ PE용접 150A / M'</t>
  </si>
  <si>
    <t>10330</t>
  </si>
  <si>
    <t>8770</t>
  </si>
  <si>
    <t>No.818 HOT TAPPING</t>
  </si>
  <si>
    <t>16730</t>
  </si>
  <si>
    <t xml:space="preserve">         2) 작업장협소      :       10%</t>
  </si>
  <si>
    <t>'4. 장비 사용료'</t>
  </si>
  <si>
    <t>550A x 80t</t>
  </si>
  <si>
    <t>3770</t>
  </si>
  <si>
    <t xml:space="preserve">    1.281 '인' * Q * ~L001010101000043~ = ?LA2+</t>
  </si>
  <si>
    <t xml:space="preserve">   TEE(평행)</t>
  </si>
  <si>
    <t>15270</t>
  </si>
  <si>
    <t>400x350A</t>
  </si>
  <si>
    <t>MV-9960-001-250</t>
  </si>
  <si>
    <t>금 액</t>
  </si>
  <si>
    <t>400x350A</t>
  </si>
  <si>
    <t>300A(부설의 40%)</t>
  </si>
  <si>
    <t>12390</t>
  </si>
  <si>
    <t xml:space="preserve">EQ3 = </t>
  </si>
  <si>
    <t xml:space="preserve">  '- 운반차 실가동율 :'</t>
  </si>
  <si>
    <t>4690</t>
  </si>
  <si>
    <t xml:space="preserve"> '1) POLYOL :' 31.56 'kg' * ~MU-001~ = ?MA1+</t>
  </si>
  <si>
    <t>MV-4810-000550</t>
  </si>
  <si>
    <t>금 액</t>
  </si>
  <si>
    <t>'◈산근''강판운반''[구역화물자동차 요율적용]'</t>
  </si>
  <si>
    <t>S1303W750</t>
  </si>
  <si>
    <t>S1303W040YA</t>
  </si>
  <si>
    <t>SZG0001-750</t>
  </si>
  <si>
    <t>2290</t>
  </si>
  <si>
    <t>S13030W032</t>
  </si>
  <si>
    <t>S13030W040YA</t>
  </si>
  <si>
    <t>14790</t>
  </si>
  <si>
    <t>13670</t>
  </si>
  <si>
    <t>S02W45040YA</t>
  </si>
  <si>
    <t>'◈ 자재운반 20A  / M'</t>
  </si>
  <si>
    <t>5370</t>
  </si>
  <si>
    <t>MV-4810-000550</t>
  </si>
  <si>
    <t>300A x 60t</t>
  </si>
  <si>
    <t>200A,80t(곡관부)</t>
  </si>
  <si>
    <t>350A</t>
  </si>
  <si>
    <t>350A</t>
  </si>
  <si>
    <t>S024W25060</t>
  </si>
  <si>
    <t>EQ</t>
  </si>
  <si>
    <t>11850</t>
  </si>
  <si>
    <t>MV-5100-45060</t>
  </si>
  <si>
    <t>5410</t>
  </si>
  <si>
    <t>300A x 60t</t>
  </si>
  <si>
    <t>650x600A</t>
  </si>
  <si>
    <t>M4507051-550</t>
  </si>
  <si>
    <t>MU00450-150A</t>
  </si>
  <si>
    <t>MV-5100-45060</t>
  </si>
  <si>
    <t>M4507051-550</t>
  </si>
  <si>
    <t>S130301X550</t>
  </si>
  <si>
    <t>13110</t>
  </si>
  <si>
    <t>MU00450-150A</t>
  </si>
  <si>
    <t>15510</t>
  </si>
  <si>
    <t>S02002W025YA</t>
  </si>
  <si>
    <t>S024W30040</t>
  </si>
  <si>
    <t>중급숙련기술자</t>
  </si>
  <si>
    <t>물가정보</t>
  </si>
  <si>
    <t>650x600A</t>
  </si>
  <si>
    <t>3010</t>
  </si>
  <si>
    <t xml:space="preserve"> '1) POLYOL :' 22.56 'kg' * ~MU-001~ = ?MA1+</t>
  </si>
  <si>
    <t>S024W12540</t>
  </si>
  <si>
    <t>'전기예열기'</t>
  </si>
  <si>
    <t>S02002M040</t>
  </si>
  <si>
    <t>S02002W200YA</t>
  </si>
  <si>
    <t>MV-5100-50040</t>
  </si>
  <si>
    <t xml:space="preserve">1558_1_1+ = </t>
  </si>
  <si>
    <t>683</t>
  </si>
  <si>
    <t>S00000A450YA</t>
  </si>
  <si>
    <t>'◈ PE용접 450A / 개소'</t>
  </si>
  <si>
    <t>650A x 80t</t>
  </si>
  <si>
    <t>25A x 60t</t>
  </si>
  <si>
    <t>자재조서</t>
  </si>
  <si>
    <t>14910</t>
  </si>
  <si>
    <t>MV-4300-125032</t>
  </si>
  <si>
    <t>8010</t>
  </si>
  <si>
    <t>16050</t>
  </si>
  <si>
    <t>MV-5000-10060</t>
  </si>
  <si>
    <t>25A x 60t</t>
  </si>
  <si>
    <t xml:space="preserve">1023_1_1 = </t>
  </si>
  <si>
    <t>MV-4300-125032</t>
  </si>
  <si>
    <t>MV-4800-000032</t>
  </si>
  <si>
    <t>MV-5000-05040</t>
  </si>
  <si>
    <t>MV-5000-10060</t>
  </si>
  <si>
    <t>MV-6500-250</t>
  </si>
  <si>
    <t>SD0001W0900</t>
  </si>
  <si>
    <t>MV-5000-05040</t>
  </si>
  <si>
    <t>MV-4800-000032</t>
  </si>
  <si>
    <t>MV-4100-050</t>
  </si>
  <si>
    <t>S02W20060YA</t>
  </si>
  <si>
    <t>4810</t>
  </si>
  <si>
    <t>10450</t>
  </si>
  <si>
    <t xml:space="preserve">   Foam Pad설치(야간)</t>
  </si>
  <si>
    <t>MV-4100-050</t>
  </si>
  <si>
    <t>450A,40t(곡관부)</t>
  </si>
  <si>
    <t>MV-9960-004-300</t>
  </si>
  <si>
    <t>6150</t>
  </si>
  <si>
    <t>650A x 80t</t>
  </si>
  <si>
    <t>SC0608W080</t>
  </si>
  <si>
    <t>7390</t>
  </si>
  <si>
    <t>SS00200W150</t>
  </si>
  <si>
    <t>S02W35060YA</t>
  </si>
  <si>
    <t>11690</t>
  </si>
  <si>
    <t xml:space="preserve">44_1_1+ = </t>
  </si>
  <si>
    <t xml:space="preserve"> ◈ PE용접 250A / M</t>
  </si>
  <si>
    <t>8730</t>
  </si>
  <si>
    <t>16770</t>
  </si>
  <si>
    <t>.sang=1125,jung=563,kwan=674</t>
  </si>
  <si>
    <t>S13030W250YA</t>
  </si>
  <si>
    <t>6670</t>
  </si>
  <si>
    <t>S1303W250YA</t>
  </si>
  <si>
    <t xml:space="preserve">    Qo = T2 / CM = ?'분'</t>
  </si>
  <si>
    <t>10370</t>
  </si>
  <si>
    <t>S02000W450</t>
  </si>
  <si>
    <t xml:space="preserve"> '4) PE 용접봉 :' 13.02 'kg' * ~M9021009~= ?MA1+</t>
  </si>
  <si>
    <t>MV-4300-550400</t>
  </si>
  <si>
    <t>SS00200W150</t>
  </si>
  <si>
    <t xml:space="preserve">      '2) 배치인원'</t>
  </si>
  <si>
    <t>13630</t>
  </si>
  <si>
    <t>5330</t>
  </si>
  <si>
    <t>#76 점검운반차량 | |일</t>
  </si>
  <si>
    <t>MV-9960-010-125</t>
  </si>
  <si>
    <t>100x100A</t>
  </si>
  <si>
    <t>S13030W500</t>
  </si>
  <si>
    <t>150A(VENT일체형)</t>
  </si>
  <si>
    <t>#60 PE용접 | 200A|개소</t>
  </si>
  <si>
    <t>ST0000TW550</t>
  </si>
  <si>
    <t>150A(VENT일체형)</t>
  </si>
  <si>
    <t>MV-4300-400080</t>
  </si>
  <si>
    <t xml:space="preserve">   BALL V/V</t>
  </si>
  <si>
    <t>3730</t>
  </si>
  <si>
    <t>S4830-400</t>
  </si>
  <si>
    <t>MV-4000-650</t>
  </si>
  <si>
    <t>MV-4300-400080</t>
  </si>
  <si>
    <t xml:space="preserve">    '경  비:' ~E00002104001500000.E~ * 5.1 / 60 = ?EQ1+</t>
  </si>
  <si>
    <t xml:space="preserve">Q2 = </t>
  </si>
  <si>
    <t xml:space="preserve"> * 하차및 정위치 놓기(풀기포함) : 2분</t>
  </si>
  <si>
    <t>MV-4000-650</t>
  </si>
  <si>
    <t>15230</t>
  </si>
  <si>
    <t>Q = 6'분/회'  * 2'회' * 2'대'  = ?'분'</t>
  </si>
  <si>
    <t>100x100A</t>
  </si>
  <si>
    <t>No.834  TAPPING M/C 설치</t>
  </si>
  <si>
    <t>65A x 80t</t>
  </si>
  <si>
    <t xml:space="preserve"> '2) MDI :' 5.76 'kg' * ~MU-002~  = ?MA1+</t>
  </si>
  <si>
    <t>MV-4600-000300</t>
  </si>
  <si>
    <t>[1]+[2]+[3]'계'=?</t>
  </si>
  <si>
    <t>15550</t>
  </si>
  <si>
    <t>'◈ PE용접 550A / M'</t>
  </si>
  <si>
    <t>S02W50040YA</t>
  </si>
  <si>
    <t>3050</t>
  </si>
  <si>
    <t>E00007611030000000</t>
  </si>
  <si>
    <t>MV-5000-06540</t>
  </si>
  <si>
    <t>MV-4500-550450</t>
  </si>
  <si>
    <t>11810</t>
  </si>
  <si>
    <t>5450</t>
  </si>
  <si>
    <t>MV-4400-400150</t>
  </si>
  <si>
    <t>#36 PE용접(M당) | 125A|M</t>
  </si>
  <si>
    <t>QOPtimeDecCnt</t>
  </si>
  <si>
    <t xml:space="preserve">   PL BALL VAVLE 설치(야간)</t>
  </si>
  <si>
    <t>S02003W125YA</t>
  </si>
  <si>
    <t>13150</t>
  </si>
  <si>
    <t>E00007611030000000</t>
  </si>
  <si>
    <t>S00000W500YA</t>
  </si>
  <si>
    <t>20A,60t(직관부)</t>
  </si>
  <si>
    <t>MV-4400-400150</t>
  </si>
  <si>
    <t>MV-4500-550450</t>
  </si>
  <si>
    <t>MV-4600-000300</t>
  </si>
  <si>
    <t>100A(5% 할증)</t>
  </si>
  <si>
    <t>S02003W300YA</t>
  </si>
  <si>
    <t>S02001W250</t>
  </si>
  <si>
    <t>50A,40t(곡관부)</t>
  </si>
  <si>
    <t>33</t>
  </si>
  <si>
    <t>4850</t>
  </si>
  <si>
    <t>S024W04060</t>
  </si>
  <si>
    <t>10410</t>
  </si>
  <si>
    <t xml:space="preserve">1633_1_1 = </t>
  </si>
  <si>
    <t>S02W02540</t>
  </si>
  <si>
    <t>MV-4400-200200</t>
  </si>
  <si>
    <t>650x550A</t>
  </si>
  <si>
    <t>6110</t>
  </si>
  <si>
    <t>MU00450-200A</t>
  </si>
  <si>
    <t>MV-4800-000500</t>
  </si>
  <si>
    <t>80x25A</t>
  </si>
  <si>
    <t>S02W20040</t>
  </si>
  <si>
    <t>65x25A</t>
  </si>
  <si>
    <t>800A(보온두께 76~95mm)</t>
  </si>
  <si>
    <t>#24 이중보온관전기예열 | 250A~500A|HR</t>
  </si>
  <si>
    <t>S02W35060</t>
  </si>
  <si>
    <t>14950</t>
  </si>
  <si>
    <t>MV-4200-400</t>
  </si>
  <si>
    <t>8050</t>
  </si>
  <si>
    <t>MV-4400-200200</t>
  </si>
  <si>
    <t>MV-4800-000500</t>
  </si>
  <si>
    <t>16010</t>
  </si>
  <si>
    <t>MV-4200-400</t>
  </si>
  <si>
    <t>MV-6600-600</t>
  </si>
  <si>
    <t>65x25A</t>
  </si>
  <si>
    <t>80x25A</t>
  </si>
  <si>
    <t>650x550A</t>
  </si>
  <si>
    <t xml:space="preserve">    0.905 '인' * Q * ~L001010101000002~ = ?LA2+</t>
  </si>
  <si>
    <t>지하매설물탐지기</t>
  </si>
  <si>
    <t xml:space="preserve">40_1_1+ = </t>
  </si>
  <si>
    <t>MV-9960-010-100</t>
  </si>
  <si>
    <t>E00007505005000000</t>
  </si>
  <si>
    <t>E00007505005000000</t>
  </si>
  <si>
    <t>7350</t>
  </si>
  <si>
    <t>11650</t>
  </si>
  <si>
    <t>S02003W050</t>
  </si>
  <si>
    <t>9210</t>
  </si>
  <si>
    <t>SZD0002-400</t>
  </si>
  <si>
    <t>300A x 80t</t>
  </si>
  <si>
    <t>80A,80t(곡관부)</t>
  </si>
  <si>
    <t>200x200A</t>
  </si>
  <si>
    <t>200x200A</t>
  </si>
  <si>
    <t>SC0608W200YA</t>
  </si>
  <si>
    <t xml:space="preserve"> 'PE용접:'~S4830-065.T~ / L = ?[1]+</t>
  </si>
  <si>
    <t xml:space="preserve">120_1_1+ = </t>
  </si>
  <si>
    <t>14710</t>
  </si>
  <si>
    <t xml:space="preserve">    2.562 '인' * Q * ~L001010101000043~ = ?LA2+</t>
  </si>
  <si>
    <t>공 종 명</t>
  </si>
  <si>
    <t>700x300A</t>
  </si>
  <si>
    <t>700x300A</t>
  </si>
  <si>
    <t>SD0001W0700</t>
  </si>
  <si>
    <t>12310</t>
  </si>
  <si>
    <t>공 종 명</t>
  </si>
  <si>
    <t>4610</t>
  </si>
  <si>
    <t>650A x 60t</t>
  </si>
  <si>
    <t>M5796029</t>
  </si>
  <si>
    <t>20A x 40t</t>
  </si>
  <si>
    <t>25A x 80t</t>
  </si>
  <si>
    <t>/%</t>
  </si>
  <si>
    <t>MV-4500-032025</t>
  </si>
  <si>
    <t>15590</t>
  </si>
  <si>
    <t>경비</t>
  </si>
  <si>
    <t>S02002W650</t>
  </si>
  <si>
    <t>3090</t>
  </si>
  <si>
    <t>4170</t>
  </si>
  <si>
    <t>'3. 배치인원'</t>
  </si>
  <si>
    <t>S02W08060</t>
  </si>
  <si>
    <t>6830</t>
  </si>
  <si>
    <t>MV-5000-06580</t>
  </si>
  <si>
    <t>12470</t>
  </si>
  <si>
    <t xml:space="preserve"> '4) PE 용접봉 :' 13.25 'kg' * ~M9021009~= ?MA1+</t>
  </si>
  <si>
    <t xml:space="preserve"> ◈산근  자재운반 400A  / M</t>
  </si>
  <si>
    <t>14070</t>
  </si>
  <si>
    <t>2570</t>
  </si>
  <si>
    <t>32A,80t(직관부)</t>
  </si>
  <si>
    <t>16930</t>
  </si>
  <si>
    <t>#23 이중보온관전기예열 | 200A이하|HR</t>
  </si>
  <si>
    <t>8970</t>
  </si>
  <si>
    <t>5490</t>
  </si>
  <si>
    <t>550A x 60t</t>
  </si>
  <si>
    <t>MV-4500-032025</t>
  </si>
  <si>
    <t>MV-6000-700</t>
  </si>
  <si>
    <t>S02W40080YA</t>
  </si>
  <si>
    <t>13190</t>
  </si>
  <si>
    <t>QECU2WON</t>
  </si>
  <si>
    <t>350x50A</t>
  </si>
  <si>
    <t>9570</t>
  </si>
  <si>
    <t>TM-408-750</t>
  </si>
  <si>
    <t>S02W20080</t>
  </si>
  <si>
    <t>S00000W500</t>
  </si>
  <si>
    <t>3970</t>
  </si>
  <si>
    <t>MV-4300-065020</t>
  </si>
  <si>
    <t>4890</t>
  </si>
  <si>
    <t>L001020101000119</t>
  </si>
  <si>
    <t>350x50A</t>
  </si>
  <si>
    <t>S6013W500</t>
  </si>
  <si>
    <t>S02W02580</t>
  </si>
  <si>
    <t>S02002M025</t>
  </si>
  <si>
    <t>14990</t>
  </si>
  <si>
    <t xml:space="preserve"> 3. 배치인원</t>
  </si>
  <si>
    <t>8090</t>
  </si>
  <si>
    <t>DM 1.5V(대)</t>
  </si>
  <si>
    <t>노임할증계수(터널구간:야간)</t>
  </si>
  <si>
    <t>물자/1345/</t>
  </si>
  <si>
    <t>11130</t>
  </si>
  <si>
    <t>13870</t>
  </si>
  <si>
    <t>MV-4300-065020</t>
  </si>
  <si>
    <t>#58 PE용접 | 125A|개소</t>
  </si>
  <si>
    <t>7430</t>
  </si>
  <si>
    <t>16</t>
  </si>
  <si>
    <t>200x50A</t>
  </si>
  <si>
    <t xml:space="preserve">kg    </t>
  </si>
  <si>
    <t>ea</t>
  </si>
  <si>
    <t>400A,60t(직관부)</t>
  </si>
  <si>
    <t>300A(보온두께 41~60mm)</t>
  </si>
  <si>
    <t>노임할증계수(장대터널:주야간)</t>
  </si>
  <si>
    <t>6382</t>
  </si>
  <si>
    <t>No.836  LOCK-O-RING PLUG  M/C 설치</t>
  </si>
  <si>
    <t>9250</t>
  </si>
  <si>
    <t>7310</t>
  </si>
  <si>
    <t>11610</t>
  </si>
  <si>
    <t>200x50A</t>
  </si>
  <si>
    <t>No.872  STOPPLE FITTING 및 SANDWICH V/V설치</t>
  </si>
  <si>
    <t>SEALING ELEMENT</t>
  </si>
  <si>
    <t>12350</t>
  </si>
  <si>
    <t>TEE(평행)</t>
  </si>
  <si>
    <t xml:space="preserve">1827_1_1 = </t>
  </si>
  <si>
    <t xml:space="preserve">대    </t>
  </si>
  <si>
    <t>4650</t>
  </si>
  <si>
    <t>200x150A</t>
  </si>
  <si>
    <t>MV-4300-700550</t>
  </si>
  <si>
    <t>S02W55080YA</t>
  </si>
  <si>
    <t>200x150A</t>
  </si>
  <si>
    <t xml:space="preserve">    '경  비:' ~E00002104001500000.E~ * 6 / 60 = ?EQ1+</t>
  </si>
  <si>
    <t>S02002M650YA</t>
  </si>
  <si>
    <t>S02001W450YA</t>
  </si>
  <si>
    <t>S00000A550</t>
  </si>
  <si>
    <t xml:space="preserve">   강관절단(야간)</t>
  </si>
  <si>
    <t>MV-4300-700550</t>
  </si>
  <si>
    <t>14750</t>
  </si>
  <si>
    <t xml:space="preserve">   값   </t>
  </si>
  <si>
    <t>G503-200</t>
  </si>
  <si>
    <t>11890</t>
  </si>
  <si>
    <t>경비계금액소숫점</t>
  </si>
  <si>
    <t xml:space="preserve">  '- 장비 조합: T/C 10ton + CARGO TRUCK 8ton '</t>
  </si>
  <si>
    <t>14030</t>
  </si>
  <si>
    <t>2530</t>
  </si>
  <si>
    <t xml:space="preserve">   보온공기량시험</t>
  </si>
  <si>
    <t>MV-5100-50080</t>
  </si>
  <si>
    <t>16970</t>
  </si>
  <si>
    <t>8930</t>
  </si>
  <si>
    <t>S024W12580</t>
  </si>
  <si>
    <t xml:space="preserve">    '상각비:' (~MV-8000~ * s ) / ( n * d ) =?EQ1'원/일'</t>
  </si>
  <si>
    <t>4130</t>
  </si>
  <si>
    <t>S02002M080</t>
  </si>
  <si>
    <t>6870</t>
  </si>
  <si>
    <t>MV-4300-250200</t>
  </si>
  <si>
    <t xml:space="preserve">    '경  비:' ~E00002104002500000.E~ * 18 / 60 = ?EQ1+</t>
  </si>
  <si>
    <t>12430</t>
  </si>
  <si>
    <t xml:space="preserve"> * 전기예열기 인양 및 철거 : 2분</t>
  </si>
  <si>
    <t>TM-700-450</t>
  </si>
  <si>
    <t>S024W30080</t>
  </si>
  <si>
    <t xml:space="preserve"> '6) 공장보온재 :' 2.992 'm' * ~MU00450-300A~ = ?MA1+</t>
  </si>
  <si>
    <t xml:space="preserve">  PE용접: 2,039,805 / L = 140,579.1</t>
  </si>
  <si>
    <t>SD0001W0020</t>
  </si>
  <si>
    <t>MV-4300-250200</t>
  </si>
  <si>
    <t>MU00240-350</t>
  </si>
  <si>
    <t xml:space="preserve">  기타사급자재 운반비반영 :  [2] * 1.097 =1,864.9</t>
  </si>
  <si>
    <t>M5796027</t>
  </si>
  <si>
    <t xml:space="preserve">ｍ    </t>
  </si>
  <si>
    <t>MV-4300-450150</t>
  </si>
  <si>
    <t>11170</t>
  </si>
  <si>
    <t>MV-9960-007-700</t>
  </si>
  <si>
    <t>MV-4700-000200</t>
  </si>
  <si>
    <t>13830</t>
  </si>
  <si>
    <t>MV-9960-007-700</t>
  </si>
  <si>
    <t>No.855 STOPPLE FITTING 용접</t>
  </si>
  <si>
    <t>7470</t>
  </si>
  <si>
    <t>250A(1㎞*2열)</t>
  </si>
  <si>
    <t>S02002M065</t>
  </si>
  <si>
    <t>MV-4300-750400</t>
  </si>
  <si>
    <t>M4507045</t>
  </si>
  <si>
    <t>16090</t>
  </si>
  <si>
    <t>MV-5000-05080</t>
  </si>
  <si>
    <t>10490</t>
  </si>
  <si>
    <t>650A,60t(곡관부)</t>
  </si>
  <si>
    <t>S4840-200</t>
  </si>
  <si>
    <t>S02W04080YA</t>
  </si>
  <si>
    <t>크레인(타이어)   15 Ton</t>
  </si>
  <si>
    <t>650A(1㎞*2열)</t>
  </si>
  <si>
    <t>'◈산근''자재운반 350A  / M'</t>
  </si>
  <si>
    <t>6190</t>
  </si>
  <si>
    <t>S00000W032</t>
  </si>
  <si>
    <t>9530</t>
  </si>
  <si>
    <t>MV-4300-450150</t>
  </si>
  <si>
    <t>MV-4300-750400</t>
  </si>
  <si>
    <t>MV-4700-000200</t>
  </si>
  <si>
    <t>#26 전기예열기설치및철거 | 200A이하|개소</t>
  </si>
  <si>
    <t>550x500A</t>
  </si>
  <si>
    <t>M4507045</t>
  </si>
  <si>
    <t>550x500A</t>
  </si>
  <si>
    <t>3930</t>
  </si>
  <si>
    <t>65A x 60t</t>
  </si>
  <si>
    <t>9100</t>
  </si>
  <si>
    <t>15800</t>
  </si>
  <si>
    <t>S01000W200</t>
  </si>
  <si>
    <t>MV-9960-001-125</t>
  </si>
  <si>
    <t>MV-4400-250065</t>
  </si>
  <si>
    <t>'◈산근''자재운반 650A  / M'</t>
  </si>
  <si>
    <t>200x65A</t>
  </si>
  <si>
    <t>600A(1㎞*2열)</t>
  </si>
  <si>
    <t>200x65A</t>
  </si>
  <si>
    <t>'◈ PE용접 500A / M'</t>
  </si>
  <si>
    <t>S02W60060YA</t>
  </si>
  <si>
    <t xml:space="preserve"> '2) MDI :' 52.92 'kg' * ~MU-002~  = ?MA1+</t>
  </si>
  <si>
    <t>S02001W080YA</t>
  </si>
  <si>
    <t>7040</t>
  </si>
  <si>
    <t>80A</t>
  </si>
  <si>
    <t>11540</t>
  </si>
  <si>
    <t xml:space="preserve">Q+ = </t>
  </si>
  <si>
    <t>MV-4400-250065</t>
  </si>
  <si>
    <t>200A(1㎞*2열)</t>
  </si>
  <si>
    <t>80A</t>
  </si>
  <si>
    <t>5900</t>
  </si>
  <si>
    <t>'2) 전력 케이블 포설(직매 할감 80% 적용)'</t>
  </si>
  <si>
    <t xml:space="preserve">   SEALING ELEMENT</t>
  </si>
  <si>
    <t>MV-4300-700600</t>
  </si>
  <si>
    <t>12000</t>
  </si>
  <si>
    <t>MV-4300-400350</t>
  </si>
  <si>
    <t>4500</t>
  </si>
  <si>
    <t>10940</t>
  </si>
  <si>
    <t>S00000A600</t>
  </si>
  <si>
    <t>MV-4500-750700</t>
  </si>
  <si>
    <t>TM-700-600Y</t>
  </si>
  <si>
    <t>#57 PE용접 | 100A|개소</t>
  </si>
  <si>
    <t>500x200A</t>
  </si>
  <si>
    <t>14400</t>
  </si>
  <si>
    <t>25x25A</t>
  </si>
  <si>
    <t>'◈ 자재운반 65A  / M'</t>
  </si>
  <si>
    <t>MV-4400-250080</t>
  </si>
  <si>
    <t>500x200A</t>
  </si>
  <si>
    <t>MV-4300-400350</t>
  </si>
  <si>
    <t>MV-4300-700600</t>
  </si>
  <si>
    <t>MV-4400-250080</t>
  </si>
  <si>
    <t>MV-4500-750700</t>
  </si>
  <si>
    <t>크레인(타이어)</t>
  </si>
  <si>
    <t>25x25A</t>
  </si>
  <si>
    <t>S02002W500YA</t>
  </si>
  <si>
    <t>G503-150</t>
  </si>
  <si>
    <t>14360</t>
  </si>
  <si>
    <t>450A(10% 할증)</t>
  </si>
  <si>
    <t>2660</t>
  </si>
  <si>
    <t>S00000A350YA</t>
  </si>
  <si>
    <t xml:space="preserve">  PE용접: 5,545,758 / L = 308,611.8</t>
  </si>
  <si>
    <t>S024W40040</t>
  </si>
  <si>
    <t>32A(보온두께 30mm이하)</t>
  </si>
  <si>
    <t>150x32A</t>
  </si>
  <si>
    <t>5780</t>
  </si>
  <si>
    <t>150x32A</t>
  </si>
  <si>
    <t>MV-5100-02540</t>
  </si>
  <si>
    <t>MV-5100-20040</t>
  </si>
  <si>
    <t>MV-5100-35060</t>
  </si>
  <si>
    <t>13280</t>
  </si>
  <si>
    <t>S02W02080YA</t>
  </si>
  <si>
    <t>300A(VENT일체형)</t>
  </si>
  <si>
    <t>15680</t>
  </si>
  <si>
    <t>TM-700-700</t>
  </si>
  <si>
    <t xml:space="preserve"> ◈ PE용접 750A / M</t>
  </si>
  <si>
    <t>S02002W032</t>
  </si>
  <si>
    <t>3380</t>
  </si>
  <si>
    <t xml:space="preserve">    '노무비:' ~E00002104002000000.L~ * 18 / 60 = ?LA1+</t>
  </si>
  <si>
    <t>'1.운반비'</t>
  </si>
  <si>
    <t>750x750A</t>
  </si>
  <si>
    <t>4260</t>
  </si>
  <si>
    <t>20A,60t(곡관부)</t>
  </si>
  <si>
    <t>300A(VENT일체형)</t>
  </si>
  <si>
    <t>MV-4300-250150</t>
  </si>
  <si>
    <t>MV-4300-250150</t>
  </si>
  <si>
    <t>SZL000001</t>
  </si>
  <si>
    <t>S02W05040YA</t>
  </si>
  <si>
    <t>12760</t>
  </si>
  <si>
    <t>50A,40t(직관부)</t>
  </si>
  <si>
    <t>750x750A</t>
  </si>
  <si>
    <t>S024W55060</t>
  </si>
  <si>
    <t>MV-4300-750750</t>
  </si>
  <si>
    <t>QDECEQ</t>
  </si>
  <si>
    <t>8380</t>
  </si>
  <si>
    <t>MV-4300-450200</t>
  </si>
  <si>
    <t>MV-4300-450200</t>
  </si>
  <si>
    <t>MV-4300-750750</t>
  </si>
  <si>
    <t>MV-4500-400300</t>
  </si>
  <si>
    <t>MV-4500-700650</t>
  </si>
  <si>
    <t>MV-4700-000150</t>
  </si>
  <si>
    <t>MV-5000-60060</t>
  </si>
  <si>
    <t>MV-5000-75040</t>
  </si>
  <si>
    <t>11220</t>
  </si>
  <si>
    <t>MV-5000-75040</t>
  </si>
  <si>
    <t>MV-4700-000150</t>
  </si>
  <si>
    <t>MV-9960-007-450</t>
  </si>
  <si>
    <t>7720</t>
  </si>
  <si>
    <t>MV-4500-700650</t>
  </si>
  <si>
    <t>9660</t>
  </si>
  <si>
    <t>MV-4500-400300</t>
  </si>
  <si>
    <t xml:space="preserve"> '7) 석동선 :' 17.68 'm' * ~MU00460~ = ?MA1+</t>
  </si>
  <si>
    <t>S4840-150</t>
  </si>
  <si>
    <t>MV-5000-60060</t>
  </si>
  <si>
    <t>7000</t>
  </si>
  <si>
    <t>11500</t>
  </si>
  <si>
    <t>S024W12560YA</t>
  </si>
  <si>
    <t>S02003W300</t>
  </si>
  <si>
    <t>MV-9960-010-250</t>
  </si>
  <si>
    <t>5940</t>
  </si>
  <si>
    <t>600A,40t(곡관부)</t>
  </si>
  <si>
    <t>S13030W550YA</t>
  </si>
  <si>
    <t xml:space="preserve">   TAPPING CUTTER</t>
  </si>
  <si>
    <t>100x20A</t>
  </si>
  <si>
    <t>S02002M020YA</t>
  </si>
  <si>
    <t>S1303W550YA</t>
  </si>
  <si>
    <t xml:space="preserve">    '경  비:' ~E00002104002000000.E~ * 9 / 60 = ?EQ1+</t>
  </si>
  <si>
    <t>500x150A</t>
  </si>
  <si>
    <t>500x150A</t>
  </si>
  <si>
    <t xml:space="preserve">  '- 운반대기 시간 : 125A 이상 1본당,''100A 이하 2본당(분)'</t>
  </si>
  <si>
    <t>100x20A</t>
  </si>
  <si>
    <t>9140</t>
  </si>
  <si>
    <t>SZD0002-750</t>
  </si>
  <si>
    <t>15840</t>
  </si>
  <si>
    <t>TM-700-550Y</t>
  </si>
  <si>
    <t xml:space="preserve">2084_1_1+ = </t>
  </si>
  <si>
    <t xml:space="preserve">1250_1_1 = </t>
  </si>
  <si>
    <t>150x40A</t>
  </si>
  <si>
    <t>S024W03260YA</t>
  </si>
  <si>
    <t>S02W10040YA</t>
  </si>
  <si>
    <t>150x40A</t>
  </si>
  <si>
    <t>14440</t>
  </si>
  <si>
    <t>12040</t>
  </si>
  <si>
    <t xml:space="preserve">1107_1_1+ = </t>
  </si>
  <si>
    <t xml:space="preserve"> ◈ PE용접 40A / 개소</t>
  </si>
  <si>
    <t>4540</t>
  </si>
  <si>
    <t>10900</t>
  </si>
  <si>
    <t>%</t>
  </si>
  <si>
    <t>SD0001W0450</t>
  </si>
  <si>
    <t>400A x 40t</t>
  </si>
  <si>
    <t>200A,80t(직관부)</t>
  </si>
  <si>
    <t>QUS2WON1</t>
  </si>
  <si>
    <t>MV-4400-050040</t>
  </si>
  <si>
    <t>1074</t>
  </si>
  <si>
    <t>S00000W200YA</t>
  </si>
  <si>
    <t>4220</t>
  </si>
  <si>
    <t xml:space="preserve">1554_1_1+ = </t>
  </si>
  <si>
    <t>S02003W400YA</t>
  </si>
  <si>
    <t xml:space="preserve">EQA = </t>
  </si>
  <si>
    <t>12720</t>
  </si>
  <si>
    <t>'◈ PE용접 100A / M'</t>
  </si>
  <si>
    <t>S00000W025YA</t>
  </si>
  <si>
    <t>S02002W500</t>
  </si>
  <si>
    <t>600A(25% 할증)</t>
  </si>
  <si>
    <t>전력요금</t>
  </si>
  <si>
    <t xml:space="preserve">1099_1_1 = </t>
  </si>
  <si>
    <t>14320</t>
  </si>
  <si>
    <t>'경  비:' EQ("E1000000002") * 1.3 '대' / F =?EQ1</t>
  </si>
  <si>
    <t>물정/83/</t>
  </si>
  <si>
    <t>#49 PE용접(M당) | 750A|M</t>
  </si>
  <si>
    <t>700A x 40t</t>
  </si>
  <si>
    <t>MV-4400-050040</t>
  </si>
  <si>
    <t>2620</t>
  </si>
  <si>
    <t>MV-6000-450</t>
  </si>
  <si>
    <t>150A(부설의 40%)</t>
  </si>
  <si>
    <t>'◈ 자재운반 25A  / M'</t>
  </si>
  <si>
    <t>S02W75060YA</t>
  </si>
  <si>
    <t>350x65A</t>
  </si>
  <si>
    <t>S02W45060</t>
  </si>
  <si>
    <t>10780</t>
  </si>
  <si>
    <t>S02001W125</t>
  </si>
  <si>
    <t>6280</t>
  </si>
  <si>
    <t>SC0608W350</t>
  </si>
  <si>
    <t>MV-4400-125020</t>
  </si>
  <si>
    <t>350x65A</t>
  </si>
  <si>
    <t>9620</t>
  </si>
  <si>
    <t>TM-408-400</t>
  </si>
  <si>
    <t>S00000W650</t>
  </si>
  <si>
    <t>750x400A</t>
  </si>
  <si>
    <t>11260</t>
  </si>
  <si>
    <t>S02W50040</t>
  </si>
  <si>
    <t>750x400A</t>
  </si>
  <si>
    <t>7760</t>
  </si>
  <si>
    <t>16380</t>
  </si>
  <si>
    <t>MV-4400-125020</t>
  </si>
  <si>
    <t>450A,40t(직관부)</t>
  </si>
  <si>
    <t>일진레이텍</t>
  </si>
  <si>
    <t>No.818  HOT TAPPING</t>
  </si>
  <si>
    <t>용접공</t>
  </si>
  <si>
    <t>2860</t>
  </si>
  <si>
    <t>'◈ PE용접 125A / M'</t>
  </si>
  <si>
    <t>SZD0001-350</t>
  </si>
  <si>
    <t>16420</t>
  </si>
  <si>
    <t>8460</t>
  </si>
  <si>
    <t>400A,60t(곡관부)</t>
  </si>
  <si>
    <t xml:space="preserve"> * 예열기 2대 + 발전기 1대 = 총 3대</t>
  </si>
  <si>
    <t>SS00200W200</t>
  </si>
  <si>
    <t>[2]'계'=?</t>
  </si>
  <si>
    <t xml:space="preserve"> '4) PE 용접봉 :' 2.17 'kg' * ~M9021009~= ?MA1+</t>
  </si>
  <si>
    <t>MV-4300-200080</t>
  </si>
  <si>
    <t>5980</t>
  </si>
  <si>
    <t xml:space="preserve">   TE-SLEEVE</t>
  </si>
  <si>
    <t>9180</t>
  </si>
  <si>
    <t>32A, 40A</t>
  </si>
  <si>
    <t>15880</t>
  </si>
  <si>
    <t>중기야간경비산출계수</t>
  </si>
  <si>
    <t>6520</t>
  </si>
  <si>
    <t>비교검토</t>
  </si>
  <si>
    <t xml:space="preserve">    4.077 '인' * Q * ~L001010101000044~ = ?LA2+</t>
  </si>
  <si>
    <t>#32 PE용접(M당) | 50A|M</t>
  </si>
  <si>
    <t>No.837 THREAD-O-RING NIPPLE  설치</t>
  </si>
  <si>
    <t>12960</t>
  </si>
  <si>
    <t>10020</t>
  </si>
  <si>
    <t>MV-4300-650200</t>
  </si>
  <si>
    <t>S02000W700</t>
  </si>
  <si>
    <t>MV-4300-200080</t>
  </si>
  <si>
    <t>MV-4300-650200</t>
  </si>
  <si>
    <t>#19 자재운반(야적--&gt;현장) | 40A|m</t>
  </si>
  <si>
    <t>S13030W650</t>
  </si>
  <si>
    <t>600x250A</t>
  </si>
  <si>
    <t>ST0000TW600</t>
  </si>
  <si>
    <t>14480</t>
  </si>
  <si>
    <t>13560</t>
  </si>
  <si>
    <t>7920</t>
  </si>
  <si>
    <t xml:space="preserve"> '6) 공장보온재 :' 2.992 'm' * ~MU00450-150A~ = ?MA1+</t>
  </si>
  <si>
    <t>초급기술자</t>
  </si>
  <si>
    <t>5060</t>
  </si>
  <si>
    <t>9860</t>
  </si>
  <si>
    <t>50x50A</t>
  </si>
  <si>
    <t>MV-4000-500</t>
  </si>
  <si>
    <t>3460</t>
  </si>
  <si>
    <t>S4830-750</t>
  </si>
  <si>
    <t xml:space="preserve"> ◈ 자재운반 20A  / M</t>
  </si>
  <si>
    <t>600x250A</t>
  </si>
  <si>
    <t xml:space="preserve">S = </t>
  </si>
  <si>
    <t>MV-4300-200065</t>
  </si>
  <si>
    <t>15160</t>
  </si>
  <si>
    <t>12080</t>
  </si>
  <si>
    <t>SC0608W500YA</t>
  </si>
  <si>
    <t xml:space="preserve">1103_1_1+ = </t>
  </si>
  <si>
    <t>4580</t>
  </si>
  <si>
    <t>MV-4300-200065</t>
  </si>
  <si>
    <t>MV-4000-500</t>
  </si>
  <si>
    <t>50x50A</t>
  </si>
  <si>
    <t xml:space="preserve">    T2 = (L / V * 2 * 60 + 20) / Q * 2 = ?'분'</t>
  </si>
  <si>
    <t>단 가</t>
  </si>
  <si>
    <t xml:space="preserve">    0.984 '인' * Q * ~L001010101000002~ = ?LA2+</t>
  </si>
  <si>
    <t>15600</t>
  </si>
  <si>
    <t>1345</t>
  </si>
  <si>
    <t>3300</t>
  </si>
  <si>
    <t xml:space="preserve">1550_1_1+ = </t>
  </si>
  <si>
    <t xml:space="preserve"> '7) 석동선 :' 14.95 'm' * ~MU00460~ = ?MA1+</t>
  </si>
  <si>
    <t>#54 PE용접 | 50A|개소</t>
  </si>
  <si>
    <t>S02002M350</t>
  </si>
  <si>
    <t>MV-4600-000050</t>
  </si>
  <si>
    <t>G0000210400100000</t>
  </si>
  <si>
    <t>물정/729/</t>
  </si>
  <si>
    <t>No.876 STOPPLE FITTING 용접</t>
  </si>
  <si>
    <t xml:space="preserve">134,000 천원  </t>
  </si>
  <si>
    <t>S02001W100</t>
  </si>
  <si>
    <t xml:space="preserve"> '1) POLYOL :' 35.76 'kg' * ~MU-001~ = ?MA1+</t>
  </si>
  <si>
    <t>MV-4400-400200</t>
  </si>
  <si>
    <t>단 가</t>
  </si>
  <si>
    <t>5700</t>
  </si>
  <si>
    <t>MV-4300-600350</t>
  </si>
  <si>
    <t>MV-4400-400200</t>
  </si>
  <si>
    <t>MV-4600-000050</t>
  </si>
  <si>
    <t>MV-4300-600350</t>
  </si>
  <si>
    <t>G0000210400100000</t>
  </si>
  <si>
    <t>MU00240-080</t>
  </si>
  <si>
    <t>13200</t>
  </si>
  <si>
    <t>QLINCX</t>
  </si>
  <si>
    <t xml:space="preserve">   BEND(90˚)</t>
  </si>
  <si>
    <t>MV-4800-000650</t>
  </si>
  <si>
    <t>비    고</t>
  </si>
  <si>
    <t>450x080A</t>
  </si>
  <si>
    <t>10740</t>
  </si>
  <si>
    <t>6240</t>
  </si>
  <si>
    <t>건설기계운전사</t>
  </si>
  <si>
    <t>MV-4400-200150</t>
  </si>
  <si>
    <t>65A(5% 할증)</t>
  </si>
  <si>
    <t>650A,60t(직관부)</t>
  </si>
  <si>
    <t>450x080A</t>
  </si>
  <si>
    <t>16340</t>
  </si>
  <si>
    <t>MV-4200-750</t>
  </si>
  <si>
    <t>8300</t>
  </si>
  <si>
    <t>MV-4400-200150</t>
  </si>
  <si>
    <t>MV-4800-000650</t>
  </si>
  <si>
    <t xml:space="preserve"> ◈ PE용접 65A / 개소</t>
  </si>
  <si>
    <t>S02W50080</t>
  </si>
  <si>
    <t>MU00240-065</t>
  </si>
  <si>
    <t>MV-4200-750</t>
  </si>
  <si>
    <t>MV-6600-550</t>
  </si>
  <si>
    <t>6560</t>
  </si>
  <si>
    <t xml:space="preserve"> '1) POLYOL :' 37.80 'kg' * ~MU-001~ = ?MA1+</t>
  </si>
  <si>
    <t>12920</t>
  </si>
  <si>
    <t>10060</t>
  </si>
  <si>
    <t xml:space="preserve">    '노무비:' ~E00002104001500000.L~ * 4.5 / 60 = ?LA1+</t>
  </si>
  <si>
    <t>#18 1.2M/M 112.6M/KG (1종)</t>
  </si>
  <si>
    <t>7080</t>
  </si>
  <si>
    <t xml:space="preserve"> ◈산근  자재운반 450A  / M</t>
  </si>
  <si>
    <t>11580</t>
  </si>
  <si>
    <t>2820</t>
  </si>
  <si>
    <t xml:space="preserve">229,276 천원  </t>
  </si>
  <si>
    <t xml:space="preserve"> ◈ PE용접 500A / M</t>
  </si>
  <si>
    <t xml:space="preserve">1400_1_1 = </t>
  </si>
  <si>
    <t>'◈ PE용접 150A / 개소'</t>
  </si>
  <si>
    <t>16460</t>
  </si>
  <si>
    <t>8420</t>
  </si>
  <si>
    <t>80A,80t(직관부)</t>
  </si>
  <si>
    <t>비계공</t>
  </si>
  <si>
    <t>S02001W350YA</t>
  </si>
  <si>
    <t>TM-410-600</t>
  </si>
  <si>
    <t>10980</t>
  </si>
  <si>
    <t>MV-9960-001-100</t>
  </si>
  <si>
    <t>9820</t>
  </si>
  <si>
    <t>3420</t>
  </si>
  <si>
    <t>MV-4000-032</t>
  </si>
  <si>
    <t>15120</t>
  </si>
  <si>
    <t>S02002M150YA</t>
  </si>
  <si>
    <t>13520</t>
  </si>
  <si>
    <t>#12 자재운반(야적--&gt;현장) | 200A|m</t>
  </si>
  <si>
    <t xml:space="preserve">※ 노란색 셀을 수정하고 툴바에서 수식 &gt; 시트계산을 하면 </t>
  </si>
  <si>
    <t>7960</t>
  </si>
  <si>
    <t>5020</t>
  </si>
  <si>
    <t>MV-4400-250040</t>
  </si>
  <si>
    <t>S1303W400</t>
  </si>
  <si>
    <t xml:space="preserve">   - 크레인(타이어25ton)</t>
  </si>
  <si>
    <t xml:space="preserve">          '경  비 : '~E00002105001000000.E~ * {Q2}'hr/TON'   = ?EQ1+'원/t'</t>
  </si>
  <si>
    <t>MV-4810-000600</t>
  </si>
  <si>
    <t xml:space="preserve">   맹판설치</t>
  </si>
  <si>
    <t>250A x 40t</t>
  </si>
  <si>
    <t>MV-4400-250040</t>
  </si>
  <si>
    <t>MV-4810-000600</t>
  </si>
  <si>
    <t>MV-4000-032</t>
  </si>
  <si>
    <t>MV-6700-350</t>
  </si>
  <si>
    <t>S024W40080</t>
  </si>
  <si>
    <t>5740</t>
  </si>
  <si>
    <t>S130301X600</t>
  </si>
  <si>
    <t>M4507051-600</t>
  </si>
  <si>
    <t>13240</t>
  </si>
  <si>
    <t>S02W15080YA</t>
  </si>
  <si>
    <t>M4507051-600</t>
  </si>
  <si>
    <t>MV-5100-02580</t>
  </si>
  <si>
    <t>MV-5100-20080</t>
  </si>
  <si>
    <t xml:space="preserve">   PE용접</t>
  </si>
  <si>
    <t xml:space="preserve">1695_1_1 = </t>
  </si>
  <si>
    <t>노임할증계수(해상장비:주간)</t>
  </si>
  <si>
    <t>32A,80t(곡관부)</t>
  </si>
  <si>
    <t>15640</t>
  </si>
  <si>
    <t>550A(보온두께 41~60mm)</t>
  </si>
  <si>
    <t>150A x 40t</t>
  </si>
  <si>
    <t>3340</t>
  </si>
  <si>
    <t>SZE0001-300</t>
  </si>
  <si>
    <t xml:space="preserve">   PILOT DRILL</t>
  </si>
  <si>
    <t xml:space="preserve">   전기예열기설치및철거</t>
  </si>
  <si>
    <t xml:space="preserve">QO+ = </t>
  </si>
  <si>
    <t>450x450A</t>
  </si>
  <si>
    <t>[4]=0</t>
  </si>
  <si>
    <t>16300</t>
  </si>
  <si>
    <t>8340</t>
  </si>
  <si>
    <t>MV-5000-75080</t>
  </si>
  <si>
    <t>MV-5100-08060</t>
  </si>
  <si>
    <t>MV-4400-065032</t>
  </si>
  <si>
    <t>S00000A080YA</t>
  </si>
  <si>
    <t>10700</t>
  </si>
  <si>
    <t>450x450A</t>
  </si>
  <si>
    <t>6200</t>
  </si>
  <si>
    <t>M4507024</t>
  </si>
  <si>
    <t>S02002M032YA</t>
  </si>
  <si>
    <t>MV-4400-065032</t>
  </si>
  <si>
    <t>MV-4100-300</t>
  </si>
  <si>
    <t xml:space="preserve"> 2. 상,하차비 소요시간(운반차량):</t>
  </si>
  <si>
    <t>MV-4100-300</t>
  </si>
  <si>
    <t>M4077023</t>
  </si>
  <si>
    <t>M4507024</t>
  </si>
  <si>
    <t xml:space="preserve">872_1_1 = </t>
  </si>
  <si>
    <t>SUPPORT</t>
  </si>
  <si>
    <t>TM-700-650</t>
  </si>
  <si>
    <t>MV-9960-004-125</t>
  </si>
  <si>
    <t xml:space="preserve">   부단수 천공(BY-PASS)(1개소=2ea)</t>
  </si>
  <si>
    <t>4330</t>
  </si>
  <si>
    <t>32A(5% 할증)</t>
  </si>
  <si>
    <t xml:space="preserve">  4. 장비 사용료</t>
  </si>
  <si>
    <t>12630</t>
  </si>
  <si>
    <t xml:space="preserve">   - 트레일러(20ton)</t>
  </si>
  <si>
    <t xml:space="preserve">    1.794 '인' * Q * ~L001010101000043~ = ?LA2+</t>
  </si>
  <si>
    <t>14230</t>
  </si>
  <si>
    <t>견단/피유시스/</t>
  </si>
  <si>
    <t xml:space="preserve">    '경  비:' ~E00002104002000000.E~ * 18 / 60 = ?EQ1+</t>
  </si>
  <si>
    <t>#2 자재운반(야적--&gt;현장) | 700A|m</t>
  </si>
  <si>
    <t>MV-4400-200065</t>
  </si>
  <si>
    <t>2730</t>
  </si>
  <si>
    <t>'재료비:' MA("E1000000002") * 1 '대' / F =?MA1+</t>
  </si>
  <si>
    <t>450A,60t(곡관부)</t>
  </si>
  <si>
    <t>MV-4400-200065</t>
  </si>
  <si>
    <t xml:space="preserve">    0.801 '인' * Q * ~L001010101000043~ = ?LA2+</t>
  </si>
  <si>
    <t>MU00240-150</t>
  </si>
  <si>
    <t>QLINCB</t>
  </si>
  <si>
    <t xml:space="preserve">   계</t>
  </si>
  <si>
    <t>9730</t>
  </si>
  <si>
    <t>MV-9960-007-500</t>
  </si>
  <si>
    <t>10690</t>
  </si>
  <si>
    <t>400x100A</t>
  </si>
  <si>
    <t>6390</t>
  </si>
  <si>
    <t xml:space="preserve">Q2+ = </t>
  </si>
  <si>
    <t>MV-4400-200080</t>
  </si>
  <si>
    <t xml:space="preserve">   EFW  엘보보수,보온</t>
  </si>
  <si>
    <t>S1303W065YA</t>
  </si>
  <si>
    <t xml:space="preserve"> '6) 공장보온재 :' 2.992 'm' * ~MU00450-100A~ = ?MA1+</t>
  </si>
  <si>
    <t>MV-4300-750600</t>
  </si>
  <si>
    <t>16290</t>
  </si>
  <si>
    <t>S13030W065YA</t>
  </si>
  <si>
    <t>11370</t>
  </si>
  <si>
    <t>MV-4300-450350</t>
  </si>
  <si>
    <t>S024W65080YA</t>
  </si>
  <si>
    <t>7670</t>
  </si>
  <si>
    <t>MV-4300-450350</t>
  </si>
  <si>
    <t>MV-4300-750600</t>
  </si>
  <si>
    <t>MV-4400-200080</t>
  </si>
  <si>
    <t xml:space="preserve"> '7) 석동선 :' 13.27 'm' * ~MU00460~ = ?MA1+</t>
  </si>
  <si>
    <t>400x100A</t>
  </si>
  <si>
    <t>65A x 40t</t>
  </si>
  <si>
    <t>MV-5100-65060</t>
  </si>
  <si>
    <t>650x450A</t>
  </si>
  <si>
    <t>100A</t>
  </si>
  <si>
    <t>비 고</t>
  </si>
  <si>
    <t>100A</t>
  </si>
  <si>
    <t>'◈ PE용접 250A / M'</t>
  </si>
  <si>
    <t xml:space="preserve">EQ2+ = </t>
  </si>
  <si>
    <t>MV-4300-200150</t>
  </si>
  <si>
    <t>MV-5100-65060</t>
  </si>
  <si>
    <t>MV-5100-70040</t>
  </si>
  <si>
    <t xml:space="preserve">   이중보온관 부설</t>
  </si>
  <si>
    <t>650x450A</t>
  </si>
  <si>
    <t>7110</t>
  </si>
  <si>
    <t>MU00450-300A</t>
  </si>
  <si>
    <t>MV-4300-200150</t>
  </si>
  <si>
    <t>5850</t>
  </si>
  <si>
    <t xml:space="preserve">     1) 운반차량 : 12.0 TON</t>
  </si>
  <si>
    <t>MU00450-300A</t>
  </si>
  <si>
    <t>S024W05060</t>
  </si>
  <si>
    <t>11410</t>
  </si>
  <si>
    <t>9050</t>
  </si>
  <si>
    <t>EFW 시트(직관,보수용)</t>
  </si>
  <si>
    <t>17010</t>
  </si>
  <si>
    <t>S00000W020</t>
  </si>
  <si>
    <t>S00000A650YA</t>
  </si>
  <si>
    <t xml:space="preserve">HR    </t>
  </si>
  <si>
    <t>QDM2WON</t>
  </si>
  <si>
    <t>노임할증계수(터널구간:주간)</t>
  </si>
  <si>
    <t>MV-5100-70040</t>
  </si>
  <si>
    <t>L001010101000003</t>
  </si>
  <si>
    <t>15950</t>
  </si>
  <si>
    <t>S01000W350</t>
  </si>
  <si>
    <t xml:space="preserve"> '2) MDI :' 1.20 'kg' * ~MU-002~  = ?MA1+</t>
  </si>
  <si>
    <t>S024W10040</t>
  </si>
  <si>
    <t>S02W02580YA</t>
  </si>
  <si>
    <t>MV-4500-750650</t>
  </si>
  <si>
    <t>S00000A750</t>
  </si>
  <si>
    <t>14550</t>
  </si>
  <si>
    <t xml:space="preserve">SET   </t>
  </si>
  <si>
    <t>600A,60t(직관부)</t>
  </si>
  <si>
    <t>MV-5000-12560</t>
  </si>
  <si>
    <t>MV-5000-25040</t>
  </si>
  <si>
    <t>MV-5000-30060</t>
  </si>
  <si>
    <t>SD0001W0032</t>
  </si>
  <si>
    <t>MV-4300-400200</t>
  </si>
  <si>
    <t>12150</t>
  </si>
  <si>
    <t>10810</t>
  </si>
  <si>
    <t>MV-4300-400200</t>
  </si>
  <si>
    <t>MV-4500-750650</t>
  </si>
  <si>
    <t>4450</t>
  </si>
  <si>
    <t>5690</t>
  </si>
  <si>
    <t>400x250A</t>
  </si>
  <si>
    <t>13390</t>
  </si>
  <si>
    <t>No.879  STOPPLE FITTING 용접</t>
  </si>
  <si>
    <t xml:space="preserve">EQ2 = </t>
  </si>
  <si>
    <t>14270</t>
  </si>
  <si>
    <t>MV-4400-200025</t>
  </si>
  <si>
    <t>2770</t>
  </si>
  <si>
    <t>4370</t>
  </si>
  <si>
    <t>'◈ PE용접 650A / M'</t>
  </si>
  <si>
    <t xml:space="preserve">    '경  비:' ~E00002104001500000.E~ * 3 / 60 = ?EQ1+</t>
  </si>
  <si>
    <t>12670</t>
  </si>
  <si>
    <t>S13030W050YA</t>
  </si>
  <si>
    <t>15790</t>
  </si>
  <si>
    <t>550A x 40t</t>
  </si>
  <si>
    <t xml:space="preserve">500_1_1 = </t>
  </si>
  <si>
    <t>MV-4400-200025</t>
  </si>
  <si>
    <t>S1303W050YA</t>
  </si>
  <si>
    <t xml:space="preserve">M/T   </t>
  </si>
  <si>
    <t>3290</t>
  </si>
  <si>
    <t>400x250A</t>
  </si>
  <si>
    <t>S02002W450</t>
  </si>
  <si>
    <t>11330</t>
  </si>
  <si>
    <t>350A(10% 할증)</t>
  </si>
  <si>
    <t xml:space="preserve">         3)     계          :       15%</t>
  </si>
  <si>
    <t>7630</t>
  </si>
  <si>
    <t>S02W03260</t>
  </si>
  <si>
    <t>MV-4700-000040</t>
  </si>
  <si>
    <t>400x80A</t>
  </si>
  <si>
    <t>400x80A</t>
  </si>
  <si>
    <t>MV-4600-000125</t>
  </si>
  <si>
    <t>8290</t>
  </si>
  <si>
    <t xml:space="preserve">MA1 = </t>
  </si>
  <si>
    <t>S4840-040</t>
  </si>
  <si>
    <t>SC0608W200</t>
  </si>
  <si>
    <t>A00</t>
  </si>
  <si>
    <t>20A,40t(직관부)</t>
  </si>
  <si>
    <t>'◈ 자재운반 50A  / M'</t>
  </si>
  <si>
    <t>50A,60t(곡관부)</t>
  </si>
  <si>
    <t>S00000W700</t>
  </si>
  <si>
    <t>MV-4600-000125</t>
  </si>
  <si>
    <t>MV-4700-000040</t>
  </si>
  <si>
    <t xml:space="preserve">    9.462 '인' * Q * ~L001010101000044~ = ?LA2+</t>
  </si>
  <si>
    <t>전자인력관리시스템단말기 렌탈료</t>
  </si>
  <si>
    <t>9770</t>
  </si>
  <si>
    <t>TM-408-550</t>
  </si>
  <si>
    <t>거래</t>
  </si>
  <si>
    <t>EA</t>
  </si>
  <si>
    <t>MV-9960-010-300</t>
  </si>
  <si>
    <t>SZD0002-600</t>
  </si>
  <si>
    <t>MV-4300-050025</t>
  </si>
  <si>
    <t>9010</t>
  </si>
  <si>
    <t>S024W70080YA</t>
  </si>
  <si>
    <t>'◈ 이중보온관전기예열 750A-550A / Hr'</t>
  </si>
  <si>
    <t>17050</t>
  </si>
  <si>
    <t xml:space="preserve"> '2) MDI :' 14.52 'kg' * ~MU-002~  = ?MA1+</t>
  </si>
  <si>
    <t>L001010101000043</t>
  </si>
  <si>
    <t>중기가격</t>
  </si>
  <si>
    <t>MV-4300-065032</t>
  </si>
  <si>
    <t xml:space="preserve">   인출단관</t>
  </si>
  <si>
    <t>MV-5000-04040</t>
  </si>
  <si>
    <t>15910</t>
  </si>
  <si>
    <t>MV-9960-010-300</t>
  </si>
  <si>
    <t>S00000W700YA</t>
  </si>
  <si>
    <t>7150</t>
  </si>
  <si>
    <t xml:space="preserve"> '6) 공장보온재 :' 2.992 'm' * ~MU00450-065A~ = ?MA1+</t>
  </si>
  <si>
    <t>S02003W100YA</t>
  </si>
  <si>
    <t>S02003W250</t>
  </si>
  <si>
    <t>5810</t>
  </si>
  <si>
    <t>#62 PE용접 | 300A|개소</t>
  </si>
  <si>
    <t>11450</t>
  </si>
  <si>
    <t>KSM6030 2종 18ℓ</t>
  </si>
  <si>
    <t>MV-4300-050025</t>
  </si>
  <si>
    <t>MV-4300-065032</t>
  </si>
  <si>
    <t xml:space="preserve"> '7) 석동선 :' 18.51 'm' * ~MU00460~ = ?MA1+</t>
  </si>
  <si>
    <t>E00002104002500000</t>
  </si>
  <si>
    <t>12110</t>
  </si>
  <si>
    <t>250A</t>
  </si>
  <si>
    <t>S024W06560</t>
  </si>
  <si>
    <t>10850</t>
  </si>
  <si>
    <t>4410</t>
  </si>
  <si>
    <t>MU00450-050A</t>
  </si>
  <si>
    <t xml:space="preserve">   초급기술자</t>
  </si>
  <si>
    <t>250A</t>
  </si>
  <si>
    <t>E00002104002500000</t>
  </si>
  <si>
    <t>SD0001W0500</t>
  </si>
  <si>
    <t>환율(사용자 환율1)</t>
  </si>
  <si>
    <t>S02W15060</t>
  </si>
  <si>
    <t xml:space="preserve"> '2) MDI :' 24.36 'kg' * ~MU-002~  = ?MA1+</t>
  </si>
  <si>
    <t xml:space="preserve">  '- 장비 조합: T/C 20ton + TRAILER 20ton'</t>
  </si>
  <si>
    <t>14510</t>
  </si>
  <si>
    <t>650A x 40t</t>
  </si>
  <si>
    <t>20A x 60t</t>
  </si>
  <si>
    <t>'◈ PE용접 600A / 개소'</t>
  </si>
  <si>
    <t>S4840-065</t>
  </si>
  <si>
    <t>트럭 트랙터 및 트레일러</t>
  </si>
  <si>
    <t>S02001W050</t>
  </si>
  <si>
    <t>5650</t>
  </si>
  <si>
    <t xml:space="preserve">    3.423 '인' * Q * ~L001010101000044~ = ?LA2+</t>
  </si>
  <si>
    <t>MV-4400-400350</t>
  </si>
  <si>
    <t>MV-4300-250080</t>
  </si>
  <si>
    <t>MV-4300-600200</t>
  </si>
  <si>
    <t>MV-4400-400350</t>
  </si>
  <si>
    <t>MV-4600-000100</t>
  </si>
  <si>
    <t>MV-4700-000065</t>
  </si>
  <si>
    <t>'저압케이블전공 :'  0.01331 * TOT("L001010101000078") * 96'm'  * 0.80  =?LA2+</t>
  </si>
  <si>
    <t>13350</t>
  </si>
  <si>
    <t>MV-4300-600200</t>
  </si>
  <si>
    <t>15750</t>
  </si>
  <si>
    <t>S024W05060YA</t>
  </si>
  <si>
    <t xml:space="preserve"> ◈산근  자재운반 700A  / M</t>
  </si>
  <si>
    <t>M7380021</t>
  </si>
  <si>
    <t>M7380021</t>
  </si>
  <si>
    <t>M9015009</t>
  </si>
  <si>
    <t>MV-4700-000065</t>
  </si>
  <si>
    <t>3250</t>
  </si>
  <si>
    <t>G503-080</t>
  </si>
  <si>
    <t>S02002M200</t>
  </si>
  <si>
    <t>M9015009</t>
  </si>
  <si>
    <t>MV-4300-250080</t>
  </si>
  <si>
    <t>MV-4600-000100</t>
  </si>
  <si>
    <t>1</t>
  </si>
  <si>
    <t xml:space="preserve">    '경  비:' ~E00002104001500000.E~ * 3.6 / 60 = ?EQ1+</t>
  </si>
  <si>
    <t>G503-065</t>
  </si>
  <si>
    <t>MV-4300-250065</t>
  </si>
  <si>
    <t>8250</t>
  </si>
  <si>
    <t>MV-4200-600</t>
  </si>
  <si>
    <t>16210</t>
  </si>
  <si>
    <t xml:space="preserve"> ◈ PE용접 200A / M</t>
  </si>
  <si>
    <t>MV-4700-000080</t>
  </si>
  <si>
    <t>#27 전기예열기설치및철거 | 750A~250A|개소</t>
  </si>
  <si>
    <t>No.717 부단수 천공(차단)</t>
  </si>
  <si>
    <t>MV-4800-000700</t>
  </si>
  <si>
    <t>S4840-080</t>
  </si>
  <si>
    <t>10610</t>
  </si>
  <si>
    <t xml:space="preserve">K = </t>
  </si>
  <si>
    <t>6310</t>
  </si>
  <si>
    <t>MV-4300-250065</t>
  </si>
  <si>
    <t>MV-4700-000080</t>
  </si>
  <si>
    <t>MV-4800-000700</t>
  </si>
  <si>
    <t>MV-4200-600</t>
  </si>
  <si>
    <t>MV-6600-400</t>
  </si>
  <si>
    <t xml:space="preserve">728_1_1 = </t>
  </si>
  <si>
    <t>350A(VENT일체형)</t>
  </si>
  <si>
    <t>산 출 근 거</t>
  </si>
  <si>
    <t>G0000210400150000</t>
  </si>
  <si>
    <t>12830</t>
  </si>
  <si>
    <t xml:space="preserve">268_1_1+ = </t>
  </si>
  <si>
    <t>250x125A</t>
  </si>
  <si>
    <t>L001010101000083</t>
  </si>
  <si>
    <t>6470</t>
  </si>
  <si>
    <t>MV-5000-04080</t>
  </si>
  <si>
    <t xml:space="preserve"> 2. 잡재료</t>
  </si>
  <si>
    <t>S02000W650</t>
  </si>
  <si>
    <t>MV-4300-650350</t>
  </si>
  <si>
    <t>10170</t>
  </si>
  <si>
    <t>8530</t>
  </si>
  <si>
    <t>16570</t>
  </si>
  <si>
    <t>SZD0001-200</t>
  </si>
  <si>
    <t>550x400A</t>
  </si>
  <si>
    <t>2930</t>
  </si>
  <si>
    <t>550x400A</t>
  </si>
  <si>
    <t>#59 PE용접 | 150A|개소</t>
  </si>
  <si>
    <t>SS00200W350</t>
  </si>
  <si>
    <t>350A(VENT일체형)</t>
  </si>
  <si>
    <t>7190</t>
  </si>
  <si>
    <t>150A(10% 할증)</t>
  </si>
  <si>
    <t>MV-4300-650350</t>
  </si>
  <si>
    <t>S024W60040YA</t>
  </si>
  <si>
    <t>11490</t>
  </si>
  <si>
    <t>ST0000TS001</t>
  </si>
  <si>
    <t>250x125A</t>
  </si>
  <si>
    <t xml:space="preserve"> ◈지하시설물 탐지</t>
  </si>
  <si>
    <t>3530</t>
  </si>
  <si>
    <t>S4830-600</t>
  </si>
  <si>
    <t>MV-4000-450</t>
  </si>
  <si>
    <t>9930</t>
  </si>
  <si>
    <t>15030</t>
  </si>
  <si>
    <t xml:space="preserve">    4.594 '인' * Q * ~L001010101000044~ = ?LA2+</t>
  </si>
  <si>
    <t>'* 전기예열기 인양 및 철거 : 2분'</t>
  </si>
  <si>
    <t>10890</t>
  </si>
  <si>
    <t>S13030W700</t>
  </si>
  <si>
    <t>'* 예열기 1대 + 발전기 1대 = 총 2대'</t>
  </si>
  <si>
    <t xml:space="preserve">  '- 크레인(타이어25ton)'</t>
  </si>
  <si>
    <t xml:space="preserve">    8.923 '인' * Q * ~L001010101000044~ = ?LA2+</t>
  </si>
  <si>
    <t>ST0000TW750</t>
  </si>
  <si>
    <t>7870</t>
  </si>
  <si>
    <t>13430</t>
  </si>
  <si>
    <t>MV-4400-250150</t>
  </si>
  <si>
    <t>MDI</t>
  </si>
  <si>
    <t>5130</t>
  </si>
  <si>
    <t>68302017001</t>
  </si>
  <si>
    <t>MV-4000-450</t>
  </si>
  <si>
    <t>MV-4400-250150</t>
  </si>
  <si>
    <t>QDATE</t>
  </si>
  <si>
    <t>L001020101000120</t>
  </si>
  <si>
    <t>15710</t>
  </si>
  <si>
    <t xml:space="preserve"> ◈ 자재운반 50A  / M</t>
  </si>
  <si>
    <t>M4507051-750</t>
  </si>
  <si>
    <t>'저압케이블전공 :'  0.01331 * TOT("L001010101000078") * 48'm'  * 0.80  * 0.5 =?LA3+</t>
  </si>
  <si>
    <t>MV-4700-000025</t>
  </si>
  <si>
    <t>3210</t>
  </si>
  <si>
    <t>No.855  STOPPLE FITTING 용접</t>
  </si>
  <si>
    <t>5610</t>
  </si>
  <si>
    <t>13310</t>
  </si>
  <si>
    <t>M4507051-750</t>
  </si>
  <si>
    <t>650A,40t(곡관부)</t>
  </si>
  <si>
    <t>S130301X750</t>
  </si>
  <si>
    <t>S4840-025</t>
  </si>
  <si>
    <t>300A x 40t</t>
  </si>
  <si>
    <t>물정/496/</t>
  </si>
  <si>
    <t>MV-4700-000025</t>
  </si>
  <si>
    <t>S13030W020</t>
  </si>
  <si>
    <t>10650</t>
  </si>
  <si>
    <t>20A x 80t</t>
  </si>
  <si>
    <t>25A x 40t</t>
  </si>
  <si>
    <t>20A x 80t</t>
  </si>
  <si>
    <t>시간당노임산출계수(터널구간)</t>
  </si>
  <si>
    <t>MV-9960-004-100</t>
  </si>
  <si>
    <t>MV-4400-200040</t>
  </si>
  <si>
    <t>6350</t>
  </si>
  <si>
    <t xml:space="preserve"> 1. 공기압축기</t>
  </si>
  <si>
    <t>MV-4400-200040</t>
  </si>
  <si>
    <t>MV-4500-200125</t>
  </si>
  <si>
    <t>50Φ x 25</t>
  </si>
  <si>
    <t>MV-1007-01</t>
  </si>
  <si>
    <t>S024W75040YA</t>
  </si>
  <si>
    <t>MV-4500-200125</t>
  </si>
  <si>
    <t>MV-4100-250</t>
  </si>
  <si>
    <t>MV-1007-01</t>
  </si>
  <si>
    <t xml:space="preserve">264_1_1 = </t>
  </si>
  <si>
    <t>S02001W650YA</t>
  </si>
  <si>
    <t xml:space="preserve">1550_1_1 = </t>
  </si>
  <si>
    <t>25A,80t(직관부)</t>
  </si>
  <si>
    <t>MV-4100-250</t>
  </si>
  <si>
    <t>25A x 40t</t>
  </si>
  <si>
    <t>466</t>
  </si>
  <si>
    <t>S02002M450YA</t>
  </si>
  <si>
    <t>8210</t>
  </si>
  <si>
    <t>16250</t>
  </si>
  <si>
    <t>100A(부설의 40%)</t>
  </si>
  <si>
    <t>'노무비:' LA("E1000000002") * 2' 대' / F =?LA1</t>
  </si>
  <si>
    <t>'◈ PE용접 125A / 개소'</t>
  </si>
  <si>
    <t>5890</t>
  </si>
  <si>
    <t>550A (관경 600mm 준용)</t>
  </si>
  <si>
    <t>8570</t>
  </si>
  <si>
    <t>S02W12540YA</t>
  </si>
  <si>
    <t>16530</t>
  </si>
  <si>
    <t>MV-4300-125020</t>
  </si>
  <si>
    <t>2970</t>
  </si>
  <si>
    <t>MV-5100-70080</t>
  </si>
  <si>
    <t xml:space="preserve"> ◈산근  자재운반 300A  / M</t>
  </si>
  <si>
    <t>S02W02060</t>
  </si>
  <si>
    <t>S024W10080</t>
  </si>
  <si>
    <t>12870</t>
  </si>
  <si>
    <t>6430</t>
  </si>
  <si>
    <t>MA</t>
  </si>
  <si>
    <t>10130</t>
  </si>
  <si>
    <t>MV-4800-000020</t>
  </si>
  <si>
    <t>9090</t>
  </si>
  <si>
    <t>No.819  HOT TAPPING</t>
  </si>
  <si>
    <t>열수축슬리브</t>
  </si>
  <si>
    <t>MV-4300-125020</t>
  </si>
  <si>
    <t>MV-4800-000020</t>
  </si>
  <si>
    <t>15990</t>
  </si>
  <si>
    <t>250A,80t(직관부)</t>
  </si>
  <si>
    <t>∨</t>
  </si>
  <si>
    <t>7830</t>
  </si>
  <si>
    <t>S024W10060YA</t>
  </si>
  <si>
    <t>400A,40t(직관부)</t>
  </si>
  <si>
    <t>재료비할증계수(주야간)</t>
  </si>
  <si>
    <t>13470</t>
  </si>
  <si>
    <t>MV-4300-050040</t>
  </si>
  <si>
    <t>5170</t>
  </si>
  <si>
    <t>S02W03240YA</t>
  </si>
  <si>
    <t>MV-4810-000750</t>
  </si>
  <si>
    <t>S1303W550</t>
  </si>
  <si>
    <t>125x20A</t>
  </si>
  <si>
    <t>14590</t>
  </si>
  <si>
    <t>MV-5000-25080</t>
  </si>
  <si>
    <t xml:space="preserve"> '2) MDI :' 40.44 'kg' * ~MU-002~  = ?MA1+</t>
  </si>
  <si>
    <t>12190</t>
  </si>
  <si>
    <t xml:space="preserve">    7.013 '인' * Q * ~L001010101000044~ = ?LA2+</t>
  </si>
  <si>
    <t>4490</t>
  </si>
  <si>
    <t>3570</t>
  </si>
  <si>
    <t>9970</t>
  </si>
  <si>
    <t xml:space="preserve">1325_1_1+ = </t>
  </si>
  <si>
    <t>125x20A</t>
  </si>
  <si>
    <t>15070</t>
  </si>
  <si>
    <t>MV-4300-050040</t>
  </si>
  <si>
    <t>MV-4810-000750</t>
  </si>
  <si>
    <t>MV-6700-200</t>
  </si>
  <si>
    <t>15440</t>
  </si>
  <si>
    <t>MV-4000-020</t>
  </si>
  <si>
    <t>3140</t>
  </si>
  <si>
    <t>SZE0001-100</t>
  </si>
  <si>
    <t xml:space="preserve">182,749 천원  </t>
  </si>
  <si>
    <t>150</t>
  </si>
  <si>
    <t>MV-5100-03260</t>
  </si>
  <si>
    <t>900A(보온두께 61~75mm)</t>
  </si>
  <si>
    <t>S02002M080YA</t>
  </si>
  <si>
    <t>40A(5% 할증)</t>
  </si>
  <si>
    <t>합 계</t>
  </si>
  <si>
    <t>5540</t>
  </si>
  <si>
    <t>11900</t>
  </si>
  <si>
    <t>S00000A032YA</t>
  </si>
  <si>
    <t>150A x 60t</t>
  </si>
  <si>
    <t>13040</t>
  </si>
  <si>
    <t>MV-4000-020</t>
  </si>
  <si>
    <t>S130301X400</t>
  </si>
  <si>
    <t xml:space="preserve">    1.009 '인' * Q * ~L001010101000043~ = ?LA2+</t>
  </si>
  <si>
    <t>SD0001W0850</t>
  </si>
  <si>
    <t xml:space="preserve">EQ+ = </t>
  </si>
  <si>
    <t xml:space="preserve"> ◈수소+질소</t>
  </si>
  <si>
    <t>MV-9960-004-250</t>
  </si>
  <si>
    <t xml:space="preserve">  PE용접: 982,570 / L = 74,100.2</t>
  </si>
  <si>
    <t>MV-4100-100</t>
  </si>
  <si>
    <t>10500</t>
  </si>
  <si>
    <t>4940</t>
  </si>
  <si>
    <t>#17 자재운반(야적--&gt;현장) | 65A|m</t>
  </si>
  <si>
    <t xml:space="preserve">  기타사급자재 운반비반영 :  [2] * 1.097 =2,405.1</t>
  </si>
  <si>
    <t>6000</t>
  </si>
  <si>
    <t>150x80A</t>
  </si>
  <si>
    <t>14840</t>
  </si>
  <si>
    <t>TM-700-450Y</t>
  </si>
  <si>
    <t xml:space="preserve"> ◈ PE용접 550A / M</t>
  </si>
  <si>
    <t>16100</t>
  </si>
  <si>
    <t xml:space="preserve"> '4) PE 용접봉 :' 2.81 'kg' * ~M9021009~= ?MA1+</t>
  </si>
  <si>
    <t>8140</t>
  </si>
  <si>
    <t>20A,40t(곡관부)</t>
  </si>
  <si>
    <t>5</t>
  </si>
  <si>
    <t>150x80A</t>
  </si>
  <si>
    <t>50A,60t(직관부)</t>
  </si>
  <si>
    <t>650A (관경 700mm 준용)</t>
  </si>
  <si>
    <t>400A x 80t</t>
  </si>
  <si>
    <t>MV-4100-100</t>
  </si>
  <si>
    <t>MV-6500-300</t>
  </si>
  <si>
    <t>5</t>
  </si>
  <si>
    <t>16660</t>
  </si>
  <si>
    <t>8620</t>
  </si>
  <si>
    <t>S024W60040</t>
  </si>
  <si>
    <t xml:space="preserve"> 'PE용접:'~S4830-032.T~ / L = ?[1]+</t>
  </si>
  <si>
    <t>MV-4400-065020</t>
  </si>
  <si>
    <t>SS00200W040</t>
  </si>
  <si>
    <t>'◈ PE용접 600A / M'</t>
  </si>
  <si>
    <t>S02002W700YA</t>
  </si>
  <si>
    <t>7280</t>
  </si>
  <si>
    <t>MV-5100-15060</t>
  </si>
  <si>
    <t>11780</t>
  </si>
  <si>
    <t>할 증</t>
  </si>
  <si>
    <t>M4507036</t>
  </si>
  <si>
    <t xml:space="preserve">EQ5+ = </t>
  </si>
  <si>
    <t>750x500A</t>
  </si>
  <si>
    <t>S024W75060</t>
  </si>
  <si>
    <t xml:space="preserve">   녹막이 페인트(1회)</t>
  </si>
  <si>
    <t>6760</t>
  </si>
  <si>
    <t>700A x 80t</t>
  </si>
  <si>
    <t>MV-4400-065020</t>
  </si>
  <si>
    <t>10260</t>
  </si>
  <si>
    <t>750x500A</t>
  </si>
  <si>
    <t>S024W25080YA</t>
  </si>
  <si>
    <t>M4507036</t>
  </si>
  <si>
    <t>SZG0001-600</t>
  </si>
  <si>
    <t>MV-5000-55040</t>
  </si>
  <si>
    <t>250A x 60t</t>
  </si>
  <si>
    <t>550x125A</t>
  </si>
  <si>
    <t>S1303W600</t>
  </si>
  <si>
    <t>MV-4810-000400</t>
  </si>
  <si>
    <t xml:space="preserve">   특별인부</t>
  </si>
  <si>
    <t>E00002702002000000</t>
  </si>
  <si>
    <t>550x125A</t>
  </si>
  <si>
    <t>MV-4500-040032</t>
  </si>
  <si>
    <t>MV-4810-000400</t>
  </si>
  <si>
    <t>MV-5000-40060</t>
  </si>
  <si>
    <t>MV-5000-55040</t>
  </si>
  <si>
    <t>32A</t>
  </si>
  <si>
    <t>13720</t>
  </si>
  <si>
    <t xml:space="preserve">     '야적장 상차비 + 현장 하차비 = 2회 적용'</t>
  </si>
  <si>
    <t>250A x 60t</t>
  </si>
  <si>
    <t>MV-9960-001-300</t>
  </si>
  <si>
    <t>5220</t>
  </si>
  <si>
    <t>3620</t>
  </si>
  <si>
    <t>15320</t>
  </si>
  <si>
    <t>MV-4500-040032</t>
  </si>
  <si>
    <t>MV-5000-40060</t>
  </si>
  <si>
    <t xml:space="preserve">    2.109 '인' * Q * ~L001010101000002~ = ?LA2+</t>
  </si>
  <si>
    <t>32A</t>
  </si>
  <si>
    <t>TM-410-400</t>
  </si>
  <si>
    <t>피엔씨</t>
  </si>
  <si>
    <t>5500</t>
  </si>
  <si>
    <t>S13030W750YA</t>
  </si>
  <si>
    <t>11940</t>
  </si>
  <si>
    <t>MV-4300-600150</t>
  </si>
  <si>
    <t>S1303W750YA</t>
  </si>
  <si>
    <t>40A</t>
  </si>
  <si>
    <t>13000</t>
  </si>
  <si>
    <t>'심사결과내역서 및 요약서(기계)'</t>
  </si>
  <si>
    <t>S02001W020YA</t>
  </si>
  <si>
    <t>S02W08080YA</t>
  </si>
  <si>
    <t>MV-4300-500400</t>
  </si>
  <si>
    <t>S02001W300</t>
  </si>
  <si>
    <t>플랜트전공</t>
  </si>
  <si>
    <t>500x300A</t>
  </si>
  <si>
    <t xml:space="preserve">  '- 트레일러(20ton)'</t>
  </si>
  <si>
    <t>S02002M150</t>
  </si>
  <si>
    <t>'◈ PE용접 200A / M'</t>
  </si>
  <si>
    <t>110</t>
  </si>
  <si>
    <t>500x300A</t>
  </si>
  <si>
    <t xml:space="preserve">196_1_1+ = </t>
  </si>
  <si>
    <t>S02W06580YA</t>
  </si>
  <si>
    <t>MV-4600-000250</t>
  </si>
  <si>
    <t xml:space="preserve"> ◈ 자재운반 25A  / M</t>
  </si>
  <si>
    <t>450A,60t(직관부)</t>
  </si>
  <si>
    <t>15400</t>
  </si>
  <si>
    <t>TM-700-700Y</t>
  </si>
  <si>
    <t>MV-4300-500400</t>
  </si>
  <si>
    <t>MV-4300-600150</t>
  </si>
  <si>
    <t>MV-4500-550500</t>
  </si>
  <si>
    <t>MV-4600-000250</t>
  </si>
  <si>
    <t>40A</t>
  </si>
  <si>
    <t>MV-4500-550500</t>
  </si>
  <si>
    <t>열연후판</t>
  </si>
  <si>
    <t>3100</t>
  </si>
  <si>
    <t xml:space="preserve">652_1_1+ = </t>
  </si>
  <si>
    <t>문자</t>
  </si>
  <si>
    <t>MV-4300-450080</t>
  </si>
  <si>
    <t>14800</t>
  </si>
  <si>
    <t xml:space="preserve">   이중보온관 용접</t>
  </si>
  <si>
    <t>MU-002</t>
  </si>
  <si>
    <t>L001020101000124</t>
  </si>
  <si>
    <t>S024W30080YA</t>
  </si>
  <si>
    <t>#13 자재운반(야적--&gt;현장) | 150A|m</t>
  </si>
  <si>
    <t>16140</t>
  </si>
  <si>
    <t>8100</t>
  </si>
  <si>
    <t>MV-4200-550</t>
  </si>
  <si>
    <t xml:space="preserve">T2 = </t>
  </si>
  <si>
    <t>10540</t>
  </si>
  <si>
    <t>TM-700-080Y</t>
  </si>
  <si>
    <t>4900</t>
  </si>
  <si>
    <t xml:space="preserve">   m당 금액 :  [1] /12 = 1,127.1</t>
  </si>
  <si>
    <t xml:space="preserve">    '경  비:' ~E00002104001000000.E~ * 6 / 60 = ?EQ1+</t>
  </si>
  <si>
    <t>6040</t>
  </si>
  <si>
    <t>물자/2-33/</t>
  </si>
  <si>
    <t>MV-4300-450080</t>
  </si>
  <si>
    <t>MV-4800-000450</t>
  </si>
  <si>
    <t>MV-4200-550</t>
  </si>
  <si>
    <t>MV-6600-750</t>
  </si>
  <si>
    <t>MV-4800-000450</t>
  </si>
  <si>
    <t>6720</t>
  </si>
  <si>
    <t>QH31</t>
  </si>
  <si>
    <t xml:space="preserve">.sang=1071,jung=536, kwan=691_x000D_
</t>
  </si>
  <si>
    <t>'노무비:' LA("E1000000002") * 1' 대' / F =?LA1</t>
  </si>
  <si>
    <t xml:space="preserve"> '6) 공장보온재 :' 2.992 'm' * ~MU00450-350A~ = ?MA1+</t>
  </si>
  <si>
    <t>S02000W500</t>
  </si>
  <si>
    <t>10220</t>
  </si>
  <si>
    <t>No.717  부단수 천공(차단)</t>
  </si>
  <si>
    <t>9380</t>
  </si>
  <si>
    <t>MV-4300-550550</t>
  </si>
  <si>
    <t>S02003W600YA</t>
  </si>
  <si>
    <t xml:space="preserve">19,415 천원  </t>
  </si>
  <si>
    <t>부탄(LPG)</t>
  </si>
  <si>
    <t>'◈점검운반차량'</t>
  </si>
  <si>
    <t>16620</t>
  </si>
  <si>
    <t xml:space="preserve">951_1_1+ = </t>
  </si>
  <si>
    <t>8660</t>
  </si>
  <si>
    <t>SZD0001-150</t>
  </si>
  <si>
    <t>ton</t>
  </si>
  <si>
    <t>MV-4500-500450</t>
  </si>
  <si>
    <t>MV-4300-550550</t>
  </si>
  <si>
    <t>MV-4500-500450</t>
  </si>
  <si>
    <t xml:space="preserve"> '7) 석동선 :' 13.17 'm' * ~MU00460~ = ?MA1+</t>
  </si>
  <si>
    <t>12280</t>
  </si>
  <si>
    <t>4780</t>
  </si>
  <si>
    <t>S02W65060</t>
  </si>
  <si>
    <t>No.720  부단수 천공(차단)</t>
  </si>
  <si>
    <t>MV-4000-700</t>
  </si>
  <si>
    <t>3660</t>
  </si>
  <si>
    <t>S4830-550</t>
  </si>
  <si>
    <t xml:space="preserve">     '2 회 x 6 분/회 = 12 분'</t>
  </si>
  <si>
    <t>600A,60t(곡관부)</t>
  </si>
  <si>
    <t>15360</t>
  </si>
  <si>
    <t>OP값</t>
  </si>
  <si>
    <t>S02003W125</t>
  </si>
  <si>
    <t xml:space="preserve">S                                                                                                   </t>
  </si>
  <si>
    <t>750x650A</t>
  </si>
  <si>
    <t>TAPPING CUTTER</t>
  </si>
  <si>
    <t>13760</t>
  </si>
  <si>
    <t>노임할증계수(해상장비:야간)</t>
  </si>
  <si>
    <t>5260</t>
  </si>
  <si>
    <t>MV-4400-250200</t>
  </si>
  <si>
    <t>2380</t>
  </si>
  <si>
    <t>'◈ PE용접 300A / 개소'</t>
  </si>
  <si>
    <t>S13030W450</t>
  </si>
  <si>
    <t xml:space="preserve">    </t>
  </si>
  <si>
    <t>14680</t>
  </si>
  <si>
    <t>MV-4400-250200</t>
  </si>
  <si>
    <t>581</t>
  </si>
  <si>
    <t>250A(보온두께 41~60mm)</t>
  </si>
  <si>
    <t>S02W70040</t>
  </si>
  <si>
    <t>MV-4000-700</t>
  </si>
  <si>
    <t>ST0000TW400</t>
  </si>
  <si>
    <t>750x650A</t>
  </si>
  <si>
    <t>QLINCF</t>
  </si>
  <si>
    <t>산소</t>
  </si>
  <si>
    <t>14120</t>
  </si>
  <si>
    <t>8820</t>
  </si>
  <si>
    <t>16860</t>
  </si>
  <si>
    <t>22.9KV-Y동심중성선전력케이블</t>
  </si>
  <si>
    <t>2420</t>
  </si>
  <si>
    <t>300x100A</t>
  </si>
  <si>
    <t>11980</t>
  </si>
  <si>
    <t>L001010101000049</t>
  </si>
  <si>
    <t xml:space="preserve"> ◈산근  자재운반 350A  / M</t>
  </si>
  <si>
    <t>S02002W700</t>
  </si>
  <si>
    <t>650A,40t(직관부)</t>
  </si>
  <si>
    <t>물자/16/</t>
  </si>
  <si>
    <t>4020</t>
  </si>
  <si>
    <t>4.0㎜  AWSE308-16</t>
  </si>
  <si>
    <t>700A x 60t</t>
  </si>
  <si>
    <t>#7 자재운반(야적--&gt;현장) | 450A|m</t>
  </si>
  <si>
    <t>12520</t>
  </si>
  <si>
    <t>SU0000TS003</t>
  </si>
  <si>
    <t>MV-6000-650</t>
  </si>
  <si>
    <t>6960</t>
  </si>
  <si>
    <t xml:space="preserve">192_1_1+ = </t>
  </si>
  <si>
    <t>300x100A</t>
  </si>
  <si>
    <t>16180</t>
  </si>
  <si>
    <t>11060</t>
  </si>
  <si>
    <t>7560</t>
  </si>
  <si>
    <t>13920</t>
  </si>
  <si>
    <t>SC0608W700YA</t>
  </si>
  <si>
    <t>3820</t>
  </si>
  <si>
    <t>S00000W450</t>
  </si>
  <si>
    <t>350A(부설의 40%)</t>
  </si>
  <si>
    <t>9420</t>
  </si>
  <si>
    <t>TM-408-600</t>
  </si>
  <si>
    <t>10580</t>
  </si>
  <si>
    <t>S024W20040YA</t>
  </si>
  <si>
    <t xml:space="preserve">    1.601 '인' * Q * ~L001010101000043~ = ?LA2+</t>
  </si>
  <si>
    <t>'◈ 자재운반 150A  / M'</t>
  </si>
  <si>
    <t>250A x 80t</t>
  </si>
  <si>
    <t>SC0608W150</t>
  </si>
  <si>
    <t>25A,80t(곡관부)</t>
  </si>
  <si>
    <t>6080</t>
  </si>
  <si>
    <t xml:space="preserve">    2.685 '인' * Q * ~L001010101000002~ = ?LA2+</t>
  </si>
  <si>
    <t>중기주야간할증계수</t>
  </si>
  <si>
    <t>MV-4400-125032</t>
  </si>
  <si>
    <t>SZD0002-550</t>
  </si>
  <si>
    <t>9340</t>
  </si>
  <si>
    <t>[5]=0</t>
  </si>
  <si>
    <t>No.882 STOPPLE FITTING 용접</t>
  </si>
  <si>
    <t>No.880 L-O-R PLUG마감 용접</t>
  </si>
  <si>
    <t>'1. 공기압축기'</t>
  </si>
  <si>
    <t xml:space="preserve">955_1_1+ = </t>
  </si>
  <si>
    <t>7200</t>
  </si>
  <si>
    <t>S02003W100</t>
  </si>
  <si>
    <t>150A x 80t</t>
  </si>
  <si>
    <t>MV-4400-125032</t>
  </si>
  <si>
    <t>11700</t>
  </si>
  <si>
    <t>250A,80t(곡관부)</t>
  </si>
  <si>
    <t>QMINC3</t>
  </si>
  <si>
    <t>'◈지하시설물 탐지'</t>
  </si>
  <si>
    <t>400A,40t(곡관부)</t>
  </si>
  <si>
    <t xml:space="preserve"> '7) 석동선 :' 13.07 'm' * ~MU00460~ = ?MA1+</t>
  </si>
  <si>
    <t>SS00200W025</t>
  </si>
  <si>
    <t xml:space="preserve">1329_1_1+ = </t>
  </si>
  <si>
    <t>40</t>
  </si>
  <si>
    <t>SD0001W0650</t>
  </si>
  <si>
    <t xml:space="preserve"> '1) POLYOL :' 2.04 'kg' * ~MU-001~ = ?MA1+</t>
  </si>
  <si>
    <t>'경  비:' EQ("E00007505025000000") * 1.0 / F =?EQ1+</t>
  </si>
  <si>
    <t xml:space="preserve"> 트럭크레인 25톤</t>
  </si>
  <si>
    <t>12240</t>
  </si>
  <si>
    <t>MU00450-065A</t>
  </si>
  <si>
    <t>고급기술자</t>
  </si>
  <si>
    <t>S00000A020YA</t>
  </si>
  <si>
    <t>MV-5100-02060</t>
  </si>
  <si>
    <t>'◈산근''자재운반 400A  / M'</t>
  </si>
  <si>
    <t>4740</t>
  </si>
  <si>
    <t>2340</t>
  </si>
  <si>
    <t xml:space="preserve">    '노무비:' ~E00002104001000000.L~ * 7.2 / 60 = ?LA1+</t>
  </si>
  <si>
    <t xml:space="preserve">                                        </t>
  </si>
  <si>
    <t>14640</t>
  </si>
  <si>
    <t>S024W45060YA</t>
  </si>
  <si>
    <t>S02W70080</t>
  </si>
  <si>
    <t>No.719  부단수 천공(차단)</t>
  </si>
  <si>
    <t>400A x 60t</t>
  </si>
  <si>
    <t xml:space="preserve">  '- 크레인(타이어20ton)'</t>
  </si>
  <si>
    <t>40</t>
  </si>
  <si>
    <t>4060</t>
  </si>
  <si>
    <t>2-33</t>
  </si>
  <si>
    <t xml:space="preserve">  TOT("G004") * 2 '회'  =?EQ5</t>
  </si>
  <si>
    <t>S024W50060YA</t>
  </si>
  <si>
    <t>12560</t>
  </si>
  <si>
    <t xml:space="preserve">492_1_1 = </t>
  </si>
  <si>
    <t>6920</t>
  </si>
  <si>
    <t>600x350A</t>
  </si>
  <si>
    <t>15480</t>
  </si>
  <si>
    <t>TM-700-500</t>
  </si>
  <si>
    <t>STOPPLE FITTING L-O-R PLUG 포함</t>
  </si>
  <si>
    <t>3180</t>
  </si>
  <si>
    <t>5580</t>
  </si>
  <si>
    <t>MV-4400-400080</t>
  </si>
  <si>
    <t>40x25A</t>
  </si>
  <si>
    <t>600x350A</t>
  </si>
  <si>
    <t>13080</t>
  </si>
  <si>
    <t>40x25A</t>
  </si>
  <si>
    <t>MV-4100-125</t>
  </si>
  <si>
    <t xml:space="preserve">    '노무비:' ~E00002104002500000.L~ * 18 / 60 = ?LA1+</t>
  </si>
  <si>
    <t>14160</t>
  </si>
  <si>
    <t>8860</t>
  </si>
  <si>
    <t>MV-4400-400080</t>
  </si>
  <si>
    <t>16820</t>
  </si>
  <si>
    <t>#14 자재운반(야적--&gt;현장) | 125A|m</t>
  </si>
  <si>
    <t>MU00240-200</t>
  </si>
  <si>
    <t>MV-4100-125</t>
  </si>
  <si>
    <t>2460</t>
  </si>
  <si>
    <t xml:space="preserve">    3.856 '인' * Q * ~L001010101000002~ = ?LA2+</t>
  </si>
  <si>
    <t>S4840-350</t>
  </si>
  <si>
    <t>단위</t>
  </si>
  <si>
    <t>4980</t>
  </si>
  <si>
    <t>코    드</t>
  </si>
  <si>
    <t>300x250A</t>
  </si>
  <si>
    <t>S02002M350YA</t>
  </si>
  <si>
    <t>G0000270200200000</t>
  </si>
  <si>
    <t>S02001W150YA</t>
  </si>
  <si>
    <t>MV-4300-750550</t>
  </si>
  <si>
    <t>MV-4400-400065</t>
  </si>
  <si>
    <t>MV-4700-000350</t>
  </si>
  <si>
    <t>MV-4400-400065</t>
  </si>
  <si>
    <t>3860</t>
  </si>
  <si>
    <t>STEEL-CAP</t>
  </si>
  <si>
    <t>9460</t>
  </si>
  <si>
    <t>11020</t>
  </si>
  <si>
    <t>STEEL-CAP</t>
  </si>
  <si>
    <t>7520</t>
  </si>
  <si>
    <t>40A(부설의 40%)</t>
  </si>
  <si>
    <t>13960</t>
  </si>
  <si>
    <t>MV-4700-000350</t>
  </si>
  <si>
    <t>MV-9960-007-650</t>
  </si>
  <si>
    <t>300x250A</t>
  </si>
  <si>
    <t>14880</t>
  </si>
  <si>
    <t>MV-4300-750550</t>
  </si>
  <si>
    <t xml:space="preserve">EQA+ = </t>
  </si>
  <si>
    <t>저압케이블전공</t>
  </si>
  <si>
    <t xml:space="preserve"> 전기예열기</t>
  </si>
  <si>
    <t>QH1</t>
  </si>
  <si>
    <t>단위</t>
  </si>
  <si>
    <t>8180</t>
  </si>
  <si>
    <t>보온공</t>
  </si>
  <si>
    <t>SS00200W080</t>
  </si>
  <si>
    <t>7240</t>
  </si>
  <si>
    <t>MV-4300-200200</t>
  </si>
  <si>
    <t>11740</t>
  </si>
  <si>
    <t>S024W35040YA</t>
  </si>
  <si>
    <t xml:space="preserve">M     </t>
  </si>
  <si>
    <t>S024W60080</t>
  </si>
  <si>
    <t xml:space="preserve"> ◈산근  자재운반 750A  / M</t>
  </si>
  <si>
    <t>'2. 상,하차비 소요시간(운반차량):'</t>
  </si>
  <si>
    <t>M9366017</t>
  </si>
  <si>
    <t xml:space="preserve">264_1_1+ = </t>
  </si>
  <si>
    <t xml:space="preserve"> '7) 석동선 :' 14.40 'm' * ~MU00460~ = ?MA1+</t>
  </si>
  <si>
    <t xml:space="preserve">                    계</t>
  </si>
  <si>
    <t>9300</t>
  </si>
  <si>
    <t xml:space="preserve">    0.839 '인' * Q * ~L001010101000002~ = ?LA2+</t>
  </si>
  <si>
    <t>MV-4300-200200</t>
  </si>
  <si>
    <t>No.815 HOT TAPPING</t>
  </si>
  <si>
    <t>MV-6800-001</t>
  </si>
  <si>
    <t>'◈산근'' 자재운반 80A  / M'</t>
  </si>
  <si>
    <t>QDECMA</t>
  </si>
  <si>
    <t xml:space="preserve"> '2) MDI :' 8.64 'kg' * ~MU-002~  = ?MA1+</t>
  </si>
  <si>
    <t>No.880  L-O-R PLUG마감 용접</t>
  </si>
  <si>
    <t>M</t>
  </si>
  <si>
    <t>규    격</t>
  </si>
  <si>
    <t xml:space="preserve"> '4) PE 용접봉 :' 5.91 'kg' * ~M9021009~= ?MA1+</t>
  </si>
  <si>
    <t>2300</t>
  </si>
  <si>
    <t>S00000A400</t>
  </si>
  <si>
    <t>14600</t>
  </si>
  <si>
    <t>MV-5000-55080</t>
  </si>
  <si>
    <t>MV-4300-400150</t>
  </si>
  <si>
    <t>규    격</t>
  </si>
  <si>
    <t>12200</t>
  </si>
  <si>
    <t xml:space="preserve">  2. 상,하차비 소요시간(운반차량):</t>
  </si>
  <si>
    <t xml:space="preserve">   - 장비 조합: T/C 10ton + CARGO TRUCK 8ton</t>
  </si>
  <si>
    <t>4700</t>
  </si>
  <si>
    <t>S02002W020</t>
  </si>
  <si>
    <t>MV-4300-700400</t>
  </si>
  <si>
    <t>SS00200W065</t>
  </si>
  <si>
    <t>S02001W032YA</t>
  </si>
  <si>
    <t xml:space="preserve"> ◈ PE용접 700A / M</t>
  </si>
  <si>
    <t>MV-4300-400150</t>
  </si>
  <si>
    <t>MV-4300-700400</t>
  </si>
  <si>
    <t>MV-7000-200</t>
  </si>
  <si>
    <t>15260</t>
  </si>
  <si>
    <t>S02003W025</t>
  </si>
  <si>
    <t>700A(보온두께 76~95mm)</t>
  </si>
  <si>
    <t>3760</t>
  </si>
  <si>
    <t>S4830-450</t>
  </si>
  <si>
    <t>MV-4000-600</t>
  </si>
  <si>
    <t>#1 자재운반(야적--&gt;현장) | 750A|m</t>
  </si>
  <si>
    <t>MU-004</t>
  </si>
  <si>
    <t>L001020101000122</t>
  </si>
  <si>
    <t>4680</t>
  </si>
  <si>
    <t>S024W70060</t>
  </si>
  <si>
    <t xml:space="preserve">  PE용접: 5,264,464 / L = 298,269.9</t>
  </si>
  <si>
    <t>MV-5100-05040</t>
  </si>
  <si>
    <t>MV-5100-10060</t>
  </si>
  <si>
    <t>12380</t>
  </si>
  <si>
    <t>14780</t>
  </si>
  <si>
    <t xml:space="preserve">   m당 금액 :  [1] /12 = 1,705.5</t>
  </si>
  <si>
    <t>S00000A100YA</t>
  </si>
  <si>
    <t>#67 PE용접 | 550A|개소</t>
  </si>
  <si>
    <t>ST0000TW500</t>
  </si>
  <si>
    <t>S13030W550</t>
  </si>
  <si>
    <t>S02002W750YA</t>
  </si>
  <si>
    <t>2280</t>
  </si>
  <si>
    <t>5360</t>
  </si>
  <si>
    <t>L001020101000122</t>
  </si>
  <si>
    <t>S024W65040</t>
  </si>
  <si>
    <t>MV-4000-600</t>
  </si>
  <si>
    <t>13660</t>
  </si>
  <si>
    <t>'보 통 인 부 :' TOT("L001010101000002") * K / F =?MA1+</t>
  </si>
  <si>
    <t>No.714 부단수 천공(차단)</t>
  </si>
  <si>
    <t xml:space="preserve">1107_1_1 = </t>
  </si>
  <si>
    <t>MV-4300-550450</t>
  </si>
  <si>
    <t>9280</t>
  </si>
  <si>
    <t xml:space="preserve">    2.274 '인' * Q * ~L001010101000043~ = ?LA2+</t>
  </si>
  <si>
    <t>S02000W400</t>
  </si>
  <si>
    <t>No.878  STOPPLE FITTING 및 SANDWICH V/V설치</t>
  </si>
  <si>
    <t>10320</t>
  </si>
  <si>
    <t xml:space="preserve"> '기타사급자재 운반비반영 :' {[2]} * 1.097 =?[3]</t>
  </si>
  <si>
    <t>MV-5000-45060</t>
  </si>
  <si>
    <t>MV-5000-50040</t>
  </si>
  <si>
    <t>250x100A</t>
  </si>
  <si>
    <t>6620</t>
  </si>
  <si>
    <t>S024W25060YA</t>
  </si>
  <si>
    <t xml:space="preserve"> ◈ 이중보온관전기예열 250-500A / Hr</t>
  </si>
  <si>
    <t>8760</t>
  </si>
  <si>
    <t>END PLUG</t>
  </si>
  <si>
    <t>16720</t>
  </si>
  <si>
    <t xml:space="preserve">    '2)'운반 거리 :'{D = 10}'km''</t>
  </si>
  <si>
    <t>물자/33/</t>
  </si>
  <si>
    <t>S00000W065YA</t>
  </si>
  <si>
    <t>MV-4300-550450</t>
  </si>
  <si>
    <t>SS00200W100</t>
  </si>
  <si>
    <t>250x100A</t>
  </si>
  <si>
    <t>8000</t>
  </si>
  <si>
    <t>MV-4200-450</t>
  </si>
  <si>
    <t>16040</t>
  </si>
  <si>
    <t xml:space="preserve">   T-101  설치</t>
  </si>
  <si>
    <t>14900</t>
  </si>
  <si>
    <t>250A(10% 할증)</t>
  </si>
  <si>
    <t>25A(5% 할증)</t>
  </si>
  <si>
    <t>65x20A</t>
  </si>
  <si>
    <t>MV-4800-000550</t>
  </si>
  <si>
    <t>MV-4100-040</t>
  </si>
  <si>
    <t>80x20A</t>
  </si>
  <si>
    <t xml:space="preserve">  기타사급자재 운반비반영 :  [2] * 1.097 =3,993.2</t>
  </si>
  <si>
    <t xml:space="preserve">876_1_1+ = </t>
  </si>
  <si>
    <t>40A,60t(곡관부)</t>
  </si>
  <si>
    <t>'◈ PE용접 25A / 개소'</t>
  </si>
  <si>
    <t xml:space="preserve">    '주연료(경유):' 30'(1일주행)' / 8'(hr/day)' * ~M9366017~'원' * 25'일' =?MA1'원/월'</t>
  </si>
  <si>
    <t>6140</t>
  </si>
  <si>
    <t>MV-4800-000550</t>
  </si>
  <si>
    <t>10440</t>
  </si>
  <si>
    <t>MV-4100-040</t>
  </si>
  <si>
    <t>MV-4200-450</t>
  </si>
  <si>
    <t>MV-6600-650</t>
  </si>
  <si>
    <t>65x20A</t>
  </si>
  <si>
    <t>80x20A</t>
  </si>
  <si>
    <t>4800</t>
  </si>
  <si>
    <t>S1303W020</t>
  </si>
  <si>
    <t>S02001W200</t>
  </si>
  <si>
    <t>MV-4300-500500</t>
  </si>
  <si>
    <t xml:space="preserve">   - 운반차량 총 소요시간(12M당) :</t>
  </si>
  <si>
    <t>'보  통  인  부 :'  0.01331 * TOT("L001010101000002") * 96'm'  * 0.80  =?LA2+</t>
  </si>
  <si>
    <t>50A</t>
  </si>
  <si>
    <t>13100</t>
  </si>
  <si>
    <t xml:space="preserve">   TEE</t>
  </si>
  <si>
    <t>5400</t>
  </si>
  <si>
    <t>S130301X032</t>
  </si>
  <si>
    <t>MV-4400-400100</t>
  </si>
  <si>
    <t>11840</t>
  </si>
  <si>
    <t>No.815  HOT TAPPING</t>
  </si>
  <si>
    <t>TM-700-150Y</t>
  </si>
  <si>
    <t>3000</t>
  </si>
  <si>
    <t xml:space="preserve"> ◈ PE용접 550A / 개소</t>
  </si>
  <si>
    <t>15500</t>
  </si>
  <si>
    <t>MV-4600-000350</t>
  </si>
  <si>
    <t>S024W40040YA</t>
  </si>
  <si>
    <t>S02002M050</t>
  </si>
  <si>
    <t>MV-4300-500500</t>
  </si>
  <si>
    <t>MV-4400-400100</t>
  </si>
  <si>
    <t>MV-4600-000350</t>
  </si>
  <si>
    <t xml:space="preserve">1333_1_1 = </t>
  </si>
  <si>
    <t>50A</t>
  </si>
  <si>
    <t>'6. 화물 운반비, 왕복'</t>
  </si>
  <si>
    <t>250x250A</t>
  </si>
  <si>
    <t>5320</t>
  </si>
  <si>
    <t>13620</t>
  </si>
  <si>
    <t>MV-9960-001-200</t>
  </si>
  <si>
    <t>MV-4300-025025</t>
  </si>
  <si>
    <t>'◈ PE용접 65A / 개소'</t>
  </si>
  <si>
    <t>SZG0001-700</t>
  </si>
  <si>
    <t>MV-4810-000500</t>
  </si>
  <si>
    <t xml:space="preserve"> '2) MDI :' 1.92 'kg' * ~MU-002~  = ?MA1+</t>
  </si>
  <si>
    <t>S024W55040YA</t>
  </si>
  <si>
    <t>S1303W700</t>
  </si>
  <si>
    <t xml:space="preserve">QO = </t>
  </si>
  <si>
    <t xml:space="preserve"> 'PE용접:'~S4830-125.T~ / L = ?[1]+</t>
  </si>
  <si>
    <t>S02003W650YA</t>
  </si>
  <si>
    <t>중기기초자료</t>
  </si>
  <si>
    <t>TM-410-500</t>
  </si>
  <si>
    <t>#21 자재운반(야적--&gt;현장) | 25A|m</t>
  </si>
  <si>
    <t xml:space="preserve">LA = </t>
  </si>
  <si>
    <t xml:space="preserve"> 'PE용접:'~S4830-450.T~ / L = ?[1]+</t>
  </si>
  <si>
    <t>S00000W050YA</t>
  </si>
  <si>
    <t>15220</t>
  </si>
  <si>
    <t xml:space="preserve">    '재료비:' ~E00002104001500000.M~ * 3.6 / 60 = ?MA1+</t>
  </si>
  <si>
    <t>S02003W065</t>
  </si>
  <si>
    <t>3720</t>
  </si>
  <si>
    <t>FORMPAD(곡관)</t>
  </si>
  <si>
    <t>MV-4300-025025</t>
  </si>
  <si>
    <t>MV-4810-000500</t>
  </si>
  <si>
    <t>250x250A</t>
  </si>
  <si>
    <t>3</t>
  </si>
  <si>
    <t>S02003W080</t>
  </si>
  <si>
    <t>S02W75040</t>
  </si>
  <si>
    <t>QSABUN</t>
  </si>
  <si>
    <t>화물운임</t>
  </si>
  <si>
    <t>11680</t>
  </si>
  <si>
    <t>100A,60t(직관부)</t>
  </si>
  <si>
    <t>7380</t>
  </si>
  <si>
    <t>'◈ PE용접 550A / 개소'</t>
  </si>
  <si>
    <t>8720</t>
  </si>
  <si>
    <t>750x350A</t>
  </si>
  <si>
    <t>16760</t>
  </si>
  <si>
    <t>MV-5100-06540</t>
  </si>
  <si>
    <t xml:space="preserve"> ◈ PE용접 150A / 개소</t>
  </si>
  <si>
    <t xml:space="preserve">880_1_1+ = </t>
  </si>
  <si>
    <t>10360</t>
  </si>
  <si>
    <t xml:space="preserve">   1.배관공사</t>
  </si>
  <si>
    <t>750x350A</t>
  </si>
  <si>
    <t xml:space="preserve">   &lt;기타수수료&gt;</t>
  </si>
  <si>
    <t>S02W60060</t>
  </si>
  <si>
    <t xml:space="preserve">    1.441 '인' * Q * ~L001010101000043~ = ?LA2+</t>
  </si>
  <si>
    <t>6660</t>
  </si>
  <si>
    <t>500A x 60t</t>
  </si>
  <si>
    <t xml:space="preserve">576_1_1+ = </t>
  </si>
  <si>
    <t>MV-4400-100020</t>
  </si>
  <si>
    <t>MV-4400-100020</t>
  </si>
  <si>
    <t>6100</t>
  </si>
  <si>
    <t>TM-700-200Y</t>
  </si>
  <si>
    <t>S024W30060YA</t>
  </si>
  <si>
    <t xml:space="preserve"> 'PE용접:'~S4830-150.T~ / L = ?[1]+</t>
  </si>
  <si>
    <t>10400</t>
  </si>
  <si>
    <t>MV-9960-004-350</t>
  </si>
  <si>
    <t>4840</t>
  </si>
  <si>
    <t>KSM6060 2종 18ℓ (조합페인트류)</t>
  </si>
  <si>
    <t xml:space="preserve">  할증  1) 유해(고온) 할증 :       5%</t>
  </si>
  <si>
    <t>S024W04040YA</t>
  </si>
  <si>
    <t>350A,60t(곡관부)</t>
  </si>
  <si>
    <t xml:space="preserve">724_1_1+ = </t>
  </si>
  <si>
    <t>일위대가_산근</t>
  </si>
  <si>
    <t>No.865 L-O-R PLUG마감 용접</t>
  </si>
  <si>
    <t>8040</t>
  </si>
  <si>
    <t>S1303W700YA</t>
  </si>
  <si>
    <t>16000</t>
  </si>
  <si>
    <t>600A x 60t</t>
  </si>
  <si>
    <t>14940</t>
  </si>
  <si>
    <t>MV-6500-200</t>
  </si>
  <si>
    <t>S13030W700YA</t>
  </si>
  <si>
    <t>M4074005</t>
  </si>
  <si>
    <t>노 무 비</t>
  </si>
  <si>
    <t>M4507030</t>
  </si>
  <si>
    <t>S02W08060YA</t>
  </si>
  <si>
    <t>노 무 비</t>
  </si>
  <si>
    <t>3040</t>
  </si>
  <si>
    <t xml:space="preserve">   </t>
  </si>
  <si>
    <t>MV-4300-450125</t>
  </si>
  <si>
    <t>15540</t>
  </si>
  <si>
    <t>공사비내역집계</t>
  </si>
  <si>
    <t>13140</t>
  </si>
  <si>
    <t>S130301X500</t>
  </si>
  <si>
    <t>5440</t>
  </si>
  <si>
    <t>11800</t>
  </si>
  <si>
    <t>S02W06560YA</t>
  </si>
  <si>
    <t xml:space="preserve">    '노무비:' ~E00002104001500000.L~ * 3 / 60 = ?LA1+</t>
  </si>
  <si>
    <t xml:space="preserve">424_1_1+ = </t>
  </si>
  <si>
    <t xml:space="preserve"> '6) 공장보온재 :' 2.992 'm' * ~MU00450-600A~ = ?MA1+</t>
  </si>
  <si>
    <t>350A x 80t</t>
  </si>
  <si>
    <t>MV-4300-450125</t>
  </si>
  <si>
    <t>'◈ PE용접 40A / M'</t>
  </si>
  <si>
    <t>M4507030</t>
  </si>
  <si>
    <t>14700</t>
  </si>
  <si>
    <t xml:space="preserve"> '6) 공장보온재 :' 2.992 'm' * ~MU00450-080A~ = ?MA1+</t>
  </si>
  <si>
    <t>'경  비:' EQ("E1000000002") * 2 '대' / F =?EQ1</t>
  </si>
  <si>
    <t>S00000A500</t>
  </si>
  <si>
    <t xml:space="preserve">m     </t>
  </si>
  <si>
    <t xml:space="preserve"> '1) POLYOL :' 1.56 'kg' * ~MU-001~ = ?MA1+</t>
  </si>
  <si>
    <t>600A(부설의 40%)</t>
  </si>
  <si>
    <t>550A,80t(직관부)</t>
  </si>
  <si>
    <t xml:space="preserve">   강관 절단</t>
  </si>
  <si>
    <t>MV-4300-700500</t>
  </si>
  <si>
    <t>S024W45080YA</t>
  </si>
  <si>
    <t>4600</t>
  </si>
  <si>
    <t>MV-4300-700500</t>
  </si>
  <si>
    <t>12300</t>
  </si>
  <si>
    <t>MV-7000-300</t>
  </si>
  <si>
    <t>#30 PE용접(M당) | 32A|M</t>
  </si>
  <si>
    <t>SZH0001-300</t>
  </si>
  <si>
    <t>E00002104001000000</t>
  </si>
  <si>
    <t xml:space="preserve"> '4) PE 용접봉 :' 3.55 'kg' * ~M9021009~= ?MA1+</t>
  </si>
  <si>
    <t xml:space="preserve">%     </t>
  </si>
  <si>
    <t>125A</t>
  </si>
  <si>
    <t xml:space="preserve">   m당 금액 :  [1] /12 = 7,745.0</t>
  </si>
  <si>
    <t>125A</t>
  </si>
  <si>
    <t xml:space="preserve"> '1) POLYOL :' 28.92 'kg' * ~MU-001~ = ?MA1+</t>
  </si>
  <si>
    <t>S02W75080</t>
  </si>
  <si>
    <t>S02003W040</t>
  </si>
  <si>
    <t>11640</t>
  </si>
  <si>
    <t xml:space="preserve">   '1일 이동 경비:' EQ1*0.04=?EQ3 '원/일'</t>
  </si>
  <si>
    <t>MV-5100-06580</t>
  </si>
  <si>
    <t>300A,40t(직관부)</t>
  </si>
  <si>
    <t>7340</t>
  </si>
  <si>
    <t xml:space="preserve">    5.961 '인' * Q * ~L001010101000044~ = ?LA2+</t>
  </si>
  <si>
    <t>'◈산근''자재운반 250A  / M'</t>
  </si>
  <si>
    <t xml:space="preserve">T2                                                                                                  </t>
  </si>
  <si>
    <t>9200</t>
  </si>
  <si>
    <t>'◈ PE용접 65A / M'</t>
  </si>
  <si>
    <t>150x150A</t>
  </si>
  <si>
    <t xml:space="preserve">572_1_1+ = </t>
  </si>
  <si>
    <t>MV-4500-250200</t>
  </si>
  <si>
    <t>25 Ton</t>
  </si>
  <si>
    <t>MV-4500-250200</t>
  </si>
  <si>
    <t>25 Ton</t>
  </si>
  <si>
    <t>150x150A</t>
  </si>
  <si>
    <t>견단/피엔씨/</t>
  </si>
  <si>
    <t>3960</t>
  </si>
  <si>
    <t>9560</t>
  </si>
  <si>
    <t>동화산업</t>
  </si>
  <si>
    <t>조합페인트</t>
  </si>
  <si>
    <t>MV-4300-450100</t>
  </si>
  <si>
    <t>MV-4300-750450</t>
  </si>
  <si>
    <t>MV-4700-000250</t>
  </si>
  <si>
    <t>BEND(90˚)-3D</t>
  </si>
  <si>
    <t>S4840-250</t>
  </si>
  <si>
    <t>400x125A</t>
  </si>
  <si>
    <t>조합페인트</t>
  </si>
  <si>
    <t xml:space="preserve"> - 1회 작업시 크레인 작업시간: 총 6분/회</t>
  </si>
  <si>
    <t xml:space="preserve">   STOPPLE PLUGGING  M/C 설치</t>
  </si>
  <si>
    <t>4880</t>
  </si>
  <si>
    <t>BEND(90˚)-3D</t>
  </si>
  <si>
    <t>동화산업</t>
  </si>
  <si>
    <t>8080</t>
  </si>
  <si>
    <t>14980</t>
  </si>
  <si>
    <t>M4507015</t>
  </si>
  <si>
    <t>400x125A</t>
  </si>
  <si>
    <t>MV-4300-750450</t>
  </si>
  <si>
    <t>M4507015</t>
  </si>
  <si>
    <t>150A,40t(곡관부)</t>
  </si>
  <si>
    <t>7420</t>
  </si>
  <si>
    <t>MV-9960-007-750</t>
  </si>
  <si>
    <t>13860</t>
  </si>
  <si>
    <t>MV-4700-000250</t>
  </si>
  <si>
    <t xml:space="preserve">720_1_1+ = </t>
  </si>
  <si>
    <t>#68 PE용접 | 600A|개소</t>
  </si>
  <si>
    <t>11120</t>
  </si>
  <si>
    <t>MV-4300-450100</t>
  </si>
  <si>
    <t>G503-250</t>
  </si>
  <si>
    <t>신나</t>
  </si>
  <si>
    <t>3080</t>
  </si>
  <si>
    <t>700A,80t(곡관부)</t>
  </si>
  <si>
    <t>15580</t>
  </si>
  <si>
    <t>TM-700-400</t>
  </si>
  <si>
    <t>12460</t>
  </si>
  <si>
    <t>MV-4300-250250</t>
  </si>
  <si>
    <t>6820</t>
  </si>
  <si>
    <t>4160</t>
  </si>
  <si>
    <t>SC0608W750YA</t>
  </si>
  <si>
    <t>이중보온관</t>
  </si>
  <si>
    <t>16920</t>
  </si>
  <si>
    <t xml:space="preserve">420_1_1+ = </t>
  </si>
  <si>
    <t>8960</t>
  </si>
  <si>
    <t xml:space="preserve">   m당 금액 :  [1] /12 = 2,199.2</t>
  </si>
  <si>
    <t>2560</t>
  </si>
  <si>
    <t xml:space="preserve">LA3 = </t>
  </si>
  <si>
    <t>14060</t>
  </si>
  <si>
    <t xml:space="preserve">  기타사급자재 운반비반영 :  [2] * 1.097 =3,767.2</t>
  </si>
  <si>
    <t>MV-4100-025</t>
  </si>
  <si>
    <t>13180</t>
  </si>
  <si>
    <t>TM-106</t>
  </si>
  <si>
    <t>600x500A</t>
  </si>
  <si>
    <t xml:space="preserve">   BEND(11.25˚)</t>
  </si>
  <si>
    <t>크레인(타이어)   10 Ton</t>
  </si>
  <si>
    <t>5480</t>
  </si>
  <si>
    <t>MV-4300-250250</t>
  </si>
  <si>
    <t>MU00240-300</t>
  </si>
  <si>
    <t>MV-4100-025</t>
  </si>
  <si>
    <t>600x500A</t>
  </si>
  <si>
    <t>1166</t>
  </si>
  <si>
    <t>4640</t>
  </si>
  <si>
    <t>12340</t>
  </si>
  <si>
    <t>MV-4400-080032</t>
  </si>
  <si>
    <t>SD0001W0750</t>
  </si>
  <si>
    <t>MV-4300-150020</t>
  </si>
  <si>
    <t>450A(VENT일체형)</t>
  </si>
  <si>
    <t>MV-5100-05080</t>
  </si>
  <si>
    <t>SS00200W125</t>
  </si>
  <si>
    <t>환율(장비가격10만불이하)</t>
  </si>
  <si>
    <t>S024W65080</t>
  </si>
  <si>
    <t>450A(VENT일체형)</t>
  </si>
  <si>
    <t>14740</t>
  </si>
  <si>
    <t>S00000A032</t>
  </si>
  <si>
    <t>시간당노임산출계수(해상장비:펌프준설선)</t>
  </si>
  <si>
    <t>600A x 80t</t>
  </si>
  <si>
    <t>MV-4300-150020</t>
  </si>
  <si>
    <t>MV-4400-080032</t>
  </si>
  <si>
    <t xml:space="preserve">  PE용접: 560,762 / L = 44,611.0</t>
  </si>
  <si>
    <t>TM-108</t>
  </si>
  <si>
    <t>MV-9960-010-150</t>
  </si>
  <si>
    <t>SU0000TS005</t>
  </si>
  <si>
    <t>SZD0002-450</t>
  </si>
  <si>
    <t>9240</t>
  </si>
  <si>
    <t>MV-5000-50080</t>
  </si>
  <si>
    <t>MV-4300-032025</t>
  </si>
  <si>
    <t>No.833 STOPPLE FITTING 및 SANDWICH V/V설치</t>
  </si>
  <si>
    <t>11600</t>
  </si>
  <si>
    <t>450x300A</t>
  </si>
  <si>
    <t>450x300A</t>
  </si>
  <si>
    <t>#53 PE용접 | 40A|개소</t>
  </si>
  <si>
    <t>7300</t>
  </si>
  <si>
    <t>MV-4400-040032</t>
  </si>
  <si>
    <t>350A x 60t</t>
  </si>
  <si>
    <t>MV-4300-032025</t>
  </si>
  <si>
    <t>MV-4400-040032</t>
  </si>
  <si>
    <t xml:space="preserve">   - 상,하차비 : 상차 1회 + 하차 2회 = 3회 적용</t>
  </si>
  <si>
    <t>7460</t>
  </si>
  <si>
    <t>No.873  STOPPLE FITTING 용접</t>
  </si>
  <si>
    <t>13820</t>
  </si>
  <si>
    <t>11160</t>
  </si>
  <si>
    <t xml:space="preserve">T1                                                                                                  </t>
  </si>
  <si>
    <t>16080</t>
  </si>
  <si>
    <t xml:space="preserve">MA1+ = </t>
  </si>
  <si>
    <t>6180</t>
  </si>
  <si>
    <t>10480</t>
  </si>
  <si>
    <t>S00000W550</t>
  </si>
  <si>
    <t>3920</t>
  </si>
  <si>
    <t>9520</t>
  </si>
  <si>
    <t>TM-408-700</t>
  </si>
  <si>
    <t>MV-4100-080</t>
  </si>
  <si>
    <t>MV-4400-400125</t>
  </si>
  <si>
    <t>MV-4100-080</t>
  </si>
  <si>
    <t xml:space="preserve">872_1_1+ = </t>
  </si>
  <si>
    <t>MV-4400-400125</t>
  </si>
  <si>
    <t>MV-4100-065</t>
  </si>
  <si>
    <t>550A(1㎞*2열)</t>
  </si>
  <si>
    <t xml:space="preserve">   m당 금액 :  [1] /12 = 1,676.3</t>
  </si>
  <si>
    <t>11880</t>
  </si>
  <si>
    <t>16960</t>
  </si>
  <si>
    <t>8920</t>
  </si>
  <si>
    <t>2520</t>
  </si>
  <si>
    <t>S024W50080YA</t>
  </si>
  <si>
    <t>환율(유로화)</t>
  </si>
  <si>
    <t>14020</t>
  </si>
  <si>
    <t>12420</t>
  </si>
  <si>
    <t>S02002M125YA</t>
  </si>
  <si>
    <t>150A(1㎞*2열)</t>
  </si>
  <si>
    <t>6860</t>
  </si>
  <si>
    <t>4120</t>
  </si>
  <si>
    <t>S02001W100YA</t>
  </si>
  <si>
    <t>S02002M300YA</t>
  </si>
  <si>
    <t>S02002W600</t>
  </si>
  <si>
    <t>FORMPAD(직관)</t>
  </si>
  <si>
    <t>500A x 80t</t>
  </si>
  <si>
    <t>MV-4100-065</t>
  </si>
  <si>
    <t>MV-6000-750</t>
  </si>
  <si>
    <t>SD0001W0400</t>
  </si>
  <si>
    <t>400A</t>
  </si>
  <si>
    <t>덤프트럭</t>
  </si>
  <si>
    <t>S024W15040</t>
  </si>
  <si>
    <t>100A(1㎞*2열)</t>
  </si>
  <si>
    <t>10950</t>
  </si>
  <si>
    <t>S00000A600YA</t>
  </si>
  <si>
    <t xml:space="preserve">KWH   </t>
  </si>
  <si>
    <t xml:space="preserve"> '6) 공장보온재 :' 2.992 'm' * ~MU00450-450A~ = ?MA1+</t>
  </si>
  <si>
    <t>MU00450-040A</t>
  </si>
  <si>
    <t>MU00450-600A</t>
  </si>
  <si>
    <t>4510</t>
  </si>
  <si>
    <t>MV-5100-60060</t>
  </si>
  <si>
    <t>MV-5100-75040</t>
  </si>
  <si>
    <t>S02002W050YA</t>
  </si>
  <si>
    <t>12010</t>
  </si>
  <si>
    <t>14410</t>
  </si>
  <si>
    <t>'경  비:' EQ("E1000000002") * 1 '대' / F =?EQ1</t>
  </si>
  <si>
    <t>S02W06540</t>
  </si>
  <si>
    <t xml:space="preserve"> - 전기예열장비조합</t>
  </si>
  <si>
    <t>500A(1㎞*2열)</t>
  </si>
  <si>
    <t>400A</t>
  </si>
  <si>
    <t>15810</t>
  </si>
  <si>
    <t>견적단가1</t>
  </si>
  <si>
    <t>100A,60t(곡관부)</t>
  </si>
  <si>
    <t>SZD0002-700</t>
  </si>
  <si>
    <t>9110</t>
  </si>
  <si>
    <t>MV-9960-010-200</t>
  </si>
  <si>
    <t xml:space="preserve">   &lt;도장공사&gt;</t>
  </si>
  <si>
    <t>100x25A</t>
  </si>
  <si>
    <t xml:space="preserve"> 'PE용접:'~S4830-020.T~ / L = ?[1]+</t>
  </si>
  <si>
    <t>#39 PE용접(M당) | 250A|M</t>
  </si>
  <si>
    <t>100x25A</t>
  </si>
  <si>
    <t>MV-5000-02540</t>
  </si>
  <si>
    <t>MV-5000-20040</t>
  </si>
  <si>
    <t>MV-5000-35060</t>
  </si>
  <si>
    <t>S02W02560YA</t>
  </si>
  <si>
    <t>MV-4300-100032</t>
  </si>
  <si>
    <t>S02003W350</t>
  </si>
  <si>
    <t>5910</t>
  </si>
  <si>
    <t>11550</t>
  </si>
  <si>
    <t>100A x 40t</t>
  </si>
  <si>
    <t>MV-4300-100032</t>
  </si>
  <si>
    <t>7050</t>
  </si>
  <si>
    <t>MV-4600-000025</t>
  </si>
  <si>
    <t>8390</t>
  </si>
  <si>
    <t>물자/588/</t>
  </si>
  <si>
    <t xml:space="preserve">728_1_1+ = </t>
  </si>
  <si>
    <t>7730</t>
  </si>
  <si>
    <t>11230</t>
  </si>
  <si>
    <t>No.874  L-O-R PLUG마감 용접</t>
  </si>
  <si>
    <t>물정/1039/</t>
  </si>
  <si>
    <t>S00000W600</t>
  </si>
  <si>
    <t>S024W03240</t>
  </si>
  <si>
    <t>9670</t>
  </si>
  <si>
    <t>규 격</t>
  </si>
  <si>
    <t>TM-408-450</t>
  </si>
  <si>
    <t>S024W65060YA</t>
  </si>
  <si>
    <t>350A,60t(직관부)</t>
  </si>
  <si>
    <t>SC0608W300</t>
  </si>
  <si>
    <t>S6013W600</t>
  </si>
  <si>
    <t>200A x 40t</t>
  </si>
  <si>
    <t>MV-4600-000025</t>
  </si>
  <si>
    <t>MV-6800-003</t>
  </si>
  <si>
    <t xml:space="preserve">        '3)     계          :       15%'</t>
  </si>
  <si>
    <t>#42 PE용접(M당) | 400A|M</t>
  </si>
  <si>
    <t>1189</t>
  </si>
  <si>
    <t>2670</t>
  </si>
  <si>
    <t>MV-4400-200125</t>
  </si>
  <si>
    <t>No.838 T-101  설치</t>
  </si>
  <si>
    <t>14370</t>
  </si>
  <si>
    <t>13290</t>
  </si>
  <si>
    <t xml:space="preserve"> ◈산근   자재운반 100A  / M</t>
  </si>
  <si>
    <t>300x125A</t>
  </si>
  <si>
    <t>5790</t>
  </si>
  <si>
    <t>3390</t>
  </si>
  <si>
    <t>S02002W550</t>
  </si>
  <si>
    <t>7%</t>
  </si>
  <si>
    <t xml:space="preserve"> ◈ PE용접 100A / 개소</t>
  </si>
  <si>
    <t xml:space="preserve">  '- 현장내 운반차량 대기시간 :'</t>
  </si>
  <si>
    <t>15690</t>
  </si>
  <si>
    <t>400x400A</t>
  </si>
  <si>
    <t>12770</t>
  </si>
  <si>
    <t>MV-4400-200125</t>
  </si>
  <si>
    <t>4270</t>
  </si>
  <si>
    <t>MV-6000-400</t>
  </si>
  <si>
    <t>300x125A</t>
  </si>
  <si>
    <t>400x400A</t>
  </si>
  <si>
    <t>32A x 80t</t>
  </si>
  <si>
    <t>No.878 STOPPLE FITTING 및 SANDWICH V/V설치</t>
  </si>
  <si>
    <t>QLINCD</t>
  </si>
  <si>
    <t>자재</t>
  </si>
  <si>
    <t>25x20A</t>
  </si>
  <si>
    <t>350x300A</t>
  </si>
  <si>
    <t>32x32A</t>
  </si>
  <si>
    <t>14450</t>
  </si>
  <si>
    <t>S02003W150YA</t>
  </si>
  <si>
    <t>'◈ PE용접 20A / 개소'</t>
  </si>
  <si>
    <t>S00000W750YA</t>
  </si>
  <si>
    <t xml:space="preserve">  '- 상,하차비 : 상차 1회 + 하차 2회 = 3회 적용'</t>
  </si>
  <si>
    <t xml:space="preserve">  '- 장비 조합: T/C 15ton + TRAILER 20ton'</t>
  </si>
  <si>
    <t>S00000A650</t>
  </si>
  <si>
    <t>#45 PE용접(M당) | 550A|M</t>
  </si>
  <si>
    <t>10910</t>
  </si>
  <si>
    <t>SU0000TS001</t>
  </si>
  <si>
    <t>4550</t>
  </si>
  <si>
    <t>MV-4300-400300</t>
  </si>
  <si>
    <t>350x300A</t>
  </si>
  <si>
    <t>#34 PE용접(M당) | 80A|M</t>
  </si>
  <si>
    <t>12050</t>
  </si>
  <si>
    <t xml:space="preserve"> 'PE용접:'~S4830-700.T~ / L = ?[1]+</t>
  </si>
  <si>
    <t>MV-4300-700650</t>
  </si>
  <si>
    <t>MV-4300-400300</t>
  </si>
  <si>
    <t>MV-4300-700650</t>
  </si>
  <si>
    <t>25x20A</t>
  </si>
  <si>
    <t>32x32A</t>
  </si>
  <si>
    <t>5950</t>
  </si>
  <si>
    <t xml:space="preserve">652_1_1 = </t>
  </si>
  <si>
    <t>750A</t>
  </si>
  <si>
    <t>11510</t>
  </si>
  <si>
    <t>S02002W065YA</t>
  </si>
  <si>
    <t>7010</t>
  </si>
  <si>
    <t>S024W70060YA</t>
  </si>
  <si>
    <t xml:space="preserve">65,504 천원  </t>
  </si>
  <si>
    <t xml:space="preserve"> '2) MDI :' 1.56 'kg' * ~MU-002~  = ?MA1+</t>
  </si>
  <si>
    <t>MU00450-550A</t>
  </si>
  <si>
    <t>S02W10060</t>
  </si>
  <si>
    <t>S024W02080</t>
  </si>
  <si>
    <t xml:space="preserve"> ◈ PE용접 500A / 개소</t>
  </si>
  <si>
    <t>750A</t>
  </si>
  <si>
    <t>MV-4500-250150</t>
  </si>
  <si>
    <t>650x200A</t>
  </si>
  <si>
    <t>650x200A</t>
  </si>
  <si>
    <t>15850</t>
  </si>
  <si>
    <t>S01000W250</t>
  </si>
  <si>
    <t>S02W05040</t>
  </si>
  <si>
    <t>9150</t>
  </si>
  <si>
    <t>MV-4500-250150</t>
  </si>
  <si>
    <t>25Φ x 30</t>
  </si>
  <si>
    <t>6290</t>
  </si>
  <si>
    <t>S4840-100</t>
  </si>
  <si>
    <t>MV-4500-400350</t>
  </si>
  <si>
    <t>250㎜ x  6ｍ (KSM3407)</t>
  </si>
  <si>
    <t>10790</t>
  </si>
  <si>
    <t>MV-9960-007-400</t>
  </si>
  <si>
    <t xml:space="preserve"> 'PE용접:'~S4830-200.T~ / L = ?[1]+</t>
  </si>
  <si>
    <t>9630</t>
  </si>
  <si>
    <t>'◈산근''자재운반 750A  / M'</t>
  </si>
  <si>
    <t>MV-4500-700600</t>
  </si>
  <si>
    <t xml:space="preserve">   Foam Pad설치</t>
  </si>
  <si>
    <t>7770</t>
  </si>
  <si>
    <t>MV-4700-000100</t>
  </si>
  <si>
    <t>11270</t>
  </si>
  <si>
    <t>MV-4300-450250</t>
  </si>
  <si>
    <t>550A~750A</t>
  </si>
  <si>
    <t>40A,60t(직관부)</t>
  </si>
  <si>
    <t>MV-4600-000065</t>
  </si>
  <si>
    <t xml:space="preserve">   플랜트용접공</t>
  </si>
  <si>
    <t xml:space="preserve">    '노무비:' ~E00002104001000000.L~ * 6 / 60 = ?LA1+</t>
  </si>
  <si>
    <t>16390</t>
  </si>
  <si>
    <t>MV-4300-450250</t>
  </si>
  <si>
    <t>MV-4300-750700</t>
  </si>
  <si>
    <t>MV-4500-400350</t>
  </si>
  <si>
    <t>MV-4500-700600</t>
  </si>
  <si>
    <t>MV-4600-000065</t>
  </si>
  <si>
    <t>MV-4700-000100</t>
  </si>
  <si>
    <t>MV-4300-750700</t>
  </si>
  <si>
    <t>S02003W032YA</t>
  </si>
  <si>
    <t>QSDR2WON</t>
  </si>
  <si>
    <t>G503-100</t>
  </si>
  <si>
    <t>12730</t>
  </si>
  <si>
    <t>MV-4300-250100</t>
  </si>
  <si>
    <t>M4507051</t>
  </si>
  <si>
    <t>MV-4600-000080</t>
  </si>
  <si>
    <t>4230</t>
  </si>
  <si>
    <t>MV-4400-050050</t>
  </si>
  <si>
    <t>S024W15040YA</t>
  </si>
  <si>
    <t>MU00450-032A</t>
  </si>
  <si>
    <t>TM-700-750</t>
  </si>
  <si>
    <t>No.820  HOT TAPPING</t>
  </si>
  <si>
    <t xml:space="preserve">MA4 = </t>
  </si>
  <si>
    <t xml:space="preserve"> '1) POLYOL :' 3.12 'kg' * ~MU-001~ = ?MA1+</t>
  </si>
  <si>
    <t xml:space="preserve">495 천원  </t>
  </si>
  <si>
    <t xml:space="preserve"> '4) PE 용접봉 :' 0.81 'kg' * ~M9021009~= ?MA1+</t>
  </si>
  <si>
    <t>M4507051</t>
  </si>
  <si>
    <t>2630</t>
  </si>
  <si>
    <t>[3]'소계'=?[]</t>
  </si>
  <si>
    <t>MV-4300-250100</t>
  </si>
  <si>
    <t>MV-4400-050050</t>
  </si>
  <si>
    <t>MV-4600-000080</t>
  </si>
  <si>
    <t>14330</t>
  </si>
  <si>
    <t>42</t>
  </si>
  <si>
    <t>14490</t>
  </si>
  <si>
    <t>SZG0001-450</t>
  </si>
  <si>
    <t xml:space="preserve"> '7) 석동선 :' 17.53 'm' * ~MU00460~ = ?MA1+</t>
  </si>
  <si>
    <t>MV-4400-150032</t>
  </si>
  <si>
    <t>MV-9960-001-150</t>
  </si>
  <si>
    <t>S1303W450</t>
  </si>
  <si>
    <t>MV-4810-000650</t>
  </si>
  <si>
    <t>6789</t>
  </si>
  <si>
    <t>5070</t>
  </si>
  <si>
    <t>350x80A</t>
  </si>
  <si>
    <t>7930</t>
  </si>
  <si>
    <t>MV-4300-080020</t>
  </si>
  <si>
    <t>13570</t>
  </si>
  <si>
    <t>15170</t>
  </si>
  <si>
    <t>트럭 트랙터 및 평판트레일러   20 Ton</t>
  </si>
  <si>
    <t>'노무비:' LA("E00007505025000000") * 1.0 / F * 1.167 =?LA1+</t>
  </si>
  <si>
    <t>20A, 25A</t>
  </si>
  <si>
    <t>3470</t>
  </si>
  <si>
    <t>9870</t>
  </si>
  <si>
    <t>350x80A</t>
  </si>
  <si>
    <t>4590</t>
  </si>
  <si>
    <t>배관공(수도)</t>
  </si>
  <si>
    <t>MV-4300-080020</t>
  </si>
  <si>
    <t>MV-4400-150032</t>
  </si>
  <si>
    <t>MV-4810-000650</t>
  </si>
  <si>
    <t>12090</t>
  </si>
  <si>
    <t>MV-6700-300</t>
  </si>
  <si>
    <t xml:space="preserve">   - 크레인(타이어20ton)</t>
  </si>
  <si>
    <t>#40 PE용접(M당) | 300A|M</t>
  </si>
  <si>
    <t>16430</t>
  </si>
  <si>
    <t>MV-4200-020</t>
  </si>
  <si>
    <t>8470</t>
  </si>
  <si>
    <t>2870</t>
  </si>
  <si>
    <t>5990</t>
  </si>
  <si>
    <t>S02W05080</t>
  </si>
  <si>
    <t>15890</t>
  </si>
  <si>
    <t>MV-4300-040020</t>
  </si>
  <si>
    <t>9190</t>
  </si>
  <si>
    <t>0.30x914x1829M/M (3'x6')</t>
  </si>
  <si>
    <t>10030</t>
  </si>
  <si>
    <t>750A x 40t</t>
  </si>
  <si>
    <t>12970</t>
  </si>
  <si>
    <t>MV-4300-040020</t>
  </si>
  <si>
    <t>MV-4200-020</t>
  </si>
  <si>
    <t>6530</t>
  </si>
  <si>
    <t>32A x 60t</t>
  </si>
  <si>
    <t>G503-125</t>
  </si>
  <si>
    <t>QH33</t>
  </si>
  <si>
    <t>MV-4100-350</t>
  </si>
  <si>
    <t>6250</t>
  </si>
  <si>
    <t>10750</t>
  </si>
  <si>
    <t xml:space="preserve"> '1) POLYOL :' 22.08 'kg' * ~MU-001~ = ?MA1+</t>
  </si>
  <si>
    <t>'◈산근'' 자재운반 125A  / M'</t>
  </si>
  <si>
    <t>MV-4300-250125</t>
  </si>
  <si>
    <t>16350</t>
  </si>
  <si>
    <t>8310</t>
  </si>
  <si>
    <t>50A(부설의 40%)</t>
  </si>
  <si>
    <t>450A x 40t</t>
  </si>
  <si>
    <t>MV-4300-250125</t>
  </si>
  <si>
    <t>MV-4100-350</t>
  </si>
  <si>
    <t>MV-4700-000125</t>
  </si>
  <si>
    <t>3310</t>
  </si>
  <si>
    <t>S4830-020</t>
  </si>
  <si>
    <t xml:space="preserve">N = </t>
  </si>
  <si>
    <t>15610</t>
  </si>
  <si>
    <t>MV-4600-000040</t>
  </si>
  <si>
    <t>M4507051-650</t>
  </si>
  <si>
    <t>S024W02040YA</t>
  </si>
  <si>
    <t>'3. 1일기준'</t>
  </si>
  <si>
    <t>700x450A</t>
  </si>
  <si>
    <t xml:space="preserve">568_1_1 = </t>
  </si>
  <si>
    <t>700x450A</t>
  </si>
  <si>
    <t>S4840-125</t>
  </si>
  <si>
    <t>600A(VENT일체형)</t>
  </si>
  <si>
    <t>13210</t>
  </si>
  <si>
    <t xml:space="preserve">   이중보온관 운반</t>
  </si>
  <si>
    <t>S130301X650</t>
  </si>
  <si>
    <t>600A(VENT일체형)</t>
  </si>
  <si>
    <t>M4507051-650</t>
  </si>
  <si>
    <t>S024W05080YA</t>
  </si>
  <si>
    <t>MV-4600-000040</t>
  </si>
  <si>
    <t>MV-4700-000125</t>
  </si>
  <si>
    <t>5710</t>
  </si>
  <si>
    <t xml:space="preserve"> '7) 석동선 :' 15.59 'm' * ~MU00460~ = ?MA1+</t>
  </si>
  <si>
    <t>672</t>
  </si>
  <si>
    <t>10990</t>
  </si>
  <si>
    <t>12%</t>
  </si>
  <si>
    <t>15130</t>
  </si>
  <si>
    <t>No.875  STOPPLE FITTING 및 SANDWICH V/V설치</t>
  </si>
  <si>
    <t>400A(보온두께 61~75mm)</t>
  </si>
  <si>
    <t>MV-4000-550</t>
  </si>
  <si>
    <t>MV-5000-08060</t>
  </si>
  <si>
    <t>MV-5100-75080</t>
  </si>
  <si>
    <t>3430</t>
  </si>
  <si>
    <t>S4830-700</t>
  </si>
  <si>
    <t>S024W10080YA</t>
  </si>
  <si>
    <t>9830</t>
  </si>
  <si>
    <t>S024W15080</t>
  </si>
  <si>
    <t>550A,80t(곡관부)</t>
  </si>
  <si>
    <t xml:space="preserve">1031_1_1+ = </t>
  </si>
  <si>
    <t xml:space="preserve">   &lt;열수송관 누수진단 및 탐사&gt;</t>
  </si>
  <si>
    <t>5030</t>
  </si>
  <si>
    <t>MV-4400-250050</t>
  </si>
  <si>
    <t>'* 전기예열기 묶기 : 1분'</t>
  </si>
  <si>
    <t>7970</t>
  </si>
  <si>
    <t>13530</t>
  </si>
  <si>
    <t>ST0000TW650</t>
  </si>
  <si>
    <t xml:space="preserve"> '2) MDI :' 1.08 'kg' * ~MU-002~  = ?MA1+</t>
  </si>
  <si>
    <t xml:space="preserve">   크레인(타이어)</t>
  </si>
  <si>
    <t>S13030W600</t>
  </si>
  <si>
    <t>MV-4400-250050</t>
  </si>
  <si>
    <t xml:space="preserve">LAA = </t>
  </si>
  <si>
    <t>MV-4000-550</t>
  </si>
  <si>
    <t>용접봉(연강용)</t>
  </si>
  <si>
    <t>S02W06580</t>
  </si>
  <si>
    <t>QLINC2</t>
  </si>
  <si>
    <t>규        격</t>
  </si>
  <si>
    <t>550x250A</t>
  </si>
  <si>
    <t>MV-4300-650250</t>
  </si>
  <si>
    <t>S02000W750</t>
  </si>
  <si>
    <t>10070</t>
  </si>
  <si>
    <t xml:space="preserve"> ◈산근   자재운반 125A  / M</t>
  </si>
  <si>
    <t>12930</t>
  </si>
  <si>
    <t xml:space="preserve">   m당 금액 :  [1] /12 = 3,640.2</t>
  </si>
  <si>
    <t>6570</t>
  </si>
  <si>
    <t>S02003W020YA</t>
  </si>
  <si>
    <t>[5]'소계'=?</t>
  </si>
  <si>
    <t>MV-5000-02580</t>
  </si>
  <si>
    <t>MV-5000-20080</t>
  </si>
  <si>
    <t>300A,40t(곡관부)</t>
  </si>
  <si>
    <t>11590</t>
  </si>
  <si>
    <t>SS00200W250</t>
  </si>
  <si>
    <t>550x250A</t>
  </si>
  <si>
    <t xml:space="preserve"> '2) MDI :' 31.56 'kg' * ~MU-002~  = ?MA1+</t>
  </si>
  <si>
    <t xml:space="preserve">     '3 회 x 6 분/회 = 18 분'</t>
  </si>
  <si>
    <t>7090</t>
  </si>
  <si>
    <t xml:space="preserve"> 2) 전력 케이블 포설(직매 할감 80% 적용)</t>
  </si>
  <si>
    <t>16470</t>
  </si>
  <si>
    <t xml:space="preserve"> ◈ PE용접 125A / 개소</t>
  </si>
  <si>
    <t>8430</t>
  </si>
  <si>
    <t>MV-4300-650250</t>
  </si>
  <si>
    <t>2830</t>
  </si>
  <si>
    <t>SZD0001-300</t>
  </si>
  <si>
    <t>7</t>
  </si>
  <si>
    <t>700x700A</t>
  </si>
  <si>
    <t>700x700A</t>
  </si>
  <si>
    <t>No.835  STOPPLE PLUGGING  M/C 설치</t>
  </si>
  <si>
    <t xml:space="preserve"> ◈ 이중보온관전기예열 750A-550A / Hr</t>
  </si>
  <si>
    <t>재료비계금액소숫점</t>
  </si>
  <si>
    <t>MV-4400-200100</t>
  </si>
  <si>
    <t>MV-4800-000600</t>
  </si>
  <si>
    <t>16310</t>
  </si>
  <si>
    <t>8350</t>
  </si>
  <si>
    <t xml:space="preserve"> '6) 공장보온재 :' 2.992 'm' * ~MU00450-032A~ = ?MA1+</t>
  </si>
  <si>
    <t>MV-4200-700</t>
  </si>
  <si>
    <t>#70 PE용접 | 700A|개소</t>
  </si>
  <si>
    <t xml:space="preserve">ℓ    </t>
  </si>
  <si>
    <t>6210</t>
  </si>
  <si>
    <t>MV-4400-200100</t>
  </si>
  <si>
    <t>10710</t>
  </si>
  <si>
    <t>MV-6600-500</t>
  </si>
  <si>
    <t>150A,40t(직관부)</t>
  </si>
  <si>
    <t>34390797021</t>
  </si>
  <si>
    <t>No.854  STOPPLE FITTING 및 SANDWICH V/V설치</t>
  </si>
  <si>
    <t>S024W03280</t>
  </si>
  <si>
    <t xml:space="preserve">ℓ    </t>
  </si>
  <si>
    <t>MV-4800-000600</t>
  </si>
  <si>
    <t>34390797021</t>
  </si>
  <si>
    <t>MV-4200-700</t>
  </si>
  <si>
    <t>27</t>
  </si>
  <si>
    <t>MV-4300-600300</t>
  </si>
  <si>
    <t>S02002M400YA</t>
  </si>
  <si>
    <t>65A</t>
  </si>
  <si>
    <t>13250</t>
  </si>
  <si>
    <t>MV-4400-400250</t>
  </si>
  <si>
    <t>5750</t>
  </si>
  <si>
    <t>700A,80t(직관부)</t>
  </si>
  <si>
    <t>S02001W150</t>
  </si>
  <si>
    <t>200x80A</t>
  </si>
  <si>
    <t>200x80A</t>
  </si>
  <si>
    <t>S02001W600YA</t>
  </si>
  <si>
    <t>6787</t>
  </si>
  <si>
    <t xml:space="preserve">   전자인력관리시스템단말기 렌탈료</t>
  </si>
  <si>
    <t>S02002M300</t>
  </si>
  <si>
    <t>450A(부설의 40%)</t>
  </si>
  <si>
    <t>3350</t>
  </si>
  <si>
    <t>MV-4300-600300</t>
  </si>
  <si>
    <t>MV-4400-400250</t>
  </si>
  <si>
    <t>65A</t>
  </si>
  <si>
    <t>15650</t>
  </si>
  <si>
    <t>13480</t>
  </si>
  <si>
    <t>600x550A</t>
  </si>
  <si>
    <t>S024W02560YA</t>
  </si>
  <si>
    <t xml:space="preserve">    0.641 '인' * Q * ~L001010101000043~ = ?LA2+</t>
  </si>
  <si>
    <t>5180</t>
  </si>
  <si>
    <t>MV-4300-500080</t>
  </si>
  <si>
    <t>14560</t>
  </si>
  <si>
    <t xml:space="preserve"> '2. 상,하차비 소요시간(운반차량):'</t>
  </si>
  <si>
    <t>12160</t>
  </si>
  <si>
    <t>'노무비:' LA("E00002104002500000") / (60 / Q) =?LA1</t>
  </si>
  <si>
    <t>4460</t>
  </si>
  <si>
    <t>No.718 부단수 천공(차단)</t>
  </si>
  <si>
    <t>QDECPEQ</t>
  </si>
  <si>
    <t>10820</t>
  </si>
  <si>
    <t>9980</t>
  </si>
  <si>
    <t xml:space="preserve">  '- 크레인(타이어10ton)'</t>
  </si>
  <si>
    <t>3580</t>
  </si>
  <si>
    <t>MV-4300-500080</t>
  </si>
  <si>
    <t>MV-4400-350350</t>
  </si>
  <si>
    <t>MV-4400-350350</t>
  </si>
  <si>
    <t>MU00240-600</t>
  </si>
  <si>
    <t>15080</t>
  </si>
  <si>
    <t>TM-700-100</t>
  </si>
  <si>
    <t>600x550A</t>
  </si>
  <si>
    <t>7120</t>
  </si>
  <si>
    <t>MV-4700-000750</t>
  </si>
  <si>
    <t>11420</t>
  </si>
  <si>
    <t>MV-9960-007-250</t>
  </si>
  <si>
    <t>MV-4300-450400</t>
  </si>
  <si>
    <t>125A(부설의 40%)</t>
  </si>
  <si>
    <t>5860</t>
  </si>
  <si>
    <t>2980</t>
  </si>
  <si>
    <t>32A,60t(직관부)</t>
  </si>
  <si>
    <t xml:space="preserve"> '1) POLYOL :' 4.20 'kg' * ~MU-001~ = ?MA1+</t>
  </si>
  <si>
    <t xml:space="preserve">   ENDCAP설치및보온</t>
  </si>
  <si>
    <t>8580</t>
  </si>
  <si>
    <t>100x32A</t>
  </si>
  <si>
    <t>12880</t>
  </si>
  <si>
    <t>S4840-750</t>
  </si>
  <si>
    <t>일반기계운전사</t>
  </si>
  <si>
    <t>100x32A</t>
  </si>
  <si>
    <t>S130301X025</t>
  </si>
  <si>
    <t>9060</t>
  </si>
  <si>
    <t>17020</t>
  </si>
  <si>
    <t xml:space="preserve">1258_1_1 = </t>
  </si>
  <si>
    <t>MV-4300-450400</t>
  </si>
  <si>
    <t>MV-4700-000750</t>
  </si>
  <si>
    <t>15960</t>
  </si>
  <si>
    <t>729</t>
  </si>
  <si>
    <t>S00000A250YA</t>
  </si>
  <si>
    <t xml:space="preserve"> ◈ PE용접 450A / 개소</t>
  </si>
  <si>
    <t>S02002W400YA</t>
  </si>
  <si>
    <t>150x100A</t>
  </si>
  <si>
    <t>'◈ PE용접 500A / 개소'</t>
  </si>
  <si>
    <t>MV-4400-125100</t>
  </si>
  <si>
    <t>S01000W400</t>
  </si>
  <si>
    <t>9700</t>
  </si>
  <si>
    <t>150x100A</t>
  </si>
  <si>
    <t>MV-5100-12540</t>
  </si>
  <si>
    <t>MV-5100-25060</t>
  </si>
  <si>
    <t>MV-5100-30040</t>
  </si>
  <si>
    <t>S024W50040</t>
  </si>
  <si>
    <t xml:space="preserve"> 2. 하차비</t>
  </si>
  <si>
    <t>11340</t>
  </si>
  <si>
    <t>S02003W032</t>
  </si>
  <si>
    <t>7640</t>
  </si>
  <si>
    <t>SZH0001-600</t>
  </si>
  <si>
    <t>S024W45060</t>
  </si>
  <si>
    <t>MV-4400-300200</t>
  </si>
  <si>
    <t>MV-4400-125100</t>
  </si>
  <si>
    <t>MV-4400-300200</t>
  </si>
  <si>
    <t>496</t>
  </si>
  <si>
    <t xml:space="preserve">    0.400 '인' * Q * ~L001010101000043~ = ?LA2+</t>
  </si>
  <si>
    <t xml:space="preserve"> - 접속점 설치수량 = 예열기 1대당 4개(전면,후면) : 4개/개소</t>
  </si>
  <si>
    <t xml:space="preserve">   - 장비 조합: T/C 25ton + TRAILER 20ton</t>
  </si>
  <si>
    <t>S02W65060YA</t>
  </si>
  <si>
    <t>4300</t>
  </si>
  <si>
    <t>250x65A</t>
  </si>
  <si>
    <t>80A,60t(곡관부)</t>
  </si>
  <si>
    <t>500A(VENT일체형)</t>
  </si>
  <si>
    <t xml:space="preserve"> 3. 1km기준</t>
  </si>
  <si>
    <t>12600</t>
  </si>
  <si>
    <t>250x65A</t>
  </si>
  <si>
    <t>MV-5000-65040</t>
  </si>
  <si>
    <t>MV-5000-70060</t>
  </si>
  <si>
    <t>'노무비:' LA("E1000000002") * 1.3' 대' / F =?LA1</t>
  </si>
  <si>
    <t>'◈ PE용접 20A / M'</t>
  </si>
  <si>
    <t xml:space="preserve">1183_1_1 = </t>
  </si>
  <si>
    <t>500A(VENT일체형)</t>
  </si>
  <si>
    <t xml:space="preserve"> ◈전기예열기설치 및 철거 200A이하 / 개소</t>
  </si>
  <si>
    <t>14200</t>
  </si>
  <si>
    <t>폴리에틸렌파이프관(일반관)</t>
  </si>
  <si>
    <t>ST0000TW080</t>
  </si>
  <si>
    <t>MV-4500-125080</t>
  </si>
  <si>
    <t>2700</t>
  </si>
  <si>
    <t>MV-4500-125080</t>
  </si>
  <si>
    <t>782</t>
  </si>
  <si>
    <t>50A x 80t</t>
  </si>
  <si>
    <t>1050, 압력8.8kg</t>
  </si>
  <si>
    <t>300x65A</t>
  </si>
  <si>
    <t>S02002W300</t>
  </si>
  <si>
    <t>3.2㎜  KSE4311</t>
  </si>
  <si>
    <t>3.2㎜  KSE4311</t>
  </si>
  <si>
    <t xml:space="preserve">월    </t>
  </si>
  <si>
    <t>12120</t>
  </si>
  <si>
    <t>S1303W450YA</t>
  </si>
  <si>
    <t>32x25A</t>
  </si>
  <si>
    <t>4420</t>
  </si>
  <si>
    <t>650A,80t(곡관부)</t>
  </si>
  <si>
    <t>S13030W450YA</t>
  </si>
  <si>
    <t>10860</t>
  </si>
  <si>
    <t>50A x 80t</t>
  </si>
  <si>
    <t>MV-6000-250</t>
  </si>
  <si>
    <t>300x65A</t>
  </si>
  <si>
    <t>S02W70060YA</t>
  </si>
  <si>
    <t>QDECCLA</t>
  </si>
  <si>
    <t>14520</t>
  </si>
  <si>
    <t>JU카바</t>
  </si>
  <si>
    <t>1050, 압력8.8kg</t>
  </si>
  <si>
    <t>32x25A</t>
  </si>
  <si>
    <t>JU카바</t>
  </si>
  <si>
    <t>S130301X080</t>
  </si>
  <si>
    <t>7880</t>
  </si>
  <si>
    <t xml:space="preserve">    '1일 임대료:' ~MV-8100~ =?MA1'원/일'</t>
  </si>
  <si>
    <t>MV-6000-250</t>
  </si>
  <si>
    <t>SZD0003-750</t>
  </si>
  <si>
    <t>S00000W050</t>
  </si>
  <si>
    <t>S130301X065</t>
  </si>
  <si>
    <t>20A(5% 할증)</t>
  </si>
  <si>
    <t>9020</t>
  </si>
  <si>
    <t>TM-408-200</t>
  </si>
  <si>
    <t>'저압케이블전공 :'  0.01331 * TOT("L001010101000078") * 48'm'  * 0.80  =?LA2+</t>
  </si>
  <si>
    <t>15920</t>
  </si>
  <si>
    <t>25A,40t(직관부)</t>
  </si>
  <si>
    <t>노임할증계수(일반구간:주간)</t>
  </si>
  <si>
    <t>SC0608W550</t>
  </si>
  <si>
    <t>6480</t>
  </si>
  <si>
    <t>견단/한전/</t>
  </si>
  <si>
    <t>10180</t>
  </si>
  <si>
    <t>600x600A</t>
  </si>
  <si>
    <t>견단/파이프텍/</t>
  </si>
  <si>
    <t>M4507027</t>
  </si>
  <si>
    <t>16580</t>
  </si>
  <si>
    <t>600x600A</t>
  </si>
  <si>
    <t>No.835 STOPPLE PLUGGING  M/C 설치</t>
  </si>
  <si>
    <t>물자/1296/</t>
  </si>
  <si>
    <t>7160</t>
  </si>
  <si>
    <t>300A(10% 할증)</t>
  </si>
  <si>
    <t>11460</t>
  </si>
  <si>
    <t>5820</t>
  </si>
  <si>
    <t>M4507027</t>
  </si>
  <si>
    <t>S02003W500YA</t>
  </si>
  <si>
    <t>(SANG + JUNG + int(KWAN/3))*10^-4</t>
  </si>
  <si>
    <t>TM-410-065</t>
  </si>
  <si>
    <t>MV-4400-040040</t>
  </si>
  <si>
    <t>250A,40t(직관부)</t>
  </si>
  <si>
    <t>MV-9960-010-450</t>
  </si>
  <si>
    <t>S00000W300YA</t>
  </si>
  <si>
    <t xml:space="preserve">   엑셀 수식이 적용됩니다. (단축키 F9 키) </t>
  </si>
  <si>
    <t>S02003W500</t>
  </si>
  <si>
    <t>11300</t>
  </si>
  <si>
    <t>MV-9960-010-450</t>
  </si>
  <si>
    <t>[3]=0</t>
  </si>
  <si>
    <t>S00000W125YA</t>
  </si>
  <si>
    <t>100x40A</t>
  </si>
  <si>
    <t>450x350A</t>
  </si>
  <si>
    <t>7600</t>
  </si>
  <si>
    <t>SZD0002-150</t>
  </si>
  <si>
    <t>9740</t>
  </si>
  <si>
    <t>#55 PE용접 | 65A|개소</t>
  </si>
  <si>
    <t>100x40A</t>
  </si>
  <si>
    <t>MV-4400-040040</t>
  </si>
  <si>
    <t xml:space="preserve"> ◈공기압축기</t>
  </si>
  <si>
    <t>S02W15040YA</t>
  </si>
  <si>
    <t>SZM000001</t>
  </si>
  <si>
    <t>450x350A</t>
  </si>
  <si>
    <t>14240</t>
  </si>
  <si>
    <t>2740</t>
  </si>
  <si>
    <t>750A(부설의 40%)</t>
  </si>
  <si>
    <t>S00000A040YA</t>
  </si>
  <si>
    <t>S02W55060</t>
  </si>
  <si>
    <t>S00000A040</t>
  </si>
  <si>
    <t xml:space="preserve">    1.394 '인' * Q * ~L001010101000044~ = ?LA2+</t>
  </si>
  <si>
    <t xml:space="preserve"> '1) 보 온 공 :'</t>
  </si>
  <si>
    <t>150x20A</t>
  </si>
  <si>
    <t>MU00450-025A</t>
  </si>
  <si>
    <t>150x20A</t>
  </si>
  <si>
    <t>MV-5100-04060</t>
  </si>
  <si>
    <t>'◈전기예열기설치 및 철거 200A이하 / 개소'</t>
  </si>
  <si>
    <t>S02W40040</t>
  </si>
  <si>
    <t>SD0001W0250</t>
  </si>
  <si>
    <t>MV-4400-080040</t>
  </si>
  <si>
    <t>TM-410-080</t>
  </si>
  <si>
    <t>4340</t>
  </si>
  <si>
    <t>400A,80t(직관부)</t>
  </si>
  <si>
    <t>MV-4400-080040</t>
  </si>
  <si>
    <t>12640</t>
  </si>
  <si>
    <t>'전력케이블 철거손료 1.5%'</t>
  </si>
  <si>
    <t xml:space="preserve">1475_1_1+ = </t>
  </si>
  <si>
    <t>S02001W040YA</t>
  </si>
  <si>
    <t>MV-8200</t>
  </si>
  <si>
    <t>MV-4600-000650</t>
  </si>
  <si>
    <t>S02002M550</t>
  </si>
  <si>
    <t xml:space="preserve"> '3) WEPS :' 20 'EA' * '사급자재'</t>
  </si>
  <si>
    <t>견단/KMC/</t>
  </si>
  <si>
    <t xml:space="preserve"> 'PE용접:'~S4830-100.T~ / L = ?[1]+</t>
  </si>
  <si>
    <t>S02002M065YA</t>
  </si>
  <si>
    <t>9900</t>
  </si>
  <si>
    <t>'2. 하차비'</t>
  </si>
  <si>
    <t>L001010101000056</t>
  </si>
  <si>
    <t>3500</t>
  </si>
  <si>
    <t>{(TOT("L001010101000075") + TOT("L001010101000002"))} / K * K1 * 0.03 =?EQ1+</t>
  </si>
  <si>
    <t>15000</t>
  </si>
  <si>
    <t>13400</t>
  </si>
  <si>
    <t>MV-4300-600550</t>
  </si>
  <si>
    <t>20A(보온두께 30mm이하)</t>
  </si>
  <si>
    <t>7840</t>
  </si>
  <si>
    <t>S130301X040</t>
  </si>
  <si>
    <t>5100</t>
  </si>
  <si>
    <t>500x500A</t>
  </si>
  <si>
    <t>MV-4400-400400</t>
  </si>
  <si>
    <t xml:space="preserve"> '6) 공장보온재 :' 2.992 'm' * ~MU00450-750A~ = ?MA1+</t>
  </si>
  <si>
    <t>L001010101000056</t>
  </si>
  <si>
    <t>TM-700-100Y</t>
  </si>
  <si>
    <t xml:space="preserve">    0.721 '인' * Q * ~L001010101000043~ = ?LA2+</t>
  </si>
  <si>
    <t>S02001W700</t>
  </si>
  <si>
    <t>500x500A</t>
  </si>
  <si>
    <t>MV-4300-600550</t>
  </si>
  <si>
    <t>MV-4400-400400</t>
  </si>
  <si>
    <t>MV-4600-000650</t>
  </si>
  <si>
    <t>6440</t>
  </si>
  <si>
    <t>단가</t>
  </si>
  <si>
    <t>12800</t>
  </si>
  <si>
    <t>MV-6600-350</t>
  </si>
  <si>
    <t>10140</t>
  </si>
  <si>
    <t>일반공사 직종</t>
  </si>
  <si>
    <t>km</t>
  </si>
  <si>
    <t>MV-4300-125050</t>
  </si>
  <si>
    <t>MV-4500-350250</t>
  </si>
  <si>
    <t>MV-4800-000050</t>
  </si>
  <si>
    <t>MV-4800-000050</t>
  </si>
  <si>
    <t>'* 예열기 2대 + 발전기 1대 = 총 3대'</t>
  </si>
  <si>
    <t xml:space="preserve">1775_1_1+ = </t>
  </si>
  <si>
    <t>MV-4100-032</t>
  </si>
  <si>
    <t xml:space="preserve">272_1_1 = </t>
  </si>
  <si>
    <t xml:space="preserve"> '6) 공장보온재 :' 2.992 'm' * ~MU00450-040A~ = ?MA1+</t>
  </si>
  <si>
    <t>단    가</t>
  </si>
  <si>
    <t>2900</t>
  </si>
  <si>
    <t>8500</t>
  </si>
  <si>
    <t xml:space="preserve">1408_1_1 = </t>
  </si>
  <si>
    <t>MV-4200-150</t>
  </si>
  <si>
    <t>MV-4300-125050</t>
  </si>
  <si>
    <t>16540</t>
  </si>
  <si>
    <t xml:space="preserve">   - 크레인(타이어10ton)</t>
  </si>
  <si>
    <t>단    가</t>
  </si>
  <si>
    <t>SC0608W400YA</t>
  </si>
  <si>
    <t>MV-4100-032</t>
  </si>
  <si>
    <t>MV-4200-150</t>
  </si>
  <si>
    <t>MV-6600-350</t>
  </si>
  <si>
    <t>200A,60t(곡관부)</t>
  </si>
  <si>
    <t>MV-4500-350250</t>
  </si>
  <si>
    <t xml:space="preserve"> '5) HDPE 관 :' 6.18 'm' * ~M5796027~ = ?MA1+</t>
  </si>
  <si>
    <t>MV-4500-600500</t>
  </si>
  <si>
    <t>SS00200W400</t>
  </si>
  <si>
    <t>250x150A</t>
  </si>
  <si>
    <t>S02W05080YA</t>
  </si>
  <si>
    <t xml:space="preserve">  PE용접: 1,514,378 / L = 108,324.4</t>
  </si>
  <si>
    <t>MV-4400-080065</t>
  </si>
  <si>
    <t>8260</t>
  </si>
  <si>
    <t>16220</t>
  </si>
  <si>
    <t>SZD0001-550</t>
  </si>
  <si>
    <t>구역화물(12.0ton)</t>
  </si>
  <si>
    <t>MV-4300-650400</t>
  </si>
  <si>
    <t xml:space="preserve">EQ = </t>
  </si>
  <si>
    <t>10620</t>
  </si>
  <si>
    <t>S00000A065</t>
  </si>
  <si>
    <t>250x150A</t>
  </si>
  <si>
    <t xml:space="preserve">    T2 = (L / V * 2 * 60 + 20) / Q = ?'분'</t>
  </si>
  <si>
    <t>6320</t>
  </si>
  <si>
    <t xml:space="preserve"> 'PE용접:'~S4830-400.T~ / L = ?[1]+</t>
  </si>
  <si>
    <t>S02W02040YA</t>
  </si>
  <si>
    <t xml:space="preserve">   용접공</t>
  </si>
  <si>
    <t>MV-4300-550150</t>
  </si>
  <si>
    <t>9780</t>
  </si>
  <si>
    <t>MV-4300-550150</t>
  </si>
  <si>
    <t>MV-4300-650400</t>
  </si>
  <si>
    <t>MV-4400-080065</t>
  </si>
  <si>
    <t>MV-4500-600500</t>
  </si>
  <si>
    <t>65A(보온두께 30mm이하)</t>
  </si>
  <si>
    <t>5660</t>
  </si>
  <si>
    <t>13360</t>
  </si>
  <si>
    <t>14280</t>
  </si>
  <si>
    <t>S13030W050</t>
  </si>
  <si>
    <t>2780</t>
  </si>
  <si>
    <t>MV-4300-350200</t>
  </si>
  <si>
    <t>S00000A080</t>
  </si>
  <si>
    <t>MV-4400-080080</t>
  </si>
  <si>
    <t>4380</t>
  </si>
  <si>
    <t>12680</t>
  </si>
  <si>
    <t>15760</t>
  </si>
  <si>
    <t>S02W40080</t>
  </si>
  <si>
    <t>150㎟ x 1C</t>
  </si>
  <si>
    <t>[지역난방열수송공사 공사비산출기준 제7장 배관공사 3.10]</t>
  </si>
  <si>
    <t>MV-4000-300</t>
  </si>
  <si>
    <t>3260</t>
  </si>
  <si>
    <t>S4830-150</t>
  </si>
  <si>
    <t>MV-4300-350200</t>
  </si>
  <si>
    <t>MV-4400-080080</t>
  </si>
  <si>
    <t>MV-4000-300</t>
  </si>
  <si>
    <t xml:space="preserve">병    </t>
  </si>
  <si>
    <t>No.877  L-O-R PLUG마감 용접</t>
  </si>
  <si>
    <t>QUS2WON2</t>
  </si>
  <si>
    <t>13440</t>
  </si>
  <si>
    <t xml:space="preserve">1900_1_1 = </t>
  </si>
  <si>
    <t>7800</t>
  </si>
  <si>
    <t>5140</t>
  </si>
  <si>
    <t>99% 6000ℓ(기체) 40ℓ</t>
  </si>
  <si>
    <t xml:space="preserve">  기타사급자재 운반비반영 :  [2] * 1.097 =8,496.2</t>
  </si>
  <si>
    <t>9940</t>
  </si>
  <si>
    <t>3540</t>
  </si>
  <si>
    <t>15040</t>
  </si>
  <si>
    <t>M4507042</t>
  </si>
  <si>
    <t>'- 접속점 설치수량 = 예열기 1대당 4개(전면,후면) : 8개/개소'</t>
  </si>
  <si>
    <t xml:space="preserve">   &lt;배관설치&gt;</t>
  </si>
  <si>
    <t>M4507042</t>
  </si>
  <si>
    <t>2940</t>
  </si>
  <si>
    <t>8540</t>
  </si>
  <si>
    <t>16500</t>
  </si>
  <si>
    <t>20A,80t(직관부)</t>
  </si>
  <si>
    <t xml:space="preserve"> '1) POLYOL :' 11.88 'kg' * ~MU-001~ = ?MA1+</t>
  </si>
  <si>
    <t xml:space="preserve">  PE용접: 809,404 / L = 62,261.7</t>
  </si>
  <si>
    <t>MV-9960-004-650</t>
  </si>
  <si>
    <t>S02001W250YA</t>
  </si>
  <si>
    <t>S02002M050YA</t>
  </si>
  <si>
    <t>TM-700-125</t>
  </si>
  <si>
    <t xml:space="preserve">1827_1_1+ = </t>
  </si>
  <si>
    <t xml:space="preserve">1880_1_1+ = </t>
  </si>
  <si>
    <t>MV-4100-500</t>
  </si>
  <si>
    <t>50A(15% 감)</t>
  </si>
  <si>
    <t>MV-9960-004-650</t>
  </si>
  <si>
    <t>6400</t>
  </si>
  <si>
    <t>TM-700-250Y</t>
  </si>
  <si>
    <t>S02W10080YA</t>
  </si>
  <si>
    <t>12840</t>
  </si>
  <si>
    <t>10100</t>
  </si>
  <si>
    <t>MV-4100-500</t>
  </si>
  <si>
    <t>MV-6500-700</t>
  </si>
  <si>
    <t xml:space="preserve"> '4) PE 용접봉 :' 1.31 'kg' * ~M9021009~= ?MA1+</t>
  </si>
  <si>
    <t>S024W50080</t>
  </si>
  <si>
    <t xml:space="preserve">    '노무비:' ~E00002104001500000.L~ * 3.6 / 60 = ?LA1+</t>
  </si>
  <si>
    <t>750A(보온두께 76~95mm)</t>
  </si>
  <si>
    <t>'1. 기준'</t>
  </si>
  <si>
    <t>10660</t>
  </si>
  <si>
    <t>S00000A025</t>
  </si>
  <si>
    <t>MV-5100-12580</t>
  </si>
  <si>
    <t>MV-5100-30080</t>
  </si>
  <si>
    <t>6360</t>
  </si>
  <si>
    <t>공장보온재</t>
  </si>
  <si>
    <t>MV-4400-080025</t>
  </si>
  <si>
    <t xml:space="preserve">  PE용접: 624,670 / L = 49,225.2</t>
  </si>
  <si>
    <t xml:space="preserve">    계</t>
  </si>
  <si>
    <t>750x300A</t>
  </si>
  <si>
    <t>8220</t>
  </si>
  <si>
    <t xml:space="preserve"> '6) 공장보온재 :' 2.992 'm' * ~MU00450-125A~ = ?MA1+</t>
  </si>
  <si>
    <t>750x300A</t>
  </si>
  <si>
    <t>16260</t>
  </si>
  <si>
    <t>11380</t>
  </si>
  <si>
    <t>200A이하</t>
  </si>
  <si>
    <t>'◈산근''자재운반 200A  / M'</t>
  </si>
  <si>
    <t>MV-4400-080025</t>
  </si>
  <si>
    <t>7680</t>
  </si>
  <si>
    <t>50A x 60t</t>
  </si>
  <si>
    <t>15720</t>
  </si>
  <si>
    <t>1039</t>
  </si>
  <si>
    <t xml:space="preserve">    0.512 '인' * Q * ~L001010101000043~ = ?LA2+</t>
  </si>
  <si>
    <t>3220</t>
  </si>
  <si>
    <t xml:space="preserve">1483_1_1+ = </t>
  </si>
  <si>
    <t>MV-5000-65080</t>
  </si>
  <si>
    <t>MV-4300-032032</t>
  </si>
  <si>
    <t>MV-4400-040025</t>
  </si>
  <si>
    <t>MV-4400-125125</t>
  </si>
  <si>
    <t>MV-5000-65080</t>
  </si>
  <si>
    <t>MV-9960-001-700</t>
  </si>
  <si>
    <t>MV-6700-550</t>
  </si>
  <si>
    <t>MV-4400-040025</t>
  </si>
  <si>
    <t>#5 자재운반(야적--&gt;현장) | 550A|m</t>
  </si>
  <si>
    <t xml:space="preserve"> '1) POLYOL :' 33.72 'kg' * ~MU-001~ = ?MA1+</t>
  </si>
  <si>
    <t>L001010101000058</t>
  </si>
  <si>
    <t>6385</t>
  </si>
  <si>
    <t>S02001W020</t>
  </si>
  <si>
    <t>S1303W200</t>
  </si>
  <si>
    <t>250x200A</t>
  </si>
  <si>
    <t>250x200A</t>
  </si>
  <si>
    <t>MV-4400-125125</t>
  </si>
  <si>
    <t>MV-9960-001-700</t>
  </si>
  <si>
    <t>5620</t>
  </si>
  <si>
    <t>MV-4300-032032</t>
  </si>
  <si>
    <t>MV-6700-550</t>
  </si>
  <si>
    <t xml:space="preserve">    0.426 '인' * Q * ~L001010101000003~ = ?LA2+</t>
  </si>
  <si>
    <t>13320</t>
  </si>
  <si>
    <t>13710</t>
  </si>
  <si>
    <t>S130301X350</t>
  </si>
  <si>
    <t>S02W25060YA</t>
  </si>
  <si>
    <t>5210</t>
  </si>
  <si>
    <t>MV-9960-007-125</t>
  </si>
  <si>
    <t>650A,80t(직관부)</t>
  </si>
  <si>
    <t>500A(부설의 40%)</t>
  </si>
  <si>
    <t xml:space="preserve">  '- 크레인(타이어15ton)'</t>
  </si>
  <si>
    <t>MV-4600-000032</t>
  </si>
  <si>
    <t>스페이서</t>
  </si>
  <si>
    <t>700x400A</t>
  </si>
  <si>
    <t>700x400A</t>
  </si>
  <si>
    <t>#73 지하시설물탐지 | PL-1000|일</t>
  </si>
  <si>
    <t>#48 PE용접(M당) | 700A|M</t>
  </si>
  <si>
    <t>3610</t>
  </si>
  <si>
    <t>SZE0001-650</t>
  </si>
  <si>
    <t>MV-4600-000032</t>
  </si>
  <si>
    <t>15310</t>
  </si>
  <si>
    <t>[A]=0</t>
  </si>
  <si>
    <t>MV-9960-004-500</t>
  </si>
  <si>
    <t xml:space="preserve">          '재료비 : '~E00002105001000000.M~ * {Q2}'hr/TON'   = ?MA1+'원/t'</t>
  </si>
  <si>
    <t>25A,40t(곡관부)</t>
  </si>
  <si>
    <t>'◈산근''자재운반 700A  / M'</t>
  </si>
  <si>
    <t>16650</t>
  </si>
  <si>
    <t>8610</t>
  </si>
  <si>
    <t>MV-5000-03240</t>
  </si>
  <si>
    <t>6750</t>
  </si>
  <si>
    <t xml:space="preserve">   배관자재계</t>
  </si>
  <si>
    <t>10250</t>
  </si>
  <si>
    <t xml:space="preserve">1475_1_1 = </t>
  </si>
  <si>
    <t xml:space="preserve">800_1_1+ = </t>
  </si>
  <si>
    <t>MV-4100-650</t>
  </si>
  <si>
    <t>M4507006</t>
  </si>
  <si>
    <t>MV-4100-650</t>
  </si>
  <si>
    <t>MV-6500-450</t>
  </si>
  <si>
    <t>M4507006</t>
  </si>
  <si>
    <t>4970</t>
  </si>
  <si>
    <t>S024W35060</t>
  </si>
  <si>
    <t>10530</t>
  </si>
  <si>
    <t xml:space="preserve">1775_1_1 = </t>
  </si>
  <si>
    <t>250A,40t(곡관부)</t>
  </si>
  <si>
    <t xml:space="preserve"> ◈산근  강판운반  [구역화물자동차 요율적용]</t>
  </si>
  <si>
    <t>M4507048</t>
  </si>
  <si>
    <t xml:space="preserve">EQ1+ = </t>
  </si>
  <si>
    <t>6030</t>
  </si>
  <si>
    <t>450A(보온두께 61~75mm)</t>
  </si>
  <si>
    <t>S02W40040YA</t>
  </si>
  <si>
    <t xml:space="preserve">   m당 금액 :  [1] /12 = 1,536.7</t>
  </si>
  <si>
    <t>9490</t>
  </si>
  <si>
    <t>MV-5100-40040</t>
  </si>
  <si>
    <t>MV-5100-55060</t>
  </si>
  <si>
    <t>3890</t>
  </si>
  <si>
    <t>용접기 (교류)</t>
  </si>
  <si>
    <t xml:space="preserve"> '2) MDI :' 2.28 'kg' * ~MU-002~  = ?MA1+</t>
  </si>
  <si>
    <t>MV-4400-025020</t>
  </si>
  <si>
    <t>65A(부설의 40%)</t>
  </si>
  <si>
    <t>S02002W125YA</t>
  </si>
  <si>
    <t>13990</t>
  </si>
  <si>
    <t>S024W20040</t>
  </si>
  <si>
    <t>14870</t>
  </si>
  <si>
    <t>S00000A550YA</t>
  </si>
  <si>
    <t>S02W04060</t>
  </si>
  <si>
    <t>16130</t>
  </si>
  <si>
    <t>S024W02540</t>
  </si>
  <si>
    <t>MV-4400-025020</t>
  </si>
  <si>
    <t>8170</t>
  </si>
  <si>
    <t>No.879 STOPPLE FITTING 용접</t>
  </si>
  <si>
    <t xml:space="preserve">   전체 합계</t>
  </si>
  <si>
    <t>M4507048</t>
  </si>
  <si>
    <t xml:space="preserve">    3.043 '인' * Q * ~L001010101000043~ = ?LA2+</t>
  </si>
  <si>
    <t>S02002W300YA</t>
  </si>
  <si>
    <t>125A x 40t</t>
  </si>
  <si>
    <t>160</t>
  </si>
  <si>
    <t>AIR PLUG</t>
  </si>
  <si>
    <t>550x150A</t>
  </si>
  <si>
    <t>'내선전공 :' 0.102 * TOT("L001010101000075") * 8'개'  =?Laa:LA2</t>
  </si>
  <si>
    <t>TM-410-350</t>
  </si>
  <si>
    <t>4090</t>
  </si>
  <si>
    <t>MV-4300-100025</t>
  </si>
  <si>
    <t>MV-6700-600</t>
  </si>
  <si>
    <t>12590</t>
  </si>
  <si>
    <t xml:space="preserve">  1. 기준</t>
  </si>
  <si>
    <t>15470</t>
  </si>
  <si>
    <t>MV-4300-100025</t>
  </si>
  <si>
    <t>MV-4400-150040</t>
  </si>
  <si>
    <t>MV-4500-150125</t>
  </si>
  <si>
    <t>MV-4810-000350</t>
  </si>
  <si>
    <t xml:space="preserve">        '2) 작업장협소      :       10%'</t>
  </si>
  <si>
    <t>MV-5000-15040</t>
  </si>
  <si>
    <t>AIR PLUG</t>
  </si>
  <si>
    <t>3170</t>
  </si>
  <si>
    <t>물자/27/</t>
  </si>
  <si>
    <t>125A x 40t</t>
  </si>
  <si>
    <t>11930</t>
  </si>
  <si>
    <t>MV-4500-150125</t>
  </si>
  <si>
    <t>MV-9960-001-450</t>
  </si>
  <si>
    <t>5570</t>
  </si>
  <si>
    <t>MV-5000-15040</t>
  </si>
  <si>
    <t>550x150A</t>
  </si>
  <si>
    <t xml:space="preserve"> ◈ PE용접 80A / M</t>
  </si>
  <si>
    <t>13070</t>
  </si>
  <si>
    <t>14190</t>
  </si>
  <si>
    <t>400A,80t(곡관부)</t>
  </si>
  <si>
    <t>MV-4400-150040</t>
  </si>
  <si>
    <t>2490</t>
  </si>
  <si>
    <t xml:space="preserve">188_1_1 = </t>
  </si>
  <si>
    <t>S1303W150</t>
  </si>
  <si>
    <t>MV-4810-000350</t>
  </si>
  <si>
    <t>8890</t>
  </si>
  <si>
    <t xml:space="preserve">F = </t>
  </si>
  <si>
    <t xml:space="preserve">    0.558 '인' * Q * ~L001010101000002~ = ?LA2+</t>
  </si>
  <si>
    <t>공기압축기</t>
  </si>
  <si>
    <t>3650</t>
  </si>
  <si>
    <t>MV-4400-350080</t>
  </si>
  <si>
    <t>15350</t>
  </si>
  <si>
    <t>MV-4600-000500</t>
  </si>
  <si>
    <t>S02002M600</t>
  </si>
  <si>
    <t xml:space="preserve"> '7) 석동선 :' 16.95 'm' * ~MU00460~ = ?MA1+</t>
  </si>
  <si>
    <t xml:space="preserve">  PE용접: 4,907,346 / L = 283,007.1</t>
  </si>
  <si>
    <t>750A(VENT일체형)</t>
  </si>
  <si>
    <t>S02001W450</t>
  </si>
  <si>
    <t>MV-4300-500350</t>
  </si>
  <si>
    <t>G0000210400200000</t>
  </si>
  <si>
    <t>S1303W350YA</t>
  </si>
  <si>
    <t>750A(VENT일체형)</t>
  </si>
  <si>
    <t>S13030W350YA</t>
  </si>
  <si>
    <t>10km이내</t>
  </si>
  <si>
    <t>MV-4300-600600</t>
  </si>
  <si>
    <t xml:space="preserve"> ◈ PE용접 400A / 개소</t>
  </si>
  <si>
    <t>13750</t>
  </si>
  <si>
    <t>125x125A</t>
  </si>
  <si>
    <t>5250</t>
  </si>
  <si>
    <t>MV-4300-500350</t>
  </si>
  <si>
    <t>MV-4300-600600</t>
  </si>
  <si>
    <t>MV-4400-350080</t>
  </si>
  <si>
    <t>MV-4600-000500</t>
  </si>
  <si>
    <t>#18 자재운반(야적--&gt;현장) | 50A|m</t>
  </si>
  <si>
    <t>125x125A</t>
  </si>
  <si>
    <t>노임할증계수(해상장비:주야간)</t>
  </si>
  <si>
    <t>MV-4800-000300</t>
  </si>
  <si>
    <t>#50 PE용접 | 20A|개소</t>
  </si>
  <si>
    <t>6710</t>
  </si>
  <si>
    <t>32A,60t(곡관부)</t>
  </si>
  <si>
    <t xml:space="preserve">    '노무비:' ~E00002702002000000.L~ * CM / 60 = ?LA1+</t>
  </si>
  <si>
    <t>L001010101000012</t>
  </si>
  <si>
    <t>수량</t>
  </si>
  <si>
    <t>견단/피엔아이/</t>
  </si>
  <si>
    <t>10210</t>
  </si>
  <si>
    <t>16610</t>
  </si>
  <si>
    <t>8650</t>
  </si>
  <si>
    <t>MV-4200-200</t>
  </si>
  <si>
    <t>MV-4400-065050</t>
  </si>
  <si>
    <t>L001010101000012</t>
  </si>
  <si>
    <t>S02W55040YA</t>
  </si>
  <si>
    <t>SZI000001</t>
  </si>
  <si>
    <t>MV-4400-350065</t>
  </si>
  <si>
    <t>MV-4400-065050</t>
  </si>
  <si>
    <t>MV-4400-350065</t>
  </si>
  <si>
    <t>MV-4800-000300</t>
  </si>
  <si>
    <t>MV-4200-200</t>
  </si>
  <si>
    <t>MV-6000-125</t>
  </si>
  <si>
    <t>MV-4300-100080</t>
  </si>
  <si>
    <t>TM-500-080</t>
  </si>
  <si>
    <t>1190</t>
  </si>
  <si>
    <t>14830</t>
  </si>
  <si>
    <t>16170</t>
  </si>
  <si>
    <t>8130</t>
  </si>
  <si>
    <t>SZD0001-600</t>
  </si>
  <si>
    <t>SD0001W0125</t>
  </si>
  <si>
    <t>11090</t>
  </si>
  <si>
    <t>S024W06560YA</t>
  </si>
  <si>
    <t>No.820 HOT TAPPING</t>
  </si>
  <si>
    <t>SS00200W750</t>
  </si>
  <si>
    <t>MV-5000-02080</t>
  </si>
  <si>
    <t>7590</t>
  </si>
  <si>
    <t>S02003W025YA</t>
  </si>
  <si>
    <t xml:space="preserve">500_1_1+ = </t>
  </si>
  <si>
    <t xml:space="preserve">    '경  비:' ~E00002104001500000.E~ * 9 / 60 = ?EQ1+</t>
  </si>
  <si>
    <t>S024W08060YA</t>
  </si>
  <si>
    <t>MV-4300-550200</t>
  </si>
  <si>
    <t>550x200A</t>
  </si>
  <si>
    <t>4930</t>
  </si>
  <si>
    <t>550x200A</t>
  </si>
  <si>
    <t>S02000W250</t>
  </si>
  <si>
    <t>10570</t>
  </si>
  <si>
    <t>S02003W200YA</t>
  </si>
  <si>
    <t>S00000W400YA</t>
  </si>
  <si>
    <t>MV-4300-100080</t>
  </si>
  <si>
    <t>MV-4300-550200</t>
  </si>
  <si>
    <t xml:space="preserve">   배관설치비계</t>
  </si>
  <si>
    <t>6070</t>
  </si>
  <si>
    <t xml:space="preserve">   BEND(11.25˚)-3D</t>
  </si>
  <si>
    <t>QEQTY3</t>
  </si>
  <si>
    <t>S02W12540</t>
  </si>
  <si>
    <t>m</t>
  </si>
  <si>
    <t>ST0000TW350</t>
  </si>
  <si>
    <t>80A,60t(직관부)</t>
  </si>
  <si>
    <t>S02W04040YA</t>
  </si>
  <si>
    <t>S13030W300</t>
  </si>
  <si>
    <t>AIR VENT PLUG</t>
  </si>
  <si>
    <t>16890</t>
  </si>
  <si>
    <t>MV-4300-350150</t>
  </si>
  <si>
    <t>11970</t>
  </si>
  <si>
    <t xml:space="preserve"> 공구손료 : 주간노무비의 3%</t>
  </si>
  <si>
    <t>SPACER</t>
  </si>
  <si>
    <t>S02W30040</t>
  </si>
  <si>
    <t>5530</t>
  </si>
  <si>
    <t>13030</t>
  </si>
  <si>
    <t>15430</t>
  </si>
  <si>
    <t>3130</t>
  </si>
  <si>
    <t>S4830-200</t>
  </si>
  <si>
    <t>MV-4000-050</t>
  </si>
  <si>
    <t>S02W30060YA</t>
  </si>
  <si>
    <t>120</t>
  </si>
  <si>
    <t>TM-500-065</t>
  </si>
  <si>
    <t>MV-4300-100065</t>
  </si>
  <si>
    <t>6990</t>
  </si>
  <si>
    <t xml:space="preserve">    1.060 '인' * Q * ~L001010101000044~ = ?LA2+</t>
  </si>
  <si>
    <t>MV-4300-100065</t>
  </si>
  <si>
    <t>MV-4300-350150</t>
  </si>
  <si>
    <t>S02W25060</t>
  </si>
  <si>
    <t>MV-4000-050</t>
  </si>
  <si>
    <t>12270</t>
  </si>
  <si>
    <t>300x50A</t>
  </si>
  <si>
    <t xml:space="preserve">   - 현장내 운반차량 대기시간 :</t>
  </si>
  <si>
    <t>4770</t>
  </si>
  <si>
    <t>No.839  칩제거 장비 설치</t>
  </si>
  <si>
    <t>3690</t>
  </si>
  <si>
    <t>S02002W050</t>
  </si>
  <si>
    <t xml:space="preserve"> 'PE용접:'~S4830-250.T~ / L = ?[1]+</t>
  </si>
  <si>
    <t>'◈ 이중보온관전기예열 200A이하 / Hr'</t>
  </si>
  <si>
    <t xml:space="preserve">EQ4 = </t>
  </si>
  <si>
    <t>15390</t>
  </si>
  <si>
    <t>환율(마르크화)</t>
  </si>
  <si>
    <t>70</t>
  </si>
  <si>
    <t>13790</t>
  </si>
  <si>
    <t xml:space="preserve">인    </t>
  </si>
  <si>
    <t>No.881  STOPPLE FITTING 및 SANDWICH V/V설치</t>
  </si>
  <si>
    <t>초급숙련기술자</t>
  </si>
  <si>
    <t>5290</t>
  </si>
  <si>
    <t>300x50A</t>
  </si>
  <si>
    <t>2370</t>
  </si>
  <si>
    <t>MV-6000-100</t>
  </si>
  <si>
    <t>14670</t>
  </si>
  <si>
    <t>SC0608W600</t>
  </si>
  <si>
    <t>S13030W080YA</t>
  </si>
  <si>
    <t>BEND(22.5˚)-3D</t>
  </si>
  <si>
    <t>20A,80t(곡관부)</t>
  </si>
  <si>
    <t>[3]'소계'=?</t>
  </si>
  <si>
    <t>S1303W080YA</t>
  </si>
  <si>
    <t>SC0608W300YA</t>
  </si>
  <si>
    <t>S00000W300</t>
  </si>
  <si>
    <t>9370</t>
  </si>
  <si>
    <t>TM-408-150</t>
  </si>
  <si>
    <t>125x80A</t>
  </si>
  <si>
    <t>SC0608W125YA</t>
  </si>
  <si>
    <t>S02W45080YA</t>
  </si>
  <si>
    <t>7230</t>
  </si>
  <si>
    <t>11730</t>
  </si>
  <si>
    <t>125x80A</t>
  </si>
  <si>
    <t>1000A(보온두께 61~75mm)</t>
  </si>
  <si>
    <t>8690</t>
  </si>
  <si>
    <t>S02003W650</t>
  </si>
  <si>
    <t>QEINC3</t>
  </si>
  <si>
    <t>11050</t>
  </si>
  <si>
    <t>13910</t>
  </si>
  <si>
    <t>MV-9960-010-700</t>
  </si>
  <si>
    <t>MV-9960-010-700</t>
  </si>
  <si>
    <t>7550</t>
  </si>
  <si>
    <t>MV-4300-100040</t>
  </si>
  <si>
    <t xml:space="preserve"> '4. 장비 사용료'</t>
  </si>
  <si>
    <t xml:space="preserve"> '2) MDI :' 2.88 'kg' * ~MU-002~  = ?MA1+</t>
  </si>
  <si>
    <t>MV-5000-02040</t>
  </si>
  <si>
    <t xml:space="preserve">1179_1_1 = </t>
  </si>
  <si>
    <t>MV-4400-150025</t>
  </si>
  <si>
    <t xml:space="preserve">   이중보온관 용접(MITER)</t>
  </si>
  <si>
    <t xml:space="preserve"> 'PE용접:'~S4830-750.T~ / L = ?[1]+</t>
  </si>
  <si>
    <t>BEND(11.25˚)-3D</t>
  </si>
  <si>
    <t>SZD0002-200</t>
  </si>
  <si>
    <t>MV-4300-100040</t>
  </si>
  <si>
    <t>MV-4400-150025</t>
  </si>
  <si>
    <t>9410</t>
  </si>
  <si>
    <t>3810</t>
  </si>
  <si>
    <t xml:space="preserve"> 1. 수소+질소</t>
  </si>
  <si>
    <t xml:space="preserve">1103_1_1 = </t>
  </si>
  <si>
    <t>파이프텍</t>
  </si>
  <si>
    <t>450A</t>
  </si>
  <si>
    <t>S02W30080</t>
  </si>
  <si>
    <t>450A</t>
  </si>
  <si>
    <t>S02W12580</t>
  </si>
  <si>
    <t>14110</t>
  </si>
  <si>
    <t>MU00450-650A</t>
  </si>
  <si>
    <t>2410</t>
  </si>
  <si>
    <t xml:space="preserve">    '손료:' ~MV-8200~ * (1200+1067+700) * 0.0000001 * 8 'hr' * 25'일'=?EQ1'원/월'</t>
  </si>
  <si>
    <t>8810</t>
  </si>
  <si>
    <t>16850</t>
  </si>
  <si>
    <t xml:space="preserve">  기타사급자재 운반비반영 :  [2] * 1.097 =7,423.6</t>
  </si>
  <si>
    <t>MV-4400-032020</t>
  </si>
  <si>
    <t>4010</t>
  </si>
  <si>
    <t xml:space="preserve"> '4) PE 용접봉 :' 0.19 'kg' * ~M9021009~= ?MA1+</t>
  </si>
  <si>
    <t>용접봉(스테인리스강용)</t>
  </si>
  <si>
    <t>6950</t>
  </si>
  <si>
    <t>12510</t>
  </si>
  <si>
    <t>SD0001W0100</t>
  </si>
  <si>
    <t>MV-4400-032020</t>
  </si>
  <si>
    <t>6775</t>
  </si>
  <si>
    <t xml:space="preserve">       '비 계 공 :'~L001010101000006~ * 5 / 450 * 2.0 '인/TON'= ?LA1+'원/t'</t>
  </si>
  <si>
    <t>2330</t>
  </si>
  <si>
    <t xml:space="preserve">   부단수 천공(차단)</t>
  </si>
  <si>
    <t>No.856  L-O-R PLUG마감 용접</t>
  </si>
  <si>
    <t>14630</t>
  </si>
  <si>
    <t xml:space="preserve">  PE용접: 3,516,529 / L = 220,333.7</t>
  </si>
  <si>
    <t xml:space="preserve"> 1.운반비</t>
  </si>
  <si>
    <t>MV-4300-300065</t>
  </si>
  <si>
    <t>MV-4300-150150</t>
  </si>
  <si>
    <t>TM-700-250</t>
  </si>
  <si>
    <t>30</t>
  </si>
  <si>
    <t xml:space="preserve">    '경  비:' ~E00002104001000000.E~ * 7.2 / 60 = ?EQ1+</t>
  </si>
  <si>
    <t>12230</t>
  </si>
  <si>
    <t xml:space="preserve">    '재료비:' ~E00002104002500000.M~ * 18 / 60 = ?MA1+</t>
  </si>
  <si>
    <t>4730</t>
  </si>
  <si>
    <t>MV-4300-150150</t>
  </si>
  <si>
    <t>MV-4300-300065</t>
  </si>
  <si>
    <t>531</t>
  </si>
  <si>
    <t xml:space="preserve">1479_1_1+ = </t>
  </si>
  <si>
    <t>30</t>
  </si>
  <si>
    <t xml:space="preserve"> - 총 작업시간(Q)</t>
  </si>
  <si>
    <t>16690</t>
  </si>
  <si>
    <t>MV-9960-007-100</t>
  </si>
  <si>
    <t>7270</t>
  </si>
  <si>
    <t>MV-4700-000400</t>
  </si>
  <si>
    <t>11770</t>
  </si>
  <si>
    <t>MV-5000-03280</t>
  </si>
  <si>
    <t>S02002M750YA</t>
  </si>
  <si>
    <t xml:space="preserve">804_1_1+ = </t>
  </si>
  <si>
    <t>9330</t>
  </si>
  <si>
    <t>MV-4300-300080</t>
  </si>
  <si>
    <t>6790</t>
  </si>
  <si>
    <t>S02001W550YA</t>
  </si>
  <si>
    <t>S4840-400</t>
  </si>
  <si>
    <t>MV-4300-300080</t>
  </si>
  <si>
    <t>MV-4700-000400</t>
  </si>
  <si>
    <t>10290</t>
  </si>
  <si>
    <t>200A,60t(직관부)</t>
  </si>
  <si>
    <t>650x250A</t>
  </si>
  <si>
    <t>700A</t>
  </si>
  <si>
    <t>S01000W750</t>
  </si>
  <si>
    <t>MV-4500-150100</t>
  </si>
  <si>
    <t>9450</t>
  </si>
  <si>
    <t>3850</t>
  </si>
  <si>
    <t>700A</t>
  </si>
  <si>
    <t xml:space="preserve">1735_1_1 = </t>
  </si>
  <si>
    <t>MV-4400-150065</t>
  </si>
  <si>
    <t>재료비</t>
  </si>
  <si>
    <t>MU00450-500A</t>
  </si>
  <si>
    <t>특급기술자</t>
  </si>
  <si>
    <t>MV-5100-40080</t>
  </si>
  <si>
    <t xml:space="preserve">   CONN V/V 설치</t>
  </si>
  <si>
    <t>월</t>
  </si>
  <si>
    <t>S024W02580</t>
  </si>
  <si>
    <t>650x250A</t>
  </si>
  <si>
    <t>MV-4400-300150</t>
  </si>
  <si>
    <t>11010</t>
  </si>
  <si>
    <t>13950</t>
  </si>
  <si>
    <t>MV-4400-150065</t>
  </si>
  <si>
    <t>MV-4400-300150</t>
  </si>
  <si>
    <t>MV-4500-150100</t>
  </si>
  <si>
    <t xml:space="preserve"> 전력케이블 설치</t>
  </si>
  <si>
    <t>7510</t>
  </si>
  <si>
    <t>S02W50080YA</t>
  </si>
  <si>
    <t>S024W20080</t>
  </si>
  <si>
    <t xml:space="preserve"> '6) 공장보온재 :' 2.992 'm' * ~MU00450-500A~ = ?MA1+</t>
  </si>
  <si>
    <t>250x50A</t>
  </si>
  <si>
    <t>PL-1000</t>
  </si>
  <si>
    <t>MV-4300-700350</t>
  </si>
  <si>
    <t>#61 PE용접 | 250A|개소</t>
  </si>
  <si>
    <t>'보  통  인  부 :'  0.01331 * TOT("L001010101000002") * 96'm'  * 0.80  * 0.5 =?LA3+</t>
  </si>
  <si>
    <t>250x50A</t>
  </si>
  <si>
    <t>4050</t>
  </si>
  <si>
    <t>350x350A</t>
  </si>
  <si>
    <t>MV-5000-15080</t>
  </si>
  <si>
    <t>6910</t>
  </si>
  <si>
    <t xml:space="preserve">    0.554 '인' * Q * ~L001010101000003~ = ?LA2+</t>
  </si>
  <si>
    <t>12550</t>
  </si>
  <si>
    <t>T</t>
  </si>
  <si>
    <t>14150</t>
  </si>
  <si>
    <t>MV-4400-150080</t>
  </si>
  <si>
    <t>No.877 L-O-R PLUG마감 용접</t>
  </si>
  <si>
    <t>S024W08060</t>
  </si>
  <si>
    <t>QUS2WON</t>
  </si>
  <si>
    <t>2450</t>
  </si>
  <si>
    <t>S00000A350</t>
  </si>
  <si>
    <t>8850</t>
  </si>
  <si>
    <t>16810</t>
  </si>
  <si>
    <t>MV-4300-700350</t>
  </si>
  <si>
    <t>MV-4400-150080</t>
  </si>
  <si>
    <t>350x350A</t>
  </si>
  <si>
    <t>MV-4300-065065</t>
  </si>
  <si>
    <t>S02002W350YA</t>
  </si>
  <si>
    <t>13130</t>
  </si>
  <si>
    <t>11870</t>
  </si>
  <si>
    <t>S00000A500YA</t>
  </si>
  <si>
    <t>5430</t>
  </si>
  <si>
    <t>S024W25040</t>
  </si>
  <si>
    <t>S13030W200</t>
  </si>
  <si>
    <t>550A,40t(직관부)</t>
  </si>
  <si>
    <t>16990</t>
  </si>
  <si>
    <t>MV-5100-45040</t>
  </si>
  <si>
    <t>MV-5100-50060</t>
  </si>
  <si>
    <t>MV-4400-150100</t>
  </si>
  <si>
    <t>MV-4400-020020</t>
  </si>
  <si>
    <t>ST0000TW250</t>
  </si>
  <si>
    <t>6890</t>
  </si>
  <si>
    <t>S024W12560</t>
  </si>
  <si>
    <t>MV-4000-150</t>
  </si>
  <si>
    <t>3030</t>
  </si>
  <si>
    <t>S4830-300</t>
  </si>
  <si>
    <t>15530</t>
  </si>
  <si>
    <t>'전력케이블 철거 : 전력케이블 설치 인건비의 50% 적용'</t>
  </si>
  <si>
    <t>25A(보온두께 30mm이하)</t>
  </si>
  <si>
    <t xml:space="preserve">116_1_1+ = </t>
  </si>
  <si>
    <t>MV-4300-065065</t>
  </si>
  <si>
    <t>MV-4400-020020</t>
  </si>
  <si>
    <t>MV-4400-150100</t>
  </si>
  <si>
    <t>MV-4000-150</t>
  </si>
  <si>
    <t>S024W30060</t>
  </si>
  <si>
    <t>SS00200W650</t>
  </si>
  <si>
    <t>7490</t>
  </si>
  <si>
    <t>S02003W040YA</t>
  </si>
  <si>
    <t xml:space="preserve">   함석보온</t>
  </si>
  <si>
    <t>SD0001W0025</t>
  </si>
  <si>
    <t>11190</t>
  </si>
  <si>
    <t>8030</t>
  </si>
  <si>
    <t>개소</t>
  </si>
  <si>
    <t>16070</t>
  </si>
  <si>
    <t>SZD0001-700</t>
  </si>
  <si>
    <t>550x450A</t>
  </si>
  <si>
    <t>No.883  L-O-R PLUG마감 용접</t>
  </si>
  <si>
    <t>MV-5000-05060</t>
  </si>
  <si>
    <t>MV-5000-10040</t>
  </si>
  <si>
    <t>14930</t>
  </si>
  <si>
    <t xml:space="preserve">  3) 특별인부 :</t>
  </si>
  <si>
    <t>6170</t>
  </si>
  <si>
    <t xml:space="preserve">MAA+ = </t>
  </si>
  <si>
    <t>300A,80t(직관부)</t>
  </si>
  <si>
    <t>4830</t>
  </si>
  <si>
    <t>MV-4300-650650</t>
  </si>
  <si>
    <t>S02000W350</t>
  </si>
  <si>
    <t>10470</t>
  </si>
  <si>
    <t>MV-4300-550300</t>
  </si>
  <si>
    <t>MV-4300-650650</t>
  </si>
  <si>
    <t xml:space="preserve">1258_1_1+ = </t>
  </si>
  <si>
    <t>550x450A</t>
  </si>
  <si>
    <t>MV-4300-550300</t>
  </si>
  <si>
    <t>내선전공</t>
  </si>
  <si>
    <t>10310</t>
  </si>
  <si>
    <t>150A,80t(곡관부)</t>
  </si>
  <si>
    <t xml:space="preserve">    ' 보통인부 :' 2.0'인' * ~L001010101000002~ * (CM + 6 ) / 60 / 8 = ?la1+</t>
  </si>
  <si>
    <t>6610</t>
  </si>
  <si>
    <t>MV-4300-300100</t>
  </si>
  <si>
    <t xml:space="preserve">   플랜트배관공</t>
  </si>
  <si>
    <t>No.873 STOPPLE FITTING 용접</t>
  </si>
  <si>
    <t>MV-4400-100050</t>
  </si>
  <si>
    <t>MV-4800-000200</t>
  </si>
  <si>
    <t>200A(10% 할증)</t>
  </si>
  <si>
    <t xml:space="preserve"> '1) POLYOL :' 1.44 'kg' * ~MU-001~ = ?MA1+</t>
  </si>
  <si>
    <t xml:space="preserve">36_1_1 = </t>
  </si>
  <si>
    <t>MV-4300-300100</t>
  </si>
  <si>
    <t>MV-4400-100050</t>
  </si>
  <si>
    <t>MV-4800-000200</t>
  </si>
  <si>
    <t>8750</t>
  </si>
  <si>
    <t>MV-4200-300</t>
  </si>
  <si>
    <t>MV-6000-025</t>
  </si>
  <si>
    <t>MV-4200-300</t>
  </si>
  <si>
    <t>16710</t>
  </si>
  <si>
    <t>No.872 STOPPLE FITTING 및 SANDWICH V/V설치</t>
  </si>
  <si>
    <t>S02002M700</t>
  </si>
  <si>
    <t xml:space="preserve">    1.274 '인' * Q * ~L001010101000044~ = ?LA2+</t>
  </si>
  <si>
    <t xml:space="preserve"> ◈ PE용접 650A / M</t>
  </si>
  <si>
    <t xml:space="preserve"> * 예열기 1대 + 발전기 1대 = 총 2대</t>
  </si>
  <si>
    <t xml:space="preserve">.sang=1286,jung=786,kwan=504_x000D_
</t>
  </si>
  <si>
    <t>MV-4500-650600</t>
  </si>
  <si>
    <t>MV-4600-000400</t>
  </si>
  <si>
    <t>'◈ 자재운반 32A  / M'</t>
  </si>
  <si>
    <t>15250</t>
  </si>
  <si>
    <t xml:space="preserve">   열수축슬리브 단열보온(야간)</t>
  </si>
  <si>
    <t>S02W25080YA</t>
  </si>
  <si>
    <t>3750</t>
  </si>
  <si>
    <t>5350</t>
  </si>
  <si>
    <t xml:space="preserve"> '야적장 ------------------------------ 현장'</t>
  </si>
  <si>
    <t>TM-700-125Y</t>
  </si>
  <si>
    <t>25A</t>
  </si>
  <si>
    <t>13650</t>
  </si>
  <si>
    <t>'1. D/T 2.5ton'   '(2021 건설공사 표준품셈 P354 덤프트럭2.5TON의 손료 준용)'</t>
  </si>
  <si>
    <t xml:space="preserve">344_1_1+ = </t>
  </si>
  <si>
    <t>No.812  HOT TAPPING</t>
  </si>
  <si>
    <t>700A,40t(곡관부)</t>
  </si>
  <si>
    <t>MV-4300-500250</t>
  </si>
  <si>
    <t>MV-4500-650600</t>
  </si>
  <si>
    <t>MV-4600-000400</t>
  </si>
  <si>
    <t>MV-4300-500250</t>
  </si>
  <si>
    <t>S02001W550</t>
  </si>
  <si>
    <t>25A</t>
  </si>
  <si>
    <t>'◈ PE용접 350A / M'</t>
  </si>
  <si>
    <t>M9327003</t>
  </si>
  <si>
    <t>40A x 40t</t>
  </si>
  <si>
    <t>3070</t>
  </si>
  <si>
    <t>S00000W450YA</t>
  </si>
  <si>
    <t>1198</t>
  </si>
  <si>
    <t>질소</t>
  </si>
  <si>
    <t>15570</t>
  </si>
  <si>
    <t>S02003W250YA</t>
  </si>
  <si>
    <t>SD0001W0080</t>
  </si>
  <si>
    <t>MV-9960-001-550</t>
  </si>
  <si>
    <t xml:space="preserve"> ◈ PE용접 50A / 개소</t>
  </si>
  <si>
    <t>S02W08080</t>
  </si>
  <si>
    <t>12490</t>
  </si>
  <si>
    <t>'◈ 자재운반 40A  / M'</t>
  </si>
  <si>
    <t>MV-5000-06560</t>
  </si>
  <si>
    <t>S02002M020</t>
  </si>
  <si>
    <t>TM-410-250</t>
  </si>
  <si>
    <t>4190</t>
  </si>
  <si>
    <t>TM-500-125</t>
  </si>
  <si>
    <t>2590</t>
  </si>
  <si>
    <t>MV-4810-000250</t>
  </si>
  <si>
    <t>8990</t>
  </si>
  <si>
    <t xml:space="preserve">            계</t>
  </si>
  <si>
    <t>S1303W050</t>
  </si>
  <si>
    <t>14090</t>
  </si>
  <si>
    <t>'재료비:' MA("E00007505025000000") * 1.0 / F =?MA1+</t>
  </si>
  <si>
    <t>S02W30080YA</t>
  </si>
  <si>
    <t>MV-4300-065025</t>
  </si>
  <si>
    <t>13170</t>
  </si>
  <si>
    <t>*</t>
  </si>
  <si>
    <t xml:space="preserve">    0.464 '인' * Q * ~L001010101000003~ = ?LA2+</t>
  </si>
  <si>
    <t>MV-4300-050032</t>
  </si>
  <si>
    <t xml:space="preserve">   STOPPLE FITTING L-O-R PLUG 포함</t>
  </si>
  <si>
    <t>11830</t>
  </si>
  <si>
    <t>MV-4300-050032</t>
  </si>
  <si>
    <t>MV-4300-065025</t>
  </si>
  <si>
    <t>MV-4810-000250</t>
  </si>
  <si>
    <t>MV-6700-700</t>
  </si>
  <si>
    <t>5470</t>
  </si>
  <si>
    <t>9590</t>
  </si>
  <si>
    <t>3990</t>
  </si>
  <si>
    <t>S024W06580YA</t>
  </si>
  <si>
    <t>S02W20060</t>
  </si>
  <si>
    <t>'◈ PE용접 750A / M'</t>
  </si>
  <si>
    <t xml:space="preserve">   - CARGOTRUCK(8ton)</t>
  </si>
  <si>
    <t>S02W02560</t>
  </si>
  <si>
    <t>No.819 HOT TAPPING</t>
  </si>
  <si>
    <t>200A(VENT일체형)</t>
  </si>
  <si>
    <t>6130</t>
  </si>
  <si>
    <t>4870</t>
  </si>
  <si>
    <t>S024W04040</t>
  </si>
  <si>
    <t>10430</t>
  </si>
  <si>
    <t>8070</t>
  </si>
  <si>
    <t xml:space="preserve">796_1_1 = </t>
  </si>
  <si>
    <t>16030</t>
  </si>
  <si>
    <t xml:space="preserve">    소계</t>
  </si>
  <si>
    <t xml:space="preserve">2084_1_1 = </t>
  </si>
  <si>
    <t>S02W35040</t>
  </si>
  <si>
    <t>200A(VENT일체형)</t>
  </si>
  <si>
    <t>14970</t>
  </si>
  <si>
    <t>13890</t>
  </si>
  <si>
    <t>SD0001W0065</t>
  </si>
  <si>
    <t>MV-4500-032020</t>
  </si>
  <si>
    <t>S024W08080YA</t>
  </si>
  <si>
    <t>MV-4500-032020</t>
  </si>
  <si>
    <t>S13030W125YA</t>
  </si>
  <si>
    <t>S1303W125YA</t>
  </si>
  <si>
    <t>8710</t>
  </si>
  <si>
    <t>MV-9960-004-400</t>
  </si>
  <si>
    <t xml:space="preserve">496_1_1 = </t>
  </si>
  <si>
    <t>16750</t>
  </si>
  <si>
    <t>MV-4400-350125</t>
  </si>
  <si>
    <t>S13030W300YA</t>
  </si>
  <si>
    <t>SC0608W080YA</t>
  </si>
  <si>
    <t>S1303W300YA</t>
  </si>
  <si>
    <t xml:space="preserve">   이중보온관 보온재철거(야간)</t>
  </si>
  <si>
    <t xml:space="preserve">  PE용접: 1,102,332 / L = 82,202.2</t>
  </si>
  <si>
    <t xml:space="preserve">    0.288 '인' * Q * ~L001010101000043~ = ?LA2+</t>
  </si>
  <si>
    <t>MV-4100-750</t>
  </si>
  <si>
    <t>10350</t>
  </si>
  <si>
    <t>MV-4400-200032</t>
  </si>
  <si>
    <t>#75 공기압축기 | |일</t>
  </si>
  <si>
    <t>MV-4400-200032</t>
  </si>
  <si>
    <t>MV-4400-350125</t>
  </si>
  <si>
    <t>6650</t>
  </si>
  <si>
    <t>MV-4100-750</t>
  </si>
  <si>
    <t>MV-6000-065</t>
  </si>
  <si>
    <t>MV-6500-550</t>
  </si>
  <si>
    <t xml:space="preserve">1408_1_1+ = </t>
  </si>
  <si>
    <t xml:space="preserve">    1.107 '인' * Q * ~L001010101000044~ = ?LA2+</t>
  </si>
  <si>
    <t>700x250A</t>
  </si>
  <si>
    <t xml:space="preserve">  '- 트CARGOTRUCK(8ton)'</t>
  </si>
  <si>
    <t>5310</t>
  </si>
  <si>
    <t>13610</t>
  </si>
  <si>
    <t>#46 PE용접(M당) | 600A|M</t>
  </si>
  <si>
    <t>S130301X250</t>
  </si>
  <si>
    <t>15210</t>
  </si>
  <si>
    <t>700x250A</t>
  </si>
  <si>
    <t>3710</t>
  </si>
  <si>
    <t>SZE0001-750</t>
  </si>
  <si>
    <t>No.719 부단수 천공(차단)</t>
  </si>
  <si>
    <t xml:space="preserve">1325_1_1 = </t>
  </si>
  <si>
    <t>MV-6000-080</t>
  </si>
  <si>
    <t>6810</t>
  </si>
  <si>
    <t>S02W08040</t>
  </si>
  <si>
    <t>250x40A</t>
  </si>
  <si>
    <t>12450</t>
  </si>
  <si>
    <t>4150</t>
  </si>
  <si>
    <t>250x40A</t>
  </si>
  <si>
    <t xml:space="preserve">  '- 배치인원 : 보통인부 2인(적용시간 : 운반시간 + CRANE 자리잡기)'</t>
  </si>
  <si>
    <t xml:space="preserve">   발전기</t>
  </si>
  <si>
    <t>MV-4300-700250</t>
  </si>
  <si>
    <t>S02W20040YA</t>
  </si>
  <si>
    <t>SD0001W0040</t>
  </si>
  <si>
    <t>2550</t>
  </si>
  <si>
    <t>경비단가소숫점</t>
  </si>
  <si>
    <t>16910</t>
  </si>
  <si>
    <t>8950</t>
  </si>
  <si>
    <t>S00000A250</t>
  </si>
  <si>
    <t>14050</t>
  </si>
  <si>
    <t>노임할증계수(터널구간:주야간)</t>
  </si>
  <si>
    <t>MV-4300-700250</t>
  </si>
  <si>
    <t>150A</t>
  </si>
  <si>
    <t xml:space="preserve"> ◈산근  자재운반 600A  / M</t>
  </si>
  <si>
    <t>MV-7100-002</t>
  </si>
  <si>
    <t>S024W04080</t>
  </si>
  <si>
    <t>9550</t>
  </si>
  <si>
    <t>150x125A</t>
  </si>
  <si>
    <t>3950</t>
  </si>
  <si>
    <t>S01000W650</t>
  </si>
  <si>
    <t>95050017351</t>
  </si>
  <si>
    <t>환율(사용자 환율2)</t>
  </si>
  <si>
    <t>13850</t>
  </si>
  <si>
    <t>일위대가목록</t>
  </si>
  <si>
    <t>650x400A</t>
  </si>
  <si>
    <t>7410</t>
  </si>
  <si>
    <t xml:space="preserve">    '경유:' ~M9366017~ * 3 =?MA1+'원/일'</t>
  </si>
  <si>
    <t>QDECCEQ</t>
  </si>
  <si>
    <t>MU00450-350A</t>
  </si>
  <si>
    <t>11110</t>
  </si>
  <si>
    <t>MV-4400-300050</t>
  </si>
  <si>
    <t>#8 자재운반(야적--&gt;현장) | 400A|m</t>
  </si>
  <si>
    <t>노임할증계수(장대터널:주간)</t>
  </si>
  <si>
    <t>저유황(0.05%) 주유소</t>
  </si>
  <si>
    <t>150A</t>
  </si>
  <si>
    <t>MV-4300-100100</t>
  </si>
  <si>
    <t>TM-500-100</t>
  </si>
  <si>
    <t xml:space="preserve"> '4) PE 용접봉 :' 0.51 'kg' * ~M9021009~= ?MA1+</t>
  </si>
  <si>
    <t>SZH0001-450</t>
  </si>
  <si>
    <t>S02W35080</t>
  </si>
  <si>
    <t>95050017351</t>
  </si>
  <si>
    <t>QCODE</t>
  </si>
  <si>
    <t>36</t>
  </si>
  <si>
    <t>GUP0001C</t>
  </si>
  <si>
    <t>11670</t>
  </si>
  <si>
    <t>S02W45060YA</t>
  </si>
  <si>
    <t>125A,60t(직관부)</t>
  </si>
  <si>
    <t>7370</t>
  </si>
  <si>
    <t xml:space="preserve">   m당 금액 :  [1] /12 = 6,767.3</t>
  </si>
  <si>
    <t xml:space="preserve">    '재료비:' ~E00002104002000000.M~ * 9 / 60 = ?MA1+</t>
  </si>
  <si>
    <t>MV-4700-000500</t>
  </si>
  <si>
    <t>32A(부설의 40%)</t>
  </si>
  <si>
    <t>MV-4300-750300</t>
  </si>
  <si>
    <t xml:space="preserve">    '경  비:' ~E00000602008000000.E~ * CM / 60 = ?EQ1+</t>
  </si>
  <si>
    <t>16790</t>
  </si>
  <si>
    <t>10390</t>
  </si>
  <si>
    <t>400x150A</t>
  </si>
  <si>
    <t>S4840-500</t>
  </si>
  <si>
    <t xml:space="preserve">1880_1_1 = </t>
  </si>
  <si>
    <t xml:space="preserve">EQ1 = </t>
  </si>
  <si>
    <t xml:space="preserve">    0.502 '인' * Q * ~L001010101000003~ = ?LA2+</t>
  </si>
  <si>
    <t>GUP0001C</t>
  </si>
  <si>
    <t>6690</t>
  </si>
  <si>
    <t>광명단조합페인트</t>
  </si>
  <si>
    <t>MV-4300-750300</t>
  </si>
  <si>
    <t>MV-4700-000500</t>
  </si>
  <si>
    <t>9230</t>
  </si>
  <si>
    <t>400x150A</t>
  </si>
  <si>
    <t xml:space="preserve">LA4+ = </t>
  </si>
  <si>
    <t>40x40A</t>
  </si>
  <si>
    <t xml:space="preserve">1807_1_1 = </t>
  </si>
  <si>
    <t xml:space="preserve">MA2 = </t>
  </si>
  <si>
    <t>14730</t>
  </si>
  <si>
    <t>건설부분</t>
  </si>
  <si>
    <t xml:space="preserve">   커터손율</t>
  </si>
  <si>
    <t>#72 점검운반차량 | (km)|km</t>
  </si>
  <si>
    <t>4630</t>
  </si>
  <si>
    <t>견단/광일케미스틸/</t>
  </si>
  <si>
    <t>12330</t>
  </si>
  <si>
    <t>건설부분</t>
  </si>
  <si>
    <t>SC0608W350YA</t>
  </si>
  <si>
    <t>MV-4400-350100</t>
  </si>
  <si>
    <t>TM-700-350</t>
  </si>
  <si>
    <t>MV-4500-065050</t>
  </si>
  <si>
    <t>MV-4300-150050</t>
  </si>
  <si>
    <t>MV-4400-350100</t>
  </si>
  <si>
    <t>MV-4500-065050</t>
  </si>
  <si>
    <t>MU00240-450</t>
  </si>
  <si>
    <t>MV-6000-040</t>
  </si>
  <si>
    <t>MV-4300-150050</t>
  </si>
  <si>
    <t>40x40A</t>
  </si>
  <si>
    <t>2510</t>
  </si>
  <si>
    <t>S024W25080</t>
  </si>
  <si>
    <t>16950</t>
  </si>
  <si>
    <t>200A</t>
  </si>
  <si>
    <t>8910</t>
  </si>
  <si>
    <t>14010</t>
  </si>
  <si>
    <t xml:space="preserve">1629_1_1 = </t>
  </si>
  <si>
    <t>750A,60t(직관부)</t>
  </si>
  <si>
    <t>석동선</t>
  </si>
  <si>
    <t>40x32A</t>
  </si>
  <si>
    <t xml:space="preserve">    1.638 '인' * Q * ~L001010101000044~ = ?LA2+</t>
  </si>
  <si>
    <t>MV-5100-45080</t>
  </si>
  <si>
    <t>750A (관경 800mm 준용)</t>
  </si>
  <si>
    <t>40x32A</t>
  </si>
  <si>
    <t xml:space="preserve">   m당 금액 :  [1] /12 = 2,192.6</t>
  </si>
  <si>
    <t>200A</t>
  </si>
  <si>
    <t xml:space="preserve">112_1_1+ = </t>
  </si>
  <si>
    <t>6850</t>
  </si>
  <si>
    <t>12410</t>
  </si>
  <si>
    <t>4110</t>
  </si>
  <si>
    <t>QLINCY</t>
  </si>
  <si>
    <t xml:space="preserve">ton   </t>
  </si>
  <si>
    <t>F/M1</t>
  </si>
  <si>
    <t>MV-9960-010-600</t>
  </si>
  <si>
    <t>MV-9960-010-600</t>
  </si>
  <si>
    <t>13810</t>
  </si>
  <si>
    <t xml:space="preserve"> ◈ PE용접 400A / M</t>
  </si>
  <si>
    <t>7450</t>
  </si>
  <si>
    <t>S02003W750</t>
  </si>
  <si>
    <t>MV-5000-10080</t>
  </si>
  <si>
    <t>11150</t>
  </si>
  <si>
    <t>65A,60t(곡관부)</t>
  </si>
  <si>
    <t>SZD0002-300</t>
  </si>
  <si>
    <t>S02W50060YA</t>
  </si>
  <si>
    <t>9510</t>
  </si>
  <si>
    <t xml:space="preserve">   용접기</t>
  </si>
  <si>
    <t>100x65A</t>
  </si>
  <si>
    <t>MV-4300-065040</t>
  </si>
  <si>
    <t>3910</t>
  </si>
  <si>
    <t>QDECPLA</t>
  </si>
  <si>
    <t>S02002W080YA</t>
  </si>
  <si>
    <t xml:space="preserve">1099_1_1+ = </t>
  </si>
  <si>
    <t>100x65A</t>
  </si>
  <si>
    <t>MV-4400-150125</t>
  </si>
  <si>
    <t>MV-4300-065040</t>
  </si>
  <si>
    <t>MV-4400-150125</t>
  </si>
  <si>
    <t>S00000W200</t>
  </si>
  <si>
    <t>9270</t>
  </si>
  <si>
    <t>SC0608W700</t>
  </si>
  <si>
    <t>'보  통  인  부 :'  0.01331 * TOT("L001010101000002") * 48'm'  * 0.80  =?LA2+</t>
  </si>
  <si>
    <t xml:space="preserve">   이중보온관 철거</t>
  </si>
  <si>
    <t>S4840-032</t>
  </si>
  <si>
    <t>S6013W200</t>
  </si>
  <si>
    <t xml:space="preserve"> '2) MDI :' 4.44 'kg' * ~MU-002~  = ?MA1+</t>
  </si>
  <si>
    <t>8790</t>
  </si>
  <si>
    <t xml:space="preserve"> '6) 공장보온재 :' 2.992 'm' * ~MU00450-050A~ = ?MA1+</t>
  </si>
  <si>
    <t>11630</t>
  </si>
  <si>
    <t>MV-4700-000032</t>
  </si>
  <si>
    <t>금액계상</t>
  </si>
  <si>
    <t>No.714  부단수 천공(차단)</t>
  </si>
  <si>
    <t xml:space="preserve">MA5+ = </t>
  </si>
  <si>
    <t>MV-4700-000032</t>
  </si>
  <si>
    <t>7330</t>
  </si>
  <si>
    <t>KMC</t>
  </si>
  <si>
    <t xml:space="preserve">    0.606 '인' * Q * ~L001010101000003~ = ?LA2+</t>
  </si>
  <si>
    <t>S02001W500YA</t>
  </si>
  <si>
    <t>250x32A</t>
  </si>
  <si>
    <t>300x40A</t>
  </si>
  <si>
    <t>15290</t>
  </si>
  <si>
    <t>3790</t>
  </si>
  <si>
    <t>'◈ PE용접 80A / M'</t>
  </si>
  <si>
    <t>S02002W150</t>
  </si>
  <si>
    <t>4670</t>
  </si>
  <si>
    <t>재 료 비</t>
  </si>
  <si>
    <t>250x32A</t>
  </si>
  <si>
    <t>재 료 비</t>
  </si>
  <si>
    <t>12370</t>
  </si>
  <si>
    <t>450A(1㎞*2열)</t>
  </si>
  <si>
    <t>'◈ PE용접 650A / 개소'</t>
  </si>
  <si>
    <t>S02002M700YA</t>
  </si>
  <si>
    <t>#6 자재운반(야적--&gt;현장) | 500A|m</t>
  </si>
  <si>
    <t>500A,60t(곡관부)</t>
  </si>
  <si>
    <t>14770</t>
  </si>
  <si>
    <t>300x40A</t>
  </si>
  <si>
    <t>2270</t>
  </si>
  <si>
    <t xml:space="preserve"> ◈산근  자재운반 200A  / M</t>
  </si>
  <si>
    <t>경비금액소숫점</t>
  </si>
  <si>
    <t>5390</t>
  </si>
  <si>
    <t>MV-4300-300125</t>
  </si>
  <si>
    <t xml:space="preserve">340_1_1+ = </t>
  </si>
  <si>
    <t>400x200A</t>
  </si>
  <si>
    <t>S02W35040YA</t>
  </si>
  <si>
    <t>13690</t>
  </si>
  <si>
    <t>MV-4300-300125</t>
  </si>
  <si>
    <t>400x200A</t>
  </si>
  <si>
    <t>시간당노임산출계수(장대터널)</t>
  </si>
  <si>
    <t xml:space="preserve">  4) 보통인부 :</t>
  </si>
  <si>
    <t>S024W40060</t>
  </si>
  <si>
    <t>M4507021</t>
  </si>
  <si>
    <t>2640</t>
  </si>
  <si>
    <t>L001010101000075</t>
  </si>
  <si>
    <t>MV-5100-02560</t>
  </si>
  <si>
    <t>MV-5100-20060</t>
  </si>
  <si>
    <t>MV-5100-35040</t>
  </si>
  <si>
    <t>14340</t>
  </si>
  <si>
    <t xml:space="preserve">  'm당 금액 :' {[1]} /12 = ?[2]</t>
  </si>
  <si>
    <t>S02W65080YA</t>
  </si>
  <si>
    <t>12740</t>
  </si>
  <si>
    <t>S024W55040</t>
  </si>
  <si>
    <t xml:space="preserve">1807_1_1+ = </t>
  </si>
  <si>
    <t>'◈ PE용접 350A / 개소'</t>
  </si>
  <si>
    <t>MV-4400-050020</t>
  </si>
  <si>
    <t>S00000A025YA</t>
  </si>
  <si>
    <t>400A(1㎞*2열)</t>
  </si>
  <si>
    <t>4240</t>
  </si>
  <si>
    <t>S02002W450YA</t>
  </si>
  <si>
    <t>SHEET METAL SCREW</t>
  </si>
  <si>
    <t>MV-4400-050020</t>
  </si>
  <si>
    <t>SD0001W0350</t>
  </si>
  <si>
    <t>S00000A200YA</t>
  </si>
  <si>
    <t>M4507021</t>
  </si>
  <si>
    <t xml:space="preserve">    0.795 '인' * Q * ~L001010101000003~ = ?LA2+</t>
  </si>
  <si>
    <t xml:space="preserve">    0.338 '인' * Q * ~L001010101000003~ = ?LA2+</t>
  </si>
  <si>
    <t>MV-9960-010-550</t>
  </si>
  <si>
    <t>MV-5100-08080</t>
  </si>
  <si>
    <t xml:space="preserve">644_1_1 = </t>
  </si>
  <si>
    <t>7700</t>
  </si>
  <si>
    <t>100x50A</t>
  </si>
  <si>
    <t>MV-4500-040025</t>
  </si>
  <si>
    <t>S02003W400</t>
  </si>
  <si>
    <t>11200</t>
  </si>
  <si>
    <t>MV-5000-75060</t>
  </si>
  <si>
    <t>MV-4400-125040</t>
  </si>
  <si>
    <t>MV-4500-040025</t>
  </si>
  <si>
    <t>MV-5000-60040</t>
  </si>
  <si>
    <t>MV-5000-75060</t>
  </si>
  <si>
    <t>MV-5100-08080</t>
  </si>
  <si>
    <t>MV-9960-010-550</t>
  </si>
  <si>
    <t>G004</t>
  </si>
  <si>
    <t xml:space="preserve">    '재료비:' ~E00002104001000000.M~ * 7.2 / 60 = ?MA1+</t>
  </si>
  <si>
    <t>MV-5000-60040</t>
  </si>
  <si>
    <t xml:space="preserve">  PE용접: 695,841 / L = 54,404.9</t>
  </si>
  <si>
    <t>ST0000TW125</t>
  </si>
  <si>
    <t xml:space="preserve">   FOAM PAD 설치</t>
  </si>
  <si>
    <t>9640</t>
  </si>
  <si>
    <t>100x50A</t>
  </si>
  <si>
    <t>61450057017</t>
  </si>
  <si>
    <t>MV-4400-125040</t>
  </si>
  <si>
    <t>61450057017</t>
  </si>
  <si>
    <t>10080</t>
  </si>
  <si>
    <t xml:space="preserve">1404_1_1+ = </t>
  </si>
  <si>
    <t>견적단가2</t>
  </si>
  <si>
    <t>SC0608W450</t>
  </si>
  <si>
    <t>6580</t>
  </si>
  <si>
    <t>MV-4300-500125</t>
  </si>
  <si>
    <t>15820</t>
  </si>
  <si>
    <t xml:space="preserve">Q = </t>
  </si>
  <si>
    <t>S00000W150</t>
  </si>
  <si>
    <t>9120</t>
  </si>
  <si>
    <t>TM-408-300</t>
  </si>
  <si>
    <t>11560</t>
  </si>
  <si>
    <t>5920</t>
  </si>
  <si>
    <t>7060</t>
  </si>
  <si>
    <t>300 AmP</t>
  </si>
  <si>
    <t xml:space="preserve">2086_1_1+ = </t>
  </si>
  <si>
    <t>'내선전공 :' 0.102 * TOT("L001010101000075") * 4'개'  =?Laa:LA2</t>
  </si>
  <si>
    <t>MV-4300-500125</t>
  </si>
  <si>
    <t>16480</t>
  </si>
  <si>
    <t>4520</t>
  </si>
  <si>
    <t>G102</t>
  </si>
  <si>
    <t>10960</t>
  </si>
  <si>
    <t>12020</t>
  </si>
  <si>
    <t>'- 1회 작업시 크레인 작업시간: 총 6분/회'</t>
  </si>
  <si>
    <t>S024W02580YA</t>
  </si>
  <si>
    <t xml:space="preserve"> '3) 특별인부 :'</t>
  </si>
  <si>
    <t>S02002W200</t>
  </si>
  <si>
    <t>300x150A</t>
  </si>
  <si>
    <t xml:space="preserve"> '7) 석동선 :' 15.27 'm' * ~MU00460~ = ?MA1+</t>
  </si>
  <si>
    <t>SZD0003-650</t>
  </si>
  <si>
    <t>7980</t>
  </si>
  <si>
    <t xml:space="preserve">    '재료비:' ~E00002104001500000.M~ * 6 / 60 = ?MA1+</t>
  </si>
  <si>
    <t>14420</t>
  </si>
  <si>
    <t>MV-6000-350</t>
  </si>
  <si>
    <t>300x150A</t>
  </si>
  <si>
    <t>'◈ PE용접 700A / M'</t>
  </si>
  <si>
    <t>'◈수소+질소'</t>
  </si>
  <si>
    <t>80x80A</t>
  </si>
  <si>
    <t>MV-4500-080065</t>
  </si>
  <si>
    <t>550A,40t(곡관부)</t>
  </si>
  <si>
    <t>12700</t>
  </si>
  <si>
    <t>4200</t>
  </si>
  <si>
    <t>2600</t>
  </si>
  <si>
    <t>S00000A100</t>
  </si>
  <si>
    <t>14300</t>
  </si>
  <si>
    <t>명    칭</t>
  </si>
  <si>
    <t>S00000W350YA</t>
  </si>
  <si>
    <t>MV-4500-080065</t>
  </si>
  <si>
    <t>S02003W550YA</t>
  </si>
  <si>
    <t>80x80A</t>
  </si>
  <si>
    <t>9600</t>
  </si>
  <si>
    <t xml:space="preserve">1254_1_1+ = </t>
  </si>
  <si>
    <t>'◈ PE용접 300A / M'</t>
  </si>
  <si>
    <t>S01000W500</t>
  </si>
  <si>
    <t>#22 자재운반(야적--&gt;현장) | 20A|m</t>
  </si>
  <si>
    <t xml:space="preserve">   HOT TAPPING</t>
  </si>
  <si>
    <t>S02W45040</t>
  </si>
  <si>
    <t>MV-4400-300300</t>
  </si>
  <si>
    <t>300A,80t(곡관부)</t>
  </si>
  <si>
    <t>SZH0001-700</t>
  </si>
  <si>
    <t>TM-500-250</t>
  </si>
  <si>
    <t>TM-410-125</t>
  </si>
  <si>
    <t xml:space="preserve">   - 장비 조합: T/C 10ton + CARGOTRUCK 8ton</t>
  </si>
  <si>
    <t>S02W50060</t>
  </si>
  <si>
    <t xml:space="preserve"> ◈ PE용접 350A / M</t>
  </si>
  <si>
    <t>7740</t>
  </si>
  <si>
    <t>(15% 감)</t>
  </si>
  <si>
    <t>No.837  THREAD-O-RING NIPPLE  설치</t>
  </si>
  <si>
    <t xml:space="preserve">    '노무비:' ~E00002104001500000.L~ * 9 / 60 = ?LA1+</t>
  </si>
  <si>
    <t>MV-4400-300300</t>
  </si>
  <si>
    <t>11240</t>
  </si>
  <si>
    <t>150A,80t(직관부)</t>
  </si>
  <si>
    <t>2880</t>
  </si>
  <si>
    <t>8480</t>
  </si>
  <si>
    <t>300x200A</t>
  </si>
  <si>
    <t>MV-9960-007-350</t>
  </si>
  <si>
    <t>11520</t>
  </si>
  <si>
    <t xml:space="preserve">   m당 금액 :  [1] /12 = 1,839.6</t>
  </si>
  <si>
    <t>5960</t>
  </si>
  <si>
    <t>7020</t>
  </si>
  <si>
    <t>MV-4700-000650</t>
  </si>
  <si>
    <t>S13030W400YA</t>
  </si>
  <si>
    <t>15860</t>
  </si>
  <si>
    <t xml:space="preserve"> ◈점검운반차량(km)</t>
  </si>
  <si>
    <t xml:space="preserve">    0.757 '인' * Q * ~L001010101000003~ = ?LA2+</t>
  </si>
  <si>
    <t>S1303W400YA</t>
  </si>
  <si>
    <t>S130301X125</t>
  </si>
  <si>
    <t>9160</t>
  </si>
  <si>
    <t>S4840-650</t>
  </si>
  <si>
    <t xml:space="preserve">  기타사급자재 운반비반영 :  [2] * 1.097 =2,017.9</t>
  </si>
  <si>
    <t>MV-4700-000650</t>
  </si>
  <si>
    <t>200A(부설의 40%)</t>
  </si>
  <si>
    <t xml:space="preserve">    0.720 '인' * Q * ~L001010101000003~ = ?LA2+</t>
  </si>
  <si>
    <t>300x200A</t>
  </si>
  <si>
    <t>12980</t>
  </si>
  <si>
    <t xml:space="preserve">   PL BALL VAVLE 설치</t>
  </si>
  <si>
    <t>14460</t>
  </si>
  <si>
    <t>BEND(22.5˚)</t>
  </si>
  <si>
    <t>5080</t>
  </si>
  <si>
    <t xml:space="preserve">348_1_1+ = </t>
  </si>
  <si>
    <t>2.5ton</t>
  </si>
  <si>
    <t>'2. 잡재료'</t>
  </si>
  <si>
    <t>13580</t>
  </si>
  <si>
    <t>600x300A</t>
  </si>
  <si>
    <t>15180</t>
  </si>
  <si>
    <t>MV-4400-350250</t>
  </si>
  <si>
    <t>40A(보온두께 30mm이하)</t>
  </si>
  <si>
    <t>600x300A</t>
  </si>
  <si>
    <t>9880</t>
  </si>
  <si>
    <t>3480</t>
  </si>
  <si>
    <t>10 Ton</t>
  </si>
  <si>
    <t xml:space="preserve">LA5 = </t>
  </si>
  <si>
    <t>#3 자재운반(야적--&gt;현장) | 650A|m</t>
  </si>
  <si>
    <t>4560</t>
  </si>
  <si>
    <t>10920</t>
  </si>
  <si>
    <t>S02W70080YA</t>
  </si>
  <si>
    <t>700A,40t(직관부)</t>
  </si>
  <si>
    <t xml:space="preserve"> '2) MDI :' 47.04 'kg' * ~MU-002~  = ?MA1+</t>
  </si>
  <si>
    <t>MV-4400-350250</t>
  </si>
  <si>
    <t>12060</t>
  </si>
  <si>
    <t xml:space="preserve">1554_1_1 = </t>
  </si>
  <si>
    <t>80A x 40t</t>
  </si>
  <si>
    <t xml:space="preserve">   L-O-R PLUG마감 용접</t>
  </si>
  <si>
    <t>TM-410-100</t>
  </si>
  <si>
    <t>MV-9960-001-600</t>
  </si>
  <si>
    <t>750A,60t(곡관부)</t>
  </si>
  <si>
    <t>3320</t>
  </si>
  <si>
    <t xml:space="preserve">   '1일 이동 경비:' EQ1*0.008=?EQ3 '원/km'</t>
  </si>
  <si>
    <t xml:space="preserve">120_1_1 = </t>
  </si>
  <si>
    <t>15620</t>
  </si>
  <si>
    <t xml:space="preserve">  '- CARGOTRUCK(8ton)'</t>
  </si>
  <si>
    <t xml:space="preserve"> '2) MDI :' 30.84 'kg' * ~MU-002~  = ?MA1+</t>
  </si>
  <si>
    <t>13220</t>
  </si>
  <si>
    <t>MV-4400-125025</t>
  </si>
  <si>
    <t xml:space="preserve">  1.재료비</t>
  </si>
  <si>
    <t>MV-9960-001-600</t>
  </si>
  <si>
    <t>5720</t>
  </si>
  <si>
    <t>SZG0001-300</t>
  </si>
  <si>
    <t>S1303W300</t>
  </si>
  <si>
    <t>MV-4400-125025</t>
  </si>
  <si>
    <t>MV-6700-450</t>
  </si>
  <si>
    <t>중기주야간경비산출계수</t>
  </si>
  <si>
    <t>#64 PE용접 | 400A|개소</t>
  </si>
  <si>
    <t xml:space="preserve">1900_1_1+ = </t>
  </si>
  <si>
    <t>6260</t>
  </si>
  <si>
    <t xml:space="preserve"> ◈산근  자재운반 250A  / M</t>
  </si>
  <si>
    <t>11171</t>
  </si>
  <si>
    <t xml:space="preserve">   열수축슬리브 단열보온</t>
  </si>
  <si>
    <t>10760</t>
  </si>
  <si>
    <t>750x550A</t>
  </si>
  <si>
    <t>S02W45080</t>
  </si>
  <si>
    <t>S02W05060YA</t>
  </si>
  <si>
    <t xml:space="preserve">   Foam Pad(타원형)설치(야간)</t>
  </si>
  <si>
    <t xml:space="preserve">1250_1_1+ = </t>
  </si>
  <si>
    <t xml:space="preserve">1633_1_1+ = </t>
  </si>
  <si>
    <t>S00000W080YA</t>
  </si>
  <si>
    <t xml:space="preserve"> '6) 공장보온재 :' 2.992 'm' * ~MU00450-200A~ = ?MA1+</t>
  </si>
  <si>
    <t>65A,60t(직관부)</t>
  </si>
  <si>
    <t xml:space="preserve">    0.682 '인' * Q * ~L001010101000003~ = ?LA2+</t>
  </si>
  <si>
    <t xml:space="preserve">A                                                                                                   </t>
  </si>
  <si>
    <t>7780</t>
  </si>
  <si>
    <t>750x550A</t>
  </si>
  <si>
    <t>SS00200W032</t>
  </si>
  <si>
    <t>11280</t>
  </si>
  <si>
    <t xml:space="preserve">      '1) 트럭크레인 (10TON)'</t>
  </si>
  <si>
    <t>16360</t>
  </si>
  <si>
    <t>ma = TOT(20,30) * 0.15</t>
  </si>
  <si>
    <t>8320</t>
  </si>
  <si>
    <t>57</t>
  </si>
  <si>
    <t xml:space="preserve">876_1_1 = </t>
  </si>
  <si>
    <t xml:space="preserve">LA3+ = </t>
  </si>
  <si>
    <t>MV-9960-004-750</t>
  </si>
  <si>
    <t>TM-700-400Y</t>
  </si>
  <si>
    <t>2840</t>
  </si>
  <si>
    <t>16400</t>
  </si>
  <si>
    <t>8440</t>
  </si>
  <si>
    <t>10000</t>
  </si>
  <si>
    <t>6500</t>
  </si>
  <si>
    <t>MV-9960-004-750</t>
  </si>
  <si>
    <t>12940</t>
  </si>
  <si>
    <t>CONN V/V 자재 및 천공</t>
  </si>
  <si>
    <t xml:space="preserve">348_1_1 = </t>
  </si>
  <si>
    <t>MV-4100-400</t>
  </si>
  <si>
    <t>MV-6500-600</t>
  </si>
  <si>
    <t>MV-4100-400</t>
  </si>
  <si>
    <t>QEQTY1</t>
  </si>
  <si>
    <t>5040</t>
  </si>
  <si>
    <t>SC0608W450YA</t>
  </si>
  <si>
    <t>13540</t>
  </si>
  <si>
    <t>S130301X100</t>
  </si>
  <si>
    <t xml:space="preserve">    0.669 '인' * Q * ~L001010101000002~ = ?LA2+</t>
  </si>
  <si>
    <t>7900</t>
  </si>
  <si>
    <t>S02W60040YA</t>
  </si>
  <si>
    <t xml:space="preserve"> '2) MDI :' 1.68 'kg' * ~MU-002~  = ?MA1+</t>
  </si>
  <si>
    <t>500A,60t(직관부)</t>
  </si>
  <si>
    <t xml:space="preserve"> ◈ PE용접 100A / M</t>
  </si>
  <si>
    <t>80A(5% 할증)</t>
  </si>
  <si>
    <t>[3]'계'=?[]+</t>
  </si>
  <si>
    <t xml:space="preserve">T1 = </t>
  </si>
  <si>
    <t>15140</t>
  </si>
  <si>
    <t>9840</t>
  </si>
  <si>
    <t>3440</t>
  </si>
  <si>
    <t xml:space="preserve">M2    </t>
  </si>
  <si>
    <t>2680</t>
  </si>
  <si>
    <t>80A(부설의 40%)</t>
  </si>
  <si>
    <t>S13030W150</t>
  </si>
  <si>
    <t>750x600A</t>
  </si>
  <si>
    <t>'◈산근''자재운반 450A  / M'</t>
  </si>
  <si>
    <t>MV-4300-350300</t>
  </si>
  <si>
    <t>14380</t>
  </si>
  <si>
    <t>ST0000TW100</t>
  </si>
  <si>
    <t>MV-4500-125100</t>
  </si>
  <si>
    <t xml:space="preserve">M2    </t>
  </si>
  <si>
    <t>50x20A</t>
  </si>
  <si>
    <t>MV-4300-350300</t>
  </si>
  <si>
    <t>MV-4400-125065</t>
  </si>
  <si>
    <t>MV-4500-125100</t>
  </si>
  <si>
    <t>MV-4500-300200</t>
  </si>
  <si>
    <t>750x600A</t>
  </si>
  <si>
    <t>13260</t>
  </si>
  <si>
    <t>MV-4400-125065</t>
  </si>
  <si>
    <t>5760</t>
  </si>
  <si>
    <t>MV-4500-300200</t>
  </si>
  <si>
    <t>3360</t>
  </si>
  <si>
    <t>S4830-050</t>
  </si>
  <si>
    <t>50x20A</t>
  </si>
  <si>
    <t>MV-4000-200</t>
  </si>
  <si>
    <t xml:space="preserve"> ◈ PE용접 25A / 개소</t>
  </si>
  <si>
    <t>15660</t>
  </si>
  <si>
    <t>MV-5100-35080</t>
  </si>
  <si>
    <t xml:space="preserve">    0.198 '인' * Q * ~L001010101000003~ = ?LA2+</t>
  </si>
  <si>
    <t>화폐변환</t>
  </si>
  <si>
    <t>SZK000001</t>
  </si>
  <si>
    <t>S02W75040YA</t>
  </si>
  <si>
    <t>S024W55080</t>
  </si>
  <si>
    <t>12780</t>
  </si>
  <si>
    <t>MV-4000-200</t>
  </si>
  <si>
    <t>4280</t>
  </si>
  <si>
    <t>16320</t>
  </si>
  <si>
    <t>8360</t>
  </si>
  <si>
    <t>SZD0001-450</t>
  </si>
  <si>
    <t>SS00200W500</t>
  </si>
  <si>
    <t>MV-5000-60080</t>
  </si>
  <si>
    <t>MV-5100-08040</t>
  </si>
  <si>
    <t xml:space="preserve">    '정비비:' (~MV-8000~ * g ) / d2 =?EQ1+'원/일'</t>
  </si>
  <si>
    <t>9680</t>
  </si>
  <si>
    <t xml:space="preserve">    1.217 '인' * Q * ~L001010101000044~ = ?LA2+</t>
  </si>
  <si>
    <t>MV-4400-125080</t>
  </si>
  <si>
    <t>L001010101000050</t>
  </si>
  <si>
    <t xml:space="preserve">  PE용접: 4,579,407 / L = 269,060.2</t>
  </si>
  <si>
    <t>6220</t>
  </si>
  <si>
    <t>MV-4300-650500</t>
  </si>
  <si>
    <t>MV-4400-125080</t>
  </si>
  <si>
    <t>MV-4300-650500</t>
  </si>
  <si>
    <t>SS00200W500</t>
  </si>
  <si>
    <t>10720</t>
  </si>
  <si>
    <t xml:space="preserve">MA2+ = </t>
  </si>
  <si>
    <t>㎡</t>
  </si>
  <si>
    <t>#9 자재운반(야적--&gt;현장) | 350A|m</t>
  </si>
  <si>
    <t>MV-4300-300250</t>
  </si>
  <si>
    <t>QVER</t>
  </si>
  <si>
    <t>125A,60t(곡관부)</t>
  </si>
  <si>
    <t xml:space="preserve">MA+ = </t>
  </si>
  <si>
    <t xml:space="preserve"> ◈ PE용접 40A / M</t>
  </si>
  <si>
    <t>MV-4800-000150</t>
  </si>
  <si>
    <t>고급숙련기술자</t>
  </si>
  <si>
    <t>10040</t>
  </si>
  <si>
    <t xml:space="preserve">1400_1_1+ = </t>
  </si>
  <si>
    <t>6540</t>
  </si>
  <si>
    <t>12900</t>
  </si>
  <si>
    <t xml:space="preserve">416_1_1 = </t>
  </si>
  <si>
    <t>S02W10060YA</t>
  </si>
  <si>
    <t>2800</t>
  </si>
  <si>
    <t>S6014W200</t>
  </si>
  <si>
    <t>16440</t>
  </si>
  <si>
    <t>8400</t>
  </si>
  <si>
    <t xml:space="preserve"> '1) POLYOL :' 10.44 'kg' * ~MU-001~ = ?MA1+</t>
  </si>
  <si>
    <t>MV-4200-050</t>
  </si>
  <si>
    <t>TM-700-065</t>
  </si>
  <si>
    <t>S024W03240YA</t>
  </si>
  <si>
    <t>MV-4300-300250</t>
  </si>
  <si>
    <t>MV-4800-000150</t>
  </si>
  <si>
    <t>MV-4200-050</t>
  </si>
  <si>
    <t>MV-6600-250</t>
  </si>
  <si>
    <t xml:space="preserve">  기타사급자재 운반비반영 :  [2] * 1.097 =1,838.7</t>
  </si>
  <si>
    <t>15100</t>
  </si>
  <si>
    <t>TM-700-080</t>
  </si>
  <si>
    <t>TM-700-750Y</t>
  </si>
  <si>
    <t>9800</t>
  </si>
  <si>
    <t>125x100A</t>
  </si>
  <si>
    <t>3400</t>
  </si>
  <si>
    <t>500x350A</t>
  </si>
  <si>
    <t>S02002M450</t>
  </si>
  <si>
    <t xml:space="preserve">  PE용접: 4,033,411 / L = 245,043.0</t>
  </si>
  <si>
    <t>MV-4600-000750</t>
  </si>
  <si>
    <t>MV-4500-650550</t>
  </si>
  <si>
    <t>S02001W025YA</t>
  </si>
  <si>
    <t>500x350A</t>
  </si>
  <si>
    <t>S02001W600</t>
  </si>
  <si>
    <t>MV-4300-500100</t>
  </si>
  <si>
    <t>125x100A</t>
  </si>
  <si>
    <t xml:space="preserve"> ◈산근  자재운반 650A  / M</t>
  </si>
  <si>
    <t>5000</t>
  </si>
  <si>
    <t>S02001W200YA</t>
  </si>
  <si>
    <t>'◈ PE용접 32A / M'</t>
  </si>
  <si>
    <t>S024W12540YA</t>
  </si>
  <si>
    <t>MV-4300-600450</t>
  </si>
  <si>
    <t>MV-4300-080050</t>
  </si>
  <si>
    <t>MV-4300-080050</t>
  </si>
  <si>
    <t>MV-4300-500100</t>
  </si>
  <si>
    <t>MV-4300-600450</t>
  </si>
  <si>
    <t>MV-4500-650550</t>
  </si>
  <si>
    <t>MV-4600-000750</t>
  </si>
  <si>
    <t>13500</t>
  </si>
  <si>
    <t>7940</t>
  </si>
  <si>
    <t>PILOT DRILL</t>
  </si>
  <si>
    <t>전역변수</t>
  </si>
  <si>
    <t>5870</t>
  </si>
  <si>
    <t>S024W05040</t>
  </si>
  <si>
    <t>1042</t>
  </si>
  <si>
    <t>11430</t>
  </si>
  <si>
    <t>7130</t>
  </si>
  <si>
    <t xml:space="preserve"> ◈ PE용접 450A / M</t>
  </si>
  <si>
    <t>S02002W150YA</t>
  </si>
  <si>
    <t>8590</t>
  </si>
  <si>
    <t>MV-5100-65040</t>
  </si>
  <si>
    <t>MV-5100-70060</t>
  </si>
  <si>
    <t>2990</t>
  </si>
  <si>
    <t>S00000A700YA</t>
  </si>
  <si>
    <t>12890</t>
  </si>
  <si>
    <t>S02W02080</t>
  </si>
  <si>
    <t>S024W10060</t>
  </si>
  <si>
    <t>SC0608W500</t>
  </si>
  <si>
    <t xml:space="preserve"> '4) 보통인부 :'</t>
  </si>
  <si>
    <t>700A,60t(곡관부)</t>
  </si>
  <si>
    <t>중기주간경비산출계수</t>
  </si>
  <si>
    <t>노임할증계수(장대터널:야간)</t>
  </si>
  <si>
    <t>15970</t>
  </si>
  <si>
    <t>9070</t>
  </si>
  <si>
    <t>TM-408-250</t>
  </si>
  <si>
    <t>17030</t>
  </si>
  <si>
    <t xml:space="preserve">    6.494 '인' * Q * ~L001010101000044~ = ?LA2+</t>
  </si>
  <si>
    <t>SZD0003-700</t>
  </si>
  <si>
    <t>MV-5000-30040</t>
  </si>
  <si>
    <t>M5x16mm</t>
  </si>
  <si>
    <t>S02003W065YA</t>
  </si>
  <si>
    <t>5190</t>
  </si>
  <si>
    <t xml:space="preserve">       1) 트럭크레인 (10TON)</t>
  </si>
  <si>
    <t>MV-4800-000025</t>
  </si>
  <si>
    <t>S024W60060YA</t>
  </si>
  <si>
    <t>13490</t>
  </si>
  <si>
    <t>32x20A</t>
  </si>
  <si>
    <t>14570</t>
  </si>
  <si>
    <t>MV-4300-125025</t>
  </si>
  <si>
    <t>MV-4800-000025</t>
  </si>
  <si>
    <t>MV-5000-12540</t>
  </si>
  <si>
    <t xml:space="preserve">Q2                                                                                                  </t>
  </si>
  <si>
    <t>MV-5000-12540</t>
  </si>
  <si>
    <t>32x20A</t>
  </si>
  <si>
    <t>플랜트용접공</t>
  </si>
  <si>
    <t>10830</t>
  </si>
  <si>
    <t>MV-6000-200</t>
  </si>
  <si>
    <t xml:space="preserve"> '6) 공장보온재 :' 2.992 'm' * ~MU00450-250A~ = ?MA1+</t>
  </si>
  <si>
    <t>4470</t>
  </si>
  <si>
    <t>유통물가</t>
  </si>
  <si>
    <t>M5x16mm</t>
  </si>
  <si>
    <t>12170</t>
  </si>
  <si>
    <t>MV-4200-125</t>
  </si>
  <si>
    <t>MV-4300-125025</t>
  </si>
  <si>
    <t>MV-5000-25060</t>
  </si>
  <si>
    <t>15090</t>
  </si>
  <si>
    <t>S02002W350</t>
  </si>
  <si>
    <t>3590</t>
  </si>
  <si>
    <t>MV-4200-125</t>
  </si>
  <si>
    <t>9990</t>
  </si>
  <si>
    <t>12610</t>
  </si>
  <si>
    <t>아연도강판</t>
  </si>
  <si>
    <t>4310</t>
  </si>
  <si>
    <t>350A(보온두께 41~60mm)</t>
  </si>
  <si>
    <t>시간당노임산출계수(해상장비:GRAB준설선)</t>
  </si>
  <si>
    <t xml:space="preserve">  '- 운반차량 총 소요시간(12M당) :'</t>
  </si>
  <si>
    <t xml:space="preserve">    '재료비:' ~E00002702002000000.M~ * CM / 60 * Qo = ?MA1+</t>
  </si>
  <si>
    <t>700x350A</t>
  </si>
  <si>
    <t>No.856 L-O-R PLUG마감 용접</t>
  </si>
  <si>
    <t>MU00450-020A</t>
  </si>
  <si>
    <t>750A~250A</t>
  </si>
  <si>
    <t>150x25A</t>
  </si>
  <si>
    <t>SD0001W0200</t>
  </si>
  <si>
    <t xml:space="preserve">  기타사급자재 운반비반영 :  [2] * 1.097 =1,420.7</t>
  </si>
  <si>
    <t>700x350A</t>
  </si>
  <si>
    <t>150x25A</t>
  </si>
  <si>
    <t>MV-4300-550125</t>
  </si>
  <si>
    <t>2710</t>
  </si>
  <si>
    <t xml:space="preserve">  PE용접: 4,064,668 / L = 246,942.0</t>
  </si>
  <si>
    <t>MV-4300-550125</t>
  </si>
  <si>
    <t>14210</t>
  </si>
  <si>
    <t>S02002W032YA</t>
  </si>
  <si>
    <t>S13030W025</t>
  </si>
  <si>
    <t>S4840-020</t>
  </si>
  <si>
    <t>MV-9960-010-400</t>
  </si>
  <si>
    <t>9710</t>
  </si>
  <si>
    <t>L001020101000125</t>
  </si>
  <si>
    <t>SZD0002-100</t>
  </si>
  <si>
    <t>S024W05040YA</t>
  </si>
  <si>
    <t>550A,60t(직관부)</t>
  </si>
  <si>
    <t>S4830-125</t>
  </si>
  <si>
    <t>7650</t>
  </si>
  <si>
    <t>M4507039</t>
  </si>
  <si>
    <t>MV-4700-000020</t>
  </si>
  <si>
    <t>11350</t>
  </si>
  <si>
    <t>S02003W550</t>
  </si>
  <si>
    <t>S024W02080YA</t>
  </si>
  <si>
    <t>MV-4700-000020</t>
  </si>
  <si>
    <t>M4507039</t>
  </si>
  <si>
    <t xml:space="preserve"> 3. 1일기준</t>
  </si>
  <si>
    <t>#71 PE용접 | 750A|개소</t>
  </si>
  <si>
    <t>15930</t>
  </si>
  <si>
    <t>9030</t>
  </si>
  <si>
    <t>MV-4800-000080</t>
  </si>
  <si>
    <t xml:space="preserve">    0.885 '인' * Q * ~L001010101000044~ = ?LA2+</t>
  </si>
  <si>
    <t>S00000W040</t>
  </si>
  <si>
    <t>550x550A</t>
  </si>
  <si>
    <t>MV-9960-007-200</t>
  </si>
  <si>
    <t>S00000W650YA</t>
  </si>
  <si>
    <t>10190</t>
  </si>
  <si>
    <t>형    식</t>
  </si>
  <si>
    <t xml:space="preserve">    0.270 '인' * Q * ~L001010101000003~ = ?LA2+</t>
  </si>
  <si>
    <t>S4840-700</t>
  </si>
  <si>
    <t>'◈ PE용접 400A / 개소'</t>
  </si>
  <si>
    <t>MV-5000-04060</t>
  </si>
  <si>
    <t>6490</t>
  </si>
  <si>
    <t>S02003W050YA</t>
  </si>
  <si>
    <t>S02W03260YA</t>
  </si>
  <si>
    <t>#56 PE용접 | 80A|개소</t>
  </si>
  <si>
    <t>'보  통  인  부 :'  0.01331 * TOT("L001010101000002") * 48'm'  * 0.80  * 0.5 =?LA3+</t>
  </si>
  <si>
    <t>16590</t>
  </si>
  <si>
    <t>550x550A</t>
  </si>
  <si>
    <t>MV-4300-125080</t>
  </si>
  <si>
    <t xml:space="preserve">   이중관 보온재철거</t>
  </si>
  <si>
    <t xml:space="preserve"> '4) PE 용접봉 :' 0.27 'kg' * ~M9021009~= ?MA1+</t>
  </si>
  <si>
    <t xml:space="preserve">1023_1_1+ = </t>
  </si>
  <si>
    <t>5830</t>
  </si>
  <si>
    <t>MV-4300-450450</t>
  </si>
  <si>
    <t>S024W10040YA</t>
  </si>
  <si>
    <t>11470</t>
  </si>
  <si>
    <t>MV-4300-125080</t>
  </si>
  <si>
    <t>MV-4300-450450</t>
  </si>
  <si>
    <t>MV-4700-000700</t>
  </si>
  <si>
    <t>MV-4800-000080</t>
  </si>
  <si>
    <t xml:space="preserve">    2.549 '인' * Q * ~L001010101000044~ = ?LA2+</t>
  </si>
  <si>
    <t>7170</t>
  </si>
  <si>
    <t>MV-4400-350300</t>
  </si>
  <si>
    <t>TM-700-150</t>
  </si>
  <si>
    <t xml:space="preserve"> '7) 석동선 :' 13.66 'm' * ~MU00460~ = ?MA1+</t>
  </si>
  <si>
    <t xml:space="preserve">  기타사급자재 운반비반영 :  [2] * 1.097 =1,685.6</t>
  </si>
  <si>
    <t>ｍ</t>
  </si>
  <si>
    <t>10870</t>
  </si>
  <si>
    <t>4430</t>
  </si>
  <si>
    <t>No.874 L-O-R PLUG마감 용접</t>
  </si>
  <si>
    <t>12130</t>
  </si>
  <si>
    <t>S024W06540</t>
  </si>
  <si>
    <t>MV-4300-125065</t>
  </si>
  <si>
    <t>14530</t>
  </si>
  <si>
    <t>S02W12560YA</t>
  </si>
  <si>
    <t>피유시스</t>
  </si>
  <si>
    <t xml:space="preserve"> 'PE용접:'~S4830-040.T~ / L = ?[1]+</t>
  </si>
  <si>
    <t>QDECCMA</t>
  </si>
  <si>
    <t>명        칭</t>
  </si>
  <si>
    <t>7890</t>
  </si>
  <si>
    <t>MV-4300-125065</t>
  </si>
  <si>
    <t>MV-4400-350300</t>
  </si>
  <si>
    <t>MV-4800-000065</t>
  </si>
  <si>
    <t>MV-4800-000065</t>
  </si>
  <si>
    <t>S02W15040</t>
  </si>
  <si>
    <t>S00000A050</t>
  </si>
  <si>
    <t>S13030W100YA</t>
  </si>
  <si>
    <t>2750</t>
  </si>
  <si>
    <t>S13030W080</t>
  </si>
  <si>
    <t xml:space="preserve"> '4) PE 용접봉 :' 4.56 'kg' * ~M9021009~= ?MA1+</t>
  </si>
  <si>
    <t>S1303W100YA</t>
  </si>
  <si>
    <t>14250</t>
  </si>
  <si>
    <t>200x100A</t>
  </si>
  <si>
    <t>MV-4500-450400</t>
  </si>
  <si>
    <t>[3]'소계'=?[]+</t>
  </si>
  <si>
    <t>No.720 부단수 천공(차단)</t>
  </si>
  <si>
    <t xml:space="preserve">Q1                                                                                                  </t>
  </si>
  <si>
    <t>S024W75060YA</t>
  </si>
  <si>
    <t xml:space="preserve">1404_1_1 = </t>
  </si>
  <si>
    <t>12650</t>
  </si>
  <si>
    <t>[지역난방열수송공사 공사비산출기준 제7장 배관공사 3.7]</t>
  </si>
  <si>
    <t>4350</t>
  </si>
  <si>
    <t>MV-4400-080050</t>
  </si>
  <si>
    <t>MV-4500-450400</t>
  </si>
  <si>
    <t>MV-4400-080050</t>
  </si>
  <si>
    <t>200x100A</t>
  </si>
  <si>
    <t>QLINC1</t>
  </si>
  <si>
    <t>MV-4400-300250</t>
  </si>
  <si>
    <t>TM-500-300</t>
  </si>
  <si>
    <t>SZH0001-650</t>
  </si>
  <si>
    <t xml:space="preserve">    LA2 / Q * 0.02 = ?EQ3+</t>
  </si>
  <si>
    <t>7610</t>
  </si>
  <si>
    <t>S02W03240</t>
  </si>
  <si>
    <t>11310</t>
  </si>
  <si>
    <t xml:space="preserve">1483_1_1 = </t>
  </si>
  <si>
    <t>9750</t>
  </si>
  <si>
    <t>S01000W450</t>
  </si>
  <si>
    <t>15 Ton</t>
  </si>
  <si>
    <t>S13030W065</t>
  </si>
  <si>
    <t xml:space="preserve">   - 운반시간(12M, 운반및크레인자리잡기 포함)</t>
  </si>
  <si>
    <t>MV-4400-300250</t>
  </si>
  <si>
    <t>15 Ton</t>
  </si>
  <si>
    <t>'◈ PE용접 450A / M'</t>
  </si>
  <si>
    <t>4</t>
  </si>
  <si>
    <t>40A x 80t</t>
  </si>
  <si>
    <t>10150</t>
  </si>
  <si>
    <t xml:space="preserve">       ~G102.T~/12/1.1 = ?EQ1+'원/t'</t>
  </si>
  <si>
    <t>12810</t>
  </si>
  <si>
    <t>MV-9960-004-600</t>
  </si>
  <si>
    <t>MV-9960-004-600</t>
  </si>
  <si>
    <t>6450</t>
  </si>
  <si>
    <t xml:space="preserve"> '7) 석동선 :' 12.95 'm' * ~MU00460~ = ?MA1+</t>
  </si>
  <si>
    <t>MV-4800-000040</t>
  </si>
  <si>
    <t>MV-4100-550</t>
  </si>
  <si>
    <t>S00000W080</t>
  </si>
  <si>
    <t xml:space="preserve">     잡재료(주연료의 38%)   (2021 건설공사 표준품셈 P406 덤프트럭2.5TON의 운전경비 준용)</t>
  </si>
  <si>
    <t xml:space="preserve">   조합페인트(2회)</t>
  </si>
  <si>
    <t>'* 원위치 1분'</t>
  </si>
  <si>
    <t xml:space="preserve">1027_1_1+ = </t>
  </si>
  <si>
    <t>'◈산근''자재운반 300A  / M'</t>
  </si>
  <si>
    <t xml:space="preserve"> ◈ PE용접 50A / M</t>
  </si>
  <si>
    <t>8510</t>
  </si>
  <si>
    <t>MV-4300-125040</t>
  </si>
  <si>
    <t>16550</t>
  </si>
  <si>
    <t>MV-4300-125040</t>
  </si>
  <si>
    <t>MV-4800-000040</t>
  </si>
  <si>
    <t>MV-4100-550</t>
  </si>
  <si>
    <t>MV-6500-750</t>
  </si>
  <si>
    <t>2910</t>
  </si>
  <si>
    <t>125A,40t(직관부)</t>
  </si>
  <si>
    <t>300A</t>
  </si>
  <si>
    <t>S02002M032</t>
  </si>
  <si>
    <t>M4507012</t>
  </si>
  <si>
    <t>S024W06580</t>
  </si>
  <si>
    <t>15010</t>
  </si>
  <si>
    <t>중기사용료목록</t>
  </si>
  <si>
    <t>40A,80t(곡관부)</t>
  </si>
  <si>
    <t>S02002W020YA</t>
  </si>
  <si>
    <t xml:space="preserve">568_1_1+ = </t>
  </si>
  <si>
    <t>MU00450-100A</t>
  </si>
  <si>
    <t>3510</t>
  </si>
  <si>
    <t>9910</t>
  </si>
  <si>
    <t>5110</t>
  </si>
  <si>
    <t>650x650A</t>
  </si>
  <si>
    <t>850A(보온두께 76~95mm)</t>
  </si>
  <si>
    <t>S00000W065</t>
  </si>
  <si>
    <t>650x650A</t>
  </si>
  <si>
    <t>7850</t>
  </si>
  <si>
    <t>S130301X050</t>
  </si>
  <si>
    <t>MV-4300-050020</t>
  </si>
  <si>
    <t>80A(보온두께 30mm이하)</t>
  </si>
  <si>
    <t>13410</t>
  </si>
  <si>
    <t xml:space="preserve">    5.142 '인' * Q * ~L001010101000044~ = ?LA2+</t>
  </si>
  <si>
    <t>S02W15080</t>
  </si>
  <si>
    <t xml:space="preserve">   TAPPING M/C 설치</t>
  </si>
  <si>
    <t>300A</t>
  </si>
  <si>
    <t>SD0001W1000</t>
  </si>
  <si>
    <t xml:space="preserve">    1.801 '인' * Q * ~L001010101000002~ = ?LA2+</t>
  </si>
  <si>
    <t>발전기   50 KW</t>
  </si>
  <si>
    <t>MV-4300-050020</t>
  </si>
  <si>
    <t>M4507012</t>
  </si>
  <si>
    <t xml:space="preserve">    0.255 '인' * Q * ~L001010101000003~ = ?LA2+</t>
  </si>
  <si>
    <t>13370</t>
  </si>
  <si>
    <t>5670</t>
  </si>
  <si>
    <t>MV-9960-001-750</t>
  </si>
  <si>
    <t>400x300A</t>
  </si>
  <si>
    <t>MV-9960-001-750</t>
  </si>
  <si>
    <t xml:space="preserve">   BEND(22.5˚)-3D</t>
  </si>
  <si>
    <t>S1303W250</t>
  </si>
  <si>
    <t>S13030W040</t>
  </si>
  <si>
    <t>2790</t>
  </si>
  <si>
    <t>125x50A</t>
  </si>
  <si>
    <t>14290</t>
  </si>
  <si>
    <t>400x300A</t>
  </si>
  <si>
    <t>12690</t>
  </si>
  <si>
    <t>4390</t>
  </si>
  <si>
    <t xml:space="preserve">1175_1_1+ = </t>
  </si>
  <si>
    <t>#33 PE용접(M당) | 65A|M</t>
  </si>
  <si>
    <t xml:space="preserve">   PE용접(M당)</t>
  </si>
  <si>
    <t>3270</t>
  </si>
  <si>
    <t xml:space="preserve">R                                                                                                   </t>
  </si>
  <si>
    <t>15770</t>
  </si>
  <si>
    <t>MV-6700-500</t>
  </si>
  <si>
    <t>125x50A</t>
  </si>
  <si>
    <t>S02W03280</t>
  </si>
  <si>
    <t xml:space="preserve">  PE용접: 637,857 / L = 50,264.4</t>
  </si>
  <si>
    <t>8270</t>
  </si>
  <si>
    <t>16230</t>
  </si>
  <si>
    <t>300x80A</t>
  </si>
  <si>
    <t>300x80A</t>
  </si>
  <si>
    <t>물정/1042/</t>
  </si>
  <si>
    <t>6330</t>
  </si>
  <si>
    <t>SC0608W150YA</t>
  </si>
  <si>
    <t>10630</t>
  </si>
  <si>
    <t xml:space="preserve"> ◈산근  자재운반 500A  / M</t>
  </si>
  <si>
    <t xml:space="preserve">    '재료비:' ~E00002104001000000.M~ * 6 / 60 = ?MA1+</t>
  </si>
  <si>
    <t>9790</t>
  </si>
  <si>
    <t>덕트공</t>
  </si>
  <si>
    <t>MV-4200-100</t>
  </si>
  <si>
    <t>8550</t>
  </si>
  <si>
    <t>16510</t>
  </si>
  <si>
    <t>2950</t>
  </si>
  <si>
    <t>S024W05080</t>
  </si>
  <si>
    <t>MU00450-250A</t>
  </si>
  <si>
    <t>No.718  부단수 천공(차단)</t>
  </si>
  <si>
    <t>250x80A</t>
  </si>
  <si>
    <t>MV-5100-65080</t>
  </si>
  <si>
    <t>MV-4300-300300</t>
  </si>
  <si>
    <t xml:space="preserve"> 전력케이블 철거 : 전력케이블 설치 인건비의 50% 적용</t>
  </si>
  <si>
    <t>650x500A</t>
  </si>
  <si>
    <t>500A,40t(곡관부)</t>
  </si>
  <si>
    <t>250x80A</t>
  </si>
  <si>
    <t xml:space="preserve"> '7) 석동선 :' 18.18 'm' * ~MU00460~ = ?MA1+</t>
  </si>
  <si>
    <t>50 KW</t>
  </si>
  <si>
    <t>10110</t>
  </si>
  <si>
    <t>S02W02040</t>
  </si>
  <si>
    <t>MV-4300-300300</t>
  </si>
  <si>
    <t>12850</t>
  </si>
  <si>
    <t>MV-4200-100</t>
  </si>
  <si>
    <t>MV-6600-300</t>
  </si>
  <si>
    <t>650x500A</t>
  </si>
  <si>
    <t>6410</t>
  </si>
  <si>
    <t>25A(부설의 40%)</t>
  </si>
  <si>
    <t>QMINC2</t>
  </si>
  <si>
    <t>40A x 60t</t>
  </si>
  <si>
    <t>450x125A</t>
  </si>
  <si>
    <t xml:space="preserve"> 1. 탐지기 기계경비</t>
  </si>
  <si>
    <t>MV-5000-12580</t>
  </si>
  <si>
    <t xml:space="preserve">   - 크레인(타이어15ton)</t>
  </si>
  <si>
    <t>S025W02040</t>
  </si>
  <si>
    <t>S02001W750</t>
  </si>
  <si>
    <t>450x125A</t>
  </si>
  <si>
    <t>L001010101000006</t>
  </si>
  <si>
    <t>40A x 60t</t>
  </si>
  <si>
    <t>MV-5000-30080</t>
  </si>
  <si>
    <t>MV-4300-600500</t>
  </si>
  <si>
    <t>MV-4600-000600</t>
  </si>
  <si>
    <t>MV-5000-12580</t>
  </si>
  <si>
    <t>MV-5000-30080</t>
  </si>
  <si>
    <t>5150</t>
  </si>
  <si>
    <t>350A,80t(곡관부)</t>
  </si>
  <si>
    <t>S00000W025</t>
  </si>
  <si>
    <t>7810</t>
  </si>
  <si>
    <t>중기사용료</t>
  </si>
  <si>
    <t>13450</t>
  </si>
  <si>
    <t>MV-4300-600500</t>
  </si>
  <si>
    <t>15050</t>
  </si>
  <si>
    <t xml:space="preserve">1183_1_1+ = </t>
  </si>
  <si>
    <t>3550</t>
  </si>
  <si>
    <t>9950</t>
  </si>
  <si>
    <t>S02002M500</t>
  </si>
  <si>
    <t xml:space="preserve">   THREAD-O-RING NIPPLE  설치</t>
  </si>
  <si>
    <t>MV-4600-000600</t>
  </si>
  <si>
    <t xml:space="preserve">    0.615 '인' * Q * ~L001010101000002~ = ?LA2+</t>
  </si>
  <si>
    <t>MV-4000-350</t>
  </si>
  <si>
    <t>3230</t>
  </si>
  <si>
    <t>S4830-100</t>
  </si>
  <si>
    <t>MU00460</t>
  </si>
  <si>
    <t>250A(부설의 40%)</t>
  </si>
  <si>
    <t>L001010101000048</t>
  </si>
  <si>
    <t>15730</t>
  </si>
  <si>
    <t xml:space="preserve">MA3 = </t>
  </si>
  <si>
    <t xml:space="preserve"> ◈ PE용접 600A / M</t>
  </si>
  <si>
    <t>MV-4300-350250</t>
  </si>
  <si>
    <t>65A,40t(곡관부)</t>
  </si>
  <si>
    <t>13330</t>
  </si>
  <si>
    <t>SU0000TS002</t>
  </si>
  <si>
    <t>SZD0002-125</t>
  </si>
  <si>
    <t>5630</t>
  </si>
  <si>
    <t>100A,80t(직관부)</t>
  </si>
  <si>
    <t>MV-4300-350250</t>
  </si>
  <si>
    <t xml:space="preserve">1254_1_1 = </t>
  </si>
  <si>
    <t>MV-4000-350</t>
  </si>
  <si>
    <t>식</t>
  </si>
  <si>
    <t xml:space="preserve">EA    </t>
  </si>
  <si>
    <t>750A,40t(직관부)</t>
  </si>
  <si>
    <t>S02002M500YA</t>
  </si>
  <si>
    <t>S02001W700YA</t>
  </si>
  <si>
    <t>6370</t>
  </si>
  <si>
    <t xml:space="preserve">    2.883 '인' * Q * ~L001010101000043~ = ?LA2+</t>
  </si>
  <si>
    <t xml:space="preserve">    0.313 '인' * Q * ~L001010101000003~ = ?LA2+</t>
  </si>
  <si>
    <t>10670</t>
  </si>
  <si>
    <t>MV-4300-650450</t>
  </si>
  <si>
    <t xml:space="preserve"> '4) PE 용접봉 :' 7.81 'kg' * ~M9021009~= ?MA1+</t>
  </si>
  <si>
    <t>SZD0001-500</t>
  </si>
  <si>
    <t>8230</t>
  </si>
  <si>
    <t>16270</t>
  </si>
  <si>
    <t xml:space="preserve">CM+ = </t>
  </si>
  <si>
    <t>7690</t>
  </si>
  <si>
    <t>SS00200W450</t>
  </si>
  <si>
    <t>11390</t>
  </si>
  <si>
    <t>S024W15080YA</t>
  </si>
  <si>
    <t>MV-4300-650450</t>
  </si>
  <si>
    <t>MV-4500-600550</t>
  </si>
  <si>
    <t>MV-4500-600550</t>
  </si>
  <si>
    <t>M9021009</t>
  </si>
  <si>
    <t>65x40A</t>
  </si>
  <si>
    <t>S02002W025</t>
  </si>
  <si>
    <t>16640</t>
  </si>
  <si>
    <t>#20 자재운반(야적--&gt;현장) | 32A|m</t>
  </si>
  <si>
    <t xml:space="preserve"> '2) MDI :' 16.56 'kg' * ~MU-002~  = ?MA1+</t>
  </si>
  <si>
    <t>MV-4200-250</t>
  </si>
  <si>
    <t>MV-5100-15040</t>
  </si>
  <si>
    <t>8600</t>
  </si>
  <si>
    <t>S024W45040YA</t>
  </si>
  <si>
    <t>S024W60060</t>
  </si>
  <si>
    <t>S02002W650YA</t>
  </si>
  <si>
    <t>10240</t>
  </si>
  <si>
    <t>#69 PE용접 | 650A|개소</t>
  </si>
  <si>
    <t>65x40A</t>
  </si>
  <si>
    <t>MV-4500-100065</t>
  </si>
  <si>
    <t>6740</t>
  </si>
  <si>
    <t>S024W75040</t>
  </si>
  <si>
    <t>80x40A</t>
  </si>
  <si>
    <t>5.0㎜  KSE4301</t>
  </si>
  <si>
    <t>MV-4400-100100</t>
  </si>
  <si>
    <t>MV-4500-100065</t>
  </si>
  <si>
    <t>MV-4800-000350</t>
  </si>
  <si>
    <t>MV-4800-000350</t>
  </si>
  <si>
    <t>MV-4200-250</t>
  </si>
  <si>
    <t>80x40A</t>
  </si>
  <si>
    <t>MV-4400-100100</t>
  </si>
  <si>
    <t>MV-8100</t>
  </si>
  <si>
    <t>5200</t>
  </si>
  <si>
    <t>'◈ PE용접 400A / M'</t>
  </si>
  <si>
    <t>'공구손료(직노의 3%) :' {(Laa)} * 0.03'%'  =?EQ2</t>
  </si>
  <si>
    <t>13700</t>
  </si>
  <si>
    <t>TM-408-125</t>
  </si>
  <si>
    <t>MV-5000-40040</t>
  </si>
  <si>
    <t>MV-5000-55060</t>
  </si>
  <si>
    <t>S02001W400</t>
  </si>
  <si>
    <t>MV-4300-500300</t>
  </si>
  <si>
    <t>MV-4500-100080</t>
  </si>
  <si>
    <t>트럭 트랙터 및 평판트레일러</t>
  </si>
  <si>
    <t>S02002M650</t>
  </si>
  <si>
    <t>MV-4600-000550</t>
  </si>
  <si>
    <t>중기야간할증계수</t>
  </si>
  <si>
    <t>15300</t>
  </si>
  <si>
    <t xml:space="preserve"> ◈ PE용접 20A / 개소</t>
  </si>
  <si>
    <t xml:space="preserve">  PE용접: 2,634,021 / L = 173,977.5</t>
  </si>
  <si>
    <t>3600</t>
  </si>
  <si>
    <t>750A(25% 할증)</t>
  </si>
  <si>
    <t>MV-4300-500300</t>
  </si>
  <si>
    <t>MV-4500-100080</t>
  </si>
  <si>
    <t>MV-4600-000550</t>
  </si>
  <si>
    <t>12580</t>
  </si>
  <si>
    <t>S024W20060YA</t>
  </si>
  <si>
    <t>4080</t>
  </si>
  <si>
    <t xml:space="preserve">  '- 장비 조합: T/C 25ton + TRAILER 20ton'</t>
  </si>
  <si>
    <t>1.배관공사</t>
  </si>
  <si>
    <t>170</t>
  </si>
  <si>
    <t>#44 PE용접(M당) | 500A|M</t>
  </si>
  <si>
    <t>3160</t>
  </si>
  <si>
    <t>S4830-250</t>
  </si>
  <si>
    <t>환율(엔화)</t>
  </si>
  <si>
    <t>MV-5100-03240</t>
  </si>
  <si>
    <t>15460</t>
  </si>
  <si>
    <t>13060</t>
  </si>
  <si>
    <t xml:space="preserve">LA4 = </t>
  </si>
  <si>
    <t>600x200A</t>
  </si>
  <si>
    <t>5560</t>
  </si>
  <si>
    <t>11920</t>
  </si>
  <si>
    <t>8880</t>
  </si>
  <si>
    <t>MV-4300-350100</t>
  </si>
  <si>
    <t>2480</t>
  </si>
  <si>
    <t>S13030W350</t>
  </si>
  <si>
    <t>600x200A</t>
  </si>
  <si>
    <t>ST0000TW300</t>
  </si>
  <si>
    <t>MV-4300-350100</t>
  </si>
  <si>
    <t>MV-4400-150050</t>
  </si>
  <si>
    <t>MV-4400-150050</t>
  </si>
  <si>
    <t>14180</t>
  </si>
  <si>
    <t>M9531003</t>
  </si>
  <si>
    <t>6020</t>
  </si>
  <si>
    <t>적용단가</t>
  </si>
  <si>
    <t>PURE</t>
  </si>
  <si>
    <t>10520</t>
  </si>
  <si>
    <t>S02000W200</t>
  </si>
  <si>
    <t>4960</t>
  </si>
  <si>
    <t>3880</t>
  </si>
  <si>
    <t>9480</t>
  </si>
  <si>
    <t>MV-4300-550250</t>
  </si>
  <si>
    <t xml:space="preserve"> ◈ 자재운반 65A  / M</t>
  </si>
  <si>
    <t>'내선전공 :' 0.102 * TOT("L001010101000075") * 4'개'  * 0.5 =?LA3</t>
  </si>
  <si>
    <t>300x300A</t>
  </si>
  <si>
    <t xml:space="preserve"> 1) 접속점 설치</t>
  </si>
  <si>
    <t>No.863  STOPPLE FITTING 및 SANDWICH V/V설치</t>
  </si>
  <si>
    <t>SS00200W700</t>
  </si>
  <si>
    <t>13980</t>
  </si>
  <si>
    <t>SZD0001-650</t>
  </si>
  <si>
    <t>물자/14/</t>
  </si>
  <si>
    <t>16120</t>
  </si>
  <si>
    <t>8160</t>
  </si>
  <si>
    <t>14860</t>
  </si>
  <si>
    <t>MV-4300-550250</t>
  </si>
  <si>
    <t>A01</t>
  </si>
  <si>
    <t>300x300A</t>
  </si>
  <si>
    <t>80A x 80t</t>
  </si>
  <si>
    <t xml:space="preserve">   부단수 천공</t>
  </si>
  <si>
    <t>MV-4100-600</t>
  </si>
  <si>
    <t xml:space="preserve">   칩제거 장비 설치</t>
  </si>
  <si>
    <t xml:space="preserve">   압력배관 설치 및 철거</t>
  </si>
  <si>
    <t>350x125A</t>
  </si>
  <si>
    <t>MV-4300-150125</t>
  </si>
  <si>
    <t>MV-4400-065040</t>
  </si>
  <si>
    <t>MV-9960-004-550</t>
  </si>
  <si>
    <t>10200</t>
  </si>
  <si>
    <t>' 1. 기준'</t>
  </si>
  <si>
    <t>6700</t>
  </si>
  <si>
    <t>MV-9960-004-550</t>
  </si>
  <si>
    <t xml:space="preserve">MA = </t>
  </si>
  <si>
    <t>MV-4400-065040</t>
  </si>
  <si>
    <t>L001010101000002</t>
  </si>
  <si>
    <t>450x400A</t>
  </si>
  <si>
    <t>경 비</t>
  </si>
  <si>
    <t>No.833  STOPPLE FITTING 및 SANDWICH V/V설치</t>
  </si>
  <si>
    <t>S00000W150YA</t>
  </si>
  <si>
    <t>ma = TOT(20,30) * 0.07</t>
  </si>
  <si>
    <t>16600</t>
  </si>
  <si>
    <t>S02003W750YA</t>
  </si>
  <si>
    <t>350x125A</t>
  </si>
  <si>
    <t>450x400A</t>
  </si>
  <si>
    <t>8640</t>
  </si>
  <si>
    <t>700A,60t(직관부)</t>
  </si>
  <si>
    <t>MV-6500-400</t>
  </si>
  <si>
    <t>SS00200W020</t>
  </si>
  <si>
    <t>MV-4100-600</t>
  </si>
  <si>
    <t>MV-6500-400</t>
  </si>
  <si>
    <t>S02002W065</t>
  </si>
  <si>
    <t>MV-4300-150125</t>
  </si>
  <si>
    <t>45</t>
  </si>
  <si>
    <t>15340</t>
  </si>
  <si>
    <t>HR</t>
  </si>
  <si>
    <t>S02002W080</t>
  </si>
  <si>
    <t>S02W65040</t>
  </si>
  <si>
    <t>3640</t>
  </si>
  <si>
    <t>SZE0001-600</t>
  </si>
  <si>
    <t>#43 PE용접(M당) | 450A|M</t>
  </si>
  <si>
    <t xml:space="preserve">   BEND(22.5˚)</t>
  </si>
  <si>
    <t xml:space="preserve">1175_1_1 = </t>
  </si>
  <si>
    <t>MV-5100-02080</t>
  </si>
  <si>
    <t>S024W35060YA</t>
  </si>
  <si>
    <t>S02W70060</t>
  </si>
  <si>
    <t xml:space="preserve">282,532 천원  </t>
  </si>
  <si>
    <t>5240</t>
  </si>
  <si>
    <t>S130301X300</t>
  </si>
  <si>
    <t>13740</t>
  </si>
  <si>
    <t>S1303W100</t>
  </si>
  <si>
    <t>16880</t>
  </si>
  <si>
    <t>MV-4810-000300</t>
  </si>
  <si>
    <t>MV-9960-001-400</t>
  </si>
  <si>
    <t>S00000W032YA</t>
  </si>
  <si>
    <t>13020</t>
  </si>
  <si>
    <t>MV-4400-250032</t>
  </si>
  <si>
    <t>125x65A</t>
  </si>
  <si>
    <t>5520</t>
  </si>
  <si>
    <t>'600V - 150mm2 - 1C:' TOT("M7380021") * 48'm'  * 0.015 =?MA4</t>
  </si>
  <si>
    <t>11960</t>
  </si>
  <si>
    <t>3120</t>
  </si>
  <si>
    <t>MV-4000-040</t>
  </si>
  <si>
    <t>15420</t>
  </si>
  <si>
    <t>'공구손료 : 주간노무비의 3%'</t>
  </si>
  <si>
    <t>125x65A</t>
  </si>
  <si>
    <t>MV-4400-300125</t>
  </si>
  <si>
    <t xml:space="preserve">    '재료비:' ~E00002104001500000.M~ * 4.5 / 60 = ?MA1+</t>
  </si>
  <si>
    <t>S13030W600YA</t>
  </si>
  <si>
    <t>6980</t>
  </si>
  <si>
    <t xml:space="preserve"> ◈ PE용접 150A / M</t>
  </si>
  <si>
    <t>TM-410-300</t>
  </si>
  <si>
    <t>MV-4400-250032</t>
  </si>
  <si>
    <t>MV-4400-300125</t>
  </si>
  <si>
    <t>MV-4810-000300</t>
  </si>
  <si>
    <t>835</t>
  </si>
  <si>
    <t>S1303W600YA</t>
  </si>
  <si>
    <t>MV-4000-040</t>
  </si>
  <si>
    <t>MV-6700-650</t>
  </si>
  <si>
    <t>130</t>
  </si>
  <si>
    <t>'◈산근''자재운반 600A  / M'</t>
  </si>
  <si>
    <t>QLINCC</t>
  </si>
  <si>
    <t>16160</t>
  </si>
  <si>
    <t>8120</t>
  </si>
  <si>
    <t>14820</t>
  </si>
  <si>
    <t>7580</t>
  </si>
  <si>
    <t>#38 PE용접(M당) | 200A|M</t>
  </si>
  <si>
    <t>#52 PE용접 | 32A|개소</t>
  </si>
  <si>
    <t>11080</t>
  </si>
  <si>
    <t>550A,60t(곡관부)</t>
  </si>
  <si>
    <t>65x32A</t>
  </si>
  <si>
    <t>600x150A</t>
  </si>
  <si>
    <t>80x32A</t>
  </si>
  <si>
    <t>600x150A</t>
  </si>
  <si>
    <t>M4507018</t>
  </si>
  <si>
    <t>6060</t>
  </si>
  <si>
    <t>10560</t>
  </si>
  <si>
    <t xml:space="preserve">D2 = </t>
  </si>
  <si>
    <t>S024W50040YA</t>
  </si>
  <si>
    <t>F</t>
  </si>
  <si>
    <t>4920</t>
  </si>
  <si>
    <t>65x32A</t>
  </si>
  <si>
    <t>80x32A</t>
  </si>
  <si>
    <t>M4507018</t>
  </si>
  <si>
    <t>S4840-450</t>
  </si>
  <si>
    <t>MV-9960-007-150</t>
  </si>
  <si>
    <t>'3. 1km기준'</t>
  </si>
  <si>
    <t xml:space="preserve">    '노무비:' ~E00000602008000000.L~ * CM / 60 = ?LA1+</t>
  </si>
  <si>
    <t>9360</t>
  </si>
  <si>
    <t>재료비단가소숫점</t>
  </si>
  <si>
    <t>11720</t>
  </si>
  <si>
    <t>MV-4700-000450</t>
  </si>
  <si>
    <t xml:space="preserve">2086_1_1 = </t>
  </si>
  <si>
    <t xml:space="preserve"> ◈ PE용접 300A / M</t>
  </si>
  <si>
    <t>500A,40t(직관부)</t>
  </si>
  <si>
    <t>7220</t>
  </si>
  <si>
    <t>8680</t>
  </si>
  <si>
    <t>MV-4700-000450</t>
  </si>
  <si>
    <t>REDUCER</t>
  </si>
  <si>
    <t xml:space="preserve">   '1일 이동 재료비:' (MA1+MA2)*0.008=?MA3 '원/km'</t>
  </si>
  <si>
    <t>MV-4400-065065</t>
  </si>
  <si>
    <t>#51 PE용접 | 25A|개소</t>
  </si>
  <si>
    <t>4760</t>
  </si>
  <si>
    <t xml:space="preserve">MAA = </t>
  </si>
  <si>
    <t>12260</t>
  </si>
  <si>
    <t>750x700A</t>
  </si>
  <si>
    <t>15380</t>
  </si>
  <si>
    <t>TM-700-200</t>
  </si>
  <si>
    <t>#37 PE용접(M당) | 150A|M</t>
  </si>
  <si>
    <t>60</t>
  </si>
  <si>
    <t xml:space="preserve">1027_1_1 = </t>
  </si>
  <si>
    <t>MV-4400-350050</t>
  </si>
  <si>
    <t>MV-4300-020020</t>
  </si>
  <si>
    <t>MV-4300-150100</t>
  </si>
  <si>
    <t>MV-4400-065065</t>
  </si>
  <si>
    <t>MV-4400-350050</t>
  </si>
  <si>
    <t>350A,80t(직관부)</t>
  </si>
  <si>
    <t>3680</t>
  </si>
  <si>
    <t>S02W65080</t>
  </si>
  <si>
    <t>S02002W040</t>
  </si>
  <si>
    <t>MV-4300-150100</t>
  </si>
  <si>
    <t>MV-4300-020020</t>
  </si>
  <si>
    <t>80A x 60t</t>
  </si>
  <si>
    <t>5280</t>
  </si>
  <si>
    <t>노무비</t>
  </si>
  <si>
    <t>환율(장비가격10만불이상)</t>
  </si>
  <si>
    <t>750x700A</t>
  </si>
  <si>
    <t>MV-5100-02040</t>
  </si>
  <si>
    <t>13780</t>
  </si>
  <si>
    <t>80A x 60t</t>
  </si>
  <si>
    <t>#15 자재운반(야적--&gt;현장) | 100A|m</t>
  </si>
  <si>
    <t>14660</t>
  </si>
  <si>
    <t>MU00240-500</t>
  </si>
  <si>
    <t xml:space="preserve">   용접공기량시험</t>
  </si>
  <si>
    <t>'경  비:' EQ("E00002104002500000") / (60 / Q) =?EQ1</t>
  </si>
  <si>
    <t>2360</t>
  </si>
  <si>
    <t>MU00240-500</t>
  </si>
  <si>
    <t xml:space="preserve"> '6) 공장보온재 :' 2.992 'm' * ~MU00450-020A~ = ?MA1+</t>
  </si>
  <si>
    <t>E00002104001500000</t>
  </si>
  <si>
    <t>소   계</t>
  </si>
  <si>
    <t>500x250A</t>
  </si>
  <si>
    <t xml:space="preserve"> '2) MDI :' 20.28 'kg' * ~MU-002~  = ?MA1+</t>
  </si>
  <si>
    <t>S00000A300</t>
  </si>
  <si>
    <t>8800</t>
  </si>
  <si>
    <t>TM-700-650Y</t>
  </si>
  <si>
    <t>16840</t>
  </si>
  <si>
    <t>L001020101000121</t>
  </si>
  <si>
    <t>2400</t>
  </si>
  <si>
    <t>E00002104001500000</t>
  </si>
  <si>
    <t xml:space="preserve">LA1+ = </t>
  </si>
  <si>
    <t>14100</t>
  </si>
  <si>
    <t>12500</t>
  </si>
  <si>
    <t>6940</t>
  </si>
  <si>
    <t>500x250A</t>
  </si>
  <si>
    <t>65A,40t(직관부)</t>
  </si>
  <si>
    <t>4000</t>
  </si>
  <si>
    <t>MV-4000-080</t>
  </si>
  <si>
    <t xml:space="preserve">    '재료비:' ~E00002104001500000.M~ * 3 / 60 = ?MA1+</t>
  </si>
  <si>
    <t>MV-4300-700300</t>
  </si>
  <si>
    <t>#66 PE용접 | 500A|개소</t>
  </si>
  <si>
    <t>100A,80t(곡관부)</t>
  </si>
  <si>
    <t>MV-4300-700300</t>
  </si>
  <si>
    <t>MV-4000-080</t>
  </si>
  <si>
    <t>7540</t>
  </si>
  <si>
    <t>MV-4000-065</t>
  </si>
  <si>
    <t>1140</t>
  </si>
  <si>
    <t>13900</t>
  </si>
  <si>
    <t>750A,40t(곡관부)</t>
  </si>
  <si>
    <t>11040</t>
  </si>
  <si>
    <t>SC0608W650YA</t>
  </si>
  <si>
    <t>MV-4400-300100</t>
  </si>
  <si>
    <t>S024W40080YA</t>
  </si>
  <si>
    <t>물자/1387/</t>
  </si>
  <si>
    <t xml:space="preserve">36_1_1+ = </t>
  </si>
  <si>
    <t>MV-4300-100050</t>
  </si>
  <si>
    <t xml:space="preserve"> '2) MDI :' 44.04 'kg' * ~MU-002~  = ?MA1+</t>
  </si>
  <si>
    <t>S1303W125</t>
  </si>
  <si>
    <t>'◈ PE용접 100A / 개소'</t>
  </si>
  <si>
    <t>3800</t>
  </si>
  <si>
    <t>9400</t>
  </si>
  <si>
    <t>S01000W700</t>
  </si>
  <si>
    <t>MV-4300-100050</t>
  </si>
  <si>
    <t>MV-4400-300100</t>
  </si>
  <si>
    <t>MV-4000-065</t>
  </si>
  <si>
    <t>M4092005</t>
  </si>
  <si>
    <t xml:space="preserve">                                                                                                    </t>
  </si>
  <si>
    <t>수소</t>
  </si>
  <si>
    <t>16680</t>
  </si>
  <si>
    <t>750x450A</t>
  </si>
  <si>
    <t>11760</t>
  </si>
  <si>
    <t xml:space="preserve">   이중보온관 고재처리</t>
  </si>
  <si>
    <t>MV-5100-15080</t>
  </si>
  <si>
    <t>7260</t>
  </si>
  <si>
    <t>S024W75080</t>
  </si>
  <si>
    <t xml:space="preserve"> '1) POLYOL :' 17.52 'kg' * ~MU-001~ = ?MA1+</t>
  </si>
  <si>
    <t>750x450A</t>
  </si>
  <si>
    <t>9320</t>
  </si>
  <si>
    <t>TM-408-100</t>
  </si>
  <si>
    <t>S00000W350</t>
  </si>
  <si>
    <t>S024W55080YA</t>
  </si>
  <si>
    <t>ST0000TS000</t>
  </si>
  <si>
    <t>10280</t>
  </si>
  <si>
    <t xml:space="preserve">   STOPPLE FITTING 용접</t>
  </si>
  <si>
    <t>SC0608W650</t>
  </si>
  <si>
    <t>125A,40t(곡관부)</t>
  </si>
  <si>
    <t>'보통인부 :' TOT("L001010101000002") * 2 / (60 / Q) * (1/8) =?LA1+</t>
  </si>
  <si>
    <t>14620</t>
  </si>
  <si>
    <t>250A(VENT일체형)</t>
  </si>
  <si>
    <t xml:space="preserve"> ◈산근  자재운반 550A  / M</t>
  </si>
  <si>
    <t>2320</t>
  </si>
  <si>
    <t>SZD0003-450</t>
  </si>
  <si>
    <t>40A,80t(직관부)</t>
  </si>
  <si>
    <t xml:space="preserve">   압력배관 설치 및 철거(야간)</t>
  </si>
  <si>
    <t xml:space="preserve">  '- CARGO TRUCK(8ton)'</t>
  </si>
  <si>
    <t>MV-5000-40080</t>
  </si>
  <si>
    <t>M4507033</t>
  </si>
  <si>
    <t>20</t>
  </si>
  <si>
    <t>S00000W020YA</t>
  </si>
  <si>
    <t xml:space="preserve"> '1) POLYOL :' 0.84 'kg' * ~MU-001~ = ?MA1+</t>
  </si>
  <si>
    <t>250A(VENT일체형)</t>
  </si>
  <si>
    <t xml:space="preserve">   Foam Pad(타원형)설치</t>
  </si>
  <si>
    <t xml:space="preserve"> ◈ 자재운반 40A  / M</t>
  </si>
  <si>
    <t>MV-4400-065025</t>
  </si>
  <si>
    <t>4720</t>
  </si>
  <si>
    <t>MV-4400-050032</t>
  </si>
  <si>
    <t>MV-4400-065025</t>
  </si>
  <si>
    <t xml:space="preserve">    3.190 '인' * Q * ~L001010101000002~ = ?LA2+</t>
  </si>
  <si>
    <t>MV-6000-150</t>
  </si>
  <si>
    <t>MV-4400-050032</t>
  </si>
  <si>
    <t>M4507033</t>
  </si>
  <si>
    <t>12220</t>
  </si>
  <si>
    <t>20</t>
  </si>
  <si>
    <t>SD0001W0150</t>
  </si>
  <si>
    <t>550A(25% 할증)</t>
  </si>
  <si>
    <t>S024W04080YA</t>
  </si>
  <si>
    <t>12540</t>
  </si>
  <si>
    <t>L001010101000029</t>
  </si>
  <si>
    <t>'◈점검운반차량(km)'</t>
  </si>
  <si>
    <t xml:space="preserve">1179_1_1+ = </t>
  </si>
  <si>
    <t>6900</t>
  </si>
  <si>
    <t>4040</t>
  </si>
  <si>
    <t>MV-5100-03280</t>
  </si>
  <si>
    <t>8840</t>
  </si>
  <si>
    <t>16800</t>
  </si>
  <si>
    <t>2440</t>
  </si>
  <si>
    <t xml:space="preserve">1479_1_1 = </t>
  </si>
  <si>
    <t>14140</t>
  </si>
  <si>
    <t>TEE</t>
  </si>
  <si>
    <t>M9381003</t>
  </si>
  <si>
    <t xml:space="preserve">  PE용접: 1,215,955 / L = 89,606.0</t>
  </si>
  <si>
    <t>0</t>
  </si>
  <si>
    <t>3840</t>
  </si>
  <si>
    <t>5톤</t>
  </si>
  <si>
    <t>9440</t>
  </si>
  <si>
    <t>SZD0002-250</t>
  </si>
  <si>
    <t>#41 PE용접(M당) | 350A|M</t>
  </si>
  <si>
    <t>TM-700-500Y</t>
  </si>
  <si>
    <t>MV-9960-010-750</t>
  </si>
  <si>
    <t>500x100A</t>
  </si>
  <si>
    <t xml:space="preserve">947_1_1 = </t>
  </si>
  <si>
    <t>MV-4300-350125</t>
  </si>
  <si>
    <t>200㎜ x  6ｍ (KSM3407)</t>
  </si>
  <si>
    <t>재료비금액소숫점</t>
  </si>
  <si>
    <t xml:space="preserve">   FOAM PAD 설치(Fitting)</t>
  </si>
  <si>
    <t>500x100A</t>
  </si>
  <si>
    <t>S02002M025YA</t>
  </si>
  <si>
    <t>크레인(타이어)   25 Ton</t>
  </si>
  <si>
    <t>7500</t>
  </si>
  <si>
    <t>MV-4000-025</t>
  </si>
  <si>
    <t>13940</t>
  </si>
  <si>
    <t>250A~500A</t>
  </si>
  <si>
    <t>MV-9960-010-750</t>
  </si>
  <si>
    <t>11000</t>
  </si>
  <si>
    <t>MV-4300-350125</t>
  </si>
  <si>
    <t>MV-4000-025</t>
  </si>
  <si>
    <t>S02003W600</t>
  </si>
  <si>
    <t>S02002M200YA</t>
  </si>
  <si>
    <t>11180</t>
  </si>
  <si>
    <t>재료비할증계수(야간)</t>
  </si>
  <si>
    <t>7480</t>
  </si>
  <si>
    <t>#25 이중보온관전기예열 | 550A~750A|HR</t>
  </si>
  <si>
    <t>80A,40t(곡관부)</t>
  </si>
  <si>
    <t>14920</t>
  </si>
  <si>
    <t xml:space="preserve">LA1 = </t>
  </si>
  <si>
    <t>8020</t>
  </si>
  <si>
    <t>16060</t>
  </si>
  <si>
    <t>10460</t>
  </si>
  <si>
    <t>4820</t>
  </si>
  <si>
    <t>6160</t>
  </si>
  <si>
    <t xml:space="preserve"> ◈ PE용접 750A / 개소</t>
  </si>
  <si>
    <t>G0000761103000000</t>
  </si>
  <si>
    <t>50A x 40t</t>
  </si>
  <si>
    <t>5420</t>
  </si>
  <si>
    <t xml:space="preserve"> ◈ PE용접 32A / M</t>
  </si>
  <si>
    <t>Page</t>
  </si>
  <si>
    <t>11860</t>
  </si>
  <si>
    <t xml:space="preserve"> 'PE용접:'~S4830-600.T~ / L = ?[1]+</t>
  </si>
  <si>
    <t xml:space="preserve">644_1_1+ = </t>
  </si>
  <si>
    <t>13120</t>
  </si>
  <si>
    <t>MV-9960-001-500</t>
  </si>
  <si>
    <t xml:space="preserve">955_1_1 = </t>
  </si>
  <si>
    <t xml:space="preserve"> '2) MDI :' 5.16 'kg' * ~MU-002~  = ?MA1+</t>
  </si>
  <si>
    <t>MV-4810-000200</t>
  </si>
  <si>
    <t xml:space="preserve"> '3. 배치인원'</t>
  </si>
  <si>
    <t>S024W20080YA</t>
  </si>
  <si>
    <t>16980</t>
  </si>
  <si>
    <t xml:space="preserve">   총계</t>
  </si>
  <si>
    <t>'◈ 이중보온관전기예열 250-500A / Hr'</t>
  </si>
  <si>
    <t>TM-410-200</t>
  </si>
  <si>
    <t xml:space="preserve"> '3. 기구손료: 직접 노무비의 2 % :'</t>
  </si>
  <si>
    <t>150A(보온두께 31~40mm)</t>
  </si>
  <si>
    <t>6880</t>
  </si>
  <si>
    <t>15520</t>
  </si>
  <si>
    <t>MV-4810-000200</t>
  </si>
  <si>
    <t>'* 하차및 정위치 놓기(풀기포함) : 2분'</t>
  </si>
  <si>
    <t>MV-6700-750</t>
  </si>
  <si>
    <t>3020</t>
  </si>
  <si>
    <t>M0078007</t>
  </si>
  <si>
    <t>QLINCE</t>
  </si>
  <si>
    <t>중 기 명</t>
  </si>
  <si>
    <t xml:space="preserve">일    </t>
  </si>
  <si>
    <t xml:space="preserve">    0.448 '인' * Q * ~L001010101000043~ = ?LA2+</t>
  </si>
  <si>
    <t>S024W70040</t>
  </si>
  <si>
    <t xml:space="preserve">416_1_1+ = </t>
  </si>
  <si>
    <t>3740</t>
  </si>
  <si>
    <t>SZE0001-700</t>
  </si>
  <si>
    <t>100x80A</t>
  </si>
  <si>
    <t>S00000A050YA</t>
  </si>
  <si>
    <t>MU00450-125A</t>
  </si>
  <si>
    <t>32A,40t(직관부)</t>
  </si>
  <si>
    <t>15240</t>
  </si>
  <si>
    <t xml:space="preserve">   이중보온관 용접(MITER)(야간)</t>
  </si>
  <si>
    <t>MV-5100-05060</t>
  </si>
  <si>
    <t>MV-5100-10040</t>
  </si>
  <si>
    <t>S02002W600YA</t>
  </si>
  <si>
    <t>S024W65060</t>
  </si>
  <si>
    <t>S130301X200</t>
  </si>
  <si>
    <t>MV-4300-032020</t>
  </si>
  <si>
    <t>TM-408-065</t>
  </si>
  <si>
    <t>13640</t>
  </si>
  <si>
    <t xml:space="preserve">   LOCK-O-RING PLUG  M/C 설치</t>
  </si>
  <si>
    <t>5340</t>
  </si>
  <si>
    <t xml:space="preserve">EQ4+ = </t>
  </si>
  <si>
    <t>환율(IMF특별인출권)</t>
  </si>
  <si>
    <t>100x80A</t>
  </si>
  <si>
    <t xml:space="preserve">    '노무비:' ~E00002104001500000.L~ * 5.1 / 60 = ?LA1+</t>
  </si>
  <si>
    <t xml:space="preserve">947_1_1+ = </t>
  </si>
  <si>
    <t>S02001W032</t>
  </si>
  <si>
    <t>MV-4300-032020</t>
  </si>
  <si>
    <t xml:space="preserve">196_1_1 = </t>
  </si>
  <si>
    <t>[2]=0</t>
  </si>
  <si>
    <t xml:space="preserve">    2.133 '인' * Q * ~L001010101000044~ = ?LA2+</t>
  </si>
  <si>
    <t>125A(보온두께 31~40mm)</t>
  </si>
  <si>
    <t>450x250A</t>
  </si>
  <si>
    <t>MV-9960-004-450</t>
  </si>
  <si>
    <t>6600</t>
  </si>
  <si>
    <t>유물/1189/</t>
  </si>
  <si>
    <t>MV-5000-45040</t>
  </si>
  <si>
    <t xml:space="preserve">1625_1_1 = </t>
  </si>
  <si>
    <t>10300</t>
  </si>
  <si>
    <t>MV-4100-700</t>
  </si>
  <si>
    <t>TM-408-080</t>
  </si>
  <si>
    <t>MV-4300-150025</t>
  </si>
  <si>
    <t>MV-4400-100040</t>
  </si>
  <si>
    <t>MV-4500-050032</t>
  </si>
  <si>
    <t>MV-5000-45040</t>
  </si>
  <si>
    <t>MV-5000-50060</t>
  </si>
  <si>
    <t>망간건전지</t>
  </si>
  <si>
    <t xml:space="preserve"> 1. 기준</t>
  </si>
  <si>
    <t>MV-4500-050032</t>
  </si>
  <si>
    <t>망간건전지</t>
  </si>
  <si>
    <t>MV-5000-50060</t>
  </si>
  <si>
    <t>MV-4300-150025</t>
  </si>
  <si>
    <t xml:space="preserve"> 'PE용접:'~S4830-300.T~ / L = ?[1]+</t>
  </si>
  <si>
    <t>MV-6500-500</t>
  </si>
  <si>
    <t>8740</t>
  </si>
  <si>
    <t>16700</t>
  </si>
  <si>
    <t xml:space="preserve">  1) 보 온 공 :</t>
  </si>
  <si>
    <t>MV-4100-700</t>
  </si>
  <si>
    <t>S1303W650YA</t>
  </si>
  <si>
    <t>202501</t>
  </si>
  <si>
    <t>MV-4300-550350</t>
  </si>
  <si>
    <t>G0000210400250000</t>
  </si>
  <si>
    <t>S13030W650YA</t>
  </si>
  <si>
    <t>3980</t>
  </si>
  <si>
    <t>MV-4100-020</t>
  </si>
  <si>
    <t>9580</t>
  </si>
  <si>
    <t>10420</t>
  </si>
  <si>
    <t>MV-4300-650600</t>
  </si>
  <si>
    <t xml:space="preserve">    0.212 '인' * Q * ~L001010101000003~ = ?LA2+</t>
  </si>
  <si>
    <t>S02000W300</t>
  </si>
  <si>
    <t>4860</t>
  </si>
  <si>
    <t>6120</t>
  </si>
  <si>
    <t>14960</t>
  </si>
  <si>
    <t>SZD0001-750</t>
  </si>
  <si>
    <t>8060</t>
  </si>
  <si>
    <t>MV-4400-300080</t>
  </si>
  <si>
    <t>16020</t>
  </si>
  <si>
    <t>BEND(90˚)</t>
  </si>
  <si>
    <t>MV-4300-550350</t>
  </si>
  <si>
    <t>MV-4300-650600</t>
  </si>
  <si>
    <t>MV-4400-300080</t>
  </si>
  <si>
    <t>MV-6000-500550</t>
  </si>
  <si>
    <t xml:space="preserve"> '7) 석동선 :' 15.99 'm' * ~MU00460~ = ?MA1+</t>
  </si>
  <si>
    <t>MV-4100-020</t>
  </si>
  <si>
    <t>MV-6800-002</t>
  </si>
  <si>
    <t>13880</t>
  </si>
  <si>
    <t>SS00200W600</t>
  </si>
  <si>
    <t>250A,60t(직관부)</t>
  </si>
  <si>
    <t>15560</t>
  </si>
  <si>
    <t>MV-4000-100</t>
  </si>
  <si>
    <t>3060</t>
  </si>
  <si>
    <t>S4830-350</t>
  </si>
  <si>
    <t>4180</t>
  </si>
  <si>
    <t>L001010101000044</t>
  </si>
  <si>
    <t>MV-4400-300065</t>
  </si>
  <si>
    <t>12480</t>
  </si>
  <si>
    <t>600x450A</t>
  </si>
  <si>
    <t>MV-4400-150150</t>
  </si>
  <si>
    <t>ST0000TW200</t>
  </si>
  <si>
    <t>14080</t>
  </si>
  <si>
    <t>8980</t>
  </si>
  <si>
    <t>600x450A</t>
  </si>
  <si>
    <t>S1303W040</t>
  </si>
  <si>
    <t>S13030W250</t>
  </si>
  <si>
    <t>2580</t>
  </si>
  <si>
    <t>5460</t>
  </si>
  <si>
    <t>11820</t>
  </si>
  <si>
    <t>13160</t>
  </si>
  <si>
    <t>MV-4400-150150</t>
  </si>
  <si>
    <t>MV-4400-300065</t>
  </si>
  <si>
    <t>MV-4000-100</t>
  </si>
  <si>
    <t xml:space="preserve">   m당 금액 :  [1] /12 = 7,913.5</t>
  </si>
  <si>
    <t>MV-8000</t>
  </si>
  <si>
    <t>MV-4300-500200</t>
  </si>
  <si>
    <t>S02001W500</t>
  </si>
  <si>
    <t xml:space="preserve"> ◈ PE용접 350A / 개소</t>
  </si>
  <si>
    <t>25A,60t(직관부)</t>
  </si>
  <si>
    <t>#28 PE용접(M당) | 20A|M</t>
  </si>
  <si>
    <t>'1) 접속점 설치'</t>
  </si>
  <si>
    <t>20A</t>
  </si>
  <si>
    <t>13600</t>
  </si>
  <si>
    <t>S02003W700YA</t>
  </si>
  <si>
    <t>450x100A</t>
  </si>
  <si>
    <t>S00000W100YA</t>
  </si>
  <si>
    <t>5300</t>
  </si>
  <si>
    <t>3700</t>
  </si>
  <si>
    <t xml:space="preserve"> '7) 석동선 :' 13.39 'm' * ~MU00460~ = ?MA1+</t>
  </si>
  <si>
    <t>MV-4300-150080</t>
  </si>
  <si>
    <t>중기전역변수</t>
  </si>
  <si>
    <t>450x100A</t>
  </si>
  <si>
    <t>15200</t>
  </si>
  <si>
    <t>MV-4600-000450</t>
  </si>
  <si>
    <t>MV-4300-150080</t>
  </si>
  <si>
    <t>MV-4300-500200</t>
  </si>
  <si>
    <t>MV-4600-000450</t>
  </si>
  <si>
    <t>20A</t>
  </si>
  <si>
    <t>S024W35080YA</t>
  </si>
  <si>
    <t>S02002M750</t>
  </si>
  <si>
    <t xml:space="preserve">  PE용접: 3,071,202 / L = 197,886.6</t>
  </si>
  <si>
    <t>MV-4200-350</t>
  </si>
  <si>
    <t>8700</t>
  </si>
  <si>
    <t>16740</t>
  </si>
  <si>
    <t xml:space="preserve">    0.352 '인' * Q * ~L001010101000043~ = ?LA2+</t>
  </si>
  <si>
    <t>S00000A065YA</t>
  </si>
  <si>
    <t>E00002702003000000</t>
  </si>
  <si>
    <t xml:space="preserve">    '경  비:' ~E00002702002000000.E~ * CM / 60 = ?EQ1+</t>
  </si>
  <si>
    <t>MV-4300-150065</t>
  </si>
  <si>
    <t>S02002W125</t>
  </si>
  <si>
    <t>S02W75060</t>
  </si>
  <si>
    <t>65x50A</t>
  </si>
  <si>
    <t>MV-5100-06560</t>
  </si>
  <si>
    <t xml:space="preserve"> '7) 석동선 :' 13.98 'm' * ~MU00460~ = ?MA1+</t>
  </si>
  <si>
    <t xml:space="preserve">  기타사급자재 운반비반영 :  [2] * 1.097 =1,870.8</t>
  </si>
  <si>
    <t>MV-4800-000250</t>
  </si>
  <si>
    <t>#4 자재운반(야적--&gt;현장) | 600A|m</t>
  </si>
  <si>
    <t>80x50A</t>
  </si>
  <si>
    <t>65x50A</t>
  </si>
  <si>
    <t>80x50A</t>
  </si>
  <si>
    <t>MV-4300-300150</t>
  </si>
  <si>
    <t>S02W60040</t>
  </si>
  <si>
    <t>6640</t>
  </si>
  <si>
    <t>No.711  부단수 천공(차단)</t>
  </si>
  <si>
    <t>MV-4300-150065</t>
  </si>
  <si>
    <t>MV-4300-300150</t>
  </si>
  <si>
    <t>MV-4800-000250</t>
  </si>
  <si>
    <t>QH2</t>
  </si>
  <si>
    <t xml:space="preserve"> '6) 공장보온재 :' 2.992 'm' * ~MU00450-550A~ = ?MA1+</t>
  </si>
  <si>
    <t>MV-4200-350</t>
  </si>
  <si>
    <t>10340</t>
  </si>
  <si>
    <t>S02001W065YA</t>
  </si>
  <si>
    <t>S024W40060YA</t>
  </si>
  <si>
    <t>S02002M040YA</t>
  </si>
  <si>
    <t>MV-9960-010-650</t>
  </si>
  <si>
    <t>S1303W065</t>
  </si>
  <si>
    <t xml:space="preserve"> '1) POLYOL :' 1.20 'kg' * ~MU-001~ = ?MA1+</t>
  </si>
  <si>
    <t>고철설</t>
  </si>
  <si>
    <t>3940</t>
  </si>
  <si>
    <t>550A(부설의 40%)</t>
  </si>
  <si>
    <t>9540</t>
  </si>
  <si>
    <t>SZD0002-350</t>
  </si>
  <si>
    <t xml:space="preserve"> '2) 닥 트 공 :'</t>
  </si>
  <si>
    <t xml:space="preserve">   STOPPLE FITTING 및 SANDWICH V/V설치</t>
  </si>
  <si>
    <t>11100</t>
  </si>
  <si>
    <t>600A,80t(직관부)</t>
  </si>
  <si>
    <t>S02003W700</t>
  </si>
  <si>
    <t>MV-4000-125</t>
  </si>
  <si>
    <t>7400</t>
  </si>
  <si>
    <t>TM-700-350Y</t>
  </si>
  <si>
    <t>MV-9960-010-650</t>
  </si>
  <si>
    <t>13840</t>
  </si>
  <si>
    <t xml:space="preserve">K1 = </t>
  </si>
  <si>
    <t xml:space="preserve">1329_1_1 = </t>
  </si>
  <si>
    <t>MV-4400-300040</t>
  </si>
  <si>
    <t>MV-4400-300040</t>
  </si>
  <si>
    <t>MV-4000-125</t>
  </si>
  <si>
    <t>26</t>
  </si>
  <si>
    <t>4140</t>
  </si>
  <si>
    <t xml:space="preserve">   &lt;기량시험&gt;</t>
  </si>
  <si>
    <t>12440</t>
  </si>
  <si>
    <t>6800</t>
  </si>
  <si>
    <t>SD0001W0050</t>
  </si>
  <si>
    <t>'◈ PE용접 750A / 개소'</t>
  </si>
  <si>
    <t xml:space="preserve">       '특별인부 :'~L001010101000003~ * 5 / 450 * 2.0 '인/TON'= ?LA1+'원/t'</t>
  </si>
  <si>
    <t>SC0608W600YA</t>
  </si>
  <si>
    <t xml:space="preserve">   강관절단</t>
  </si>
  <si>
    <t>14040</t>
  </si>
  <si>
    <t xml:space="preserve">   m당 금액 :  [1] /12 = 3,164.4</t>
  </si>
  <si>
    <t>S1303W080</t>
  </si>
  <si>
    <t>16900</t>
  </si>
  <si>
    <t>8940</t>
  </si>
  <si>
    <t>2540</t>
  </si>
  <si>
    <t>MV-4400-100025</t>
  </si>
  <si>
    <t>#10 자재운반(야적--&gt;현장) | 300A|m</t>
  </si>
  <si>
    <t>S024W25040YA</t>
  </si>
  <si>
    <t>14720</t>
  </si>
  <si>
    <t>12320</t>
  </si>
  <si>
    <t xml:space="preserve">272_1_1+ = </t>
  </si>
  <si>
    <t xml:space="preserve">2088_1_1 = </t>
  </si>
  <si>
    <t>4620</t>
  </si>
  <si>
    <t>MV-4300-150040</t>
  </si>
  <si>
    <t>S02002W100</t>
  </si>
  <si>
    <t>200A,40t(곡관부)</t>
  </si>
  <si>
    <t xml:space="preserve">    3.669 '인' * Q * ~L001010101000002~ = ?LA2+</t>
  </si>
  <si>
    <t xml:space="preserve">   BEND(90˚)-3D</t>
  </si>
  <si>
    <t>MV-4300-150040</t>
  </si>
  <si>
    <t>MV-4400-100025</t>
  </si>
  <si>
    <t>MV-4500-065040</t>
  </si>
  <si>
    <t>MV-4500-065040</t>
  </si>
  <si>
    <t>MV-6000-050</t>
  </si>
  <si>
    <t>QLINC3</t>
  </si>
  <si>
    <t>노임</t>
  </si>
  <si>
    <t>7360</t>
  </si>
  <si>
    <t>450A,80t(곡관부)</t>
  </si>
  <si>
    <t xml:space="preserve">    0.932 '인' * Q * ~L001010101000044~ = ?LA2+</t>
  </si>
  <si>
    <t>11660</t>
  </si>
  <si>
    <t>16780</t>
  </si>
  <si>
    <t>BEND(11.25˚)</t>
  </si>
  <si>
    <t xml:space="preserve">    0.284 '인' * Q * ~L001010101000003~ = ?LA2+</t>
  </si>
  <si>
    <t>No.863 STOPPLE FITTING 및 SANDWICH V/V설치</t>
  </si>
  <si>
    <t>6680</t>
  </si>
  <si>
    <t>SC0608W750</t>
  </si>
  <si>
    <t>S02W60080</t>
  </si>
  <si>
    <t xml:space="preserve">  기타사급자재 운반비반영 :  [2] * 1.097 =3,471.2</t>
  </si>
  <si>
    <t>MV-4300-025020</t>
  </si>
  <si>
    <t>'1. 탐지기 기계경비'</t>
  </si>
  <si>
    <t>10380</t>
  </si>
  <si>
    <t>9220</t>
  </si>
  <si>
    <t>'재료비:' MA("E1000000002") * 1.3 '대' / F =?MA1+</t>
  </si>
  <si>
    <t>S00000W250</t>
  </si>
  <si>
    <t>MV-4300-025020</t>
  </si>
  <si>
    <t>6</t>
  </si>
  <si>
    <t>S02W06540YA</t>
  </si>
  <si>
    <t xml:space="preserve"> 1. D/T 2.5ton     (2021 건설공사 표준품셈 P354 덤프트럭2.5TON의 손료 준용)</t>
  </si>
  <si>
    <t>QH32</t>
  </si>
  <si>
    <t>200x25A</t>
  </si>
  <si>
    <t>700A(VENT일체형)</t>
  </si>
  <si>
    <t>TM-500-150</t>
  </si>
  <si>
    <t>200x25A</t>
  </si>
  <si>
    <t>노임할증계수(일반구간:야간)</t>
  </si>
  <si>
    <t>11140</t>
  </si>
  <si>
    <t>7440</t>
  </si>
  <si>
    <t xml:space="preserve"> 'PE용접:'~S4830-080.T~ / L = ?[1]+</t>
  </si>
  <si>
    <t>13800</t>
  </si>
  <si>
    <t>700A(VENT일체형)</t>
  </si>
  <si>
    <t xml:space="preserve"> 심사결과내역서 및 요약서(기계)</t>
  </si>
  <si>
    <t>S01000W600</t>
  </si>
  <si>
    <t xml:space="preserve">40_1_1 = </t>
  </si>
  <si>
    <t>QDECPMA</t>
  </si>
  <si>
    <t>MV-4300-065050</t>
  </si>
  <si>
    <t>3900</t>
  </si>
  <si>
    <t>9500</t>
  </si>
  <si>
    <t xml:space="preserve">880_1_1 = </t>
  </si>
  <si>
    <t>[4]'소계'=?</t>
  </si>
  <si>
    <t>S02W08040YA</t>
  </si>
  <si>
    <t>No.834 TAPPING M/C 설치</t>
  </si>
  <si>
    <t>MV-4300-065050</t>
  </si>
  <si>
    <t>MV-4300-350065</t>
  </si>
  <si>
    <t>MV-4300-350065</t>
  </si>
  <si>
    <t>S1303W025</t>
  </si>
  <si>
    <t>80A(1㎞*2열)</t>
  </si>
  <si>
    <t>S02002M250YA</t>
  </si>
  <si>
    <t>14000</t>
  </si>
  <si>
    <t>시간당노임산출계수(일반구간)</t>
  </si>
  <si>
    <t>16940</t>
  </si>
  <si>
    <t>8900</t>
  </si>
  <si>
    <t>MV-4300-350080</t>
  </si>
  <si>
    <t>S00000A200</t>
  </si>
  <si>
    <t>2500</t>
  </si>
  <si>
    <t>200x125A</t>
  </si>
  <si>
    <t>인</t>
  </si>
  <si>
    <t>S024W04060YA</t>
  </si>
  <si>
    <t>200x125A</t>
  </si>
  <si>
    <t>'600V - 150mm2 - 1C:' TOT("M7380021") * 96'm'  * 0.015 =?MA4</t>
  </si>
  <si>
    <t>S02001W050YA</t>
  </si>
  <si>
    <t xml:space="preserve"> ◈ PE용접 32A / 개소</t>
  </si>
  <si>
    <t>500x400A</t>
  </si>
  <si>
    <t>4100</t>
  </si>
  <si>
    <t>S024W30040YA</t>
  </si>
  <si>
    <t>12400</t>
  </si>
  <si>
    <t>MV-4300-350080</t>
  </si>
  <si>
    <t>6840</t>
  </si>
  <si>
    <t>500x400A</t>
  </si>
  <si>
    <t>83</t>
  </si>
  <si>
    <t>3780</t>
  </si>
  <si>
    <t>MV-4400-350150</t>
  </si>
  <si>
    <t>50A,80t(곡관부)</t>
  </si>
  <si>
    <t>15280</t>
  </si>
  <si>
    <t>TM-700-300</t>
  </si>
  <si>
    <t>12360</t>
  </si>
  <si>
    <t>단 위</t>
  </si>
  <si>
    <t>MV-5100-10080</t>
  </si>
  <si>
    <t>S024W70080</t>
  </si>
  <si>
    <t>4660</t>
  </si>
  <si>
    <t>2260</t>
  </si>
  <si>
    <t xml:space="preserve">          '노무비 : '~E00002105001000000.L~ * {Q2}'hr/TON'   = ?LA1+'원/t'</t>
  </si>
  <si>
    <t>단 위</t>
  </si>
  <si>
    <t xml:space="preserve">    8.172 '인' * Q * ~L001010101000044~ = ?LA2+</t>
  </si>
  <si>
    <t>14760</t>
  </si>
  <si>
    <t xml:space="preserve"> '5) HDPE 관 :' 6.18 'm' * ~M5796029~ = ?MA1+</t>
  </si>
  <si>
    <t>MV-4400-100065</t>
  </si>
  <si>
    <t>13680</t>
  </si>
  <si>
    <t>'◈ PE용접 25A / M'</t>
  </si>
  <si>
    <t>MV-4400-100065</t>
  </si>
  <si>
    <t>MV-4400-350150</t>
  </si>
  <si>
    <t xml:space="preserve"> 4. 장비 사용료</t>
  </si>
  <si>
    <t>MU00240-400</t>
  </si>
  <si>
    <t xml:space="preserve">㎏    </t>
  </si>
  <si>
    <t>5380</t>
  </si>
  <si>
    <t>이동형</t>
  </si>
  <si>
    <t>이동형</t>
  </si>
  <si>
    <t>9260</t>
  </si>
  <si>
    <t>MV-4400-100080</t>
  </si>
  <si>
    <t>MU-001</t>
  </si>
  <si>
    <t xml:space="preserve"> '할증  1) 유해(고온) 할증 :       5%'</t>
  </si>
  <si>
    <t>350A(1㎞*2열)</t>
  </si>
  <si>
    <t>MV-5000-45080</t>
  </si>
  <si>
    <t>S4840-550</t>
  </si>
  <si>
    <t>8780</t>
  </si>
  <si>
    <t>MV-4300-750350</t>
  </si>
  <si>
    <t>S024W55060YA</t>
  </si>
  <si>
    <t>'◈산근'' 자재운반 100A  / M'</t>
  </si>
  <si>
    <t>750A(1㎞*2열)</t>
  </si>
  <si>
    <t>MV-4700-000550</t>
  </si>
  <si>
    <t>7320</t>
  </si>
  <si>
    <t>S02003W020</t>
  </si>
  <si>
    <t>MV-4300-750350</t>
  </si>
  <si>
    <t>MV-4400-100080</t>
  </si>
  <si>
    <t>MV-4700-000550</t>
  </si>
  <si>
    <t>11620</t>
  </si>
  <si>
    <t>11210</t>
  </si>
  <si>
    <t>700A(1㎞*2열)</t>
  </si>
  <si>
    <t>7710</t>
  </si>
  <si>
    <t>S4830-065</t>
  </si>
  <si>
    <t xml:space="preserve"> '6) 공장보온재 :' 2.992 'm' * ~MU00450-700A~ = ?MA1+</t>
  </si>
  <si>
    <t>SZH0001-750</t>
  </si>
  <si>
    <t>TM-500-200</t>
  </si>
  <si>
    <t xml:space="preserve">   - 장비 조합: T/C 15ton + TRAILER 20ton</t>
  </si>
  <si>
    <t xml:space="preserve">572_1_1 = </t>
  </si>
  <si>
    <t>300A(1㎞*2열)</t>
  </si>
  <si>
    <t>S024W02060YA</t>
  </si>
  <si>
    <t>700x650A</t>
  </si>
  <si>
    <t>S01000W550</t>
  </si>
  <si>
    <t>MV-4400-125050</t>
  </si>
  <si>
    <t xml:space="preserve"> ◈ PE용접 300A / 개소</t>
  </si>
  <si>
    <t xml:space="preserve">MU                                                                                                  </t>
  </si>
  <si>
    <t xml:space="preserve">L = </t>
  </si>
  <si>
    <t>MV-4400-125050</t>
  </si>
  <si>
    <t>S024W03260</t>
  </si>
  <si>
    <t>700x650A</t>
  </si>
  <si>
    <t>9650</t>
  </si>
  <si>
    <t>250A,60t(곡관부)</t>
  </si>
  <si>
    <t xml:space="preserve">   - 운반차 실가동율 :</t>
  </si>
  <si>
    <t>아연도철선</t>
  </si>
  <si>
    <t xml:space="preserve"> 'PE용접:'~S4830-025.T~ / L = ?[1]+</t>
  </si>
  <si>
    <t>14350</t>
  </si>
  <si>
    <t>100000000001</t>
  </si>
  <si>
    <t xml:space="preserve">   &lt;배관자재비&gt;</t>
  </si>
  <si>
    <t xml:space="preserve">G = </t>
  </si>
  <si>
    <t>'- 전기예열장비조합'</t>
  </si>
  <si>
    <t xml:space="preserve"> 'PE용접:'~S4830-550.T~ / L = ?[1]+</t>
  </si>
  <si>
    <t>2650</t>
  </si>
  <si>
    <t>4250</t>
  </si>
  <si>
    <t xml:space="preserve">    0.515 '인' * Q * ~L001010101000002~ = ?LA2+</t>
  </si>
  <si>
    <t xml:space="preserve">      2 회 x 6 분/회 = 12 분</t>
  </si>
  <si>
    <t>12750</t>
  </si>
  <si>
    <t>MV-4300-400400</t>
  </si>
  <si>
    <t xml:space="preserve">    0.226 '인' * Q * ~L001010101000003~ = ?LA2+</t>
  </si>
  <si>
    <t>200A(보온두께 31~40mm)</t>
  </si>
  <si>
    <t>'◈ PE용접 40A / 개소'</t>
  </si>
  <si>
    <t>6㎥, 40ℓ</t>
  </si>
  <si>
    <t xml:space="preserve">      2 회 x 6 분/회 = 12 분</t>
  </si>
  <si>
    <t>MV-4300-400400</t>
  </si>
  <si>
    <t>S4830-080</t>
  </si>
  <si>
    <t>MV-4200-065</t>
  </si>
  <si>
    <t>12030</t>
  </si>
  <si>
    <t>25A,60t(곡관부)</t>
  </si>
  <si>
    <t>10970</t>
  </si>
  <si>
    <t>4530</t>
  </si>
  <si>
    <t>S024W60080YA</t>
  </si>
  <si>
    <t>S024W15060</t>
  </si>
  <si>
    <t xml:space="preserve">   누수진단(밸브청음)</t>
  </si>
  <si>
    <t xml:space="preserve">EQ3+ = </t>
  </si>
  <si>
    <t>TM-700-050</t>
  </si>
  <si>
    <t>MV-5000-08080</t>
  </si>
  <si>
    <t>MV-5100-60040</t>
  </si>
  <si>
    <t>MV-5100-75060</t>
  </si>
  <si>
    <t>MV-4400-350200</t>
  </si>
  <si>
    <t>[1]'계'=?[]</t>
  </si>
  <si>
    <t>7990</t>
  </si>
  <si>
    <t>S00000A750YA</t>
  </si>
  <si>
    <t>MV-4300-080080</t>
  </si>
  <si>
    <t xml:space="preserve">    '재료비:' ~E00000602008000000.M~ * CM / 60 * Qo = ?MA1+</t>
  </si>
  <si>
    <t>S02002W100YA</t>
  </si>
  <si>
    <t>S02W06560</t>
  </si>
  <si>
    <t>400A(10% 할증)</t>
  </si>
  <si>
    <t>MV-4300-080080</t>
  </si>
  <si>
    <t>MV-4400-350200</t>
  </si>
  <si>
    <t xml:space="preserve">    '재료비:' ~E00002104002000000.M~ * 18 / 60 = ?MA1+</t>
  </si>
  <si>
    <t>14430</t>
  </si>
  <si>
    <t>MV-4200-065</t>
  </si>
  <si>
    <t xml:space="preserve">T2+ = </t>
  </si>
  <si>
    <t>2</t>
  </si>
  <si>
    <t>550x300A</t>
  </si>
  <si>
    <t>MV-5000-02560</t>
  </si>
  <si>
    <t>견적단가3</t>
  </si>
  <si>
    <t>6590</t>
  </si>
  <si>
    <t>S4840-600</t>
  </si>
  <si>
    <t>10090</t>
  </si>
  <si>
    <t>MV-4300-080065</t>
  </si>
  <si>
    <t>MV-5000-20060</t>
  </si>
  <si>
    <t>9130</t>
  </si>
  <si>
    <t>MV-4300-080065</t>
  </si>
  <si>
    <t>MV-4700-000600</t>
  </si>
  <si>
    <t>MV-5000-02560</t>
  </si>
  <si>
    <t>MV-5000-20060</t>
  </si>
  <si>
    <t>15830</t>
  </si>
  <si>
    <t>MV-4700-000600</t>
  </si>
  <si>
    <t>MV-9960-007-300</t>
  </si>
  <si>
    <t>7070</t>
  </si>
  <si>
    <t>5930</t>
  </si>
  <si>
    <t>550x300A</t>
  </si>
  <si>
    <t>11570</t>
  </si>
  <si>
    <t>MV-4200-080</t>
  </si>
  <si>
    <t xml:space="preserve">1735_1_1+ = </t>
  </si>
  <si>
    <t>16490</t>
  </si>
  <si>
    <t>도장공</t>
  </si>
  <si>
    <t>MV-4200-080</t>
  </si>
  <si>
    <t>588</t>
  </si>
  <si>
    <t>MV-5000-35040</t>
  </si>
  <si>
    <t xml:space="preserve"> 'PE용접:'~S4830-050.T~ / L = ?[1]+</t>
  </si>
  <si>
    <t>E00002104002000000</t>
  </si>
  <si>
    <t xml:space="preserve">   이중보온관전기예열</t>
  </si>
  <si>
    <t>EFW 시트(직관,엘보용)</t>
  </si>
  <si>
    <t>MV-9960-010-500</t>
  </si>
  <si>
    <t>9610</t>
  </si>
  <si>
    <t>80A,40t(직관부)</t>
  </si>
  <si>
    <t>피엔아이</t>
  </si>
  <si>
    <t xml:space="preserve">800_1_1 = </t>
  </si>
  <si>
    <t>500x125A</t>
  </si>
  <si>
    <t>S13030W125</t>
  </si>
  <si>
    <t>노임할증계수(일반구간:주야간)</t>
  </si>
  <si>
    <t>물가자료</t>
  </si>
  <si>
    <t>500x125A</t>
  </si>
  <si>
    <t>X00061-001</t>
  </si>
  <si>
    <t>11250</t>
  </si>
  <si>
    <t>S02003W450</t>
  </si>
  <si>
    <t>S1303W150YA</t>
  </si>
  <si>
    <t>7750</t>
  </si>
  <si>
    <t>E00002104002000000</t>
  </si>
  <si>
    <t>S4830-025</t>
  </si>
  <si>
    <t>80100037021</t>
  </si>
  <si>
    <t>S13030W150YA</t>
  </si>
  <si>
    <t>SD0001W0300</t>
  </si>
  <si>
    <t>No.806  용접공기량시험</t>
  </si>
  <si>
    <t xml:space="preserve">  기타사급자재 운반비반영 :  [2] * 1.097 =2,412.3</t>
  </si>
  <si>
    <t>4210</t>
  </si>
  <si>
    <t>12710</t>
  </si>
  <si>
    <t>14310</t>
  </si>
  <si>
    <t>700x500A</t>
  </si>
  <si>
    <t xml:space="preserve">   REDUCER</t>
  </si>
  <si>
    <t>[지역난방열수송공사 공사비산출기준 제7장 배관공사 3.9]</t>
  </si>
  <si>
    <t>2610</t>
  </si>
  <si>
    <t xml:space="preserve">344_1_1 = </t>
  </si>
  <si>
    <t xml:space="preserve">   '1일 이동 재료비:' (MA1+MA2)*0.04=?MA3 '원/일'</t>
  </si>
  <si>
    <t>S024W75080YA</t>
  </si>
  <si>
    <t>700x500A</t>
  </si>
  <si>
    <t xml:space="preserve">648_1_1+ = </t>
  </si>
  <si>
    <t>600A(보온두께 76~95mm)</t>
  </si>
  <si>
    <t>M0153018</t>
  </si>
  <si>
    <t>M8253003</t>
  </si>
  <si>
    <t xml:space="preserve">.sang=918 ,jung=459, kwan=680_x000D_
</t>
  </si>
  <si>
    <t xml:space="preserve"> ◈ PE용접 700A / 개소</t>
  </si>
  <si>
    <t>14470</t>
  </si>
  <si>
    <t xml:space="preserve">   EFW  직관보수,보온</t>
  </si>
  <si>
    <t>MU-005</t>
  </si>
  <si>
    <t>13590</t>
  </si>
  <si>
    <t>L001020101000123</t>
  </si>
  <si>
    <t>MV-4800-000125</t>
  </si>
  <si>
    <t>S13030W032YA</t>
  </si>
  <si>
    <t>32A,40t(곡관부)</t>
  </si>
  <si>
    <t>SZD0003-600</t>
  </si>
  <si>
    <t>MV-4300-040025</t>
  </si>
  <si>
    <t>5090</t>
  </si>
  <si>
    <t>S1303W032YA</t>
  </si>
  <si>
    <t>'◈ PE용접 50A / M'</t>
  </si>
  <si>
    <t>S02002W250</t>
  </si>
  <si>
    <t>3490</t>
  </si>
  <si>
    <t>650A(25% 할증)</t>
  </si>
  <si>
    <t>'◈ PE용접 250A / 개소'</t>
  </si>
  <si>
    <t>9890</t>
  </si>
  <si>
    <t>15190</t>
  </si>
  <si>
    <t>S00000W600YA</t>
  </si>
  <si>
    <t>MV-4400-032032</t>
  </si>
  <si>
    <t>MV-4300-125125</t>
  </si>
  <si>
    <t>12070</t>
  </si>
  <si>
    <t xml:space="preserve"> ◈점검운반차량</t>
  </si>
  <si>
    <t>MV-4200-025</t>
  </si>
  <si>
    <t xml:space="preserve"> '2) MDI :' 49.92 'kg' * ~MU-002~  = ?MA1+</t>
  </si>
  <si>
    <t>10930</t>
  </si>
  <si>
    <t>MV-4300-040025</t>
  </si>
  <si>
    <t>MV-4300-125125</t>
  </si>
  <si>
    <t>MV-4400-032032</t>
  </si>
  <si>
    <t>MV-4800-000125</t>
  </si>
  <si>
    <t>'◈ PE용접 32A / 개소'</t>
  </si>
  <si>
    <t>MV-4200-025</t>
  </si>
  <si>
    <t>MV-6000-300</t>
  </si>
  <si>
    <t>4570</t>
  </si>
  <si>
    <t>S02W12580YA</t>
  </si>
  <si>
    <t>8490</t>
  </si>
  <si>
    <t>S02W10040</t>
  </si>
  <si>
    <t>1430</t>
  </si>
  <si>
    <t>2890</t>
  </si>
  <si>
    <t>합    계</t>
  </si>
  <si>
    <t>7030</t>
  </si>
  <si>
    <t>합    계</t>
  </si>
  <si>
    <t>5970</t>
  </si>
  <si>
    <t>11530</t>
  </si>
  <si>
    <t>MV-4300-080025</t>
  </si>
  <si>
    <t>9170</t>
  </si>
  <si>
    <t xml:space="preserve"> '7) 석동선 :' 16.44 'm' * ~MU00460~ = ?MA1+</t>
  </si>
  <si>
    <t>TM-408-350</t>
  </si>
  <si>
    <t xml:space="preserve">    '수소+질소:' (~MV-7100-001~ + ~MV-7100-002~ ) / ( 2 ) =?MA1'원/병'</t>
  </si>
  <si>
    <t>S00000W100</t>
  </si>
  <si>
    <t>15870</t>
  </si>
  <si>
    <t>S02W05060</t>
  </si>
  <si>
    <t>12990</t>
  </si>
  <si>
    <t>SC0608W400</t>
  </si>
  <si>
    <t>125A x 80t</t>
  </si>
  <si>
    <t>MV-4300-080025</t>
  </si>
  <si>
    <t xml:space="preserve"> '4) PE 용접봉 :' 0.39 'kg' * ~M9021009~= ?MA1+</t>
  </si>
  <si>
    <t>S02W03280YA</t>
  </si>
  <si>
    <t>10770</t>
  </si>
  <si>
    <t>MV-4300-650550</t>
  </si>
  <si>
    <t xml:space="preserve">188_1_1+ = </t>
  </si>
  <si>
    <t>6270</t>
  </si>
  <si>
    <t xml:space="preserve">    4.034 '인' * Q * ~L001010101000002~ = ?LA2+</t>
  </si>
  <si>
    <t xml:space="preserve"> ◈산근   자재운반 80A  / M</t>
  </si>
  <si>
    <t>11290</t>
  </si>
  <si>
    <t>MV-4500-080050</t>
  </si>
  <si>
    <t>7790</t>
  </si>
  <si>
    <t>SS00200W550</t>
  </si>
  <si>
    <t xml:space="preserve">    3.232 '인' * Q * ~L001010101000002~ = ?LA2+</t>
  </si>
  <si>
    <t>#31 PE용접(M당) | 40A|M</t>
  </si>
  <si>
    <t>'1. 수소+질소'</t>
  </si>
  <si>
    <t>MV-4300-650550</t>
  </si>
  <si>
    <t>MV-4500-080050</t>
  </si>
  <si>
    <t>SZD0001-400</t>
  </si>
  <si>
    <t>16370</t>
  </si>
  <si>
    <t>POLYOL</t>
  </si>
  <si>
    <t xml:space="preserve">1558_1_1 = </t>
  </si>
  <si>
    <t>8330</t>
  </si>
  <si>
    <t>47</t>
  </si>
  <si>
    <t xml:space="preserve">    CM = T1 + T2 = ?'분'</t>
  </si>
  <si>
    <t>50x25A</t>
  </si>
  <si>
    <t>광일케미스틸</t>
  </si>
  <si>
    <t>15630</t>
  </si>
  <si>
    <t>S024W65040YA</t>
  </si>
  <si>
    <t>SC0608W100YA</t>
  </si>
  <si>
    <t>3330</t>
  </si>
  <si>
    <t>50x25A</t>
  </si>
  <si>
    <t>MV-4000-250</t>
  </si>
  <si>
    <t>MV-4500-300250</t>
  </si>
  <si>
    <t>5730</t>
  </si>
  <si>
    <t xml:space="preserve">    '잡재료(주연료의 38%)' '(2021 건설공사 표준품셈 P406 덤프트럭2.5TON의 운전경비 준용)'</t>
  </si>
  <si>
    <t>13230</t>
  </si>
  <si>
    <t>ST0000TW150</t>
  </si>
  <si>
    <t>No.854 STOPPLE FITTING 및 SANDWICH V/V설치</t>
  </si>
  <si>
    <t>MV-4300-350350</t>
  </si>
  <si>
    <t>MV-4300-350350</t>
  </si>
  <si>
    <t>MV-4500-300250</t>
  </si>
  <si>
    <t>MV-4000-250</t>
  </si>
  <si>
    <t>S13030W100</t>
  </si>
  <si>
    <t>350x250A</t>
  </si>
  <si>
    <t>[1]'소계'=?</t>
  </si>
  <si>
    <t>7910</t>
  </si>
  <si>
    <t>S00000W125</t>
  </si>
  <si>
    <t xml:space="preserve">   m당 금액 :  [1] /12 = 6,108.6</t>
  </si>
  <si>
    <t>1296</t>
  </si>
  <si>
    <t>MV-4300-600400</t>
  </si>
  <si>
    <t>13550</t>
  </si>
  <si>
    <t>50A,80t(직관부)</t>
  </si>
  <si>
    <t>'◈산근''자재운반 550A  / M'</t>
  </si>
  <si>
    <t>350x250A</t>
  </si>
  <si>
    <t>5050</t>
  </si>
  <si>
    <t>'내선전공 :' 0.102 * TOT("L001010101000075") * 8'개'  * 0.5 =?LA3</t>
  </si>
  <si>
    <t>S02W02540YA</t>
  </si>
  <si>
    <t>S02001W650</t>
  </si>
  <si>
    <t>MV-4300-500150</t>
  </si>
  <si>
    <t xml:space="preserve">116_1_1 = </t>
  </si>
  <si>
    <t>125x32A</t>
  </si>
  <si>
    <t>MV-4600-000700</t>
  </si>
  <si>
    <t xml:space="preserve">1695_1_1+ = </t>
  </si>
  <si>
    <t>S02002M400</t>
  </si>
  <si>
    <t>3450</t>
  </si>
  <si>
    <t>9850</t>
  </si>
  <si>
    <t>'재료비:' MA("E00002104002500000") / (60 / Q) =?MA1</t>
  </si>
  <si>
    <t xml:space="preserve">  '- 운반시간(12M, 운반및크레인자리잡기 포함)'</t>
  </si>
  <si>
    <t>125x32A</t>
  </si>
  <si>
    <t>MV-4300-500150</t>
  </si>
  <si>
    <t>MV-4300-600400</t>
  </si>
  <si>
    <t>MV-4600-000700</t>
  </si>
  <si>
    <t>15150</t>
  </si>
  <si>
    <t>QLINCA</t>
  </si>
  <si>
    <t>65x65A</t>
  </si>
  <si>
    <t>80x65A</t>
  </si>
  <si>
    <t>숫자</t>
  </si>
  <si>
    <t>600A</t>
  </si>
  <si>
    <t xml:space="preserve">    '경  비:' ~E00002104001500000.E~ * 4.5 / 60 = ?EQ1+</t>
  </si>
  <si>
    <t>600A</t>
  </si>
  <si>
    <t>65x65A</t>
  </si>
  <si>
    <t>16410</t>
  </si>
  <si>
    <t>MV-4300-125100</t>
  </si>
  <si>
    <t>S02W10080</t>
  </si>
  <si>
    <t>MU00450-400A</t>
  </si>
  <si>
    <t>S024W02060</t>
  </si>
  <si>
    <t>8450</t>
  </si>
  <si>
    <t>#74 수소+질소 가스 | 6㎥, 40ℓ|병</t>
  </si>
  <si>
    <t>MV-4300-125100</t>
  </si>
  <si>
    <t>2850</t>
  </si>
  <si>
    <t xml:space="preserve">L     </t>
  </si>
  <si>
    <t>MU00450-400A</t>
  </si>
  <si>
    <t>SU0000TS004</t>
  </si>
  <si>
    <t>650x350A</t>
  </si>
  <si>
    <t>MV-4500-350300</t>
  </si>
  <si>
    <t xml:space="preserve"> '1) POLYOL :' 14.52 'kg' * ~MU-001~ = ?MA1+</t>
  </si>
  <si>
    <t>12950</t>
  </si>
  <si>
    <t>'전력케이블 설치'</t>
  </si>
  <si>
    <t>No.876  STOPPLE FITTING 용접</t>
  </si>
  <si>
    <t>[1]'소계'=?[]</t>
  </si>
  <si>
    <t>6510</t>
  </si>
  <si>
    <t>'◈ PE용접 80A / 개소'</t>
  </si>
  <si>
    <t>10010</t>
  </si>
  <si>
    <t>MV-6600-200</t>
  </si>
  <si>
    <t>80x65A</t>
  </si>
  <si>
    <t xml:space="preserve">1333_1_1+ = </t>
  </si>
  <si>
    <t>MV-4800-000100</t>
  </si>
  <si>
    <t>550A(VENT일체형)</t>
  </si>
  <si>
    <t xml:space="preserve">   - 배치인원 : 보통인부 2인(적용시간 : 운반시간 + CRANE 자리잡기)</t>
  </si>
  <si>
    <t xml:space="preserve">L     </t>
  </si>
  <si>
    <t>MV-4300-300200</t>
  </si>
  <si>
    <t xml:space="preserve">    0.470 '인' * Q * ~L001010101000002~ = ?LA2+</t>
  </si>
  <si>
    <t>16330</t>
  </si>
  <si>
    <t>8370</t>
  </si>
  <si>
    <t>L001010101000040</t>
  </si>
  <si>
    <t xml:space="preserve">ea    </t>
  </si>
  <si>
    <t xml:space="preserve">   이중보온관 용접(야간)</t>
  </si>
  <si>
    <t>#63 PE용접 | 350A|개소</t>
  </si>
  <si>
    <t>600A,80t(곡관부)</t>
  </si>
  <si>
    <t>유물/57/</t>
  </si>
  <si>
    <t>S024W15060YA</t>
  </si>
  <si>
    <t xml:space="preserve">420_1_1 = </t>
  </si>
  <si>
    <t>9690</t>
  </si>
  <si>
    <t>J</t>
  </si>
  <si>
    <t xml:space="preserve">   녹막이 페인트(2회)</t>
  </si>
  <si>
    <t>10730</t>
  </si>
  <si>
    <t>6230</t>
  </si>
  <si>
    <t xml:space="preserve">EQ5 = </t>
  </si>
  <si>
    <t xml:space="preserve">       2) 배치인원</t>
  </si>
  <si>
    <t>No.806 용접공기량시험</t>
  </si>
  <si>
    <t>14390</t>
  </si>
  <si>
    <t>S1303W350</t>
  </si>
  <si>
    <t>MV-4810-000150</t>
  </si>
  <si>
    <t>2690</t>
  </si>
  <si>
    <t>MV-9960-001-650</t>
  </si>
  <si>
    <t>5770</t>
  </si>
  <si>
    <t>MV-9960-001-650</t>
  </si>
  <si>
    <t>125x40A</t>
  </si>
  <si>
    <t>13270</t>
  </si>
  <si>
    <t xml:space="preserve"> ◈ PE용접 80A / 개소</t>
  </si>
  <si>
    <t>15670</t>
  </si>
  <si>
    <t>125x40A</t>
  </si>
  <si>
    <t>S02001W750YA</t>
  </si>
  <si>
    <t>3370</t>
  </si>
  <si>
    <t>S4830-040</t>
  </si>
  <si>
    <t>4290</t>
  </si>
  <si>
    <t>TM-410-150</t>
  </si>
  <si>
    <t>S1303W020YA</t>
  </si>
  <si>
    <t>S02002M550YA</t>
  </si>
  <si>
    <t>TM-107</t>
  </si>
  <si>
    <t>125A x 60t</t>
  </si>
  <si>
    <t>12790</t>
  </si>
  <si>
    <t>MV-4600-000020</t>
  </si>
  <si>
    <t>MV-4810-000150</t>
  </si>
  <si>
    <t>G0000750500500000</t>
  </si>
  <si>
    <t>S13030W020YA</t>
  </si>
  <si>
    <t>MV-4600-000020</t>
  </si>
  <si>
    <t>MV-6700-400</t>
  </si>
  <si>
    <t>3410</t>
  </si>
  <si>
    <t>SZE0001-450</t>
  </si>
  <si>
    <t>550A</t>
  </si>
  <si>
    <t>9810</t>
  </si>
  <si>
    <t xml:space="preserve">648_1_1 = </t>
  </si>
  <si>
    <t>15110</t>
  </si>
  <si>
    <t>150㎜ x  6ｍ (KSM3407)</t>
  </si>
  <si>
    <t>550A</t>
  </si>
  <si>
    <t xml:space="preserve">    3.468 '인' * Q * ~L001010101000002~ = ?LA2+</t>
  </si>
  <si>
    <t>MU00450-750A</t>
  </si>
  <si>
    <t xml:space="preserve">원    </t>
  </si>
  <si>
    <t>MV-5000-08040</t>
  </si>
  <si>
    <t>MV-5100-60080</t>
  </si>
  <si>
    <t>20Ton</t>
  </si>
  <si>
    <t>'발전기(250kW) : 원/hr'</t>
  </si>
  <si>
    <t>20Ton</t>
  </si>
  <si>
    <t>S130301X150</t>
  </si>
  <si>
    <t>7950</t>
  </si>
  <si>
    <t>MV-4300-080040</t>
  </si>
  <si>
    <t>200A,40t(직관부)</t>
  </si>
  <si>
    <t>13510</t>
  </si>
  <si>
    <t>MV-4300-080040</t>
  </si>
  <si>
    <t>5010</t>
  </si>
  <si>
    <t>S024W70040YA</t>
  </si>
  <si>
    <t>MV-4100-450</t>
  </si>
  <si>
    <t xml:space="preserve">720_1_1 = </t>
  </si>
  <si>
    <t>450A,80t(직관부)</t>
  </si>
  <si>
    <t>MV-9960-004-700</t>
  </si>
  <si>
    <t>MV-4300-040040</t>
  </si>
  <si>
    <t>12910</t>
  </si>
  <si>
    <t xml:space="preserve">  야적장 ------------------------------ 현장</t>
  </si>
  <si>
    <t>6550</t>
  </si>
  <si>
    <t>MV-9960-004-700</t>
  </si>
  <si>
    <t>MV-5000-35080</t>
  </si>
  <si>
    <t>350x100A</t>
  </si>
  <si>
    <t>10050</t>
  </si>
  <si>
    <t>16450</t>
  </si>
  <si>
    <t>8410</t>
  </si>
  <si>
    <t>MV-4200-040</t>
  </si>
  <si>
    <t>2810</t>
  </si>
  <si>
    <t>'재료비:' MA("E1000000002") * 2 '대' / F =?MA1+</t>
  </si>
  <si>
    <t>700A(부설의 40%)</t>
  </si>
  <si>
    <t>MV-4300-040040</t>
  </si>
  <si>
    <t>MV-4100-450</t>
  </si>
  <si>
    <t>MV-4200-040</t>
  </si>
  <si>
    <t>MV-6500-650</t>
  </si>
  <si>
    <t>No.882  STOPPLE FITTING 용접</t>
  </si>
  <si>
    <t>350x100A</t>
  </si>
  <si>
    <t/>
  </si>
  <si>
    <t>[기계분야]</t>
    <phoneticPr fontId="7" type="noConversion"/>
  </si>
  <si>
    <t>공 사 원 가 계 산 서</t>
    <phoneticPr fontId="12" type="noConversion"/>
  </si>
  <si>
    <t>□ 2025년 서울에너지공사 유지보수 연간단가[기계]</t>
    <phoneticPr fontId="17" type="noConversion"/>
  </si>
  <si>
    <t>(단위:원)</t>
    <phoneticPr fontId="12" type="noConversion"/>
  </si>
  <si>
    <t>구           분</t>
    <phoneticPr fontId="17" type="noConversion"/>
  </si>
  <si>
    <t>금      액</t>
    <phoneticPr fontId="12" type="noConversion"/>
  </si>
  <si>
    <t>비      고</t>
  </si>
  <si>
    <t>1. 공  사  원  가</t>
    <phoneticPr fontId="17" type="noConversion"/>
  </si>
  <si>
    <t>가. 재료비</t>
    <phoneticPr fontId="17" type="noConversion"/>
  </si>
  <si>
    <t xml:space="preserve"> 1 ) 직접재료비</t>
    <phoneticPr fontId="17" type="noConversion"/>
  </si>
  <si>
    <t xml:space="preserve"> 2 ) 간접재료비</t>
    <phoneticPr fontId="17" type="noConversion"/>
  </si>
  <si>
    <t>소        계</t>
    <phoneticPr fontId="17" type="noConversion"/>
  </si>
  <si>
    <t>나. 노무비</t>
    <phoneticPr fontId="17" type="noConversion"/>
  </si>
  <si>
    <t xml:space="preserve"> 1 ) 직접노무비</t>
    <phoneticPr fontId="17" type="noConversion"/>
  </si>
  <si>
    <t xml:space="preserve"> 2 ) 간접노무비</t>
    <phoneticPr fontId="17" type="noConversion"/>
  </si>
  <si>
    <t>소       계</t>
    <phoneticPr fontId="17" type="noConversion"/>
  </si>
  <si>
    <t>다. 경  비</t>
    <phoneticPr fontId="17" type="noConversion"/>
  </si>
  <si>
    <t xml:space="preserve"> 1 ) 기계경비</t>
    <phoneticPr fontId="17" type="noConversion"/>
  </si>
  <si>
    <t xml:space="preserve"> 2 ) 산재보험료</t>
    <phoneticPr fontId="17" type="noConversion"/>
  </si>
  <si>
    <t xml:space="preserve"> 3 ) 고용보험료</t>
    <phoneticPr fontId="17" type="noConversion"/>
  </si>
  <si>
    <t xml:space="preserve"> 4 ) 건강보험료</t>
    <phoneticPr fontId="17" type="noConversion"/>
  </si>
  <si>
    <t xml:space="preserve"> 5 ) 노인성 장기보험료</t>
    <phoneticPr fontId="12" type="noConversion"/>
  </si>
  <si>
    <t xml:space="preserve"> 6 ) 연금보험료</t>
    <phoneticPr fontId="17" type="noConversion"/>
  </si>
  <si>
    <t xml:space="preserve"> 7 ) 환경보전비</t>
    <phoneticPr fontId="17" type="noConversion"/>
  </si>
  <si>
    <t>5억미만</t>
    <phoneticPr fontId="25" type="noConversion"/>
  </si>
  <si>
    <t>토목공사</t>
    <phoneticPr fontId="25" type="noConversion"/>
  </si>
  <si>
    <t xml:space="preserve"> 8 ) 산업안전보건관리비</t>
  </si>
  <si>
    <t>5억~50억미만</t>
    <phoneticPr fontId="25" type="noConversion"/>
  </si>
  <si>
    <t xml:space="preserve"> 9 ) 퇴직공제부금비</t>
    <phoneticPr fontId="12" type="noConversion"/>
  </si>
  <si>
    <t>50억이상
(추정금액800억미만)</t>
    <phoneticPr fontId="25" type="noConversion"/>
  </si>
  <si>
    <t>토목공사</t>
  </si>
  <si>
    <t xml:space="preserve">10 ) 기타 경 비 </t>
    <phoneticPr fontId="17" type="noConversion"/>
  </si>
  <si>
    <t>소       계</t>
    <phoneticPr fontId="17" type="noConversion"/>
  </si>
  <si>
    <t>50억이상
(추정금액800억이상)</t>
    <phoneticPr fontId="25" type="noConversion"/>
  </si>
  <si>
    <t>계</t>
    <phoneticPr fontId="17" type="noConversion"/>
  </si>
  <si>
    <t xml:space="preserve"> 일  반  관  리  비</t>
    <phoneticPr fontId="17" type="noConversion"/>
  </si>
  <si>
    <t xml:space="preserve"> 이              윤</t>
    <phoneticPr fontId="17" type="noConversion"/>
  </si>
  <si>
    <t xml:space="preserve"> 합              계</t>
    <phoneticPr fontId="17" type="noConversion"/>
  </si>
  <si>
    <t xml:space="preserve"> 부  가  가  치  세</t>
    <phoneticPr fontId="17" type="noConversion"/>
  </si>
  <si>
    <t>5의 10%</t>
    <phoneticPr fontId="17" type="noConversion"/>
  </si>
  <si>
    <t xml:space="preserve"> 총              계</t>
    <phoneticPr fontId="17" type="noConversion"/>
  </si>
  <si>
    <t>※ 제비율 적용기준 : 2025년도 건축·산업환경설비공사 원가계산 (발주금액에 따라 조달청 공사원가계산 제비율 기준 적용 요함)</t>
    <phoneticPr fontId="12" type="noConversion"/>
  </si>
  <si>
    <t>※ 고용개선비 적용기준 : 30억-100억 미만/13~36개월/설비 7.6% 적용(발주금액 및 기간에 따라 재산정 요함)</t>
    <phoneticPr fontId="7" type="noConversion"/>
  </si>
  <si>
    <t>고 용 개 선 지 원 비</t>
    <phoneticPr fontId="17" type="noConversion"/>
  </si>
  <si>
    <t>나 1)의 15.1%</t>
    <phoneticPr fontId="12" type="noConversion"/>
  </si>
  <si>
    <t>나 ) 의 3.56%</t>
    <phoneticPr fontId="25" type="noConversion"/>
  </si>
  <si>
    <t>나 ) 의 1.01%</t>
    <phoneticPr fontId="25" type="noConversion"/>
  </si>
  <si>
    <t xml:space="preserve"> 5 ) 노인장기요양보험료</t>
    <phoneticPr fontId="12" type="noConversion"/>
  </si>
  <si>
    <t>(재+직노+기경)*0.3%</t>
  </si>
  <si>
    <t xml:space="preserve"> 8 ) 산업안전보건관리비</t>
    <phoneticPr fontId="17" type="noConversion"/>
  </si>
  <si>
    <t>가+나1)의 2.28%+4,325천원</t>
    <phoneticPr fontId="25" type="noConversion"/>
  </si>
  <si>
    <t>나 1)의 2.3%</t>
  </si>
  <si>
    <t>(가+나)의 5.1%</t>
    <phoneticPr fontId="12" type="noConversion"/>
  </si>
  <si>
    <t>11 ) 건설기계대여대금 지급보증액 발급</t>
    <phoneticPr fontId="17" type="noConversion"/>
  </si>
  <si>
    <t>가1)+나1)+다1)의 0.1%</t>
    <phoneticPr fontId="17" type="noConversion"/>
  </si>
  <si>
    <t>12 ) 품질시험관리비</t>
    <phoneticPr fontId="17" type="noConversion"/>
  </si>
  <si>
    <t>나+다+2의 15%</t>
    <phoneticPr fontId="17" type="noConversion"/>
  </si>
  <si>
    <t>고용개선지원비(PS단가)</t>
    <phoneticPr fontId="12" type="noConversion"/>
  </si>
  <si>
    <t>수량</t>
    <phoneticPr fontId="25" type="noConversion"/>
  </si>
  <si>
    <t xml:space="preserve">   &gt;&gt;총계</t>
  </si>
  <si>
    <t>공</t>
    <phoneticPr fontId="25" type="noConversion"/>
  </si>
  <si>
    <t xml:space="preserve">   &gt;계</t>
  </si>
  <si>
    <t>인</t>
    <phoneticPr fontId="25" type="noConversion"/>
  </si>
  <si>
    <t>26 총계</t>
    <phoneticPr fontId="25" type="noConversion"/>
  </si>
  <si>
    <t>27 총계</t>
    <phoneticPr fontId="25" type="noConversion"/>
  </si>
  <si>
    <t>26 서부</t>
    <phoneticPr fontId="25" type="noConversion"/>
  </si>
  <si>
    <t>27 서부</t>
    <phoneticPr fontId="25" type="noConversion"/>
  </si>
  <si>
    <t>합계</t>
    <phoneticPr fontId="7" type="noConversion"/>
  </si>
  <si>
    <t>합계</t>
    <phoneticPr fontId="25" type="noConversion"/>
  </si>
  <si>
    <t>26 동부</t>
    <phoneticPr fontId="25" type="noConversion"/>
  </si>
  <si>
    <t>27 동부</t>
    <phoneticPr fontId="25" type="noConversion"/>
  </si>
  <si>
    <t>No.706</t>
  </si>
  <si>
    <t>No.707</t>
  </si>
  <si>
    <t>No.708</t>
  </si>
  <si>
    <t>No.709</t>
  </si>
  <si>
    <t>No.710</t>
  </si>
  <si>
    <t>No.711</t>
  </si>
  <si>
    <t>No.711</t>
    <phoneticPr fontId="7" type="noConversion"/>
  </si>
  <si>
    <t>No.712</t>
  </si>
  <si>
    <t>No.713</t>
  </si>
  <si>
    <t>No.714</t>
  </si>
  <si>
    <t>No.714</t>
    <phoneticPr fontId="7" type="noConversion"/>
  </si>
  <si>
    <t>No.715</t>
  </si>
  <si>
    <t>No.716</t>
  </si>
  <si>
    <t>No.717</t>
  </si>
  <si>
    <t>No.717</t>
    <phoneticPr fontId="7" type="noConversion"/>
  </si>
  <si>
    <t>No.718</t>
  </si>
  <si>
    <t>No.718</t>
    <phoneticPr fontId="7" type="noConversion"/>
  </si>
  <si>
    <t>No.719</t>
  </si>
  <si>
    <t>No.719</t>
    <phoneticPr fontId="7" type="noConversion"/>
  </si>
  <si>
    <t>No.720</t>
  </si>
  <si>
    <t>No.720</t>
    <phoneticPr fontId="7" type="noConversion"/>
  </si>
  <si>
    <t>공사 총괄 원가계산서</t>
    <phoneticPr fontId="39" type="noConversion"/>
  </si>
  <si>
    <t>(단위:원)</t>
    <phoneticPr fontId="25" type="noConversion"/>
  </si>
  <si>
    <t>구분</t>
    <phoneticPr fontId="25" type="noConversion"/>
  </si>
  <si>
    <t>1차</t>
    <phoneticPr fontId="25" type="noConversion"/>
  </si>
  <si>
    <t>2차</t>
    <phoneticPr fontId="25" type="noConversion"/>
  </si>
  <si>
    <t>공 급 가 액  :</t>
    <phoneticPr fontId="39" type="noConversion"/>
  </si>
  <si>
    <t>부가 가치세  :</t>
    <phoneticPr fontId="39" type="noConversion"/>
  </si>
  <si>
    <t>합 계 금 액  :</t>
    <phoneticPr fontId="39" type="noConversion"/>
  </si>
  <si>
    <t>서부</t>
    <phoneticPr fontId="7" type="noConversion"/>
  </si>
  <si>
    <t>동부</t>
    <phoneticPr fontId="7" type="noConversion"/>
  </si>
  <si>
    <t>[간접노무비]</t>
  </si>
  <si>
    <t>[기타경비]</t>
  </si>
  <si>
    <t>[일반관리비]</t>
  </si>
  <si>
    <t>[이윤]</t>
  </si>
  <si>
    <t>[건설기계대여대금 지급보증액 발급금액]</t>
    <phoneticPr fontId="39" type="noConversion"/>
  </si>
  <si>
    <t>[산업안전보건관리비]</t>
  </si>
  <si>
    <t>공사규모</t>
    <phoneticPr fontId="39" type="noConversion"/>
  </si>
  <si>
    <t>공사기간</t>
    <phoneticPr fontId="39" type="noConversion"/>
  </si>
  <si>
    <t>(직노) x 율</t>
  </si>
  <si>
    <t>(재+노) x 율</t>
    <phoneticPr fontId="39" type="noConversion"/>
  </si>
  <si>
    <t>공사규모</t>
  </si>
  <si>
    <t>(재+노+경) x 율</t>
    <phoneticPr fontId="39" type="noConversion"/>
  </si>
  <si>
    <t>(노+경+일)
 x 율</t>
    <phoneticPr fontId="39" type="noConversion"/>
  </si>
  <si>
    <t>(직접공사비) x 율</t>
    <phoneticPr fontId="39" type="noConversion"/>
  </si>
  <si>
    <t xml:space="preserve"> □ 도급자관급 미포함 공사</t>
    <phoneticPr fontId="39" type="noConversion"/>
  </si>
  <si>
    <r>
      <rPr>
        <u/>
        <sz val="11"/>
        <color theme="1"/>
        <rFont val="맑은 고딕"/>
        <family val="3"/>
        <charset val="129"/>
        <scheme val="minor"/>
      </rPr>
      <t>(재+직노)</t>
    </r>
    <r>
      <rPr>
        <sz val="11"/>
        <color theme="1"/>
        <rFont val="맑은 고딕"/>
        <family val="3"/>
        <charset val="129"/>
        <scheme val="minor"/>
      </rPr>
      <t xml:space="preserve"> x 율 + 기초액</t>
    </r>
    <phoneticPr fontId="39" type="noConversion"/>
  </si>
  <si>
    <t>(직접공사비)</t>
  </si>
  <si>
    <t>건축</t>
    <phoneticPr fontId="39" type="noConversion"/>
  </si>
  <si>
    <r>
      <t xml:space="preserve">산업
설비
</t>
    </r>
    <r>
      <rPr>
        <sz val="10"/>
        <color theme="1"/>
        <rFont val="맑은 고딕"/>
        <family val="3"/>
        <charset val="129"/>
        <scheme val="minor"/>
      </rPr>
      <t>(건축)</t>
    </r>
    <phoneticPr fontId="39" type="noConversion"/>
  </si>
  <si>
    <t>(추정가격)</t>
  </si>
  <si>
    <t>건축, 
산업설비(건축)</t>
    <phoneticPr fontId="39" type="noConversion"/>
  </si>
  <si>
    <t>전문·
전기·통신·
소방·기타</t>
    <phoneticPr fontId="39" type="noConversion"/>
  </si>
  <si>
    <t>종합건설업</t>
  </si>
  <si>
    <t>전문건설업</t>
  </si>
  <si>
    <t xml:space="preserve"> □ 도급자관급 포함 공사</t>
    <phoneticPr fontId="39" type="noConversion"/>
  </si>
  <si>
    <r>
      <rPr>
        <u/>
        <sz val="11"/>
        <color theme="1"/>
        <rFont val="맑은 고딕"/>
        <family val="3"/>
        <charset val="129"/>
        <scheme val="minor"/>
      </rPr>
      <t>(재+직노+도급자관급)</t>
    </r>
    <r>
      <rPr>
        <sz val="11"/>
        <color theme="1"/>
        <rFont val="맑은 고딕"/>
        <family val="3"/>
        <charset val="129"/>
        <scheme val="minor"/>
      </rPr>
      <t xml:space="preserve"> x 요율</t>
    </r>
    <r>
      <rPr>
        <vertAlign val="superscript"/>
        <sz val="11"/>
        <color theme="1"/>
        <rFont val="맑은 고딕"/>
        <family val="3"/>
        <charset val="129"/>
        <scheme val="minor"/>
      </rPr>
      <t>주2)</t>
    </r>
    <r>
      <rPr>
        <sz val="11"/>
        <color theme="1"/>
        <rFont val="맑은 고딕"/>
        <family val="3"/>
        <charset val="129"/>
        <scheme val="minor"/>
      </rPr>
      <t xml:space="preserve"> + 기초액과</t>
    </r>
    <phoneticPr fontId="39" type="noConversion"/>
  </si>
  <si>
    <r>
      <rPr>
        <u/>
        <sz val="11"/>
        <color theme="1"/>
        <rFont val="맑은 고딕"/>
        <family val="3"/>
        <charset val="129"/>
        <scheme val="minor"/>
      </rPr>
      <t>[(재+직노)</t>
    </r>
    <r>
      <rPr>
        <sz val="11"/>
        <color theme="1"/>
        <rFont val="맑은 고딕"/>
        <family val="3"/>
        <charset val="129"/>
        <scheme val="minor"/>
      </rPr>
      <t xml:space="preserve"> x 요율</t>
    </r>
    <r>
      <rPr>
        <vertAlign val="superscript"/>
        <sz val="11"/>
        <color theme="1"/>
        <rFont val="맑은 고딕"/>
        <family val="3"/>
        <charset val="129"/>
        <scheme val="minor"/>
      </rPr>
      <t>주3)</t>
    </r>
    <r>
      <rPr>
        <sz val="11"/>
        <color theme="1"/>
        <rFont val="맑은 고딕"/>
        <family val="3"/>
        <charset val="129"/>
        <scheme val="minor"/>
      </rPr>
      <t xml:space="preserve"> + 기초액] x 1.2 중에 작은 금액</t>
    </r>
    <phoneticPr fontId="39" type="noConversion"/>
  </si>
  <si>
    <t>10억 미만</t>
    <phoneticPr fontId="39" type="noConversion"/>
  </si>
  <si>
    <t>6개월 이하 (183일)</t>
  </si>
  <si>
    <t>5억 미만</t>
  </si>
  <si>
    <t>구분</t>
  </si>
  <si>
    <t>요율</t>
    <phoneticPr fontId="39" type="noConversion"/>
  </si>
  <si>
    <t>구분</t>
    <phoneticPr fontId="39" type="noConversion"/>
  </si>
  <si>
    <r>
      <t>산업안전보건관리비 대상액</t>
    </r>
    <r>
      <rPr>
        <vertAlign val="superscript"/>
        <sz val="11"/>
        <color theme="1"/>
        <rFont val="맑은 고딕"/>
        <family val="3"/>
        <charset val="129"/>
        <scheme val="minor"/>
      </rPr>
      <t>주1)</t>
    </r>
    <phoneticPr fontId="39" type="noConversion"/>
  </si>
  <si>
    <t>기초액(천원)</t>
  </si>
  <si>
    <t>7~12개월 (365일)</t>
  </si>
  <si>
    <t>13~36개월 (1095일)</t>
  </si>
  <si>
    <t>건축공사</t>
    <phoneticPr fontId="39" type="noConversion"/>
  </si>
  <si>
    <t>비계·구조물해체공사</t>
    <phoneticPr fontId="39" type="noConversion"/>
  </si>
  <si>
    <t>5억 미만</t>
    <phoneticPr fontId="39" type="noConversion"/>
  </si>
  <si>
    <t>36개월 초과 (1096일)</t>
  </si>
  <si>
    <t>5억 - 
30억 미만</t>
  </si>
  <si>
    <t>토목공사</t>
    <phoneticPr fontId="39" type="noConversion"/>
  </si>
  <si>
    <t>10억 - 
50억 미만</t>
    <phoneticPr fontId="39" type="noConversion"/>
  </si>
  <si>
    <t>중건설공사</t>
    <phoneticPr fontId="39" type="noConversion"/>
  </si>
  <si>
    <r>
      <t>산업</t>
    </r>
    <r>
      <rPr>
        <sz val="11"/>
        <color theme="1"/>
        <rFont val="돋움"/>
        <family val="3"/>
        <charset val="129"/>
      </rPr>
      <t>∙</t>
    </r>
    <r>
      <rPr>
        <sz val="11"/>
        <color theme="1"/>
        <rFont val="맑은 고딕"/>
        <family val="3"/>
        <charset val="129"/>
      </rPr>
      <t>설비공사</t>
    </r>
    <phoneticPr fontId="39" type="noConversion"/>
  </si>
  <si>
    <t>석공사, 시설물유지관리, 
철근콘크리트공사,
가스시설공사(1종)</t>
    <phoneticPr fontId="39" type="noConversion"/>
  </si>
  <si>
    <t>특수건설공사</t>
    <phoneticPr fontId="39" type="noConversion"/>
  </si>
  <si>
    <t>30억 - 
50억 미만</t>
  </si>
  <si>
    <r>
      <rPr>
        <u/>
        <sz val="11"/>
        <color theme="1"/>
        <rFont val="맑은 고딕"/>
        <family val="3"/>
        <charset val="129"/>
        <scheme val="minor"/>
      </rPr>
      <t>5억</t>
    </r>
    <r>
      <rPr>
        <sz val="8"/>
        <color indexed="8"/>
        <rFont val="굴림"/>
        <family val="2"/>
        <charset val="129"/>
      </rPr>
      <t xml:space="preserve"> ~ 
</t>
    </r>
    <r>
      <rPr>
        <u/>
        <sz val="11"/>
        <color theme="1"/>
        <rFont val="맑은 고딕"/>
        <family val="3"/>
        <charset val="129"/>
        <scheme val="minor"/>
      </rPr>
      <t>50억 미만</t>
    </r>
    <phoneticPr fontId="39" type="noConversion"/>
  </si>
  <si>
    <t>50억 - 
300억 미만</t>
  </si>
  <si>
    <t>50억 - 
100억 미만</t>
  </si>
  <si>
    <t>도장공사, 철강재설치공사</t>
    <phoneticPr fontId="39" type="noConversion"/>
  </si>
  <si>
    <t>100억 - 
300억 미만</t>
  </si>
  <si>
    <t>50억 이상</t>
    <phoneticPr fontId="39" type="noConversion"/>
  </si>
  <si>
    <t>추정금액 
800억 미만 
건설공사</t>
    <phoneticPr fontId="39" type="noConversion"/>
  </si>
  <si>
    <t>기계설비공사업 및 그 외</t>
    <phoneticPr fontId="39" type="noConversion"/>
  </si>
  <si>
    <t>300억 - 
1000억 미만</t>
  </si>
  <si>
    <t xml:space="preserve"> * 적용제외: 국가유산수리공사, 전기, 정보통신, 소방시설</t>
    <phoneticPr fontId="39" type="noConversion"/>
  </si>
  <si>
    <t>1000억 이상</t>
  </si>
  <si>
    <t xml:space="preserve"> ※ 건설기계대여대금 지급보증서 발급금액 및 업종별 건설기계</t>
    <phoneticPr fontId="39" type="noConversion"/>
  </si>
  <si>
    <t>추정금액
800억 이상
건설공사</t>
    <phoneticPr fontId="39" type="noConversion"/>
  </si>
  <si>
    <t xml:space="preserve">    투입비율 산정기준(국토부 고시 제2019-286호, 2019.6.19.)</t>
    <phoneticPr fontId="39" type="noConversion"/>
  </si>
  <si>
    <t>[건강보험료]</t>
    <phoneticPr fontId="39" type="noConversion"/>
  </si>
  <si>
    <t>[노인장기요양보험료]</t>
    <phoneticPr fontId="39" type="noConversion"/>
  </si>
  <si>
    <t>[연금보험료]</t>
    <phoneticPr fontId="39" type="noConversion"/>
  </si>
  <si>
    <t>[산재보험료]</t>
    <phoneticPr fontId="39" type="noConversion"/>
  </si>
  <si>
    <t>(노) x 3.56</t>
    <phoneticPr fontId="39" type="noConversion"/>
  </si>
  <si>
    <t xml:space="preserve">  *  총 공사금액(도급금액+도급자설치 관급금액) 2천만원 이상 건설공사</t>
    <phoneticPr fontId="39" type="noConversion"/>
  </si>
  <si>
    <t xml:space="preserve"> * 공사기간 1개월(30일) 이상인 모든 건설공사</t>
  </si>
  <si>
    <t xml:space="preserve"> * 모든 건설공사 적용. 
   노동부 고시 제2024-77호(2024. 12. 30.), 산업재해보상보험법시행령</t>
    <phoneticPr fontId="39" type="noConversion"/>
  </si>
  <si>
    <r>
      <t xml:space="preserve">  주1) </t>
    </r>
    <r>
      <rPr>
        <u/>
        <sz val="11"/>
        <color theme="1"/>
        <rFont val="맑은 고딕"/>
        <family val="3"/>
        <charset val="129"/>
        <scheme val="minor"/>
      </rPr>
      <t>산업안전보건관리비 대상액</t>
    </r>
    <phoneticPr fontId="39" type="noConversion"/>
  </si>
  <si>
    <r>
      <t xml:space="preserve"> * 기타경비항목: 수도광열비, 복리후생비, 소모품비 및 사무용품비, 여비∙교통</t>
    </r>
    <r>
      <rPr>
        <sz val="11"/>
        <color theme="1"/>
        <rFont val="돋움"/>
        <family val="3"/>
        <charset val="129"/>
      </rPr>
      <t>∙</t>
    </r>
    <r>
      <rPr>
        <sz val="8"/>
        <color indexed="8"/>
        <rFont val="굴림"/>
        <family val="2"/>
        <charset val="129"/>
      </rPr>
      <t>통신비, 세금과공과, 도서인쇄비</t>
    </r>
    <phoneticPr fontId="39" type="noConversion"/>
  </si>
  <si>
    <t xml:space="preserve">   (노인장기요양보험료는 소수점 다섯째자리에서 반올림)</t>
    <phoneticPr fontId="39" type="noConversion"/>
  </si>
  <si>
    <t xml:space="preserve">   - 재료비+직접노무비+도급자설치 관급금액</t>
    <phoneticPr fontId="39" type="noConversion"/>
  </si>
  <si>
    <t>□ 산업설비(건축) 해당공종 : 지열공사, 소각시설 등</t>
    <phoneticPr fontId="39" type="noConversion"/>
  </si>
  <si>
    <t xml:space="preserve"> ※ 사회보험의 보험료 적용기준 (국토부 고시 제2021-905호, 2021.7.1.) </t>
    <phoneticPr fontId="39" type="noConversion"/>
  </si>
  <si>
    <t>[고용보험료]</t>
  </si>
  <si>
    <t>[환경보전비]</t>
    <phoneticPr fontId="39" type="noConversion"/>
  </si>
  <si>
    <t>[건설하도급대금지급보증서발급수수료]</t>
    <phoneticPr fontId="39" type="noConversion"/>
  </si>
  <si>
    <t xml:space="preserve">  주2) 대상액이 재료비, 직접노무비, 도급자관급의 합계금액인 요율</t>
    <phoneticPr fontId="39" type="noConversion"/>
  </si>
  <si>
    <t xml:space="preserve">  주3) 대상액이 재료비, 직접노무비의 합계금액인 요율</t>
    <phoneticPr fontId="39" type="noConversion"/>
  </si>
  <si>
    <t>(노) x 율</t>
  </si>
  <si>
    <t>공사배정규모(추정금액)</t>
  </si>
  <si>
    <t>공사규모(추정가격)</t>
  </si>
  <si>
    <t xml:space="preserve"> * 산업안전보건관리비 산출 건설공사의 종류</t>
    <phoneticPr fontId="39" type="noConversion"/>
  </si>
  <si>
    <t xml:space="preserve">       [1등급] 1200억 이상</t>
    <phoneticPr fontId="39" type="noConversion"/>
  </si>
  <si>
    <t>도로(예시: 교량, 터널, 활주로 등)</t>
    <phoneticPr fontId="39" type="noConversion"/>
  </si>
  <si>
    <t>50억 미만</t>
  </si>
  <si>
    <r>
      <t xml:space="preserve">  - </t>
    </r>
    <r>
      <rPr>
        <b/>
        <sz val="12"/>
        <color theme="1"/>
        <rFont val="맑은 고딕"/>
        <family val="3"/>
        <charset val="129"/>
        <scheme val="minor"/>
      </rPr>
      <t>[건축공사]</t>
    </r>
    <r>
      <rPr>
        <sz val="8"/>
        <color indexed="8"/>
        <rFont val="굴림"/>
        <family val="2"/>
        <charset val="129"/>
      </rPr>
      <t xml:space="preserve"> 「건설산업기본법 시행령」 (별표 1) 제1호 '나'목 /  제2호의 전문공사로서 건축물과</t>
    </r>
    <phoneticPr fontId="39" type="noConversion"/>
  </si>
  <si>
    <t xml:space="preserve">       [2등급] 800억 ~ 1200억 미만</t>
    <phoneticPr fontId="39" type="noConversion"/>
  </si>
  <si>
    <t>1.30</t>
    <phoneticPr fontId="39" type="noConversion"/>
  </si>
  <si>
    <t>플랜트(예시: 발전소, 쓰레기소각장 등)</t>
    <phoneticPr fontId="39" type="noConversion"/>
  </si>
  <si>
    <t xml:space="preserve">       [3등급] 520억 ~ 800억 미만</t>
    <phoneticPr fontId="39" type="noConversion"/>
  </si>
  <si>
    <t>50억 이상 - 100억 미만</t>
  </si>
  <si>
    <t xml:space="preserve">    관련하여 분리하여 발주되었고 시간적·장소적으로도 독립하여 행하는 공사</t>
    <phoneticPr fontId="39" type="noConversion"/>
  </si>
  <si>
    <t>지하철</t>
    <phoneticPr fontId="39" type="noConversion"/>
  </si>
  <si>
    <t xml:space="preserve">       [4등급] 340억 ~ 520억 미만</t>
    <phoneticPr fontId="39" type="noConversion"/>
  </si>
  <si>
    <t>철도</t>
    <phoneticPr fontId="39" type="noConversion"/>
  </si>
  <si>
    <t>100억 이상 - 300억 미만</t>
  </si>
  <si>
    <r>
      <t xml:space="preserve">  - </t>
    </r>
    <r>
      <rPr>
        <b/>
        <sz val="12"/>
        <color theme="1"/>
        <rFont val="맑은 고딕"/>
        <family val="3"/>
        <charset val="129"/>
        <scheme val="minor"/>
      </rPr>
      <t>[토목공사]</t>
    </r>
    <r>
      <rPr>
        <sz val="8"/>
        <color indexed="8"/>
        <rFont val="굴림"/>
        <family val="2"/>
        <charset val="129"/>
      </rPr>
      <t xml:space="preserve"> 「건설산업기본법 시행령」 (별표 1) 제1호 '가'목, '라'목 / 제2호의 전문공사로서</t>
    </r>
    <phoneticPr fontId="39" type="noConversion"/>
  </si>
  <si>
    <t xml:space="preserve">       [5등급] 210억 ~ 340억 미만</t>
    <phoneticPr fontId="39" type="noConversion"/>
  </si>
  <si>
    <t>상하수도(예시: 폐수, 하수처리장, 정수장 등)</t>
    <phoneticPr fontId="39" type="noConversion"/>
  </si>
  <si>
    <t xml:space="preserve">       [6등급] 130억 ~ 210억 미만</t>
    <phoneticPr fontId="39" type="noConversion"/>
  </si>
  <si>
    <r>
      <t>300억 이상 종심</t>
    </r>
    <r>
      <rPr>
        <sz val="11"/>
        <color theme="1"/>
        <rFont val="돋움"/>
        <family val="3"/>
        <charset val="129"/>
      </rPr>
      <t>∙</t>
    </r>
    <r>
      <rPr>
        <sz val="11"/>
        <color theme="1"/>
        <rFont val="맑은 고딕"/>
        <family val="3"/>
        <charset val="129"/>
      </rPr>
      <t>종평제</t>
    </r>
    <r>
      <rPr>
        <sz val="11"/>
        <color theme="1"/>
        <rFont val="맑은 고딕"/>
        <family val="2"/>
        <charset val="129"/>
      </rPr>
      <t>(토목 및 산업설비)</t>
    </r>
  </si>
  <si>
    <t>건축공사 외의 시설물과 관련하여 분리하여 발주되었고 시간적·장소적으로도 독립하여 행하는 공사</t>
    <phoneticPr fontId="39" type="noConversion"/>
  </si>
  <si>
    <t>항만(간척, 준설): 오탁 또는 준설토 방지막 설치</t>
    <phoneticPr fontId="39" type="noConversion"/>
  </si>
  <si>
    <t xml:space="preserve">       [7등급] 고시금액 ~ 130억 미만</t>
    <phoneticPr fontId="39" type="noConversion"/>
  </si>
  <si>
    <t>항만(간척, 준설): 오탁 또는 준설토 방지막 미설치</t>
    <phoneticPr fontId="39" type="noConversion"/>
  </si>
  <si>
    <r>
      <t>300억 이상 종심</t>
    </r>
    <r>
      <rPr>
        <sz val="11"/>
        <color theme="1"/>
        <rFont val="돋움"/>
        <family val="3"/>
        <charset val="129"/>
      </rPr>
      <t>∙</t>
    </r>
    <r>
      <rPr>
        <sz val="11"/>
        <color theme="1"/>
        <rFont val="맑은 고딕"/>
        <family val="3"/>
        <charset val="129"/>
      </rPr>
      <t>종평제</t>
    </r>
    <r>
      <rPr>
        <sz val="11"/>
        <color theme="1"/>
        <rFont val="맑은 고딕"/>
        <family val="2"/>
        <charset val="129"/>
      </rPr>
      <t>(건축)</t>
    </r>
  </si>
  <si>
    <r>
      <t xml:space="preserve">  - </t>
    </r>
    <r>
      <rPr>
        <b/>
        <sz val="12"/>
        <color theme="1"/>
        <rFont val="맑은 고딕"/>
        <family val="3"/>
        <charset val="129"/>
        <scheme val="minor"/>
      </rPr>
      <t>[중건설공사]</t>
    </r>
    <r>
      <rPr>
        <sz val="8"/>
        <color indexed="8"/>
        <rFont val="굴림"/>
        <family val="2"/>
        <charset val="129"/>
      </rPr>
      <t xml:space="preserve"> 「건설산업기본법 시행령」 (별표 1) 제1호 '가'목, '라'목 해당공사 중</t>
    </r>
    <phoneticPr fontId="39" type="noConversion"/>
  </si>
  <si>
    <t xml:space="preserve">       7등급 미만</t>
    <phoneticPr fontId="39" type="noConversion"/>
  </si>
  <si>
    <t>댐</t>
    <phoneticPr fontId="39" type="noConversion"/>
  </si>
  <si>
    <t xml:space="preserve"> * 모든 건설공사에 적용,  국토부 고시 제2021-905호(2021.7.1.),  고용보험법 시행령</t>
    <phoneticPr fontId="39" type="noConversion"/>
  </si>
  <si>
    <r>
      <t>턴키</t>
    </r>
    <r>
      <rPr>
        <sz val="11"/>
        <color theme="1"/>
        <rFont val="돋움"/>
        <family val="3"/>
        <charset val="129"/>
      </rPr>
      <t>∙</t>
    </r>
    <r>
      <rPr>
        <sz val="11"/>
        <color theme="1"/>
        <rFont val="맑은 고딕"/>
        <family val="3"/>
        <charset val="129"/>
      </rPr>
      <t>대안공사</t>
    </r>
  </si>
  <si>
    <t xml:space="preserve">    다음과 같은 공사 및 이와 함께 부대하여 현장 내에서 행하는 공사</t>
    <phoneticPr fontId="39" type="noConversion"/>
  </si>
  <si>
    <t>택지개발</t>
    <phoneticPr fontId="39" type="noConversion"/>
  </si>
  <si>
    <t xml:space="preserve"> * 총공사금액[(도급금액+관급금액)에서 부가세 제외] 2천만원 미만의 건설공사를 건설업자가 아닌 자가 시공 시 미적용</t>
    <phoneticPr fontId="39" type="noConversion"/>
  </si>
  <si>
    <t>기타 토목(하천 등)</t>
    <phoneticPr fontId="39" type="noConversion"/>
  </si>
  <si>
    <t xml:space="preserve"> * 적용제외: 전문공사, 국가유산수리공사</t>
    <phoneticPr fontId="39" type="noConversion"/>
  </si>
  <si>
    <t xml:space="preserve">      · 고제방 댐 공사 등 - 댐 신설공사, 제방신설공사와 관련한 제반시설공사</t>
    <phoneticPr fontId="39" type="noConversion"/>
  </si>
  <si>
    <t xml:space="preserve"> ※ 등급기준: 조달청 등급별 유자격자 명부 등록 및 운용기준(조달청 공고 제2023-235호, 2023.7.6.)</t>
    <phoneticPr fontId="39" type="noConversion"/>
  </si>
  <si>
    <t>주택(재개발, 재건축)</t>
    <phoneticPr fontId="39" type="noConversion"/>
  </si>
  <si>
    <t xml:space="preserve"> ※ 하도급대금 지급보증서 발급금액 적용기준</t>
    <phoneticPr fontId="39" type="noConversion"/>
  </si>
  <si>
    <t xml:space="preserve">      · 화력, 수력, 원자력, 열병합 발전시설 등 설치공사 - 화력, 수력, 원자력, 열병합 발전시설과 관련된 신설공사 및 제반시설공사</t>
    <phoneticPr fontId="39" type="noConversion"/>
  </si>
  <si>
    <t>주택(신축)</t>
    <phoneticPr fontId="39" type="noConversion"/>
  </si>
  <si>
    <t xml:space="preserve">    (국토부 고시 제2016-921호, 2016.12.19.)</t>
    <phoneticPr fontId="39" type="noConversion"/>
  </si>
  <si>
    <t>[공사이행보증수수료]</t>
    <phoneticPr fontId="39" type="noConversion"/>
  </si>
  <si>
    <t>주택 외 건축</t>
    <phoneticPr fontId="39" type="noConversion"/>
  </si>
  <si>
    <t>[퇴직공제부금비]</t>
    <phoneticPr fontId="39" type="noConversion"/>
  </si>
  <si>
    <t xml:space="preserve">      · 터널신설공사 등 - 도로, 철도, 지하철 공사로서 터널, 교량, 토공사 등이 포함된 복합시설물로 구성된 공사에 있어</t>
    <phoneticPr fontId="39" type="noConversion"/>
  </si>
  <si>
    <t>조경, 기타(전문, 개보수 공사)</t>
    <phoneticPr fontId="39" type="noConversion"/>
  </si>
  <si>
    <t>공사규모(직접공사비)</t>
    <phoneticPr fontId="39" type="noConversion"/>
  </si>
  <si>
    <t>수수료</t>
    <phoneticPr fontId="39" type="noConversion"/>
  </si>
  <si>
    <t xml:space="preserve">        터널공사비 비중이 가장 큰 비중을 차지하는 건설공사 </t>
    <phoneticPr fontId="39" type="noConversion"/>
  </si>
  <si>
    <t xml:space="preserve"> * 환경관리비의 산출기준 및 관리에 관한 지침</t>
    <phoneticPr fontId="39" type="noConversion"/>
  </si>
  <si>
    <t>(직노) x 2.3</t>
    <phoneticPr fontId="39" type="noConversion"/>
  </si>
  <si>
    <t>70억 미만</t>
    <phoneticPr fontId="39" type="noConversion"/>
  </si>
  <si>
    <t>[직공비x0.0108%]x공기(년)</t>
    <phoneticPr fontId="39" type="noConversion"/>
  </si>
  <si>
    <r>
      <t xml:space="preserve"> - </t>
    </r>
    <r>
      <rPr>
        <b/>
        <sz val="12"/>
        <color theme="1"/>
        <rFont val="맑은 고딕"/>
        <family val="3"/>
        <charset val="129"/>
        <scheme val="minor"/>
      </rPr>
      <t>[특수건설공사]</t>
    </r>
    <r>
      <rPr>
        <sz val="8"/>
        <color indexed="8"/>
        <rFont val="굴림"/>
        <family val="2"/>
        <charset val="129"/>
      </rPr>
      <t xml:space="preserve"> </t>
    </r>
    <r>
      <rPr>
        <sz val="10"/>
        <color theme="1"/>
        <rFont val="맑은 고딕"/>
        <family val="3"/>
        <charset val="129"/>
        <scheme val="minor"/>
      </rPr>
      <t>「건설산업기본법 시행령」(별표1) 제1호 '마'목로서 시행규칙(별표3)에서 구분한 조경공사</t>
    </r>
    <phoneticPr fontId="39" type="noConversion"/>
  </si>
  <si>
    <t xml:space="preserve">    (국토부 고시 제2018-528호, 2018.8.30.)</t>
    <phoneticPr fontId="39" type="noConversion"/>
  </si>
  <si>
    <t xml:space="preserve"> * 추정금액이 1억 이상인 건설공사</t>
    <phoneticPr fontId="39" type="noConversion"/>
  </si>
  <si>
    <t>70억이상~120억미만</t>
    <phoneticPr fontId="39" type="noConversion"/>
  </si>
  <si>
    <t>[79만원+(직공비-75억원)x0.0070%]x공기(년)</t>
    <phoneticPr fontId="39" type="noConversion"/>
  </si>
  <si>
    <t xml:space="preserve"> ※ 국토부 고시 제2015-610호(2015.8.20.) 요율 적용 </t>
    <phoneticPr fontId="39" type="noConversion"/>
  </si>
  <si>
    <t>/아래 각목에 따른 건설공사 중 다른 공사와 분리하여 발주되었고 시간적·장소적으로도 독립하여 행하는 공사</t>
    <phoneticPr fontId="39" type="noConversion"/>
  </si>
  <si>
    <t>120억이상~250억미만</t>
    <phoneticPr fontId="39" type="noConversion"/>
  </si>
  <si>
    <t>[116만원+(직공비-130억원)x0.0059%]x공기(년)</t>
    <phoneticPr fontId="39" type="noConversion"/>
  </si>
  <si>
    <t xml:space="preserve">      · 「전기공사업법」, 「정보통신공사업법」, 「소방공사업법」, 「문화재수리공사업법」에 의한 공사</t>
    <phoneticPr fontId="39" type="noConversion"/>
  </si>
  <si>
    <t>250억이상~500억미만</t>
    <phoneticPr fontId="39" type="noConversion"/>
  </si>
  <si>
    <t>[186만원+(직공비-250억원)x0.0048%]x공기(년)</t>
    <phoneticPr fontId="39" type="noConversion"/>
  </si>
  <si>
    <t xml:space="preserve"> 비고 1 건축물과 관련하여 공사가 수행된다 하더라도 독립하여 행하는 공사가 토목공사, 중건설공사가 명백한 경우 해당 공사 종류로 분류</t>
    <phoneticPr fontId="39" type="noConversion"/>
  </si>
  <si>
    <t>500억이상</t>
    <phoneticPr fontId="39" type="noConversion"/>
  </si>
  <si>
    <t>[306만원+(직공비-500억원)x0.0040%]x공기(년)</t>
    <phoneticPr fontId="39" type="noConversion"/>
  </si>
  <si>
    <t xml:space="preserve">        2 건축공사, 토목공사 및 중건설공사와 함께 부대하여 현장 내에서 이루어지는 공사는 개별 법령에 따라 수행되는 공사를 포함</t>
    <phoneticPr fontId="39" type="noConversion"/>
  </si>
  <si>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8"/>
        <color indexed="8"/>
        <rFont val="굴림"/>
        <family val="2"/>
        <charset val="129"/>
      </rPr>
      <t xml:space="preserve">* </t>
    </r>
    <r>
      <rPr>
        <sz val="11"/>
        <color theme="1"/>
        <rFont val="맑은 고딕"/>
        <family val="3"/>
        <charset val="129"/>
      </rPr>
      <t>「지방계약법 시행령」 제51조제1항에 따른 적용 의무 대상</t>
    </r>
    <phoneticPr fontId="39" type="noConversion"/>
  </si>
  <si>
    <t xml:space="preserve"> ※ 건설업 산업안전보건관리비 계상 및 사용기준 (고용노동부 고시 제2024-53호, 2024.9.19.)</t>
    <phoneticPr fontId="39" type="noConversion"/>
  </si>
  <si>
    <t xml:space="preserve">  - (시행령 제42조 제1항) 추정가격 300억 이상인 공사의 계약</t>
    <phoneticPr fontId="39" type="noConversion"/>
  </si>
  <si>
    <t xml:space="preserve"> ※ 적용제외: 전기공사, 정보통신공사, 소방시설공사,</t>
    <phoneticPr fontId="39" type="noConversion"/>
  </si>
  <si>
    <t xml:space="preserve">  - (시행령 제6장) 대형공사계약(대안입찰, 일괄입찰), 특정공사의 계약</t>
    <phoneticPr fontId="39" type="noConversion"/>
  </si>
  <si>
    <t xml:space="preserve">  □ 전기∙통신∙소방∙전문 및 기타공사의 경우 일반관리비요율을 제외한 각종 요율은 토목, 건축 등 관련 공사업종에 따라 적용</t>
    <phoneticPr fontId="39" type="noConversion"/>
  </si>
  <si>
    <t xml:space="preserve">  - (시행령 제9장) 기술제안 입찰에 의한 계약</t>
    <phoneticPr fontId="39" type="noConversion"/>
  </si>
  <si>
    <t xml:space="preserve">                  국가유산 수리공사</t>
    <phoneticPr fontId="39" type="noConversion"/>
  </si>
  <si>
    <t xml:space="preserve">     (단. 공사규모 및 기간은 해당공종&lt;전기∙통신∙소방∙전문 및 기타공사&gt;을 기준으로 함)</t>
    <phoneticPr fontId="39" type="noConversion"/>
  </si>
  <si>
    <t>위 적용기준은 조달청 발주공사에 적용하는 기준이므로 참고자료로 활용하시기 바랍니다.</t>
    <phoneticPr fontId="39" type="noConversion"/>
  </si>
  <si>
    <t>0.04</t>
    <phoneticPr fontId="7" type="noConversion"/>
  </si>
  <si>
    <t>0.14</t>
    <phoneticPr fontId="7" type="noConversion"/>
  </si>
  <si>
    <t>0.05</t>
    <phoneticPr fontId="7" type="noConversion"/>
  </si>
  <si>
    <t>0.06</t>
    <phoneticPr fontId="7" type="noConversion"/>
  </si>
  <si>
    <t>0.03</t>
    <phoneticPr fontId="7" type="noConversion"/>
  </si>
  <si>
    <t>No.806</t>
    <phoneticPr fontId="7" type="noConversion"/>
  </si>
  <si>
    <r>
      <rPr>
        <b/>
        <sz val="14"/>
        <color rgb="FF000000"/>
        <rFont val="굴림체"/>
        <family val="3"/>
        <charset val="129"/>
      </rPr>
      <t xml:space="preserve">  </t>
    </r>
    <r>
      <rPr>
        <b/>
        <u/>
        <sz val="14"/>
        <color rgb="FF000000"/>
        <rFont val="굴림체"/>
        <family val="3"/>
        <charset val="129"/>
      </rPr>
      <t>공사명 :  2026년~2027년 양지사 열수송관 천공 및 부단수 공사</t>
    </r>
    <phoneticPr fontId="17" type="noConversion"/>
  </si>
  <si>
    <t>□ 2026년~2027년 양지사 열수송관 천공 및 부단수 공사(양지사) 총차</t>
    <phoneticPr fontId="17" type="noConversion"/>
  </si>
  <si>
    <t>□ 2026년~2027년 양지사 열수송관 천공 및 부단수 공사(양지사) 1차</t>
    <phoneticPr fontId="17" type="noConversion"/>
  </si>
  <si>
    <t>□ 2026년~2027년 양지사 열수송관 천공 및 부단수 공사(양지사) 2차</t>
    <phoneticPr fontId="17" type="noConversion"/>
  </si>
  <si>
    <t>□ 2026년~2027년 양지사 열수송관 천공 및 부단수 공사(서부지사) 총차</t>
    <phoneticPr fontId="17" type="noConversion"/>
  </si>
  <si>
    <t>□ 2026년~2027년 양지사 열수송관 천공 및 부단수 공사(서부지사) 1차</t>
    <phoneticPr fontId="17" type="noConversion"/>
  </si>
  <si>
    <t>□ 2026년~2027년 양지사 열수송관 천공 및 부단수 공사(서부지사) 2차</t>
    <phoneticPr fontId="17" type="noConversion"/>
  </si>
  <si>
    <t>□ 2026년~2027년 양지사 열수송관 천공 및 부단수 공사(동부지사) 총차</t>
    <phoneticPr fontId="17" type="noConversion"/>
  </si>
  <si>
    <t>□ 2026년~2027년 양지사 열수송관 천공 및 부단수 공사(동부지사) 1차</t>
    <phoneticPr fontId="17" type="noConversion"/>
  </si>
  <si>
    <t>□ 2026년~2027년 양지사 열수송관 천공 및 부단수 공사(동부지사) 2차</t>
    <phoneticPr fontId="17" type="noConversion"/>
  </si>
  <si>
    <t>동부지사</t>
    <phoneticPr fontId="7" type="noConversion"/>
  </si>
  <si>
    <t>부단수 산출(시공장비중량)</t>
    <phoneticPr fontId="12" type="noConversion"/>
  </si>
  <si>
    <t>▣ 시공에 따른 중량 산출</t>
    <phoneticPr fontId="82" type="noConversion"/>
  </si>
  <si>
    <t xml:space="preserve">                 (단위: ton)</t>
    <phoneticPr fontId="83" type="noConversion"/>
  </si>
  <si>
    <t>시공내용</t>
    <phoneticPr fontId="82" type="noConversion"/>
  </si>
  <si>
    <t>구        분</t>
    <phoneticPr fontId="83" type="noConversion"/>
  </si>
  <si>
    <t>세 부 내 역</t>
    <phoneticPr fontId="83" type="noConversion"/>
  </si>
  <si>
    <t>중  량</t>
    <phoneticPr fontId="83" type="noConversion"/>
  </si>
  <si>
    <t>비  고</t>
    <phoneticPr fontId="83" type="noConversion"/>
  </si>
  <si>
    <t>주배관 TAPPING 설치작업</t>
    <phoneticPr fontId="82" type="noConversion"/>
  </si>
  <si>
    <t xml:space="preserve">   TAPPING M/C 설치</t>
    <phoneticPr fontId="83" type="noConversion"/>
  </si>
  <si>
    <t xml:space="preserve"> PLUGGING 설치 작업</t>
    <phoneticPr fontId="83" type="noConversion"/>
  </si>
  <si>
    <t xml:space="preserve">   STOPPLE PLUGGING  M/C 설치</t>
    <phoneticPr fontId="83" type="noConversion"/>
  </si>
  <si>
    <t xml:space="preserve"> L-O-R PLUGGING 설치 작업</t>
    <phoneticPr fontId="83" type="noConversion"/>
  </si>
  <si>
    <t xml:space="preserve">   LOCK-O-RING PLUG  M/C 설치</t>
    <phoneticPr fontId="83" type="noConversion"/>
  </si>
  <si>
    <t xml:space="preserve"> T-101</t>
    <phoneticPr fontId="17" type="noConversion"/>
  </si>
  <si>
    <t xml:space="preserve">   T-101  설치</t>
    <phoneticPr fontId="17" type="noConversion"/>
  </si>
  <si>
    <t>50A</t>
    <phoneticPr fontId="25" type="noConversion"/>
  </si>
  <si>
    <t>칩제거 작업</t>
    <phoneticPr fontId="82" type="noConversion"/>
  </si>
  <si>
    <t xml:space="preserve">   칩제거 장비 설치</t>
    <phoneticPr fontId="83" type="noConversion"/>
  </si>
  <si>
    <t xml:space="preserve"> COMPLETE UNIT</t>
    <phoneticPr fontId="82" type="noConversion"/>
  </si>
  <si>
    <t xml:space="preserve"> ADAPTER</t>
    <phoneticPr fontId="82" type="noConversion"/>
  </si>
  <si>
    <t>소          계</t>
    <phoneticPr fontId="83" type="noConversion"/>
  </si>
  <si>
    <t>계</t>
    <phoneticPr fontId="83" type="noConversion"/>
  </si>
  <si>
    <t xml:space="preserve"> CYLINDER</t>
    <phoneticPr fontId="83" type="noConversion"/>
  </si>
  <si>
    <t xml:space="preserve"> HOUSING</t>
    <phoneticPr fontId="83" type="noConversion"/>
  </si>
  <si>
    <t xml:space="preserve"> PLUGGING HEAD</t>
    <phoneticPr fontId="83" type="noConversion"/>
  </si>
  <si>
    <t xml:space="preserve"> L-O-R PLUG</t>
    <phoneticPr fontId="83" type="noConversion"/>
  </si>
  <si>
    <t>㈜대호스토퍼</t>
    <phoneticPr fontId="7" type="noConversion"/>
  </si>
  <si>
    <t>견단/대호스토퍼/</t>
    <phoneticPr fontId="7" type="noConversion"/>
  </si>
  <si>
    <t>저유황(0.001%) 주유소</t>
    <phoneticPr fontId="7" type="noConversion"/>
  </si>
  <si>
    <t>심사단가</t>
    <phoneticPr fontId="7" type="noConversion"/>
  </si>
  <si>
    <t>1 의 6.5%</t>
    <phoneticPr fontId="17" type="noConversion"/>
  </si>
  <si>
    <t>재료비, 노무비 →경비 적용</t>
    <phoneticPr fontId="7" type="noConversion"/>
  </si>
  <si>
    <t>※ 적용시기 : 2026. 01. 01.  기초금액 발표분부터</t>
    <phoneticPr fontId="39" type="noConversion"/>
  </si>
  <si>
    <r>
      <rPr>
        <b/>
        <sz val="24"/>
        <color theme="1"/>
        <rFont val="맑은 고딕"/>
        <family val="2"/>
        <charset val="129"/>
        <scheme val="minor"/>
      </rPr>
      <t>2026년 건축</t>
    </r>
    <r>
      <rPr>
        <b/>
        <sz val="24"/>
        <color theme="1"/>
        <rFont val="돋움"/>
        <family val="3"/>
        <charset val="129"/>
      </rPr>
      <t>∙</t>
    </r>
    <r>
      <rPr>
        <b/>
        <sz val="24"/>
        <color theme="1"/>
        <rFont val="맑은 고딕"/>
        <family val="3"/>
        <charset val="129"/>
      </rPr>
      <t>산업환경설비공사</t>
    </r>
    <r>
      <rPr>
        <b/>
        <sz val="24"/>
        <color theme="1"/>
        <rFont val="맑은 고딕"/>
        <family val="2"/>
        <charset val="129"/>
      </rPr>
      <t xml:space="preserve"> 원가계산 간접공사비(제비율) 적용기준</t>
    </r>
    <r>
      <rPr>
        <b/>
        <sz val="26"/>
        <color theme="1"/>
        <rFont val="맑은 고딕"/>
        <family val="2"/>
        <charset val="129"/>
        <scheme val="minor"/>
      </rPr>
      <t xml:space="preserve">
</t>
    </r>
    <r>
      <rPr>
        <sz val="13"/>
        <color rgb="FFFF0000"/>
        <rFont val="맑은 고딕"/>
        <family val="3"/>
        <charset val="129"/>
        <scheme val="minor"/>
      </rPr>
      <t>(참고: 간접노무비율, 기타경비율, 일반관리비율, 이윤율, 공사이행보증수수료율은 조달청 분석요율임)</t>
    </r>
    <phoneticPr fontId="39" type="noConversion"/>
  </si>
  <si>
    <t>(직노) x 3.595</t>
    <phoneticPr fontId="39" type="noConversion"/>
  </si>
  <si>
    <t>(건강보험료) x 13.14</t>
    <phoneticPr fontId="39" type="noConversion"/>
  </si>
  <si>
    <t>(직노) x 4.75</t>
    <phoneticPr fontId="39" type="noConversion"/>
  </si>
  <si>
    <t>26~27 총계</t>
    <phoneticPr fontId="25" type="noConversion"/>
  </si>
  <si>
    <t>2026년 신규 비율 반영 3.545% → 3.595%</t>
    <phoneticPr fontId="7" type="noConversion"/>
  </si>
  <si>
    <t>2026년 신규 비율 반영 12.95% → 13.14%</t>
    <phoneticPr fontId="7" type="noConversion"/>
  </si>
  <si>
    <t>2026년 신규 비율 반영 4.5% → 4.75%</t>
    <phoneticPr fontId="7" type="noConversion"/>
  </si>
  <si>
    <t>11.9% → 14.2%(계약심사) → 14.5%(매뉴얼개정), 고용개선장려금 50% 적용</t>
    <phoneticPr fontId="7" type="noConversion"/>
  </si>
  <si>
    <t>나 1)의 3.595%</t>
    <phoneticPr fontId="25" type="noConversion"/>
  </si>
  <si>
    <t>다 4)의 13.14%</t>
    <phoneticPr fontId="25" type="noConversion"/>
  </si>
  <si>
    <t>나 1)의 4.75%</t>
    <phoneticPr fontId="7" type="noConversion"/>
  </si>
  <si>
    <t>서부1차</t>
    <phoneticPr fontId="7" type="noConversion"/>
  </si>
  <si>
    <t>서부2차</t>
    <phoneticPr fontId="7" type="noConversion"/>
  </si>
  <si>
    <t>동부1차</t>
    <phoneticPr fontId="7" type="noConversion"/>
  </si>
  <si>
    <t>동부2차</t>
    <phoneticPr fontId="7" type="noConversion"/>
  </si>
  <si>
    <t>산업안전보건관리비 기초액</t>
    <phoneticPr fontId="7" type="noConversion"/>
  </si>
  <si>
    <t>재료비 + 경비</t>
    <phoneticPr fontId="7" type="noConversion"/>
  </si>
  <si>
    <t>비율</t>
    <phoneticPr fontId="7" type="noConversion"/>
  </si>
  <si>
    <t>기초액</t>
    <phoneticPr fontId="7" type="noConversion"/>
  </si>
  <si>
    <t>산업안전보건관리비 기초액 총계</t>
    <phoneticPr fontId="7" type="noConversion"/>
  </si>
  <si>
    <t>2026년 상반기 노임단가</t>
  </si>
  <si>
    <t>2026년 상반기 노임단가</t>
    <phoneticPr fontId="7" type="noConversion"/>
  </si>
  <si>
    <t>(신규반영)</t>
    <phoneticPr fontId="7" type="noConversion"/>
  </si>
  <si>
    <t>2025년 엔지니어링기술자 노임단가(2026년 적용)</t>
  </si>
  <si>
    <t>2025년 엔지니어링기술자 노임단가(2026년 적용)</t>
    <phoneticPr fontId="7" type="noConversion"/>
  </si>
  <si>
    <t>※ 제비율 적용기준 : 2026년도 건축·산업환경설비공사 원가계산</t>
    <phoneticPr fontId="12" type="noConversion"/>
  </si>
  <si>
    <t>구       분</t>
    <phoneticPr fontId="82" type="noConversion"/>
  </si>
  <si>
    <t>금         액</t>
  </si>
  <si>
    <t>추정금액</t>
    <phoneticPr fontId="97" type="noConversion"/>
  </si>
  <si>
    <t>순공사원가</t>
    <phoneticPr fontId="97" type="noConversion"/>
  </si>
  <si>
    <t>부 가 가 치 세</t>
    <phoneticPr fontId="97" type="noConversion"/>
  </si>
  <si>
    <t>기초금액</t>
    <phoneticPr fontId="97" type="noConversion"/>
  </si>
  <si>
    <t>(부가세포함)</t>
    <phoneticPr fontId="97" type="noConversion"/>
  </si>
  <si>
    <t>공사명 : 2026년~2027년 양지사 열수송관 천공 및 부단수 공사</t>
    <phoneticPr fontId="7" type="noConversion"/>
  </si>
  <si>
    <t>A값 대상</t>
    <phoneticPr fontId="7" type="noConversion"/>
  </si>
  <si>
    <t>합계</t>
    <phoneticPr fontId="7" type="noConversion"/>
  </si>
  <si>
    <t>A값 비대상</t>
    <phoneticPr fontId="7" type="noConversion"/>
  </si>
  <si>
    <t>건강보험료</t>
    <phoneticPr fontId="7" type="noConversion"/>
  </si>
  <si>
    <t>연금보험료</t>
    <phoneticPr fontId="7" type="noConversion"/>
  </si>
  <si>
    <t>노인장기요양보험료</t>
    <phoneticPr fontId="7" type="noConversion"/>
  </si>
  <si>
    <t>퇴직공제부금비</t>
    <phoneticPr fontId="7" type="noConversion"/>
  </si>
  <si>
    <t>산업안전보건관리비</t>
    <phoneticPr fontId="7" type="noConversion"/>
  </si>
  <si>
    <t>품질시험관리비</t>
    <phoneticPr fontId="7" type="noConversion"/>
  </si>
  <si>
    <t>환경보전비</t>
    <phoneticPr fontId="7" type="noConversion"/>
  </si>
  <si>
    <t>입찰가격에
조정없이
반영</t>
    <phoneticPr fontId="7" type="noConversion"/>
  </si>
  <si>
    <t>총원가</t>
    <phoneticPr fontId="7" type="noConversion"/>
  </si>
  <si>
    <t>총부가세</t>
    <phoneticPr fontId="7" type="noConversion"/>
  </si>
  <si>
    <t>순공사원가</t>
    <phoneticPr fontId="7" type="noConversion"/>
  </si>
  <si>
    <t>순공사 공급가액</t>
    <phoneticPr fontId="7" type="noConversion"/>
  </si>
  <si>
    <t>재료비 + 경비</t>
    <phoneticPr fontId="7" type="noConversion"/>
  </si>
  <si>
    <t>비율</t>
    <phoneticPr fontId="7" type="noConversion"/>
  </si>
  <si>
    <t>기초액</t>
    <phoneticPr fontId="7" type="noConversion"/>
  </si>
  <si>
    <t>서부지사</t>
    <phoneticPr fontId="7" type="noConversion"/>
  </si>
  <si>
    <t>※ 제비율 적용기준 : 2026년도 건축·산업환경설비공사 원가계산</t>
    <phoneticPr fontId="12" type="noConversion"/>
  </si>
  <si>
    <t>기준</t>
    <phoneticPr fontId="7" type="noConversion"/>
  </si>
  <si>
    <t>현재금액</t>
    <phoneticPr fontId="7" type="noConversion"/>
  </si>
  <si>
    <t xml:space="preserve">   총 공 사 비 :  </t>
    <phoneticPr fontId="82" type="noConversion"/>
  </si>
  <si>
    <t>공 급 가 액</t>
    <phoneticPr fontId="7" type="noConversion"/>
  </si>
  <si>
    <t>공 사 원 가 계 산 서</t>
    <phoneticPr fontId="12" type="noConversion"/>
  </si>
  <si>
    <t>산    출    내    역    서</t>
    <phoneticPr fontId="7" type="noConversion"/>
  </si>
  <si>
    <t>감독원 경유:</t>
    <phoneticPr fontId="7" type="noConversion"/>
  </si>
  <si>
    <t>문 태 준</t>
    <phoneticPr fontId="7" type="noConversion"/>
  </si>
  <si>
    <t>(인)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</si>
</sst>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General;\-General\,&quot;&quot;;@"/>
    <numFmt numFmtId="177" formatCode="#,##0.00####;\-#,##0.00####;@"/>
    <numFmt numFmtId="178" formatCode="#,###.000;\-#,###.000;&quot;&quot;;@"/>
    <numFmt numFmtId="179" formatCode="#,###.00;\-#,###.00;&quot;&quot;;@"/>
    <numFmt numFmtId="180" formatCode="#,###.0;\-#,###.0;&quot;&quot;;@"/>
    <numFmt numFmtId="181" formatCode="#,###;\-#,###;&quot;&quot;;@"/>
    <numFmt numFmtId="182" formatCode="_-* #,##0_-;\-* #,##0_-;_-* &quot;-&quot;??_-;_-@_-"/>
    <numFmt numFmtId="183" formatCode="\+0"/>
    <numFmt numFmtId="184" formatCode="#,##0_);[Red]\(#,##0\)"/>
    <numFmt numFmtId="185" formatCode="_(* #,##0.00_);_(* \(#,##0.00\);_(* &quot;-&quot;??_);_(@_)"/>
    <numFmt numFmtId="186" formatCode="_(* #,##0_);_(* \(#,##0\);_(* &quot;-&quot;??_);_(@_)"/>
    <numFmt numFmtId="187" formatCode="#,##0_);\(#,##0\)"/>
    <numFmt numFmtId="188" formatCode="#"/>
    <numFmt numFmtId="189" formatCode="0.0"/>
    <numFmt numFmtId="190" formatCode="0.000"/>
    <numFmt numFmtId="191" formatCode="_-* #,##0.0_-;\-* #,##0.0_-;_-* &quot;-&quot;_-;_-@_-"/>
    <numFmt numFmtId="192" formatCode="General\A"/>
    <numFmt numFmtId="193" formatCode="_-* #,##0.000_-;\-* #,##0.000_-;_-* &quot;-&quot;_-;_-@_-"/>
    <numFmt numFmtId="194" formatCode="0.00_ "/>
    <numFmt numFmtId="195" formatCode="0.0%"/>
    <numFmt numFmtId="196" formatCode="0.000%"/>
    <numFmt numFmtId="197" formatCode="&quot;₩&quot;#,##0_);[Red]\(#,##0\)"/>
    <numFmt numFmtId="198" formatCode="_ * #\!\,##0_ ;_ * &quot;₩&quot;\!\-#\!\,##0_ ;_ * &quot;-&quot;_ ;_ @_ "/>
    <numFmt numFmtId="199" formatCode="_-* #,##0.0000000_-;\-* #,##0.0000000_-;_-* &quot;-&quot;???????_-;_-@_-"/>
    <numFmt numFmtId="200" formatCode="0.0000%"/>
  </numFmts>
  <fonts count="101">
    <font>
      <sz val="8"/>
      <color indexed="8"/>
      <name val="굴림"/>
      <family val="2"/>
      <charset val="129"/>
    </font>
    <font>
      <sz val="11"/>
      <color theme="1"/>
      <name val="맑은 고딕"/>
      <family val="2"/>
      <charset val="129"/>
      <scheme val="minor"/>
    </font>
    <font>
      <u/>
      <sz val="8"/>
      <color indexed="12"/>
      <name val="굴림"/>
      <family val="2"/>
      <charset val="129"/>
    </font>
    <font>
      <sz val="8"/>
      <color indexed="30"/>
      <name val="굴림"/>
      <family val="2"/>
      <charset val="129"/>
    </font>
    <font>
      <sz val="8"/>
      <color indexed="22"/>
      <name val="굴림"/>
      <family val="2"/>
      <charset val="129"/>
    </font>
    <font>
      <sz val="8"/>
      <color indexed="8"/>
      <name val="Arial"/>
      <family val="2"/>
    </font>
    <font>
      <u/>
      <sz val="8"/>
      <color indexed="30"/>
      <name val="굴림"/>
      <family val="2"/>
      <charset val="129"/>
    </font>
    <font>
      <sz val="8"/>
      <name val="굴림"/>
      <family val="2"/>
      <charset val="129"/>
    </font>
    <font>
      <sz val="8"/>
      <color indexed="8"/>
      <name val="굴림"/>
      <family val="2"/>
      <charset val="129"/>
    </font>
    <font>
      <b/>
      <sz val="36"/>
      <color indexed="8"/>
      <name val="굴림"/>
      <family val="3"/>
      <charset val="129"/>
    </font>
    <font>
      <sz val="11"/>
      <name val="돋움"/>
      <family val="3"/>
      <charset val="129"/>
    </font>
    <font>
      <b/>
      <sz val="15"/>
      <color theme="1"/>
      <name val="굴림체"/>
      <family val="3"/>
      <charset val="129"/>
    </font>
    <font>
      <sz val="8"/>
      <name val="바탕체"/>
      <family val="1"/>
      <charset val="129"/>
    </font>
    <font>
      <sz val="8"/>
      <color indexed="8"/>
      <name val="굴림"/>
      <family val="3"/>
      <charset val="129"/>
    </font>
    <font>
      <sz val="15"/>
      <color theme="1"/>
      <name val="굴림체"/>
      <family val="3"/>
      <charset val="129"/>
    </font>
    <font>
      <sz val="8"/>
      <color rgb="FF0000FF"/>
      <name val="굴림"/>
      <family val="3"/>
      <charset val="129"/>
    </font>
    <font>
      <b/>
      <sz val="13"/>
      <color theme="1"/>
      <name val="굴림체"/>
      <family val="3"/>
      <charset val="129"/>
    </font>
    <font>
      <sz val="8"/>
      <name val="돋움"/>
      <family val="3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sz val="12"/>
      <color rgb="FFFF0000"/>
      <name val="바탕체"/>
      <family val="1"/>
      <charset val="129"/>
    </font>
    <font>
      <sz val="12"/>
      <color theme="1"/>
      <name val="바탕체"/>
      <family val="1"/>
      <charset val="129"/>
    </font>
    <font>
      <sz val="8"/>
      <name val="굴림"/>
      <family val="3"/>
      <charset val="129"/>
    </font>
    <font>
      <sz val="12"/>
      <name val="바탕체"/>
      <family val="1"/>
      <charset val="129"/>
    </font>
    <font>
      <sz val="9"/>
      <name val="굴림체"/>
      <family val="3"/>
      <charset val="129"/>
    </font>
    <font>
      <u/>
      <sz val="8"/>
      <color indexed="30"/>
      <name val="굴림"/>
      <family val="3"/>
      <charset val="129"/>
    </font>
    <font>
      <b/>
      <sz val="8"/>
      <color indexed="8"/>
      <name val="굴림"/>
      <family val="3"/>
      <charset val="129"/>
    </font>
    <font>
      <sz val="8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11"/>
      <color rgb="FF000000"/>
      <name val="돋움"/>
      <family val="3"/>
      <charset val="129"/>
    </font>
    <font>
      <b/>
      <u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u/>
      <sz val="14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u/>
      <sz val="36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28"/>
      <color rgb="FF000000"/>
      <name val="굴림체"/>
      <family val="3"/>
      <charset val="129"/>
    </font>
    <font>
      <b/>
      <u/>
      <sz val="28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1"/>
      <color rgb="FF0000FF"/>
      <name val="굴림체"/>
      <family val="3"/>
      <charset val="129"/>
    </font>
    <font>
      <b/>
      <sz val="14"/>
      <color rgb="FF0000FF"/>
      <name val="굴림체"/>
      <family val="3"/>
      <charset val="129"/>
    </font>
    <font>
      <b/>
      <sz val="13"/>
      <color rgb="FF000000"/>
      <name val="굴림체"/>
      <family val="3"/>
      <charset val="129"/>
    </font>
    <font>
      <b/>
      <sz val="13"/>
      <color rgb="FF0000FF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2"/>
      <color rgb="FF0000FF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12"/>
      <color rgb="FF0000FF"/>
      <name val="바탕체"/>
      <family val="1"/>
      <charset val="129"/>
    </font>
    <font>
      <sz val="6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26"/>
      <color theme="1"/>
      <name val="맑은 고딕"/>
      <family val="2"/>
      <charset val="129"/>
      <scheme val="minor"/>
    </font>
    <font>
      <b/>
      <sz val="24"/>
      <color theme="1"/>
      <name val="맑은 고딕"/>
      <family val="2"/>
      <charset val="129"/>
      <scheme val="minor"/>
    </font>
    <font>
      <b/>
      <sz val="24"/>
      <color theme="1"/>
      <name val="돋움"/>
      <family val="3"/>
      <charset val="129"/>
    </font>
    <font>
      <b/>
      <sz val="24"/>
      <color theme="1"/>
      <name val="맑은 고딕"/>
      <family val="3"/>
      <charset val="129"/>
    </font>
    <font>
      <b/>
      <sz val="24"/>
      <color theme="1"/>
      <name val="맑은 고딕"/>
      <family val="2"/>
      <charset val="129"/>
    </font>
    <font>
      <sz val="13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color rgb="FF3333FF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  <font>
      <sz val="9.5"/>
      <color theme="1"/>
      <name val="맑은 고딕"/>
      <family val="2"/>
      <charset val="129"/>
    </font>
    <font>
      <sz val="10.5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333FF"/>
      <name val="맑은 고딕"/>
      <family val="3"/>
      <charset val="129"/>
      <scheme val="minor"/>
    </font>
    <font>
      <b/>
      <sz val="9"/>
      <color theme="1"/>
      <name val="굴림체"/>
      <family val="3"/>
      <charset val="129"/>
    </font>
    <font>
      <sz val="8"/>
      <name val="바탕"/>
      <family val="1"/>
      <charset val="129"/>
    </font>
    <font>
      <sz val="10"/>
      <name val="MS Sans Serif"/>
      <family val="2"/>
    </font>
    <font>
      <sz val="8"/>
      <color indexed="8"/>
      <name val="돋움"/>
      <family val="3"/>
      <charset val="129"/>
    </font>
    <font>
      <sz val="10"/>
      <color rgb="FFFF0000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rgb="FFFF0000"/>
      <name val="굴림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6"/>
      <color rgb="FFFF0000"/>
      <name val="굴림"/>
      <family val="3"/>
      <charset val="129"/>
    </font>
    <font>
      <sz val="10"/>
      <name val="돋움체"/>
      <family val="3"/>
      <charset val="129"/>
    </font>
    <font>
      <sz val="12"/>
      <name val="돋움체"/>
      <family val="3"/>
      <charset val="129"/>
    </font>
    <font>
      <b/>
      <u/>
      <sz val="12"/>
      <name val="돋움체"/>
      <family val="3"/>
      <charset val="129"/>
    </font>
    <font>
      <b/>
      <sz val="28"/>
      <name val="돋움체"/>
      <family val="3"/>
      <charset val="129"/>
    </font>
    <font>
      <sz val="20"/>
      <name val="돋움체"/>
      <family val="3"/>
      <charset val="129"/>
    </font>
    <font>
      <b/>
      <sz val="11"/>
      <name val="돋움체"/>
      <family val="3"/>
      <charset val="129"/>
    </font>
    <font>
      <sz val="8"/>
      <name val="맑은 고딕"/>
      <family val="3"/>
      <charset val="129"/>
    </font>
    <font>
      <sz val="10"/>
      <color rgb="FFFF0000"/>
      <name val="돋움체"/>
      <family val="3"/>
      <charset val="129"/>
    </font>
    <font>
      <sz val="10"/>
      <color theme="1"/>
      <name val="돋움체"/>
      <family val="3"/>
      <charset val="129"/>
    </font>
    <font>
      <sz val="10"/>
      <color indexed="8"/>
      <name val="굴림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1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0">
    <xf numFmtId="0" fontId="0" fillId="0" borderId="0"/>
    <xf numFmtId="41" fontId="10" fillId="0" borderId="0" applyFont="0" applyFill="0" applyBorder="0" applyAlignment="0" applyProtection="0"/>
    <xf numFmtId="0" fontId="13" fillId="0" borderId="0"/>
    <xf numFmtId="0" fontId="10" fillId="0" borderId="0"/>
    <xf numFmtId="185" fontId="13" fillId="0" borderId="0"/>
    <xf numFmtId="185" fontId="13" fillId="0" borderId="0"/>
    <xf numFmtId="0" fontId="26" fillId="0" borderId="0"/>
    <xf numFmtId="0" fontId="13" fillId="0" borderId="0"/>
    <xf numFmtId="0" fontId="18" fillId="0" borderId="0">
      <alignment vertical="center"/>
    </xf>
    <xf numFmtId="0" fontId="8" fillId="0" borderId="0"/>
    <xf numFmtId="0" fontId="32" fillId="0" borderId="0"/>
    <xf numFmtId="0" fontId="26" fillId="0" borderId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0" borderId="0"/>
    <xf numFmtId="0" fontId="1" fillId="0" borderId="0">
      <alignment vertical="center"/>
    </xf>
    <xf numFmtId="0" fontId="26" fillId="0" borderId="0"/>
    <xf numFmtId="198" fontId="26" fillId="0" borderId="0" applyFont="0" applyFill="0" applyBorder="0" applyAlignment="0" applyProtection="0"/>
  </cellStyleXfs>
  <cellXfs count="869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176" fontId="0" fillId="5" borderId="14" xfId="0" applyNumberFormat="1" applyFill="1" applyBorder="1" applyAlignment="1">
      <alignment horizontal="center" vertical="center"/>
    </xf>
    <xf numFmtId="176" fontId="0" fillId="5" borderId="15" xfId="0" applyNumberFormat="1" applyFill="1" applyBorder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 wrapText="1"/>
    </xf>
    <xf numFmtId="176" fontId="0" fillId="0" borderId="10" xfId="0" applyNumberFormat="1" applyBorder="1" applyAlignment="1">
      <alignment vertical="center" wrapText="1"/>
    </xf>
    <xf numFmtId="176" fontId="0" fillId="0" borderId="13" xfId="0" applyNumberFormat="1" applyBorder="1" applyAlignment="1">
      <alignment vertical="center" wrapText="1"/>
    </xf>
    <xf numFmtId="176" fontId="0" fillId="5" borderId="15" xfId="0" applyNumberForma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12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/>
    </xf>
    <xf numFmtId="178" fontId="0" fillId="0" borderId="12" xfId="0" applyNumberFormat="1" applyBorder="1" applyAlignment="1">
      <alignment vertical="center"/>
    </xf>
    <xf numFmtId="176" fontId="0" fillId="5" borderId="12" xfId="0" applyNumberFormat="1" applyFill="1" applyBorder="1" applyAlignment="1">
      <alignment horizontal="center" vertical="center"/>
    </xf>
    <xf numFmtId="176" fontId="0" fillId="5" borderId="13" xfId="0" applyNumberFormat="1" applyFill="1" applyBorder="1" applyAlignment="1">
      <alignment horizontal="center" vertical="center"/>
    </xf>
    <xf numFmtId="181" fontId="0" fillId="0" borderId="1" xfId="0" applyNumberFormat="1" applyBorder="1" applyAlignment="1">
      <alignment vertical="center"/>
    </xf>
    <xf numFmtId="181" fontId="0" fillId="0" borderId="12" xfId="0" applyNumberFormat="1" applyBorder="1" applyAlignment="1">
      <alignment vertical="center"/>
    </xf>
    <xf numFmtId="176" fontId="0" fillId="5" borderId="2" xfId="0" applyNumberFormat="1" applyFill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80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81" fontId="0" fillId="0" borderId="3" xfId="0" applyNumberFormat="1" applyBorder="1" applyAlignment="1">
      <alignment vertical="center"/>
    </xf>
    <xf numFmtId="180" fontId="0" fillId="0" borderId="3" xfId="0" applyNumberFormat="1" applyBorder="1" applyAlignment="1">
      <alignment vertical="center"/>
    </xf>
    <xf numFmtId="181" fontId="0" fillId="0" borderId="4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76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9" xfId="0" applyNumberFormat="1" applyBorder="1" applyAlignment="1">
      <alignment vertical="center" wrapText="1"/>
    </xf>
    <xf numFmtId="180" fontId="0" fillId="0" borderId="19" xfId="0" applyNumberFormat="1" applyBorder="1" applyAlignment="1">
      <alignment vertical="center" wrapText="1"/>
    </xf>
    <xf numFmtId="176" fontId="0" fillId="0" borderId="20" xfId="0" applyNumberFormat="1" applyBorder="1" applyAlignment="1">
      <alignment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15" fillId="0" borderId="0" xfId="2" applyFont="1" applyAlignment="1">
      <alignment horizontal="center" vertical="center"/>
    </xf>
    <xf numFmtId="0" fontId="13" fillId="0" borderId="0" xfId="2"/>
    <xf numFmtId="41" fontId="18" fillId="0" borderId="0" xfId="1" applyNumberFormat="1" applyFont="1" applyFill="1"/>
    <xf numFmtId="0" fontId="19" fillId="0" borderId="0" xfId="2" applyFont="1" applyAlignment="1">
      <alignment horizontal="right"/>
    </xf>
    <xf numFmtId="41" fontId="21" fillId="0" borderId="26" xfId="1" quotePrefix="1" applyFont="1" applyFill="1" applyBorder="1" applyAlignment="1">
      <alignment horizontal="left" vertical="center"/>
    </xf>
    <xf numFmtId="41" fontId="21" fillId="0" borderId="29" xfId="1" applyFont="1" applyFill="1" applyBorder="1" applyAlignment="1">
      <alignment horizontal="center" vertical="center"/>
    </xf>
    <xf numFmtId="41" fontId="21" fillId="0" borderId="31" xfId="1" quotePrefix="1" applyFont="1" applyFill="1" applyBorder="1" applyAlignment="1">
      <alignment horizontal="left" vertical="center"/>
    </xf>
    <xf numFmtId="41" fontId="21" fillId="0" borderId="34" xfId="1" applyFont="1" applyFill="1" applyBorder="1" applyAlignment="1">
      <alignment horizontal="center" vertical="center"/>
    </xf>
    <xf numFmtId="41" fontId="21" fillId="0" borderId="31" xfId="1" quotePrefix="1" applyFont="1" applyFill="1" applyBorder="1" applyAlignment="1">
      <alignment horizontal="center" vertical="center"/>
    </xf>
    <xf numFmtId="41" fontId="21" fillId="0" borderId="31" xfId="1" applyFont="1" applyFill="1" applyBorder="1" applyAlignment="1">
      <alignment horizontal="left" vertical="center"/>
    </xf>
    <xf numFmtId="0" fontId="13" fillId="0" borderId="1" xfId="2" applyBorder="1" applyAlignment="1">
      <alignment horizontal="center" vertical="center"/>
    </xf>
    <xf numFmtId="0" fontId="13" fillId="0" borderId="35" xfId="2" applyBorder="1" applyAlignment="1">
      <alignment horizontal="center" vertical="center"/>
    </xf>
    <xf numFmtId="0" fontId="13" fillId="0" borderId="36" xfId="2" applyBorder="1" applyAlignment="1">
      <alignment horizontal="center" vertical="center"/>
    </xf>
    <xf numFmtId="0" fontId="13" fillId="0" borderId="0" xfId="2" applyAlignment="1">
      <alignment horizontal="center" vertical="center"/>
    </xf>
    <xf numFmtId="41" fontId="21" fillId="0" borderId="34" xfId="1" quotePrefix="1" applyFont="1" applyFill="1" applyBorder="1" applyAlignment="1">
      <alignment horizontal="center" vertical="center"/>
    </xf>
    <xf numFmtId="183" fontId="13" fillId="0" borderId="36" xfId="2" applyNumberFormat="1" applyBorder="1" applyAlignment="1">
      <alignment horizontal="center" vertical="center"/>
    </xf>
    <xf numFmtId="0" fontId="13" fillId="0" borderId="22" xfId="2" applyBorder="1" applyAlignment="1">
      <alignment horizontal="center" vertical="center"/>
    </xf>
    <xf numFmtId="0" fontId="13" fillId="0" borderId="24" xfId="2" applyBorder="1" applyAlignment="1">
      <alignment horizontal="center" vertical="center"/>
    </xf>
    <xf numFmtId="41" fontId="21" fillId="0" borderId="34" xfId="1" applyNumberFormat="1" applyFont="1" applyFill="1" applyBorder="1" applyAlignment="1">
      <alignment horizontal="center" vertical="center"/>
    </xf>
    <xf numFmtId="41" fontId="21" fillId="0" borderId="34" xfId="1" applyFont="1" applyFill="1" applyBorder="1" applyAlignment="1">
      <alignment vertical="center"/>
    </xf>
    <xf numFmtId="41" fontId="21" fillId="0" borderId="30" xfId="1" quotePrefix="1" applyFont="1" applyFill="1" applyBorder="1" applyAlignment="1">
      <alignment horizontal="center" vertical="center"/>
    </xf>
    <xf numFmtId="0" fontId="21" fillId="7" borderId="37" xfId="1" quotePrefix="1" applyNumberFormat="1" applyFont="1" applyFill="1" applyBorder="1" applyAlignment="1">
      <alignment horizontal="center" vertical="center"/>
    </xf>
    <xf numFmtId="41" fontId="21" fillId="7" borderId="40" xfId="1" applyFont="1" applyFill="1" applyBorder="1" applyAlignment="1">
      <alignment horizontal="center" vertical="center"/>
    </xf>
    <xf numFmtId="41" fontId="21" fillId="0" borderId="31" xfId="1" quotePrefix="1" applyFont="1" applyFill="1" applyBorder="1" applyAlignment="1">
      <alignment horizontal="center" vertical="center"/>
    </xf>
    <xf numFmtId="41" fontId="21" fillId="7" borderId="38" xfId="1" applyNumberFormat="1" applyFont="1" applyFill="1" applyBorder="1" applyAlignment="1">
      <alignment horizontal="center" vertical="center"/>
    </xf>
    <xf numFmtId="0" fontId="13" fillId="0" borderId="0" xfId="7"/>
    <xf numFmtId="0" fontId="19" fillId="0" borderId="0" xfId="7" applyFont="1" applyAlignment="1">
      <alignment horizontal="right"/>
    </xf>
    <xf numFmtId="41" fontId="21" fillId="0" borderId="44" xfId="1" quotePrefix="1" applyFont="1" applyFill="1" applyBorder="1" applyAlignment="1">
      <alignment horizontal="left" vertical="center"/>
    </xf>
    <xf numFmtId="41" fontId="21" fillId="0" borderId="27" xfId="3" applyNumberFormat="1" applyFont="1" applyBorder="1" applyAlignment="1">
      <alignment horizontal="right" vertical="center"/>
    </xf>
    <xf numFmtId="41" fontId="21" fillId="0" borderId="45" xfId="1" applyFont="1" applyFill="1" applyBorder="1" applyAlignment="1">
      <alignment horizontal="center" vertical="center"/>
    </xf>
    <xf numFmtId="41" fontId="21" fillId="0" borderId="32" xfId="3" applyNumberFormat="1" applyFont="1" applyBorder="1" applyAlignment="1">
      <alignment horizontal="right" vertical="center"/>
    </xf>
    <xf numFmtId="41" fontId="27" fillId="0" borderId="34" xfId="1" applyFont="1" applyFill="1" applyBorder="1" applyAlignment="1">
      <alignment horizontal="center" vertical="center"/>
    </xf>
    <xf numFmtId="41" fontId="27" fillId="0" borderId="34" xfId="1" quotePrefix="1" applyFont="1" applyFill="1" applyBorder="1" applyAlignment="1">
      <alignment horizontal="center" vertical="center"/>
    </xf>
    <xf numFmtId="41" fontId="21" fillId="0" borderId="31" xfId="1" quotePrefix="1" applyFont="1" applyFill="1" applyBorder="1" applyAlignment="1">
      <alignment horizontal="left" vertical="center" wrapText="1"/>
    </xf>
    <xf numFmtId="41" fontId="27" fillId="0" borderId="34" xfId="1" applyNumberFormat="1" applyFont="1" applyFill="1" applyBorder="1" applyAlignment="1">
      <alignment horizontal="center" vertical="center"/>
    </xf>
    <xf numFmtId="41" fontId="27" fillId="0" borderId="34" xfId="1" applyFont="1" applyFill="1" applyBorder="1" applyAlignment="1">
      <alignment vertical="center"/>
    </xf>
    <xf numFmtId="0" fontId="21" fillId="0" borderId="30" xfId="1" quotePrefix="1" applyNumberFormat="1" applyFont="1" applyFill="1" applyBorder="1" applyAlignment="1">
      <alignment horizontal="center" vertical="center"/>
    </xf>
    <xf numFmtId="41" fontId="13" fillId="0" borderId="0" xfId="7" applyNumberFormat="1"/>
    <xf numFmtId="187" fontId="13" fillId="0" borderId="0" xfId="7" applyNumberFormat="1"/>
    <xf numFmtId="0" fontId="13" fillId="0" borderId="0" xfId="2" applyAlignment="1">
      <alignment horizontal="center"/>
    </xf>
    <xf numFmtId="176" fontId="13" fillId="5" borderId="12" xfId="2" applyNumberFormat="1" applyFill="1" applyBorder="1" applyAlignment="1">
      <alignment horizontal="center" vertical="center"/>
    </xf>
    <xf numFmtId="176" fontId="13" fillId="0" borderId="1" xfId="2" applyNumberFormat="1" applyBorder="1" applyAlignment="1">
      <alignment horizontal="center" vertical="center"/>
    </xf>
    <xf numFmtId="176" fontId="13" fillId="0" borderId="6" xfId="2" applyNumberFormat="1" applyBorder="1" applyAlignment="1">
      <alignment vertical="center"/>
    </xf>
    <xf numFmtId="176" fontId="13" fillId="0" borderId="1" xfId="2" applyNumberFormat="1" applyBorder="1" applyAlignment="1">
      <alignment vertical="center"/>
    </xf>
    <xf numFmtId="181" fontId="13" fillId="0" borderId="1" xfId="2" applyNumberFormat="1" applyBorder="1" applyAlignment="1">
      <alignment vertical="center"/>
    </xf>
    <xf numFmtId="176" fontId="13" fillId="0" borderId="10" xfId="2" applyNumberFormat="1" applyBorder="1" applyAlignment="1">
      <alignment vertical="center" wrapText="1"/>
    </xf>
    <xf numFmtId="0" fontId="28" fillId="0" borderId="0" xfId="2" applyFont="1" applyAlignment="1">
      <alignment vertical="center"/>
    </xf>
    <xf numFmtId="176" fontId="13" fillId="0" borderId="6" xfId="2" applyNumberFormat="1" applyBorder="1" applyAlignment="1">
      <alignment horizontal="center" vertical="center"/>
    </xf>
    <xf numFmtId="176" fontId="13" fillId="0" borderId="10" xfId="2" applyNumberFormat="1" applyBorder="1" applyAlignment="1">
      <alignment horizontal="center" vertical="center" wrapText="1"/>
    </xf>
    <xf numFmtId="176" fontId="13" fillId="0" borderId="1" xfId="2" applyNumberFormat="1" applyFill="1" applyBorder="1" applyAlignment="1">
      <alignment vertical="center"/>
    </xf>
    <xf numFmtId="187" fontId="13" fillId="0" borderId="1" xfId="2" applyNumberFormat="1" applyBorder="1" applyAlignment="1">
      <alignment horizontal="center" vertical="center"/>
    </xf>
    <xf numFmtId="187" fontId="13" fillId="0" borderId="1" xfId="2" applyNumberFormat="1" applyFill="1" applyBorder="1" applyAlignment="1">
      <alignment vertical="center"/>
    </xf>
    <xf numFmtId="187" fontId="13" fillId="0" borderId="1" xfId="2" applyNumberFormat="1" applyBorder="1" applyAlignment="1">
      <alignment vertical="center"/>
    </xf>
    <xf numFmtId="176" fontId="13" fillId="0" borderId="11" xfId="2" applyNumberFormat="1" applyBorder="1" applyAlignment="1">
      <alignment horizontal="center" vertical="center"/>
    </xf>
    <xf numFmtId="187" fontId="13" fillId="0" borderId="12" xfId="2" applyNumberFormat="1" applyBorder="1" applyAlignment="1">
      <alignment horizontal="center" vertical="center"/>
    </xf>
    <xf numFmtId="176" fontId="13" fillId="0" borderId="12" xfId="2" applyNumberFormat="1" applyBorder="1" applyAlignment="1">
      <alignment horizontal="center" vertical="center"/>
    </xf>
    <xf numFmtId="176" fontId="13" fillId="0" borderId="13" xfId="2" applyNumberFormat="1" applyBorder="1" applyAlignment="1">
      <alignment horizontal="center" vertical="center" wrapText="1"/>
    </xf>
    <xf numFmtId="187" fontId="13" fillId="0" borderId="0" xfId="2" applyNumberFormat="1"/>
    <xf numFmtId="187" fontId="13" fillId="0" borderId="0" xfId="2" applyNumberFormat="1" applyAlignment="1">
      <alignment horizontal="center"/>
    </xf>
    <xf numFmtId="0" fontId="13" fillId="0" borderId="1" xfId="2" applyNumberFormat="1" applyBorder="1" applyAlignment="1">
      <alignment horizontal="center" vertical="center"/>
    </xf>
    <xf numFmtId="187" fontId="13" fillId="0" borderId="12" xfId="2" applyNumberFormat="1" applyFill="1" applyBorder="1" applyAlignment="1">
      <alignment horizontal="center" vertical="center"/>
    </xf>
    <xf numFmtId="176" fontId="13" fillId="5" borderId="4" xfId="2" quotePrefix="1" applyNumberFormat="1" applyFill="1" applyBorder="1" applyAlignment="1">
      <alignment horizontal="center" vertical="center"/>
    </xf>
    <xf numFmtId="176" fontId="13" fillId="5" borderId="4" xfId="2" applyNumberFormat="1" applyFill="1" applyBorder="1" applyAlignment="1">
      <alignment horizontal="center" vertical="center"/>
    </xf>
    <xf numFmtId="176" fontId="13" fillId="0" borderId="52" xfId="2" applyNumberFormat="1" applyBorder="1" applyAlignment="1">
      <alignment horizontal="center" vertical="center"/>
    </xf>
    <xf numFmtId="176" fontId="13" fillId="0" borderId="53" xfId="2" applyNumberFormat="1" applyBorder="1" applyAlignment="1">
      <alignment horizontal="center" vertical="center"/>
    </xf>
    <xf numFmtId="176" fontId="29" fillId="8" borderId="53" xfId="2" applyNumberFormat="1" applyFont="1" applyFill="1" applyBorder="1" applyAlignment="1">
      <alignment horizontal="center" vertical="center"/>
    </xf>
    <xf numFmtId="176" fontId="29" fillId="8" borderId="1" xfId="2" applyNumberFormat="1" applyFont="1" applyFill="1" applyBorder="1" applyAlignment="1">
      <alignment horizontal="center" vertical="center"/>
    </xf>
    <xf numFmtId="176" fontId="30" fillId="0" borderId="1" xfId="2" applyNumberFormat="1" applyFont="1" applyFill="1" applyBorder="1" applyAlignment="1">
      <alignment vertical="center"/>
    </xf>
    <xf numFmtId="188" fontId="30" fillId="0" borderId="1" xfId="2" applyNumberFormat="1" applyFont="1" applyBorder="1" applyAlignment="1">
      <alignment horizontal="center" vertical="center"/>
    </xf>
    <xf numFmtId="188" fontId="31" fillId="8" borderId="1" xfId="2" applyNumberFormat="1" applyFont="1" applyFill="1" applyBorder="1" applyAlignment="1">
      <alignment horizontal="center" vertical="center"/>
    </xf>
    <xf numFmtId="176" fontId="30" fillId="0" borderId="1" xfId="2" applyNumberFormat="1" applyFont="1" applyBorder="1" applyAlignment="1">
      <alignment horizontal="center" vertical="center"/>
    </xf>
    <xf numFmtId="176" fontId="29" fillId="9" borderId="6" xfId="2" applyNumberFormat="1" applyFont="1" applyFill="1" applyBorder="1" applyAlignment="1">
      <alignment vertical="center"/>
    </xf>
    <xf numFmtId="176" fontId="31" fillId="9" borderId="1" xfId="2" applyNumberFormat="1" applyFont="1" applyFill="1" applyBorder="1" applyAlignment="1">
      <alignment vertical="center"/>
    </xf>
    <xf numFmtId="188" fontId="31" fillId="9" borderId="1" xfId="2" applyNumberFormat="1" applyFont="1" applyFill="1" applyBorder="1" applyAlignment="1">
      <alignment horizontal="center" vertical="center"/>
    </xf>
    <xf numFmtId="176" fontId="31" fillId="9" borderId="1" xfId="2" applyNumberFormat="1" applyFont="1" applyFill="1" applyBorder="1" applyAlignment="1">
      <alignment horizontal="center" vertical="center"/>
    </xf>
    <xf numFmtId="0" fontId="33" fillId="0" borderId="54" xfId="10" applyFont="1" applyBorder="1" applyAlignment="1">
      <alignment vertical="center"/>
    </xf>
    <xf numFmtId="0" fontId="34" fillId="0" borderId="55" xfId="10" applyFont="1" applyBorder="1" applyAlignment="1">
      <alignment vertical="center"/>
    </xf>
    <xf numFmtId="0" fontId="35" fillId="0" borderId="55" xfId="10" applyFont="1" applyBorder="1" applyAlignment="1">
      <alignment vertical="center"/>
    </xf>
    <xf numFmtId="0" fontId="34" fillId="0" borderId="56" xfId="10" applyFont="1" applyBorder="1" applyAlignment="1">
      <alignment vertical="center"/>
    </xf>
    <xf numFmtId="0" fontId="26" fillId="0" borderId="0" xfId="11"/>
    <xf numFmtId="0" fontId="36" fillId="0" borderId="57" xfId="10" applyFont="1" applyBorder="1" applyAlignment="1">
      <alignment vertical="center"/>
    </xf>
    <xf numFmtId="0" fontId="34" fillId="0" borderId="0" xfId="10" applyFont="1" applyBorder="1" applyAlignment="1">
      <alignment vertical="center"/>
    </xf>
    <xf numFmtId="0" fontId="35" fillId="0" borderId="0" xfId="10" applyFont="1" applyBorder="1" applyAlignment="1">
      <alignment vertical="center"/>
    </xf>
    <xf numFmtId="0" fontId="34" fillId="0" borderId="58" xfId="10" applyFont="1" applyBorder="1" applyAlignment="1">
      <alignment vertical="center"/>
    </xf>
    <xf numFmtId="0" fontId="34" fillId="0" borderId="57" xfId="10" applyFont="1" applyBorder="1" applyAlignment="1">
      <alignment vertical="center"/>
    </xf>
    <xf numFmtId="0" fontId="38" fillId="0" borderId="57" xfId="10" applyFont="1" applyBorder="1" applyAlignment="1">
      <alignment horizontal="centerContinuous" vertical="center"/>
    </xf>
    <xf numFmtId="0" fontId="40" fillId="0" borderId="0" xfId="10" applyFont="1" applyBorder="1" applyAlignment="1">
      <alignment horizontal="centerContinuous" vertical="center"/>
    </xf>
    <xf numFmtId="0" fontId="34" fillId="0" borderId="0" xfId="10" applyFont="1" applyBorder="1" applyAlignment="1">
      <alignment horizontal="centerContinuous" vertical="center"/>
    </xf>
    <xf numFmtId="0" fontId="35" fillId="0" borderId="0" xfId="10" applyFont="1" applyBorder="1" applyAlignment="1">
      <alignment horizontal="centerContinuous" vertical="center"/>
    </xf>
    <xf numFmtId="0" fontId="34" fillId="0" borderId="58" xfId="10" applyFont="1" applyBorder="1" applyAlignment="1">
      <alignment horizontal="centerContinuous" vertical="center"/>
    </xf>
    <xf numFmtId="0" fontId="41" fillId="0" borderId="57" xfId="10" applyFont="1" applyBorder="1" applyAlignment="1">
      <alignment horizontal="centerContinuous" vertical="center"/>
    </xf>
    <xf numFmtId="0" fontId="42" fillId="0" borderId="0" xfId="10" applyFont="1" applyBorder="1" applyAlignment="1">
      <alignment horizontal="center" vertical="center"/>
    </xf>
    <xf numFmtId="42" fontId="42" fillId="0" borderId="0" xfId="12" applyFont="1" applyBorder="1" applyAlignment="1">
      <alignment horizontal="left" vertical="center" shrinkToFit="1"/>
    </xf>
    <xf numFmtId="42" fontId="43" fillId="0" borderId="0" xfId="12" applyFont="1" applyBorder="1" applyAlignment="1">
      <alignment horizontal="left" vertical="center" shrinkToFit="1"/>
    </xf>
    <xf numFmtId="42" fontId="42" fillId="0" borderId="0" xfId="12" applyFont="1" applyBorder="1" applyAlignment="1">
      <alignment horizontal="right" vertical="center" shrinkToFit="1"/>
    </xf>
    <xf numFmtId="42" fontId="43" fillId="0" borderId="0" xfId="12" applyFont="1" applyBorder="1" applyAlignment="1">
      <alignment horizontal="right" vertical="center" shrinkToFit="1"/>
    </xf>
    <xf numFmtId="0" fontId="42" fillId="0" borderId="58" xfId="10" applyFont="1" applyBorder="1" applyAlignment="1">
      <alignment horizontal="centerContinuous" vertical="center"/>
    </xf>
    <xf numFmtId="0" fontId="37" fillId="6" borderId="63" xfId="10" applyFont="1" applyFill="1" applyBorder="1" applyAlignment="1">
      <alignment horizontal="center" vertical="center"/>
    </xf>
    <xf numFmtId="0" fontId="44" fillId="6" borderId="64" xfId="10" applyFont="1" applyFill="1" applyBorder="1" applyAlignment="1">
      <alignment horizontal="center" vertical="center"/>
    </xf>
    <xf numFmtId="0" fontId="45" fillId="0" borderId="65" xfId="10" applyFont="1" applyBorder="1" applyAlignment="1">
      <alignment horizontal="center" vertical="center"/>
    </xf>
    <xf numFmtId="41" fontId="45" fillId="0" borderId="52" xfId="12" applyNumberFormat="1" applyFont="1" applyBorder="1" applyAlignment="1">
      <alignment horizontal="center" vertical="center" shrinkToFit="1"/>
    </xf>
    <xf numFmtId="41" fontId="46" fillId="0" borderId="66" xfId="12" applyNumberFormat="1" applyFont="1" applyBorder="1" applyAlignment="1">
      <alignment horizontal="center" vertical="center" shrinkToFit="1"/>
    </xf>
    <xf numFmtId="41" fontId="45" fillId="0" borderId="52" xfId="12" applyNumberFormat="1" applyFont="1" applyFill="1" applyBorder="1" applyAlignment="1">
      <alignment horizontal="center" vertical="center" shrinkToFit="1"/>
    </xf>
    <xf numFmtId="41" fontId="46" fillId="0" borderId="66" xfId="12" applyNumberFormat="1" applyFont="1" applyFill="1" applyBorder="1" applyAlignment="1">
      <alignment horizontal="center" vertical="center" shrinkToFit="1"/>
    </xf>
    <xf numFmtId="0" fontId="47" fillId="0" borderId="58" xfId="10" applyFont="1" applyBorder="1" applyAlignment="1">
      <alignment horizontal="centerContinuous" vertical="center"/>
    </xf>
    <xf numFmtId="0" fontId="45" fillId="0" borderId="67" xfId="10" applyFont="1" applyBorder="1" applyAlignment="1">
      <alignment horizontal="center" vertical="center"/>
    </xf>
    <xf numFmtId="41" fontId="45" fillId="0" borderId="6" xfId="12" applyNumberFormat="1" applyFont="1" applyBorder="1" applyAlignment="1">
      <alignment horizontal="center" vertical="center" shrinkToFit="1"/>
    </xf>
    <xf numFmtId="41" fontId="46" fillId="0" borderId="10" xfId="12" applyNumberFormat="1" applyFont="1" applyBorder="1" applyAlignment="1">
      <alignment horizontal="center" vertical="center" shrinkToFit="1"/>
    </xf>
    <xf numFmtId="41" fontId="45" fillId="0" borderId="6" xfId="12" applyNumberFormat="1" applyFont="1" applyFill="1" applyBorder="1" applyAlignment="1">
      <alignment horizontal="center" vertical="center" shrinkToFit="1"/>
    </xf>
    <xf numFmtId="41" fontId="46" fillId="0" borderId="10" xfId="12" applyNumberFormat="1" applyFont="1" applyFill="1" applyBorder="1" applyAlignment="1">
      <alignment horizontal="center" vertical="center" shrinkToFit="1"/>
    </xf>
    <xf numFmtId="41" fontId="42" fillId="0" borderId="58" xfId="13" applyFont="1" applyBorder="1" applyAlignment="1">
      <alignment vertical="center"/>
    </xf>
    <xf numFmtId="0" fontId="45" fillId="0" borderId="68" xfId="10" applyFont="1" applyBorder="1" applyAlignment="1">
      <alignment horizontal="center" vertical="center"/>
    </xf>
    <xf numFmtId="41" fontId="45" fillId="0" borderId="11" xfId="12" applyNumberFormat="1" applyFont="1" applyBorder="1" applyAlignment="1">
      <alignment horizontal="center" vertical="center" shrinkToFit="1"/>
    </xf>
    <xf numFmtId="41" fontId="46" fillId="0" borderId="13" xfId="12" applyNumberFormat="1" applyFont="1" applyBorder="1" applyAlignment="1">
      <alignment horizontal="center" vertical="center" shrinkToFit="1"/>
    </xf>
    <xf numFmtId="41" fontId="45" fillId="0" borderId="11" xfId="12" applyNumberFormat="1" applyFont="1" applyFill="1" applyBorder="1" applyAlignment="1">
      <alignment horizontal="center" vertical="center" shrinkToFit="1"/>
    </xf>
    <xf numFmtId="41" fontId="42" fillId="0" borderId="58" xfId="13" applyFont="1" applyBorder="1" applyAlignment="1">
      <alignment horizontal="left" vertical="center"/>
    </xf>
    <xf numFmtId="3" fontId="47" fillId="0" borderId="0" xfId="10" applyNumberFormat="1" applyFont="1" applyBorder="1" applyAlignment="1">
      <alignment horizontal="center" vertical="center"/>
    </xf>
    <xf numFmtId="3" fontId="48" fillId="0" borderId="0" xfId="10" applyNumberFormat="1" applyFont="1" applyBorder="1" applyAlignment="1">
      <alignment horizontal="center" vertical="center"/>
    </xf>
    <xf numFmtId="3" fontId="47" fillId="0" borderId="0" xfId="10" applyNumberFormat="1" applyFont="1" applyBorder="1" applyAlignment="1">
      <alignment horizontal="right" vertical="center"/>
    </xf>
    <xf numFmtId="3" fontId="48" fillId="0" borderId="0" xfId="10" applyNumberFormat="1" applyFont="1" applyBorder="1" applyAlignment="1">
      <alignment horizontal="right" vertical="center"/>
    </xf>
    <xf numFmtId="3" fontId="49" fillId="0" borderId="0" xfId="10" applyNumberFormat="1" applyFont="1" applyBorder="1" applyAlignment="1">
      <alignment horizontal="center" vertical="center"/>
    </xf>
    <xf numFmtId="0" fontId="50" fillId="0" borderId="0" xfId="10" applyFont="1" applyBorder="1" applyAlignment="1">
      <alignment horizontal="distributed" vertical="center"/>
    </xf>
    <xf numFmtId="0" fontId="51" fillId="0" borderId="0" xfId="10" applyFont="1" applyBorder="1" applyAlignment="1">
      <alignment horizontal="distributed" vertical="center"/>
    </xf>
    <xf numFmtId="0" fontId="49" fillId="0" borderId="0" xfId="10" applyFont="1" applyBorder="1" applyAlignment="1">
      <alignment horizontal="right" vertical="center"/>
    </xf>
    <xf numFmtId="41" fontId="49" fillId="0" borderId="0" xfId="10" applyNumberFormat="1" applyFont="1" applyBorder="1" applyAlignment="1">
      <alignment horizontal="right" vertical="center"/>
    </xf>
    <xf numFmtId="41" fontId="49" fillId="0" borderId="0" xfId="10" applyNumberFormat="1" applyFont="1" applyBorder="1" applyAlignment="1">
      <alignment horizontal="center" vertical="center"/>
    </xf>
    <xf numFmtId="0" fontId="34" fillId="0" borderId="69" xfId="10" applyFont="1" applyBorder="1" applyAlignment="1">
      <alignment vertical="center"/>
    </xf>
    <xf numFmtId="0" fontId="50" fillId="0" borderId="70" xfId="10" applyFont="1" applyBorder="1" applyAlignment="1">
      <alignment horizontal="distributed" vertical="center"/>
    </xf>
    <xf numFmtId="0" fontId="51" fillId="0" borderId="70" xfId="10" applyFont="1" applyBorder="1" applyAlignment="1">
      <alignment horizontal="distributed" vertical="center"/>
    </xf>
    <xf numFmtId="0" fontId="47" fillId="0" borderId="70" xfId="10" applyFont="1" applyBorder="1" applyAlignment="1">
      <alignment horizontal="right" vertical="center"/>
    </xf>
    <xf numFmtId="0" fontId="48" fillId="0" borderId="70" xfId="10" applyFont="1" applyBorder="1" applyAlignment="1">
      <alignment horizontal="right" vertical="center"/>
    </xf>
    <xf numFmtId="0" fontId="34" fillId="0" borderId="71" xfId="10" applyFont="1" applyBorder="1" applyAlignment="1">
      <alignment vertical="center"/>
    </xf>
    <xf numFmtId="0" fontId="52" fillId="0" borderId="0" xfId="11" applyFont="1"/>
    <xf numFmtId="0" fontId="37" fillId="6" borderId="72" xfId="10" applyFont="1" applyFill="1" applyBorder="1" applyAlignment="1">
      <alignment horizontal="center" vertical="center"/>
    </xf>
    <xf numFmtId="41" fontId="45" fillId="0" borderId="73" xfId="12" applyNumberFormat="1" applyFont="1" applyFill="1" applyBorder="1" applyAlignment="1">
      <alignment horizontal="center" vertical="center" shrinkToFit="1"/>
    </xf>
    <xf numFmtId="41" fontId="45" fillId="0" borderId="2" xfId="12" applyNumberFormat="1" applyFont="1" applyFill="1" applyBorder="1" applyAlignment="1">
      <alignment horizontal="center" vertical="center" shrinkToFit="1"/>
    </xf>
    <xf numFmtId="41" fontId="45" fillId="0" borderId="74" xfId="12" applyNumberFormat="1" applyFont="1" applyFill="1" applyBorder="1" applyAlignment="1">
      <alignment horizontal="center" vertical="center" shrinkToFit="1"/>
    </xf>
    <xf numFmtId="41" fontId="45" fillId="0" borderId="73" xfId="12" applyNumberFormat="1" applyFont="1" applyBorder="1" applyAlignment="1">
      <alignment horizontal="center" vertical="center" shrinkToFit="1"/>
    </xf>
    <xf numFmtId="41" fontId="45" fillId="0" borderId="2" xfId="12" applyNumberFormat="1" applyFont="1" applyBorder="1" applyAlignment="1">
      <alignment horizontal="center" vertical="center" shrinkToFit="1"/>
    </xf>
    <xf numFmtId="41" fontId="45" fillId="0" borderId="74" xfId="12" applyNumberFormat="1" applyFont="1" applyBorder="1" applyAlignment="1">
      <alignment horizontal="center" vertical="center" shrinkToFit="1"/>
    </xf>
    <xf numFmtId="188" fontId="30" fillId="10" borderId="1" xfId="2" applyNumberFormat="1" applyFont="1" applyFill="1" applyBorder="1" applyAlignment="1">
      <alignment horizontal="center" vertical="center"/>
    </xf>
    <xf numFmtId="0" fontId="50" fillId="0" borderId="0" xfId="10" applyFont="1" applyBorder="1" applyAlignment="1">
      <alignment horizontal="distributed" vertical="center"/>
    </xf>
    <xf numFmtId="0" fontId="50" fillId="0" borderId="70" xfId="10" applyFont="1" applyBorder="1" applyAlignment="1">
      <alignment horizontal="distributed" vertical="center"/>
    </xf>
    <xf numFmtId="3" fontId="47" fillId="0" borderId="0" xfId="10" applyNumberFormat="1" applyFont="1" applyBorder="1" applyAlignment="1">
      <alignment horizontal="center" vertical="center"/>
    </xf>
    <xf numFmtId="176" fontId="0" fillId="10" borderId="1" xfId="0" applyNumberFormat="1" applyFill="1" applyBorder="1" applyAlignment="1">
      <alignment vertical="center"/>
    </xf>
    <xf numFmtId="176" fontId="0" fillId="10" borderId="1" xfId="0" applyNumberFormat="1" applyFill="1" applyBorder="1" applyAlignment="1">
      <alignment horizontal="right" vertical="center"/>
    </xf>
    <xf numFmtId="41" fontId="46" fillId="10" borderId="13" xfId="12" applyNumberFormat="1" applyFont="1" applyFill="1" applyBorder="1" applyAlignment="1">
      <alignment horizontal="center" vertical="center" shrinkToFit="1"/>
    </xf>
    <xf numFmtId="41" fontId="13" fillId="0" borderId="1" xfId="14" applyFont="1" applyBorder="1" applyAlignment="1">
      <alignment horizontal="center" vertical="center"/>
    </xf>
    <xf numFmtId="41" fontId="13" fillId="0" borderId="1" xfId="14" applyFont="1" applyBorder="1" applyAlignment="1">
      <alignment vertical="center"/>
    </xf>
    <xf numFmtId="41" fontId="13" fillId="0" borderId="0" xfId="14" applyFont="1" applyAlignment="1"/>
    <xf numFmtId="191" fontId="0" fillId="0" borderId="0" xfId="14" applyNumberFormat="1" applyFont="1" applyAlignment="1"/>
    <xf numFmtId="191" fontId="0" fillId="0" borderId="1" xfId="14" applyNumberFormat="1" applyFont="1" applyBorder="1" applyAlignment="1">
      <alignment vertical="center"/>
    </xf>
    <xf numFmtId="191" fontId="0" fillId="0" borderId="1" xfId="14" applyNumberFormat="1" applyFont="1" applyBorder="1" applyAlignment="1">
      <alignment horizontal="center" vertical="center"/>
    </xf>
    <xf numFmtId="191" fontId="0" fillId="0" borderId="12" xfId="14" applyNumberFormat="1" applyFont="1" applyBorder="1" applyAlignment="1">
      <alignment horizontal="center" vertical="center"/>
    </xf>
    <xf numFmtId="176" fontId="0" fillId="0" borderId="6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81" fontId="0" fillId="0" borderId="1" xfId="0" applyNumberFormat="1" applyFill="1" applyBorder="1" applyAlignment="1">
      <alignment vertical="center"/>
    </xf>
    <xf numFmtId="176" fontId="0" fillId="0" borderId="10" xfId="0" applyNumberFormat="1" applyFill="1" applyBorder="1" applyAlignment="1">
      <alignment vertical="center" wrapText="1"/>
    </xf>
    <xf numFmtId="41" fontId="21" fillId="0" borderId="32" xfId="14" applyFont="1" applyFill="1" applyBorder="1" applyAlignment="1">
      <alignment horizontal="right" vertical="center"/>
    </xf>
    <xf numFmtId="41" fontId="21" fillId="0" borderId="27" xfId="14" applyFont="1" applyFill="1" applyBorder="1" applyAlignment="1">
      <alignment horizontal="right" vertical="center"/>
    </xf>
    <xf numFmtId="41" fontId="21" fillId="0" borderId="32" xfId="14" quotePrefix="1" applyFont="1" applyFill="1" applyBorder="1" applyAlignment="1">
      <alignment horizontal="center" vertical="center"/>
    </xf>
    <xf numFmtId="41" fontId="21" fillId="0" borderId="32" xfId="14" applyFont="1" applyFill="1" applyBorder="1" applyAlignment="1">
      <alignment horizontal="center" vertical="center"/>
    </xf>
    <xf numFmtId="41" fontId="21" fillId="7" borderId="38" xfId="14" applyFont="1" applyFill="1" applyBorder="1" applyAlignment="1">
      <alignment horizontal="center" vertical="center"/>
    </xf>
    <xf numFmtId="0" fontId="81" fillId="0" borderId="0" xfId="2" applyFont="1" applyFill="1" applyAlignment="1">
      <alignment vertical="center"/>
    </xf>
    <xf numFmtId="0" fontId="81" fillId="0" borderId="0" xfId="16" applyFont="1" applyFill="1" applyAlignment="1">
      <alignment horizontal="left" vertical="center"/>
    </xf>
    <xf numFmtId="0" fontId="21" fillId="0" borderId="0" xfId="16" applyFont="1" applyFill="1" applyAlignment="1">
      <alignment horizontal="left" vertical="center"/>
    </xf>
    <xf numFmtId="0" fontId="21" fillId="0" borderId="0" xfId="16" applyFont="1" applyFill="1" applyAlignment="1">
      <alignment horizontal="centerContinuous" vertical="center"/>
    </xf>
    <xf numFmtId="192" fontId="81" fillId="8" borderId="127" xfId="16" applyNumberFormat="1" applyFont="1" applyFill="1" applyBorder="1" applyAlignment="1">
      <alignment horizontal="center" vertical="center"/>
    </xf>
    <xf numFmtId="192" fontId="81" fillId="8" borderId="127" xfId="4" applyNumberFormat="1" applyFont="1" applyFill="1" applyBorder="1" applyAlignment="1">
      <alignment horizontal="center" vertical="center"/>
    </xf>
    <xf numFmtId="0" fontId="21" fillId="0" borderId="128" xfId="16" applyFont="1" applyFill="1" applyBorder="1" applyAlignment="1">
      <alignment horizontal="center" vertical="center"/>
    </xf>
    <xf numFmtId="189" fontId="21" fillId="0" borderId="128" xfId="16" applyNumberFormat="1" applyFont="1" applyFill="1" applyBorder="1" applyAlignment="1">
      <alignment horizontal="center" vertical="center"/>
    </xf>
    <xf numFmtId="190" fontId="81" fillId="0" borderId="128" xfId="16" applyNumberFormat="1" applyFont="1" applyFill="1" applyBorder="1" applyAlignment="1">
      <alignment horizontal="right" vertical="center"/>
    </xf>
    <xf numFmtId="0" fontId="21" fillId="0" borderId="128" xfId="16" applyFont="1" applyFill="1" applyBorder="1" applyAlignment="1">
      <alignment vertical="center"/>
    </xf>
    <xf numFmtId="0" fontId="21" fillId="0" borderId="15" xfId="16" applyFont="1" applyFill="1" applyBorder="1" applyAlignment="1">
      <alignment horizontal="center" vertical="center"/>
    </xf>
    <xf numFmtId="189" fontId="21" fillId="0" borderId="15" xfId="16" applyNumberFormat="1" applyFont="1" applyFill="1" applyBorder="1" applyAlignment="1">
      <alignment horizontal="center" vertical="center"/>
    </xf>
    <xf numFmtId="190" fontId="81" fillId="0" borderId="15" xfId="16" applyNumberFormat="1" applyFont="1" applyFill="1" applyBorder="1" applyAlignment="1">
      <alignment horizontal="right" vertical="center"/>
    </xf>
    <xf numFmtId="0" fontId="21" fillId="0" borderId="15" xfId="16" applyFont="1" applyFill="1" applyBorder="1" applyAlignment="1">
      <alignment vertical="center"/>
    </xf>
    <xf numFmtId="0" fontId="81" fillId="0" borderId="15" xfId="16" applyFont="1" applyFill="1" applyBorder="1" applyAlignment="1">
      <alignment horizontal="right" vertical="center"/>
    </xf>
    <xf numFmtId="0" fontId="21" fillId="0" borderId="15" xfId="16" applyFont="1" applyFill="1" applyBorder="1"/>
    <xf numFmtId="0" fontId="21" fillId="0" borderId="51" xfId="16" applyFont="1" applyFill="1" applyBorder="1" applyAlignment="1">
      <alignment horizontal="center" vertical="center"/>
    </xf>
    <xf numFmtId="190" fontId="21" fillId="0" borderId="51" xfId="16" applyNumberFormat="1" applyFont="1" applyFill="1" applyBorder="1" applyAlignment="1">
      <alignment horizontal="right" vertical="center"/>
    </xf>
    <xf numFmtId="0" fontId="21" fillId="0" borderId="51" xfId="16" applyFont="1" applyFill="1" applyBorder="1" applyAlignment="1">
      <alignment horizontal="right" vertical="center"/>
    </xf>
    <xf numFmtId="193" fontId="21" fillId="0" borderId="51" xfId="4" quotePrefix="1" applyNumberFormat="1" applyFont="1" applyFill="1" applyBorder="1" applyAlignment="1">
      <alignment horizontal="right" vertical="center"/>
    </xf>
    <xf numFmtId="0" fontId="21" fillId="0" borderId="51" xfId="16" applyFont="1" applyFill="1" applyBorder="1" applyAlignment="1">
      <alignment vertical="center"/>
    </xf>
    <xf numFmtId="0" fontId="21" fillId="0" borderId="129" xfId="16" applyFont="1" applyFill="1" applyBorder="1" applyAlignment="1">
      <alignment horizontal="center" vertical="center"/>
    </xf>
    <xf numFmtId="190" fontId="21" fillId="0" borderId="129" xfId="16" applyNumberFormat="1" applyFont="1" applyFill="1" applyBorder="1" applyAlignment="1">
      <alignment horizontal="right" vertical="center"/>
    </xf>
    <xf numFmtId="0" fontId="21" fillId="0" borderId="129" xfId="16" applyFont="1" applyFill="1" applyBorder="1" applyAlignment="1">
      <alignment horizontal="right" vertical="center"/>
    </xf>
    <xf numFmtId="193" fontId="21" fillId="0" borderId="129" xfId="4" applyNumberFormat="1" applyFont="1" applyFill="1" applyBorder="1" applyAlignment="1">
      <alignment horizontal="right" vertical="center"/>
    </xf>
    <xf numFmtId="193" fontId="21" fillId="0" borderId="129" xfId="4" quotePrefix="1" applyNumberFormat="1" applyFont="1" applyFill="1" applyBorder="1" applyAlignment="1">
      <alignment horizontal="right" vertical="center"/>
    </xf>
    <xf numFmtId="0" fontId="21" fillId="0" borderId="129" xfId="16" applyFont="1" applyFill="1" applyBorder="1" applyAlignment="1">
      <alignment vertical="center"/>
    </xf>
    <xf numFmtId="0" fontId="21" fillId="0" borderId="4" xfId="16" applyFont="1" applyFill="1" applyBorder="1" applyAlignment="1">
      <alignment horizontal="center" vertical="center"/>
    </xf>
    <xf numFmtId="189" fontId="21" fillId="0" borderId="4" xfId="16" applyNumberFormat="1" applyFont="1" applyFill="1" applyBorder="1" applyAlignment="1">
      <alignment horizontal="center" vertical="center"/>
    </xf>
    <xf numFmtId="190" fontId="81" fillId="0" borderId="4" xfId="16" applyNumberFormat="1" applyFont="1" applyFill="1" applyBorder="1" applyAlignment="1">
      <alignment horizontal="right" vertical="center"/>
    </xf>
    <xf numFmtId="189" fontId="81" fillId="0" borderId="4" xfId="16" applyNumberFormat="1" applyFont="1" applyFill="1" applyBorder="1" applyAlignment="1">
      <alignment horizontal="right" vertical="center"/>
    </xf>
    <xf numFmtId="0" fontId="21" fillId="0" borderId="4" xfId="16" applyFont="1" applyFill="1" applyBorder="1" applyAlignment="1">
      <alignment vertical="center"/>
    </xf>
    <xf numFmtId="0" fontId="21" fillId="0" borderId="53" xfId="16" applyFont="1" applyFill="1" applyBorder="1" applyAlignment="1">
      <alignment horizontal="center" vertical="center"/>
    </xf>
    <xf numFmtId="194" fontId="81" fillId="0" borderId="53" xfId="16" applyNumberFormat="1" applyFont="1" applyFill="1" applyBorder="1" applyAlignment="1">
      <alignment horizontal="right" vertical="center"/>
    </xf>
    <xf numFmtId="0" fontId="21" fillId="0" borderId="53" xfId="16" applyFont="1" applyFill="1" applyBorder="1"/>
    <xf numFmtId="0" fontId="21" fillId="0" borderId="31" xfId="16" applyFont="1" applyFill="1" applyBorder="1" applyAlignment="1">
      <alignment horizontal="left" vertical="center"/>
    </xf>
    <xf numFmtId="43" fontId="13" fillId="9" borderId="0" xfId="2" applyNumberFormat="1" applyFill="1"/>
    <xf numFmtId="43" fontId="13" fillId="0" borderId="0" xfId="2" applyNumberFormat="1"/>
    <xf numFmtId="0" fontId="21" fillId="0" borderId="48" xfId="16" applyFont="1" applyFill="1" applyBorder="1" applyAlignment="1">
      <alignment horizontal="left" vertical="center"/>
    </xf>
    <xf numFmtId="189" fontId="21" fillId="0" borderId="130" xfId="16" applyNumberFormat="1" applyFont="1" applyFill="1" applyBorder="1" applyAlignment="1">
      <alignment horizontal="left" vertical="center"/>
    </xf>
    <xf numFmtId="0" fontId="21" fillId="0" borderId="26" xfId="16" applyFont="1" applyFill="1" applyBorder="1" applyAlignment="1">
      <alignment horizontal="left" vertical="center"/>
    </xf>
    <xf numFmtId="10" fontId="13" fillId="0" borderId="0" xfId="15" applyNumberFormat="1" applyFont="1" applyAlignment="1"/>
    <xf numFmtId="41" fontId="0" fillId="0" borderId="1" xfId="14" applyFont="1" applyBorder="1" applyAlignment="1">
      <alignment vertical="center"/>
    </xf>
    <xf numFmtId="41" fontId="0" fillId="0" borderId="12" xfId="14" applyFont="1" applyBorder="1" applyAlignment="1">
      <alignment vertical="center"/>
    </xf>
    <xf numFmtId="0" fontId="85" fillId="0" borderId="0" xfId="7" applyFont="1" applyAlignment="1">
      <alignment vertical="center"/>
    </xf>
    <xf numFmtId="176" fontId="88" fillId="14" borderId="10" xfId="0" applyNumberFormat="1" applyFont="1" applyFill="1" applyBorder="1" applyAlignment="1">
      <alignment horizontal="center" vertical="center" shrinkToFit="1"/>
    </xf>
    <xf numFmtId="0" fontId="53" fillId="0" borderId="0" xfId="17" applyFont="1" applyFill="1" applyBorder="1">
      <alignment vertical="center"/>
    </xf>
    <xf numFmtId="0" fontId="54" fillId="0" borderId="75" xfId="17" applyFont="1" applyFill="1" applyBorder="1">
      <alignment vertical="center"/>
    </xf>
    <xf numFmtId="0" fontId="53" fillId="0" borderId="0" xfId="17" applyFont="1" applyFill="1">
      <alignment vertical="center"/>
    </xf>
    <xf numFmtId="0" fontId="57" fillId="0" borderId="0" xfId="17" applyFont="1" applyFill="1" applyBorder="1" applyAlignment="1">
      <alignment vertical="center"/>
    </xf>
    <xf numFmtId="0" fontId="54" fillId="0" borderId="0" xfId="17" applyFont="1" applyFill="1" applyBorder="1">
      <alignment vertical="center"/>
    </xf>
    <xf numFmtId="0" fontId="53" fillId="0" borderId="0" xfId="17" applyFont="1">
      <alignment vertical="center"/>
    </xf>
    <xf numFmtId="0" fontId="1" fillId="0" borderId="0" xfId="17" applyFill="1" applyBorder="1">
      <alignment vertical="center"/>
    </xf>
    <xf numFmtId="0" fontId="62" fillId="11" borderId="77" xfId="17" applyFont="1" applyFill="1" applyBorder="1" applyAlignment="1">
      <alignment vertical="center"/>
    </xf>
    <xf numFmtId="0" fontId="62" fillId="11" borderId="78" xfId="17" applyFont="1" applyFill="1" applyBorder="1" applyAlignment="1">
      <alignment vertical="center"/>
    </xf>
    <xf numFmtId="0" fontId="62" fillId="11" borderId="79" xfId="17" applyFont="1" applyFill="1" applyBorder="1" applyAlignment="1">
      <alignment vertical="center"/>
    </xf>
    <xf numFmtId="0" fontId="62" fillId="11" borderId="80" xfId="17" applyFont="1" applyFill="1" applyBorder="1" applyAlignment="1">
      <alignment vertical="center"/>
    </xf>
    <xf numFmtId="0" fontId="1" fillId="0" borderId="0" xfId="17">
      <alignment vertical="center"/>
    </xf>
    <xf numFmtId="0" fontId="62" fillId="11" borderId="84" xfId="17" applyFont="1" applyFill="1" applyBorder="1" applyAlignment="1">
      <alignment vertical="center"/>
    </xf>
    <xf numFmtId="0" fontId="62" fillId="11" borderId="0" xfId="17" applyFont="1" applyFill="1" applyBorder="1" applyAlignment="1">
      <alignment vertical="center"/>
    </xf>
    <xf numFmtId="0" fontId="62" fillId="11" borderId="58" xfId="17" applyFont="1" applyFill="1" applyBorder="1" applyAlignment="1">
      <alignment vertical="center"/>
    </xf>
    <xf numFmtId="0" fontId="62" fillId="11" borderId="85" xfId="17" applyFont="1" applyFill="1" applyBorder="1" applyAlignment="1">
      <alignment vertical="center"/>
    </xf>
    <xf numFmtId="0" fontId="65" fillId="11" borderId="84" xfId="17" applyFont="1" applyFill="1" applyBorder="1" applyAlignment="1">
      <alignment vertical="center"/>
    </xf>
    <xf numFmtId="0" fontId="65" fillId="11" borderId="0" xfId="17" applyFont="1" applyFill="1" applyBorder="1" applyAlignment="1">
      <alignment vertical="center"/>
    </xf>
    <xf numFmtId="0" fontId="65" fillId="11" borderId="58" xfId="17" applyFont="1" applyFill="1" applyBorder="1" applyAlignment="1">
      <alignment vertical="center"/>
    </xf>
    <xf numFmtId="0" fontId="65" fillId="11" borderId="85" xfId="17" applyFont="1" applyFill="1" applyBorder="1" applyAlignment="1">
      <alignment vertical="center"/>
    </xf>
    <xf numFmtId="0" fontId="65" fillId="11" borderId="101" xfId="17" applyFont="1" applyFill="1" applyBorder="1" applyAlignment="1">
      <alignment vertical="center"/>
    </xf>
    <xf numFmtId="0" fontId="65" fillId="11" borderId="73" xfId="17" applyFont="1" applyFill="1" applyBorder="1" applyAlignment="1">
      <alignment vertical="center"/>
    </xf>
    <xf numFmtId="0" fontId="65" fillId="11" borderId="97" xfId="17" applyFont="1" applyFill="1" applyBorder="1" applyAlignment="1">
      <alignment vertical="center"/>
    </xf>
    <xf numFmtId="0" fontId="65" fillId="11" borderId="96" xfId="17" applyFont="1" applyFill="1" applyBorder="1" applyAlignment="1">
      <alignment vertical="center"/>
    </xf>
    <xf numFmtId="0" fontId="1" fillId="0" borderId="0" xfId="17" applyBorder="1">
      <alignment vertical="center"/>
    </xf>
    <xf numFmtId="0" fontId="1" fillId="0" borderId="0" xfId="17" applyBorder="1" applyAlignment="1">
      <alignment vertical="center"/>
    </xf>
    <xf numFmtId="0" fontId="1" fillId="0" borderId="41" xfId="17" applyFont="1" applyFill="1" applyBorder="1" applyAlignment="1">
      <alignment vertical="center" shrinkToFit="1"/>
    </xf>
    <xf numFmtId="0" fontId="1" fillId="0" borderId="91" xfId="17" applyFont="1" applyFill="1" applyBorder="1" applyAlignment="1">
      <alignment vertical="center" shrinkToFit="1"/>
    </xf>
    <xf numFmtId="0" fontId="1" fillId="0" borderId="115" xfId="17" applyFont="1" applyFill="1" applyBorder="1" applyAlignment="1">
      <alignment vertical="center" shrinkToFit="1"/>
    </xf>
    <xf numFmtId="0" fontId="1" fillId="0" borderId="116" xfId="17" applyFont="1" applyFill="1" applyBorder="1" applyAlignment="1">
      <alignment vertical="center" shrinkToFit="1"/>
    </xf>
    <xf numFmtId="0" fontId="79" fillId="0" borderId="84" xfId="17" applyFont="1" applyFill="1" applyBorder="1" applyAlignment="1">
      <alignment vertical="center" shrinkToFit="1"/>
    </xf>
    <xf numFmtId="0" fontId="79" fillId="0" borderId="0" xfId="17" applyFont="1" applyFill="1" applyBorder="1" applyAlignment="1">
      <alignment vertical="center" shrinkToFit="1"/>
    </xf>
    <xf numFmtId="0" fontId="79" fillId="0" borderId="86" xfId="17" applyFont="1" applyFill="1" applyBorder="1" applyAlignment="1">
      <alignment vertical="center" shrinkToFit="1"/>
    </xf>
    <xf numFmtId="0" fontId="1" fillId="0" borderId="0" xfId="17" applyFill="1">
      <alignment vertical="center"/>
    </xf>
    <xf numFmtId="0" fontId="1" fillId="0" borderId="108" xfId="17" applyFill="1" applyBorder="1" applyAlignment="1">
      <alignment vertical="center" shrinkToFit="1"/>
    </xf>
    <xf numFmtId="0" fontId="1" fillId="0" borderId="76" xfId="17" applyFill="1" applyBorder="1" applyAlignment="1">
      <alignment vertical="center" shrinkToFit="1"/>
    </xf>
    <xf numFmtId="0" fontId="1" fillId="0" borderId="109" xfId="17" applyFill="1" applyBorder="1" applyAlignment="1">
      <alignment vertical="center" shrinkToFit="1"/>
    </xf>
    <xf numFmtId="0" fontId="65" fillId="0" borderId="84" xfId="17" applyFont="1" applyBorder="1" applyAlignment="1">
      <alignment vertical="center"/>
    </xf>
    <xf numFmtId="0" fontId="65" fillId="0" borderId="0" xfId="17" applyFont="1" applyBorder="1" applyAlignment="1">
      <alignment vertical="center"/>
    </xf>
    <xf numFmtId="0" fontId="65" fillId="0" borderId="86" xfId="17" applyFont="1" applyBorder="1" applyAlignment="1">
      <alignment vertical="center"/>
    </xf>
    <xf numFmtId="41" fontId="21" fillId="0" borderId="32" xfId="14" quotePrefix="1" applyNumberFormat="1" applyFont="1" applyFill="1" applyBorder="1" applyAlignment="1">
      <alignment horizontal="center" vertical="center"/>
    </xf>
    <xf numFmtId="0" fontId="13" fillId="0" borderId="0" xfId="7" applyAlignment="1">
      <alignment horizontal="right"/>
    </xf>
    <xf numFmtId="176" fontId="90" fillId="0" borderId="0" xfId="0" applyNumberFormat="1" applyFont="1" applyFill="1" applyBorder="1" applyAlignment="1">
      <alignment vertical="center"/>
    </xf>
    <xf numFmtId="0" fontId="90" fillId="0" borderId="0" xfId="0" applyFont="1"/>
    <xf numFmtId="184" fontId="91" fillId="0" borderId="131" xfId="18" applyNumberFormat="1" applyFont="1" applyBorder="1" applyAlignment="1">
      <alignment horizontal="right" vertical="center"/>
    </xf>
    <xf numFmtId="184" fontId="91" fillId="0" borderId="75" xfId="18" applyNumberFormat="1" applyFont="1" applyBorder="1" applyAlignment="1">
      <alignment horizontal="right" vertical="center"/>
    </xf>
    <xf numFmtId="184" fontId="91" fillId="0" borderId="132" xfId="18" applyNumberFormat="1" applyFont="1" applyBorder="1" applyAlignment="1">
      <alignment horizontal="right" vertical="center"/>
    </xf>
    <xf numFmtId="184" fontId="91" fillId="0" borderId="0" xfId="18" applyNumberFormat="1" applyFont="1" applyAlignment="1">
      <alignment horizontal="right" vertical="center"/>
    </xf>
    <xf numFmtId="184" fontId="92" fillId="0" borderId="0" xfId="18" applyNumberFormat="1" applyFont="1" applyAlignment="1">
      <alignment horizontal="right" vertical="center"/>
    </xf>
    <xf numFmtId="184" fontId="91" fillId="0" borderId="85" xfId="18" applyNumberFormat="1" applyFont="1" applyBorder="1" applyAlignment="1">
      <alignment horizontal="right" vertical="center"/>
    </xf>
    <xf numFmtId="184" fontId="93" fillId="0" borderId="0" xfId="18" applyNumberFormat="1" applyFont="1" applyBorder="1" applyAlignment="1">
      <alignment horizontal="left" vertical="center"/>
    </xf>
    <xf numFmtId="184" fontId="91" fillId="0" borderId="0" xfId="18" applyNumberFormat="1" applyFont="1" applyBorder="1" applyAlignment="1">
      <alignment horizontal="right" vertical="center"/>
    </xf>
    <xf numFmtId="184" fontId="91" fillId="0" borderId="58" xfId="18" applyNumberFormat="1" applyFont="1" applyBorder="1" applyAlignment="1">
      <alignment horizontal="right" vertical="center"/>
    </xf>
    <xf numFmtId="184" fontId="95" fillId="0" borderId="0" xfId="18" applyNumberFormat="1" applyFont="1" applyBorder="1" applyAlignment="1">
      <alignment horizontal="right" vertical="center"/>
    </xf>
    <xf numFmtId="184" fontId="96" fillId="0" borderId="0" xfId="18" applyNumberFormat="1" applyFont="1" applyBorder="1" applyAlignment="1">
      <alignment horizontal="center" vertical="center"/>
    </xf>
    <xf numFmtId="197" fontId="96" fillId="0" borderId="0" xfId="18" applyNumberFormat="1" applyFont="1" applyBorder="1" applyAlignment="1">
      <alignment horizontal="right" vertical="center"/>
    </xf>
    <xf numFmtId="184" fontId="91" fillId="0" borderId="7" xfId="18" applyNumberFormat="1" applyFont="1" applyBorder="1" applyAlignment="1">
      <alignment horizontal="center" vertical="center"/>
    </xf>
    <xf numFmtId="184" fontId="91" fillId="0" borderId="61" xfId="18" applyNumberFormat="1" applyFont="1" applyBorder="1" applyAlignment="1">
      <alignment horizontal="center" vertical="center"/>
    </xf>
    <xf numFmtId="184" fontId="91" fillId="0" borderId="6" xfId="18" applyNumberFormat="1" applyFont="1" applyBorder="1" applyAlignment="1">
      <alignment horizontal="center" vertical="center"/>
    </xf>
    <xf numFmtId="184" fontId="91" fillId="0" borderId="133" xfId="19" applyNumberFormat="1" applyFont="1" applyBorder="1" applyAlignment="1">
      <alignment horizontal="right" vertical="center"/>
    </xf>
    <xf numFmtId="184" fontId="91" fillId="0" borderId="11" xfId="18" applyNumberFormat="1" applyFont="1" applyBorder="1" applyAlignment="1">
      <alignment horizontal="center" vertical="center"/>
    </xf>
    <xf numFmtId="184" fontId="91" fillId="0" borderId="134" xfId="19" applyNumberFormat="1" applyFont="1" applyBorder="1" applyAlignment="1">
      <alignment horizontal="right" vertical="center"/>
    </xf>
    <xf numFmtId="184" fontId="98" fillId="0" borderId="0" xfId="18" applyNumberFormat="1" applyFont="1" applyAlignment="1">
      <alignment horizontal="right" vertical="center"/>
    </xf>
    <xf numFmtId="184" fontId="91" fillId="0" borderId="0" xfId="18" applyNumberFormat="1" applyFont="1" applyAlignment="1">
      <alignment horizontal="left" vertical="center"/>
    </xf>
    <xf numFmtId="184" fontId="92" fillId="0" borderId="0" xfId="18" applyNumberFormat="1" applyFont="1" applyAlignment="1">
      <alignment horizontal="left" vertical="center"/>
    </xf>
    <xf numFmtId="184" fontId="99" fillId="0" borderId="1" xfId="18" applyNumberFormat="1" applyFont="1" applyBorder="1" applyAlignment="1">
      <alignment horizontal="left" vertical="center"/>
    </xf>
    <xf numFmtId="41" fontId="99" fillId="0" borderId="1" xfId="14" applyFont="1" applyBorder="1" applyAlignment="1">
      <alignment horizontal="center" vertical="center"/>
    </xf>
    <xf numFmtId="184" fontId="99" fillId="0" borderId="1" xfId="18" applyNumberFormat="1" applyFont="1" applyBorder="1" applyAlignment="1">
      <alignment horizontal="center" vertical="center"/>
    </xf>
    <xf numFmtId="184" fontId="99" fillId="0" borderId="1" xfId="18" applyNumberFormat="1" applyFont="1" applyBorder="1" applyAlignment="1">
      <alignment vertical="center"/>
    </xf>
    <xf numFmtId="41" fontId="91" fillId="0" borderId="0" xfId="14" applyFont="1" applyAlignment="1">
      <alignment horizontal="left" vertical="center"/>
    </xf>
    <xf numFmtId="0" fontId="85" fillId="0" borderId="0" xfId="7" applyFont="1"/>
    <xf numFmtId="0" fontId="13" fillId="0" borderId="0" xfId="7" applyAlignment="1">
      <alignment vertical="center"/>
    </xf>
    <xf numFmtId="186" fontId="13" fillId="0" borderId="0" xfId="4" applyNumberFormat="1" applyAlignment="1">
      <alignment vertical="center"/>
    </xf>
    <xf numFmtId="195" fontId="13" fillId="0" borderId="0" xfId="15" applyNumberFormat="1" applyFont="1" applyAlignment="1">
      <alignment vertical="center"/>
    </xf>
    <xf numFmtId="10" fontId="13" fillId="0" borderId="0" xfId="15" applyNumberFormat="1" applyFont="1" applyAlignment="1">
      <alignment vertical="center"/>
    </xf>
    <xf numFmtId="196" fontId="13" fillId="0" borderId="0" xfId="15" applyNumberFormat="1" applyFont="1" applyAlignment="1">
      <alignment vertical="center"/>
    </xf>
    <xf numFmtId="41" fontId="100" fillId="0" borderId="0" xfId="14" applyFont="1" applyAlignment="1">
      <alignment vertical="center"/>
    </xf>
    <xf numFmtId="0" fontId="100" fillId="0" borderId="0" xfId="7" applyFont="1" applyAlignment="1">
      <alignment vertical="center"/>
    </xf>
    <xf numFmtId="195" fontId="30" fillId="14" borderId="0" xfId="15" applyNumberFormat="1" applyFont="1" applyFill="1" applyAlignment="1">
      <alignment vertical="center"/>
    </xf>
    <xf numFmtId="41" fontId="91" fillId="0" borderId="0" xfId="14" applyFont="1" applyAlignment="1">
      <alignment horizontal="right" vertical="center"/>
    </xf>
    <xf numFmtId="41" fontId="92" fillId="0" borderId="0" xfId="14" applyFont="1" applyAlignment="1">
      <alignment horizontal="right" vertical="center"/>
    </xf>
    <xf numFmtId="41" fontId="92" fillId="0" borderId="0" xfId="14" applyFont="1" applyAlignment="1">
      <alignment horizontal="left" vertical="center"/>
    </xf>
    <xf numFmtId="0" fontId="0" fillId="0" borderId="0" xfId="0"/>
    <xf numFmtId="199" fontId="13" fillId="0" borderId="0" xfId="7" applyNumberFormat="1"/>
    <xf numFmtId="10" fontId="0" fillId="0" borderId="0" xfId="0" applyNumberFormat="1"/>
    <xf numFmtId="41" fontId="0" fillId="0" borderId="0" xfId="0" applyNumberFormat="1"/>
    <xf numFmtId="41" fontId="21" fillId="8" borderId="31" xfId="1" quotePrefix="1" applyFont="1" applyFill="1" applyBorder="1" applyAlignment="1">
      <alignment horizontal="left" vertical="center"/>
    </xf>
    <xf numFmtId="41" fontId="21" fillId="8" borderId="31" xfId="1" applyFont="1" applyFill="1" applyBorder="1" applyAlignment="1">
      <alignment horizontal="left" vertical="center"/>
    </xf>
    <xf numFmtId="41" fontId="21" fillId="8" borderId="31" xfId="1" quotePrefix="1" applyFont="1" applyFill="1" applyBorder="1" applyAlignment="1">
      <alignment horizontal="left" vertical="center" wrapText="1"/>
    </xf>
    <xf numFmtId="200" fontId="13" fillId="0" borderId="0" xfId="15" applyNumberFormat="1" applyFont="1" applyAlignment="1"/>
    <xf numFmtId="41" fontId="21" fillId="10" borderId="31" xfId="1" quotePrefix="1" applyFont="1" applyFill="1" applyBorder="1" applyAlignment="1">
      <alignment horizontal="left" vertical="center"/>
    </xf>
    <xf numFmtId="184" fontId="94" fillId="0" borderId="85" xfId="18" applyNumberFormat="1" applyFont="1" applyBorder="1" applyAlignment="1">
      <alignment horizontal="center" vertical="center"/>
    </xf>
    <xf numFmtId="184" fontId="94" fillId="0" borderId="0" xfId="18" applyNumberFormat="1" applyFont="1" applyBorder="1" applyAlignment="1">
      <alignment horizontal="center" vertical="center"/>
    </xf>
    <xf numFmtId="184" fontId="94" fillId="0" borderId="58" xfId="18" applyNumberFormat="1" applyFont="1" applyBorder="1" applyAlignment="1">
      <alignment horizontal="center" vertical="center"/>
    </xf>
    <xf numFmtId="184" fontId="92" fillId="0" borderId="0" xfId="18" applyNumberFormat="1" applyFont="1" applyBorder="1" applyAlignment="1">
      <alignment horizontal="right" vertical="center"/>
    </xf>
    <xf numFmtId="184" fontId="91" fillId="0" borderId="135" xfId="18" applyNumberFormat="1" applyFont="1" applyBorder="1" applyAlignment="1">
      <alignment horizontal="right" vertical="center"/>
    </xf>
    <xf numFmtId="184" fontId="91" fillId="0" borderId="70" xfId="18" applyNumberFormat="1" applyFont="1" applyBorder="1" applyAlignment="1">
      <alignment horizontal="right" vertical="center"/>
    </xf>
    <xf numFmtId="184" fontId="91" fillId="0" borderId="71" xfId="18" applyNumberFormat="1" applyFont="1" applyBorder="1" applyAlignment="1">
      <alignment horizontal="right" vertical="center"/>
    </xf>
    <xf numFmtId="184" fontId="96" fillId="0" borderId="0" xfId="18" applyNumberFormat="1" applyFont="1" applyBorder="1" applyAlignment="1">
      <alignment horizontal="right" vertical="center"/>
    </xf>
    <xf numFmtId="184" fontId="96" fillId="0" borderId="58" xfId="18" applyNumberFormat="1" applyFont="1" applyBorder="1" applyAlignment="1">
      <alignment horizontal="left" vertical="center"/>
    </xf>
    <xf numFmtId="0" fontId="37" fillId="6" borderId="60" xfId="10" applyFont="1" applyFill="1" applyBorder="1" applyAlignment="1">
      <alignment horizontal="center" vertical="center"/>
    </xf>
    <xf numFmtId="0" fontId="37" fillId="6" borderId="49" xfId="10" applyFont="1" applyFill="1" applyBorder="1" applyAlignment="1">
      <alignment horizontal="center" vertical="center"/>
    </xf>
    <xf numFmtId="0" fontId="37" fillId="6" borderId="61" xfId="10" applyFont="1" applyFill="1" applyBorder="1" applyAlignment="1">
      <alignment horizontal="center" vertical="center"/>
    </xf>
    <xf numFmtId="0" fontId="37" fillId="6" borderId="59" xfId="10" applyFont="1" applyFill="1" applyBorder="1" applyAlignment="1">
      <alignment horizontal="center" vertical="center"/>
    </xf>
    <xf numFmtId="0" fontId="37" fillId="6" borderId="62" xfId="10" applyFont="1" applyFill="1" applyBorder="1" applyAlignment="1">
      <alignment horizontal="center" vertical="center"/>
    </xf>
    <xf numFmtId="184" fontId="94" fillId="0" borderId="85" xfId="18" applyNumberFormat="1" applyFont="1" applyBorder="1" applyAlignment="1">
      <alignment horizontal="center" vertical="center"/>
    </xf>
    <xf numFmtId="184" fontId="94" fillId="0" borderId="0" xfId="18" applyNumberFormat="1" applyFont="1" applyBorder="1" applyAlignment="1">
      <alignment horizontal="center" vertical="center"/>
    </xf>
    <xf numFmtId="184" fontId="94" fillId="0" borderId="58" xfId="18" applyNumberFormat="1" applyFont="1" applyBorder="1" applyAlignment="1">
      <alignment horizontal="center" vertical="center"/>
    </xf>
    <xf numFmtId="184" fontId="91" fillId="0" borderId="1" xfId="18" applyNumberFormat="1" applyFont="1" applyBorder="1" applyAlignment="1">
      <alignment horizontal="center" vertical="center" wrapText="1"/>
    </xf>
    <xf numFmtId="184" fontId="91" fillId="0" borderId="1" xfId="18" applyNumberFormat="1" applyFont="1" applyBorder="1" applyAlignment="1">
      <alignment horizontal="center" vertical="center"/>
    </xf>
    <xf numFmtId="184" fontId="99" fillId="0" borderId="103" xfId="18" applyNumberFormat="1" applyFont="1" applyBorder="1" applyAlignment="1">
      <alignment horizontal="center" vertical="center"/>
    </xf>
    <xf numFmtId="184" fontId="99" fillId="0" borderId="3" xfId="18" applyNumberFormat="1" applyFont="1" applyBorder="1" applyAlignment="1">
      <alignment horizontal="center" vertical="center"/>
    </xf>
    <xf numFmtId="184" fontId="99" fillId="0" borderId="53" xfId="18" applyNumberFormat="1" applyFont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0" fontId="14" fillId="0" borderId="0" xfId="7" applyFont="1" applyAlignment="1">
      <alignment horizontal="center" vertical="center"/>
    </xf>
    <xf numFmtId="41" fontId="16" fillId="0" borderId="0" xfId="1" quotePrefix="1" applyFont="1" applyFill="1" applyAlignment="1">
      <alignment horizontal="left" vertical="center"/>
    </xf>
    <xf numFmtId="41" fontId="20" fillId="6" borderId="1" xfId="1" applyFont="1" applyFill="1" applyBorder="1" applyAlignment="1">
      <alignment horizontal="center" vertical="center"/>
    </xf>
    <xf numFmtId="41" fontId="18" fillId="0" borderId="0" xfId="1" quotePrefix="1" applyFont="1" applyFill="1" applyBorder="1" applyAlignment="1">
      <alignment horizontal="left"/>
    </xf>
    <xf numFmtId="41" fontId="18" fillId="0" borderId="0" xfId="1" applyFont="1" applyFill="1" applyBorder="1" applyAlignment="1">
      <alignment horizontal="left"/>
    </xf>
    <xf numFmtId="41" fontId="20" fillId="6" borderId="1" xfId="1" quotePrefix="1" applyFont="1" applyFill="1" applyBorder="1" applyAlignment="1">
      <alignment horizontal="center" vertical="center"/>
    </xf>
    <xf numFmtId="41" fontId="20" fillId="6" borderId="21" xfId="1" applyNumberFormat="1" applyFont="1" applyFill="1" applyBorder="1" applyAlignment="1">
      <alignment horizontal="center" vertical="center"/>
    </xf>
    <xf numFmtId="41" fontId="20" fillId="6" borderId="23" xfId="1" applyNumberFormat="1" applyFont="1" applyFill="1" applyBorder="1" applyAlignment="1">
      <alignment horizontal="center" vertical="center"/>
    </xf>
    <xf numFmtId="41" fontId="21" fillId="0" borderId="32" xfId="1" quotePrefix="1" applyFont="1" applyFill="1" applyBorder="1" applyAlignment="1">
      <alignment horizontal="center" vertical="center"/>
    </xf>
    <xf numFmtId="41" fontId="21" fillId="0" borderId="33" xfId="1" quotePrefix="1" applyFont="1" applyFill="1" applyBorder="1" applyAlignment="1">
      <alignment horizontal="center" vertical="center"/>
    </xf>
    <xf numFmtId="41" fontId="21" fillId="0" borderId="42" xfId="1" quotePrefix="1" applyFont="1" applyFill="1" applyBorder="1" applyAlignment="1">
      <alignment horizontal="center" vertical="center" textRotation="255"/>
    </xf>
    <xf numFmtId="41" fontId="21" fillId="0" borderId="46" xfId="1" quotePrefix="1" applyFont="1" applyFill="1" applyBorder="1" applyAlignment="1">
      <alignment horizontal="center" vertical="center" textRotation="255"/>
    </xf>
    <xf numFmtId="41" fontId="21" fillId="0" borderId="25" xfId="1" quotePrefix="1" applyFont="1" applyFill="1" applyBorder="1" applyAlignment="1">
      <alignment horizontal="center" vertical="center" textRotation="255"/>
    </xf>
    <xf numFmtId="41" fontId="21" fillId="0" borderId="43" xfId="1" quotePrefix="1" applyFont="1" applyFill="1" applyBorder="1" applyAlignment="1">
      <alignment horizontal="center" vertical="center"/>
    </xf>
    <xf numFmtId="41" fontId="21" fillId="0" borderId="47" xfId="1" quotePrefix="1" applyFont="1" applyFill="1" applyBorder="1" applyAlignment="1">
      <alignment horizontal="center" vertical="center"/>
    </xf>
    <xf numFmtId="41" fontId="21" fillId="0" borderId="26" xfId="1" quotePrefix="1" applyFont="1" applyFill="1" applyBorder="1" applyAlignment="1">
      <alignment horizontal="center" vertical="center"/>
    </xf>
    <xf numFmtId="41" fontId="21" fillId="0" borderId="31" xfId="1" quotePrefix="1" applyFont="1" applyFill="1" applyBorder="1" applyAlignment="1">
      <alignment horizontal="center" vertical="center"/>
    </xf>
    <xf numFmtId="41" fontId="21" fillId="0" borderId="48" xfId="1" applyFont="1" applyFill="1" applyBorder="1" applyAlignment="1">
      <alignment horizontal="center" vertical="center"/>
    </xf>
    <xf numFmtId="41" fontId="21" fillId="0" borderId="47" xfId="1" applyFont="1" applyFill="1" applyBorder="1" applyAlignment="1">
      <alignment horizontal="center" vertical="center"/>
    </xf>
    <xf numFmtId="41" fontId="21" fillId="0" borderId="26" xfId="1" applyFont="1" applyFill="1" applyBorder="1" applyAlignment="1">
      <alignment horizontal="center" vertical="center"/>
    </xf>
    <xf numFmtId="41" fontId="21" fillId="0" borderId="48" xfId="1" quotePrefix="1" applyFont="1" applyFill="1" applyBorder="1" applyAlignment="1">
      <alignment horizontal="center" vertical="center"/>
    </xf>
    <xf numFmtId="41" fontId="21" fillId="0" borderId="32" xfId="1" applyFont="1" applyFill="1" applyBorder="1" applyAlignment="1">
      <alignment horizontal="center" vertical="center"/>
    </xf>
    <xf numFmtId="0" fontId="21" fillId="0" borderId="41" xfId="7" applyFont="1" applyBorder="1" applyAlignment="1">
      <alignment shrinkToFit="1"/>
    </xf>
    <xf numFmtId="0" fontId="13" fillId="0" borderId="41" xfId="7" applyBorder="1" applyAlignment="1">
      <alignment shrinkToFit="1"/>
    </xf>
    <xf numFmtId="41" fontId="21" fillId="7" borderId="38" xfId="1" applyFont="1" applyFill="1" applyBorder="1" applyAlignment="1">
      <alignment horizontal="center" vertical="center"/>
    </xf>
    <xf numFmtId="41" fontId="21" fillId="7" borderId="39" xfId="1" quotePrefix="1" applyFont="1" applyFill="1" applyBorder="1" applyAlignment="1">
      <alignment horizontal="center" vertical="center"/>
    </xf>
    <xf numFmtId="176" fontId="13" fillId="5" borderId="8" xfId="2" applyNumberFormat="1" applyFill="1" applyBorder="1" applyAlignment="1">
      <alignment horizontal="center" vertical="center"/>
    </xf>
    <xf numFmtId="176" fontId="13" fillId="5" borderId="9" xfId="2" applyNumberFormat="1" applyFill="1" applyBorder="1" applyAlignment="1">
      <alignment horizontal="center" vertical="center" wrapText="1"/>
    </xf>
    <xf numFmtId="176" fontId="13" fillId="5" borderId="13" xfId="2" applyNumberFormat="1" applyFill="1" applyBorder="1" applyAlignment="1">
      <alignment horizontal="center" vertical="center" wrapText="1"/>
    </xf>
    <xf numFmtId="176" fontId="13" fillId="5" borderId="7" xfId="2" applyNumberFormat="1" applyFill="1" applyBorder="1" applyAlignment="1">
      <alignment horizontal="center" vertical="center"/>
    </xf>
    <xf numFmtId="176" fontId="13" fillId="5" borderId="11" xfId="2" applyNumberFormat="1" applyFill="1" applyBorder="1" applyAlignment="1">
      <alignment horizontal="center" vertical="center"/>
    </xf>
    <xf numFmtId="176" fontId="13" fillId="5" borderId="12" xfId="2" applyNumberFormat="1" applyFill="1" applyBorder="1" applyAlignment="1">
      <alignment horizontal="center" vertical="center"/>
    </xf>
    <xf numFmtId="176" fontId="13" fillId="5" borderId="51" xfId="2" applyNumberFormat="1" applyFill="1" applyBorder="1" applyAlignment="1">
      <alignment horizontal="center" vertical="center"/>
    </xf>
    <xf numFmtId="176" fontId="13" fillId="5" borderId="4" xfId="2" applyNumberFormat="1" applyFill="1" applyBorder="1" applyAlignment="1">
      <alignment horizontal="center" vertical="center"/>
    </xf>
    <xf numFmtId="176" fontId="13" fillId="5" borderId="49" xfId="2" quotePrefix="1" applyNumberFormat="1" applyFill="1" applyBorder="1" applyAlignment="1">
      <alignment horizontal="center" vertical="center"/>
    </xf>
    <xf numFmtId="176" fontId="13" fillId="5" borderId="50" xfId="2" quotePrefix="1" applyNumberFormat="1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 wrapText="1"/>
    </xf>
    <xf numFmtId="176" fontId="0" fillId="5" borderId="13" xfId="0" applyNumberFormat="1" applyFill="1" applyBorder="1" applyAlignment="1">
      <alignment horizontal="center" vertical="center" wrapText="1"/>
    </xf>
    <xf numFmtId="176" fontId="0" fillId="5" borderId="7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4" fontId="21" fillId="0" borderId="32" xfId="1" applyNumberFormat="1" applyFont="1" applyFill="1" applyBorder="1" applyAlignment="1">
      <alignment horizontal="right" vertical="center"/>
    </xf>
    <xf numFmtId="184" fontId="24" fillId="0" borderId="33" xfId="2" applyNumberFormat="1" applyFont="1" applyFill="1" applyBorder="1" applyAlignment="1">
      <alignment horizontal="right" vertical="center"/>
    </xf>
    <xf numFmtId="186" fontId="21" fillId="0" borderId="32" xfId="4" applyNumberFormat="1" applyFont="1" applyFill="1" applyBorder="1" applyAlignment="1">
      <alignment horizontal="center" vertical="center"/>
    </xf>
    <xf numFmtId="186" fontId="24" fillId="0" borderId="33" xfId="4" applyNumberFormat="1" applyFont="1" applyBorder="1" applyAlignment="1">
      <alignment horizontal="center" vertical="center"/>
    </xf>
    <xf numFmtId="0" fontId="21" fillId="0" borderId="41" xfId="2" applyFont="1" applyBorder="1" applyAlignment="1">
      <alignment shrinkToFit="1"/>
    </xf>
    <xf numFmtId="0" fontId="13" fillId="0" borderId="41" xfId="2" applyBorder="1" applyAlignment="1">
      <alignment shrinkToFit="1"/>
    </xf>
    <xf numFmtId="41" fontId="21" fillId="0" borderId="32" xfId="1" applyNumberFormat="1" applyFont="1" applyFill="1" applyBorder="1" applyAlignment="1">
      <alignment horizontal="center" vertical="center"/>
    </xf>
    <xf numFmtId="0" fontId="24" fillId="0" borderId="33" xfId="2" applyFont="1" applyBorder="1" applyAlignment="1">
      <alignment horizontal="center" vertical="center"/>
    </xf>
    <xf numFmtId="41" fontId="21" fillId="7" borderId="38" xfId="1" applyNumberFormat="1" applyFont="1" applyFill="1" applyBorder="1" applyAlignment="1">
      <alignment horizontal="center" vertical="center"/>
    </xf>
    <xf numFmtId="0" fontId="24" fillId="0" borderId="39" xfId="2" applyFont="1" applyBorder="1" applyAlignment="1">
      <alignment horizontal="center" vertical="center"/>
    </xf>
    <xf numFmtId="0" fontId="13" fillId="0" borderId="1" xfId="2" applyBorder="1" applyAlignment="1">
      <alignment horizontal="center" vertical="center" wrapText="1"/>
    </xf>
    <xf numFmtId="0" fontId="13" fillId="0" borderId="1" xfId="2" applyBorder="1" applyAlignment="1">
      <alignment horizontal="center" vertical="center"/>
    </xf>
    <xf numFmtId="0" fontId="13" fillId="0" borderId="35" xfId="2" applyBorder="1" applyAlignment="1">
      <alignment horizontal="center" vertical="center"/>
    </xf>
    <xf numFmtId="43" fontId="21" fillId="0" borderId="32" xfId="1" quotePrefix="1" applyNumberFormat="1" applyFont="1" applyFill="1" applyBorder="1" applyAlignment="1">
      <alignment horizontal="center" vertical="center"/>
    </xf>
    <xf numFmtId="41" fontId="22" fillId="0" borderId="32" xfId="1" quotePrefix="1" applyNumberFormat="1" applyFont="1" applyFill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41" fontId="21" fillId="0" borderId="32" xfId="1" quotePrefix="1" applyNumberFormat="1" applyFont="1" applyFill="1" applyBorder="1" applyAlignment="1">
      <alignment horizontal="center" vertical="center"/>
    </xf>
    <xf numFmtId="182" fontId="21" fillId="0" borderId="32" xfId="1" quotePrefix="1" applyNumberFormat="1" applyFont="1" applyFill="1" applyBorder="1" applyAlignment="1">
      <alignment horizontal="center" vertical="center"/>
    </xf>
    <xf numFmtId="182" fontId="24" fillId="0" borderId="33" xfId="2" applyNumberFormat="1" applyFont="1" applyBorder="1" applyAlignment="1">
      <alignment horizontal="center" vertical="center"/>
    </xf>
    <xf numFmtId="182" fontId="21" fillId="0" borderId="33" xfId="1" quotePrefix="1" applyNumberFormat="1" applyFont="1" applyFill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41" fontId="20" fillId="6" borderId="22" xfId="1" applyNumberFormat="1" applyFont="1" applyFill="1" applyBorder="1" applyAlignment="1">
      <alignment horizontal="center" vertical="center"/>
    </xf>
    <xf numFmtId="41" fontId="20" fillId="6" borderId="24" xfId="1" applyNumberFormat="1" applyFont="1" applyFill="1" applyBorder="1" applyAlignment="1">
      <alignment horizontal="center" vertical="center"/>
    </xf>
    <xf numFmtId="41" fontId="21" fillId="0" borderId="30" xfId="1" applyFont="1" applyFill="1" applyBorder="1" applyAlignment="1">
      <alignment horizontal="center" vertical="center" textRotation="255"/>
    </xf>
    <xf numFmtId="41" fontId="21" fillId="0" borderId="31" xfId="1" applyFont="1" applyFill="1" applyBorder="1" applyAlignment="1">
      <alignment horizontal="center" vertical="center"/>
    </xf>
    <xf numFmtId="41" fontId="22" fillId="0" borderId="27" xfId="3" applyNumberFormat="1" applyFont="1" applyBorder="1" applyAlignment="1">
      <alignment horizontal="right" vertical="center"/>
    </xf>
    <xf numFmtId="0" fontId="23" fillId="0" borderId="28" xfId="2" applyFont="1" applyBorder="1" applyAlignment="1">
      <alignment horizontal="right" vertical="center"/>
    </xf>
    <xf numFmtId="0" fontId="0" fillId="0" borderId="0" xfId="0"/>
    <xf numFmtId="176" fontId="0" fillId="5" borderId="9" xfId="0" applyNumberFormat="1" applyFill="1" applyBorder="1" applyAlignment="1">
      <alignment horizontal="center" vertical="center"/>
    </xf>
    <xf numFmtId="0" fontId="65" fillId="11" borderId="92" xfId="17" applyFont="1" applyFill="1" applyBorder="1" applyAlignment="1">
      <alignment horizontal="center" vertical="center"/>
    </xf>
    <xf numFmtId="0" fontId="65" fillId="11" borderId="87" xfId="17" applyFont="1" applyFill="1" applyBorder="1" applyAlignment="1">
      <alignment horizontal="center" vertical="center"/>
    </xf>
    <xf numFmtId="0" fontId="1" fillId="11" borderId="93" xfId="17" applyFont="1" applyFill="1" applyBorder="1" applyAlignment="1">
      <alignment horizontal="center" vertical="center"/>
    </xf>
    <xf numFmtId="0" fontId="1" fillId="11" borderId="65" xfId="17" applyFont="1" applyFill="1" applyBorder="1" applyAlignment="1">
      <alignment horizontal="center" vertical="center"/>
    </xf>
    <xf numFmtId="0" fontId="65" fillId="11" borderId="89" xfId="17" applyFont="1" applyFill="1" applyBorder="1" applyAlignment="1">
      <alignment horizontal="center" vertical="center" wrapText="1"/>
    </xf>
    <xf numFmtId="0" fontId="65" fillId="11" borderId="41" xfId="17" applyFont="1" applyFill="1" applyBorder="1" applyAlignment="1">
      <alignment horizontal="center" vertical="center" wrapText="1"/>
    </xf>
    <xf numFmtId="0" fontId="65" fillId="11" borderId="22" xfId="17" applyFont="1" applyFill="1" applyBorder="1" applyAlignment="1">
      <alignment horizontal="center" vertical="center" wrapText="1"/>
    </xf>
    <xf numFmtId="0" fontId="65" fillId="11" borderId="85" xfId="17" applyFont="1" applyFill="1" applyBorder="1" applyAlignment="1">
      <alignment horizontal="center" vertical="center" wrapText="1"/>
    </xf>
    <xf numFmtId="0" fontId="65" fillId="11" borderId="0" xfId="17" applyFont="1" applyFill="1" applyBorder="1" applyAlignment="1">
      <alignment horizontal="center" vertical="center" wrapText="1"/>
    </xf>
    <xf numFmtId="0" fontId="65" fillId="11" borderId="99" xfId="17" applyFont="1" applyFill="1" applyBorder="1" applyAlignment="1">
      <alignment horizontal="center" vertical="center" wrapText="1"/>
    </xf>
    <xf numFmtId="0" fontId="65" fillId="11" borderId="96" xfId="17" applyFont="1" applyFill="1" applyBorder="1" applyAlignment="1">
      <alignment horizontal="center" vertical="center" wrapText="1"/>
    </xf>
    <xf numFmtId="0" fontId="65" fillId="11" borderId="73" xfId="17" applyFont="1" applyFill="1" applyBorder="1" applyAlignment="1">
      <alignment horizontal="center" vertical="center" wrapText="1"/>
    </xf>
    <xf numFmtId="0" fontId="65" fillId="11" borderId="24" xfId="17" applyFont="1" applyFill="1" applyBorder="1" applyAlignment="1">
      <alignment horizontal="center" vertical="center" wrapText="1"/>
    </xf>
    <xf numFmtId="0" fontId="65" fillId="11" borderId="90" xfId="17" applyFont="1" applyFill="1" applyBorder="1" applyAlignment="1">
      <alignment horizontal="center" vertical="center" wrapText="1"/>
    </xf>
    <xf numFmtId="0" fontId="65" fillId="11" borderId="58" xfId="17" applyFont="1" applyFill="1" applyBorder="1" applyAlignment="1">
      <alignment horizontal="center" vertical="center" wrapText="1"/>
    </xf>
    <xf numFmtId="0" fontId="65" fillId="11" borderId="97" xfId="17" applyFont="1" applyFill="1" applyBorder="1" applyAlignment="1">
      <alignment horizontal="center" vertical="center" wrapText="1"/>
    </xf>
    <xf numFmtId="0" fontId="55" fillId="0" borderId="0" xfId="17" applyFont="1" applyBorder="1" applyAlignment="1">
      <alignment horizontal="left" shrinkToFit="1"/>
    </xf>
    <xf numFmtId="0" fontId="56" fillId="0" borderId="76" xfId="17" applyFont="1" applyFill="1" applyBorder="1" applyAlignment="1">
      <alignment horizontal="center" vertical="center" wrapText="1"/>
    </xf>
    <xf numFmtId="0" fontId="56" fillId="0" borderId="76" xfId="17" applyFont="1" applyFill="1" applyBorder="1" applyAlignment="1">
      <alignment horizontal="center" vertical="center"/>
    </xf>
    <xf numFmtId="0" fontId="63" fillId="11" borderId="80" xfId="17" applyFont="1" applyFill="1" applyBorder="1" applyAlignment="1">
      <alignment horizontal="center" vertical="center"/>
    </xf>
    <xf numFmtId="0" fontId="63" fillId="11" borderId="78" xfId="17" applyFont="1" applyFill="1" applyBorder="1" applyAlignment="1">
      <alignment horizontal="center" vertical="center"/>
    </xf>
    <xf numFmtId="0" fontId="63" fillId="11" borderId="79" xfId="17" applyFont="1" applyFill="1" applyBorder="1" applyAlignment="1">
      <alignment horizontal="center" vertical="center"/>
    </xf>
    <xf numFmtId="0" fontId="63" fillId="11" borderId="85" xfId="17" applyFont="1" applyFill="1" applyBorder="1" applyAlignment="1">
      <alignment horizontal="center" vertical="center"/>
    </xf>
    <xf numFmtId="0" fontId="63" fillId="11" borderId="0" xfId="17" applyFont="1" applyFill="1" applyBorder="1" applyAlignment="1">
      <alignment horizontal="center" vertical="center"/>
    </xf>
    <xf numFmtId="0" fontId="63" fillId="11" borderId="58" xfId="17" applyFont="1" applyFill="1" applyBorder="1" applyAlignment="1">
      <alignment horizontal="center" vertical="center"/>
    </xf>
    <xf numFmtId="0" fontId="63" fillId="11" borderId="81" xfId="17" applyFont="1" applyFill="1" applyBorder="1" applyAlignment="1">
      <alignment horizontal="center" vertical="center"/>
    </xf>
    <xf numFmtId="0" fontId="63" fillId="11" borderId="86" xfId="17" applyFont="1" applyFill="1" applyBorder="1" applyAlignment="1">
      <alignment horizontal="center" vertical="center"/>
    </xf>
    <xf numFmtId="0" fontId="64" fillId="11" borderId="82" xfId="17" applyFont="1" applyFill="1" applyBorder="1" applyAlignment="1">
      <alignment horizontal="center" vertical="center"/>
    </xf>
    <xf numFmtId="0" fontId="64" fillId="11" borderId="87" xfId="17" applyFont="1" applyFill="1" applyBorder="1" applyAlignment="1">
      <alignment horizontal="center" vertical="center"/>
    </xf>
    <xf numFmtId="0" fontId="63" fillId="11" borderId="82" xfId="17" applyFont="1" applyFill="1" applyBorder="1" applyAlignment="1">
      <alignment horizontal="center" vertical="center" shrinkToFit="1"/>
    </xf>
    <xf numFmtId="0" fontId="63" fillId="11" borderId="83" xfId="17" applyFont="1" applyFill="1" applyBorder="1" applyAlignment="1">
      <alignment horizontal="center" vertical="center" shrinkToFit="1"/>
    </xf>
    <xf numFmtId="0" fontId="63" fillId="11" borderId="87" xfId="17" applyFont="1" applyFill="1" applyBorder="1" applyAlignment="1">
      <alignment horizontal="center" vertical="center" shrinkToFit="1"/>
    </xf>
    <xf numFmtId="0" fontId="63" fillId="11" borderId="88" xfId="17" applyFont="1" applyFill="1" applyBorder="1" applyAlignment="1">
      <alignment horizontal="center" vertical="center" shrinkToFit="1"/>
    </xf>
    <xf numFmtId="0" fontId="63" fillId="11" borderId="77" xfId="17" applyFont="1" applyFill="1" applyBorder="1" applyAlignment="1">
      <alignment horizontal="center" vertical="center"/>
    </xf>
    <xf numFmtId="0" fontId="63" fillId="11" borderId="84" xfId="17" applyFont="1" applyFill="1" applyBorder="1" applyAlignment="1">
      <alignment horizontal="center" vertical="center"/>
    </xf>
    <xf numFmtId="0" fontId="65" fillId="11" borderId="102" xfId="17" applyFont="1" applyFill="1" applyBorder="1" applyAlignment="1">
      <alignment horizontal="center" vertical="center"/>
    </xf>
    <xf numFmtId="0" fontId="65" fillId="11" borderId="103" xfId="17" applyFont="1" applyFill="1" applyBorder="1" applyAlignment="1">
      <alignment horizontal="center" vertical="center"/>
    </xf>
    <xf numFmtId="0" fontId="65" fillId="11" borderId="104" xfId="17" applyFont="1" applyFill="1" applyBorder="1" applyAlignment="1">
      <alignment horizontal="center" vertical="center"/>
    </xf>
    <xf numFmtId="0" fontId="65" fillId="11" borderId="3" xfId="17" applyFont="1" applyFill="1" applyBorder="1" applyAlignment="1">
      <alignment horizontal="center" vertical="center"/>
    </xf>
    <xf numFmtId="0" fontId="65" fillId="11" borderId="106" xfId="17" applyFont="1" applyFill="1" applyBorder="1" applyAlignment="1">
      <alignment horizontal="center" vertical="center"/>
    </xf>
    <xf numFmtId="0" fontId="65" fillId="11" borderId="53" xfId="17" applyFont="1" applyFill="1" applyBorder="1" applyAlignment="1">
      <alignment horizontal="center" vertical="center"/>
    </xf>
    <xf numFmtId="0" fontId="65" fillId="11" borderId="21" xfId="17" applyFont="1" applyFill="1" applyBorder="1" applyAlignment="1">
      <alignment horizontal="center" vertical="center"/>
    </xf>
    <xf numFmtId="0" fontId="65" fillId="11" borderId="41" xfId="17" applyFont="1" applyFill="1" applyBorder="1" applyAlignment="1">
      <alignment horizontal="center" vertical="center"/>
    </xf>
    <xf numFmtId="0" fontId="65" fillId="11" borderId="91" xfId="17" applyFont="1" applyFill="1" applyBorder="1" applyAlignment="1">
      <alignment horizontal="center" vertical="center"/>
    </xf>
    <xf numFmtId="0" fontId="65" fillId="11" borderId="100" xfId="17" applyFont="1" applyFill="1" applyBorder="1" applyAlignment="1">
      <alignment horizontal="center" vertical="center"/>
    </xf>
    <xf numFmtId="0" fontId="65" fillId="11" borderId="0" xfId="17" applyFont="1" applyFill="1" applyBorder="1" applyAlignment="1">
      <alignment horizontal="center" vertical="center"/>
    </xf>
    <xf numFmtId="0" fontId="65" fillId="11" borderId="86" xfId="17" applyFont="1" applyFill="1" applyBorder="1" applyAlignment="1">
      <alignment horizontal="center" vertical="center"/>
    </xf>
    <xf numFmtId="0" fontId="65" fillId="11" borderId="23" xfId="17" applyFont="1" applyFill="1" applyBorder="1" applyAlignment="1">
      <alignment horizontal="center" vertical="center"/>
    </xf>
    <xf numFmtId="0" fontId="65" fillId="11" borderId="73" xfId="17" applyFont="1" applyFill="1" applyBorder="1" applyAlignment="1">
      <alignment horizontal="center" vertical="center"/>
    </xf>
    <xf numFmtId="0" fontId="65" fillId="11" borderId="98" xfId="17" applyFont="1" applyFill="1" applyBorder="1" applyAlignment="1">
      <alignment horizontal="center" vertical="center"/>
    </xf>
    <xf numFmtId="0" fontId="65" fillId="11" borderId="95" xfId="17" applyFont="1" applyFill="1" applyBorder="1" applyAlignment="1">
      <alignment horizontal="center" vertical="center"/>
    </xf>
    <xf numFmtId="0" fontId="65" fillId="11" borderId="22" xfId="17" applyFont="1" applyFill="1" applyBorder="1" applyAlignment="1">
      <alignment horizontal="center" vertical="center"/>
    </xf>
    <xf numFmtId="0" fontId="65" fillId="11" borderId="84" xfId="17" applyFont="1" applyFill="1" applyBorder="1" applyAlignment="1">
      <alignment horizontal="center" vertical="center"/>
    </xf>
    <xf numFmtId="0" fontId="65" fillId="11" borderId="99" xfId="17" applyFont="1" applyFill="1" applyBorder="1" applyAlignment="1">
      <alignment horizontal="center" vertical="center"/>
    </xf>
    <xf numFmtId="0" fontId="65" fillId="11" borderId="101" xfId="17" applyFont="1" applyFill="1" applyBorder="1" applyAlignment="1">
      <alignment horizontal="center" vertical="center"/>
    </xf>
    <xf numFmtId="0" fontId="65" fillId="11" borderId="24" xfId="17" applyFont="1" applyFill="1" applyBorder="1" applyAlignment="1">
      <alignment horizontal="center" vertical="center"/>
    </xf>
    <xf numFmtId="0" fontId="1" fillId="12" borderId="95" xfId="17" applyFont="1" applyFill="1" applyBorder="1" applyAlignment="1">
      <alignment horizontal="center" vertical="center"/>
    </xf>
    <xf numFmtId="0" fontId="1" fillId="12" borderId="41" xfId="17" applyFont="1" applyFill="1" applyBorder="1" applyAlignment="1">
      <alignment horizontal="center" vertical="center"/>
    </xf>
    <xf numFmtId="0" fontId="1" fillId="12" borderId="84" xfId="17" applyFont="1" applyFill="1" applyBorder="1" applyAlignment="1">
      <alignment horizontal="center" vertical="center"/>
    </xf>
    <xf numFmtId="0" fontId="1" fillId="12" borderId="0" xfId="17" applyFont="1" applyFill="1" applyBorder="1" applyAlignment="1">
      <alignment horizontal="center" vertical="center"/>
    </xf>
    <xf numFmtId="0" fontId="1" fillId="12" borderId="101" xfId="17" applyFont="1" applyFill="1" applyBorder="1" applyAlignment="1">
      <alignment horizontal="center" vertical="center"/>
    </xf>
    <xf numFmtId="0" fontId="1" fillId="12" borderId="73" xfId="17" applyFont="1" applyFill="1" applyBorder="1" applyAlignment="1">
      <alignment horizontal="center" vertical="center"/>
    </xf>
    <xf numFmtId="0" fontId="1" fillId="12" borderId="89" xfId="17" applyFont="1" applyFill="1" applyBorder="1" applyAlignment="1">
      <alignment horizontal="center" vertical="center"/>
    </xf>
    <xf numFmtId="0" fontId="1" fillId="12" borderId="90" xfId="17" applyFont="1" applyFill="1" applyBorder="1" applyAlignment="1">
      <alignment horizontal="center" vertical="center"/>
    </xf>
    <xf numFmtId="0" fontId="1" fillId="12" borderId="96" xfId="17" applyFont="1" applyFill="1" applyBorder="1" applyAlignment="1">
      <alignment horizontal="center" vertical="center"/>
    </xf>
    <xf numFmtId="0" fontId="1" fillId="12" borderId="97" xfId="17" applyFont="1" applyFill="1" applyBorder="1" applyAlignment="1">
      <alignment horizontal="center" vertical="center"/>
    </xf>
    <xf numFmtId="189" fontId="69" fillId="0" borderId="89" xfId="17" applyNumberFormat="1" applyFont="1" applyBorder="1" applyAlignment="1">
      <alignment horizontal="center" vertical="center"/>
    </xf>
    <xf numFmtId="189" fontId="69" fillId="0" borderId="41" xfId="17" applyNumberFormat="1" applyFont="1" applyBorder="1" applyAlignment="1">
      <alignment horizontal="center" vertical="center"/>
    </xf>
    <xf numFmtId="189" fontId="69" fillId="0" borderId="22" xfId="17" applyNumberFormat="1" applyFont="1" applyBorder="1" applyAlignment="1">
      <alignment horizontal="center" vertical="center"/>
    </xf>
    <xf numFmtId="189" fontId="69" fillId="0" borderId="96" xfId="17" applyNumberFormat="1" applyFont="1" applyBorder="1" applyAlignment="1">
      <alignment horizontal="center" vertical="center"/>
    </xf>
    <xf numFmtId="189" fontId="69" fillId="0" borderId="73" xfId="17" applyNumberFormat="1" applyFont="1" applyBorder="1" applyAlignment="1">
      <alignment horizontal="center" vertical="center"/>
    </xf>
    <xf numFmtId="189" fontId="69" fillId="0" borderId="24" xfId="17" applyNumberFormat="1" applyFont="1" applyBorder="1" applyAlignment="1">
      <alignment horizontal="center" vertical="center"/>
    </xf>
    <xf numFmtId="189" fontId="69" fillId="0" borderId="21" xfId="17" applyNumberFormat="1" applyFont="1" applyBorder="1" applyAlignment="1">
      <alignment horizontal="center" vertical="center"/>
    </xf>
    <xf numFmtId="189" fontId="69" fillId="0" borderId="90" xfId="17" applyNumberFormat="1" applyFont="1" applyBorder="1" applyAlignment="1">
      <alignment horizontal="center" vertical="center"/>
    </xf>
    <xf numFmtId="189" fontId="69" fillId="0" borderId="23" xfId="17" applyNumberFormat="1" applyFont="1" applyBorder="1" applyAlignment="1">
      <alignment horizontal="center" vertical="center"/>
    </xf>
    <xf numFmtId="189" fontId="69" fillId="0" borderId="97" xfId="17" applyNumberFormat="1" applyFont="1" applyBorder="1" applyAlignment="1">
      <alignment horizontal="center" vertical="center"/>
    </xf>
    <xf numFmtId="0" fontId="65" fillId="11" borderId="93" xfId="17" applyFont="1" applyFill="1" applyBorder="1" applyAlignment="1">
      <alignment horizontal="center" vertical="center" wrapText="1"/>
    </xf>
    <xf numFmtId="0" fontId="65" fillId="11" borderId="94" xfId="17" applyFont="1" applyFill="1" applyBorder="1" applyAlignment="1">
      <alignment horizontal="center" vertical="center" wrapText="1"/>
    </xf>
    <xf numFmtId="0" fontId="65" fillId="11" borderId="87" xfId="17" applyFont="1" applyFill="1" applyBorder="1" applyAlignment="1">
      <alignment horizontal="center" vertical="center" wrapText="1"/>
    </xf>
    <xf numFmtId="0" fontId="65" fillId="11" borderId="88" xfId="17" applyFont="1" applyFill="1" applyBorder="1" applyAlignment="1">
      <alignment horizontal="center" vertical="center" wrapText="1"/>
    </xf>
    <xf numFmtId="0" fontId="65" fillId="11" borderId="65" xfId="17" applyFont="1" applyFill="1" applyBorder="1" applyAlignment="1">
      <alignment horizontal="center" vertical="center" wrapText="1"/>
    </xf>
    <xf numFmtId="0" fontId="65" fillId="11" borderId="105" xfId="17" applyFont="1" applyFill="1" applyBorder="1" applyAlignment="1">
      <alignment horizontal="center" vertical="center" wrapText="1"/>
    </xf>
    <xf numFmtId="0" fontId="65" fillId="11" borderId="58" xfId="17" applyFont="1" applyFill="1" applyBorder="1" applyAlignment="1">
      <alignment horizontal="center" vertical="center"/>
    </xf>
    <xf numFmtId="0" fontId="65" fillId="11" borderId="85" xfId="17" applyFont="1" applyFill="1" applyBorder="1" applyAlignment="1">
      <alignment horizontal="center" vertical="center"/>
    </xf>
    <xf numFmtId="0" fontId="1" fillId="11" borderId="89" xfId="17" applyFont="1" applyFill="1" applyBorder="1" applyAlignment="1">
      <alignment horizontal="center" vertical="center"/>
    </xf>
    <xf numFmtId="0" fontId="1" fillId="11" borderId="41" xfId="17" applyFont="1" applyFill="1" applyBorder="1" applyAlignment="1">
      <alignment horizontal="center" vertical="center"/>
    </xf>
    <xf numFmtId="0" fontId="1" fillId="11" borderId="90" xfId="17" applyFont="1" applyFill="1" applyBorder="1" applyAlignment="1">
      <alignment horizontal="center" vertical="center"/>
    </xf>
    <xf numFmtId="0" fontId="1" fillId="11" borderId="96" xfId="17" applyFont="1" applyFill="1" applyBorder="1" applyAlignment="1">
      <alignment horizontal="center" vertical="center"/>
    </xf>
    <xf numFmtId="0" fontId="1" fillId="11" borderId="73" xfId="17" applyFont="1" applyFill="1" applyBorder="1" applyAlignment="1">
      <alignment horizontal="center" vertical="center"/>
    </xf>
    <xf numFmtId="0" fontId="1" fillId="11" borderId="97" xfId="17" applyFont="1" applyFill="1" applyBorder="1" applyAlignment="1">
      <alignment horizontal="center" vertical="center"/>
    </xf>
    <xf numFmtId="189" fontId="69" fillId="0" borderId="91" xfId="17" applyNumberFormat="1" applyFont="1" applyBorder="1" applyAlignment="1">
      <alignment horizontal="center" vertical="center"/>
    </xf>
    <xf numFmtId="189" fontId="69" fillId="0" borderId="98" xfId="17" applyNumberFormat="1" applyFont="1" applyBorder="1" applyAlignment="1">
      <alignment horizontal="center" vertical="center"/>
    </xf>
    <xf numFmtId="0" fontId="1" fillId="12" borderId="123" xfId="17" applyFont="1" applyFill="1" applyBorder="1" applyAlignment="1">
      <alignment horizontal="center" vertical="center"/>
    </xf>
    <xf numFmtId="0" fontId="1" fillId="12" borderId="1" xfId="17" applyFont="1" applyFill="1" applyBorder="1" applyAlignment="1">
      <alignment horizontal="center" vertical="center"/>
    </xf>
    <xf numFmtId="0" fontId="1" fillId="0" borderId="21" xfId="17" applyFont="1" applyBorder="1" applyAlignment="1">
      <alignment horizontal="center" vertical="center"/>
    </xf>
    <xf numFmtId="0" fontId="1" fillId="0" borderId="41" xfId="17" applyFont="1" applyBorder="1" applyAlignment="1">
      <alignment horizontal="center" vertical="center"/>
    </xf>
    <xf numFmtId="0" fontId="1" fillId="0" borderId="91" xfId="17" applyFont="1" applyBorder="1" applyAlignment="1">
      <alignment horizontal="center" vertical="center"/>
    </xf>
    <xf numFmtId="0" fontId="1" fillId="0" borderId="100" xfId="17" applyFont="1" applyBorder="1" applyAlignment="1">
      <alignment horizontal="center" vertical="center"/>
    </xf>
    <xf numFmtId="0" fontId="1" fillId="0" borderId="0" xfId="17" applyFont="1" applyBorder="1" applyAlignment="1">
      <alignment horizontal="center" vertical="center"/>
    </xf>
    <xf numFmtId="0" fontId="1" fillId="0" borderId="86" xfId="17" applyFont="1" applyBorder="1" applyAlignment="1">
      <alignment horizontal="center" vertical="center"/>
    </xf>
    <xf numFmtId="0" fontId="1" fillId="0" borderId="23" xfId="17" applyFont="1" applyBorder="1" applyAlignment="1">
      <alignment horizontal="center" vertical="center"/>
    </xf>
    <xf numFmtId="0" fontId="1" fillId="0" borderId="73" xfId="17" applyFont="1" applyBorder="1" applyAlignment="1">
      <alignment horizontal="center" vertical="center"/>
    </xf>
    <xf numFmtId="0" fontId="1" fillId="0" borderId="98" xfId="17" applyFont="1" applyBorder="1" applyAlignment="1">
      <alignment horizontal="center" vertical="center"/>
    </xf>
    <xf numFmtId="0" fontId="1" fillId="0" borderId="103" xfId="17" applyFont="1" applyBorder="1" applyAlignment="1">
      <alignment horizontal="center" vertical="center"/>
    </xf>
    <xf numFmtId="0" fontId="1" fillId="0" borderId="3" xfId="17" applyFont="1" applyBorder="1" applyAlignment="1">
      <alignment horizontal="center" vertical="center"/>
    </xf>
    <xf numFmtId="0" fontId="1" fillId="0" borderId="53" xfId="17" applyFont="1" applyBorder="1" applyAlignment="1">
      <alignment horizontal="center" vertical="center"/>
    </xf>
    <xf numFmtId="0" fontId="1" fillId="0" borderId="22" xfId="17" applyFont="1" applyBorder="1" applyAlignment="1">
      <alignment horizontal="center" vertical="center"/>
    </xf>
    <xf numFmtId="0" fontId="1" fillId="0" borderId="99" xfId="17" applyFont="1" applyBorder="1" applyAlignment="1">
      <alignment horizontal="center" vertical="center"/>
    </xf>
    <xf numFmtId="0" fontId="1" fillId="0" borderId="24" xfId="17" applyFont="1" applyBorder="1" applyAlignment="1">
      <alignment horizontal="center" vertical="center"/>
    </xf>
    <xf numFmtId="0" fontId="66" fillId="0" borderId="95" xfId="17" applyFont="1" applyBorder="1" applyAlignment="1">
      <alignment horizontal="center" vertical="center"/>
    </xf>
    <xf numFmtId="0" fontId="66" fillId="0" borderId="41" xfId="17" applyFont="1" applyBorder="1" applyAlignment="1">
      <alignment horizontal="center" vertical="center"/>
    </xf>
    <xf numFmtId="0" fontId="66" fillId="0" borderId="22" xfId="17" applyFont="1" applyBorder="1" applyAlignment="1">
      <alignment horizontal="center" vertical="center"/>
    </xf>
    <xf numFmtId="0" fontId="66" fillId="0" borderId="84" xfId="17" applyFont="1" applyBorder="1" applyAlignment="1">
      <alignment horizontal="center" vertical="center"/>
    </xf>
    <xf numFmtId="0" fontId="66" fillId="0" borderId="0" xfId="17" applyFont="1" applyBorder="1" applyAlignment="1">
      <alignment horizontal="center" vertical="center"/>
    </xf>
    <xf numFmtId="0" fontId="66" fillId="0" borderId="99" xfId="17" applyFont="1" applyBorder="1" applyAlignment="1">
      <alignment horizontal="center" vertical="center"/>
    </xf>
    <xf numFmtId="0" fontId="66" fillId="0" borderId="101" xfId="17" applyFont="1" applyBorder="1" applyAlignment="1">
      <alignment horizontal="center" vertical="center"/>
    </xf>
    <xf numFmtId="0" fontId="66" fillId="0" borderId="73" xfId="17" applyFont="1" applyBorder="1" applyAlignment="1">
      <alignment horizontal="center" vertical="center"/>
    </xf>
    <xf numFmtId="0" fontId="66" fillId="0" borderId="24" xfId="17" applyFont="1" applyBorder="1" applyAlignment="1">
      <alignment horizontal="center" vertical="center"/>
    </xf>
    <xf numFmtId="189" fontId="69" fillId="0" borderId="6" xfId="17" applyNumberFormat="1" applyFont="1" applyBorder="1" applyAlignment="1">
      <alignment horizontal="center" vertical="center"/>
    </xf>
    <xf numFmtId="189" fontId="69" fillId="0" borderId="1" xfId="17" applyNumberFormat="1" applyFont="1" applyBorder="1" applyAlignment="1">
      <alignment horizontal="center" vertical="center"/>
    </xf>
    <xf numFmtId="189" fontId="69" fillId="0" borderId="10" xfId="17" applyNumberFormat="1" applyFont="1" applyBorder="1" applyAlignment="1">
      <alignment horizontal="center" vertical="center"/>
    </xf>
    <xf numFmtId="189" fontId="1" fillId="0" borderId="41" xfId="17" applyNumberFormat="1" applyFont="1" applyBorder="1" applyAlignment="1">
      <alignment horizontal="center" vertical="center"/>
    </xf>
    <xf numFmtId="189" fontId="1" fillId="0" borderId="91" xfId="17" applyNumberFormat="1" applyFont="1" applyBorder="1" applyAlignment="1">
      <alignment horizontal="center" vertical="center"/>
    </xf>
    <xf numFmtId="189" fontId="1" fillId="0" borderId="0" xfId="17" applyNumberFormat="1" applyFont="1" applyBorder="1" applyAlignment="1">
      <alignment horizontal="center" vertical="center"/>
    </xf>
    <xf numFmtId="189" fontId="1" fillId="0" borderId="86" xfId="17" applyNumberFormat="1" applyFont="1" applyBorder="1" applyAlignment="1">
      <alignment horizontal="center" vertical="center"/>
    </xf>
    <xf numFmtId="0" fontId="69" fillId="0" borderId="1" xfId="17" applyFont="1" applyBorder="1" applyAlignment="1">
      <alignment horizontal="center" vertical="center"/>
    </xf>
    <xf numFmtId="0" fontId="69" fillId="0" borderId="107" xfId="17" applyFont="1" applyBorder="1" applyAlignment="1">
      <alignment horizontal="center" vertical="center"/>
    </xf>
    <xf numFmtId="0" fontId="1" fillId="12" borderId="95" xfId="17" applyFont="1" applyFill="1" applyBorder="1" applyAlignment="1">
      <alignment horizontal="center" vertical="center" wrapText="1"/>
    </xf>
    <xf numFmtId="0" fontId="1" fillId="12" borderId="41" xfId="17" applyFont="1" applyFill="1" applyBorder="1" applyAlignment="1">
      <alignment horizontal="center" vertical="center" wrapText="1"/>
    </xf>
    <xf numFmtId="0" fontId="1" fillId="12" borderId="84" xfId="17" applyFont="1" applyFill="1" applyBorder="1" applyAlignment="1">
      <alignment horizontal="center" vertical="center" wrapText="1"/>
    </xf>
    <xf numFmtId="0" fontId="1" fillId="12" borderId="0" xfId="17" applyFont="1" applyFill="1" applyBorder="1" applyAlignment="1">
      <alignment horizontal="center" vertical="center" wrapText="1"/>
    </xf>
    <xf numFmtId="0" fontId="1" fillId="12" borderId="101" xfId="17" applyFont="1" applyFill="1" applyBorder="1" applyAlignment="1">
      <alignment horizontal="center" vertical="center" wrapText="1"/>
    </xf>
    <xf numFmtId="0" fontId="1" fillId="12" borderId="73" xfId="17" applyFont="1" applyFill="1" applyBorder="1" applyAlignment="1">
      <alignment horizontal="center" vertical="center" wrapText="1"/>
    </xf>
    <xf numFmtId="0" fontId="69" fillId="12" borderId="1" xfId="17" applyFont="1" applyFill="1" applyBorder="1" applyAlignment="1">
      <alignment horizontal="center" vertical="center"/>
    </xf>
    <xf numFmtId="2" fontId="69" fillId="0" borderId="1" xfId="17" applyNumberFormat="1" applyFont="1" applyBorder="1" applyAlignment="1">
      <alignment horizontal="center" vertical="center"/>
    </xf>
    <xf numFmtId="2" fontId="1" fillId="0" borderId="1" xfId="17" applyNumberFormat="1" applyFont="1" applyBorder="1" applyAlignment="1">
      <alignment horizontal="center" vertical="center"/>
    </xf>
    <xf numFmtId="2" fontId="1" fillId="0" borderId="107" xfId="17" applyNumberFormat="1" applyFont="1" applyBorder="1" applyAlignment="1">
      <alignment horizontal="center" vertical="center"/>
    </xf>
    <xf numFmtId="0" fontId="66" fillId="12" borderId="95" xfId="17" applyFont="1" applyFill="1" applyBorder="1" applyAlignment="1">
      <alignment horizontal="center" vertical="center" wrapText="1"/>
    </xf>
    <xf numFmtId="0" fontId="66" fillId="12" borderId="41" xfId="17" applyFont="1" applyFill="1" applyBorder="1" applyAlignment="1">
      <alignment horizontal="center" vertical="center" wrapText="1"/>
    </xf>
    <xf numFmtId="0" fontId="66" fillId="12" borderId="22" xfId="17" applyFont="1" applyFill="1" applyBorder="1" applyAlignment="1">
      <alignment horizontal="center" vertical="center" wrapText="1"/>
    </xf>
    <xf numFmtId="0" fontId="66" fillId="12" borderId="84" xfId="17" applyFont="1" applyFill="1" applyBorder="1" applyAlignment="1">
      <alignment horizontal="center" vertical="center" wrapText="1"/>
    </xf>
    <xf numFmtId="0" fontId="66" fillId="12" borderId="0" xfId="17" applyFont="1" applyFill="1" applyBorder="1" applyAlignment="1">
      <alignment horizontal="center" vertical="center" wrapText="1"/>
    </xf>
    <xf numFmtId="0" fontId="66" fillId="12" borderId="99" xfId="17" applyFont="1" applyFill="1" applyBorder="1" applyAlignment="1">
      <alignment horizontal="center" vertical="center" wrapText="1"/>
    </xf>
    <xf numFmtId="0" fontId="66" fillId="12" borderId="101" xfId="17" applyFont="1" applyFill="1" applyBorder="1" applyAlignment="1">
      <alignment horizontal="center" vertical="center" wrapText="1"/>
    </xf>
    <xf numFmtId="0" fontId="66" fillId="12" borderId="73" xfId="17" applyFont="1" applyFill="1" applyBorder="1" applyAlignment="1">
      <alignment horizontal="center" vertical="center" wrapText="1"/>
    </xf>
    <xf numFmtId="0" fontId="66" fillId="12" borderId="24" xfId="17" applyFont="1" applyFill="1" applyBorder="1" applyAlignment="1">
      <alignment horizontal="center" vertical="center" wrapText="1"/>
    </xf>
    <xf numFmtId="0" fontId="65" fillId="12" borderId="95" xfId="17" applyFont="1" applyFill="1" applyBorder="1" applyAlignment="1">
      <alignment horizontal="center" vertical="center" wrapText="1"/>
    </xf>
    <xf numFmtId="0" fontId="65" fillId="12" borderId="41" xfId="17" applyFont="1" applyFill="1" applyBorder="1" applyAlignment="1">
      <alignment horizontal="center" vertical="center" wrapText="1"/>
    </xf>
    <xf numFmtId="0" fontId="65" fillId="12" borderId="22" xfId="17" applyFont="1" applyFill="1" applyBorder="1" applyAlignment="1">
      <alignment horizontal="center" vertical="center" wrapText="1"/>
    </xf>
    <xf numFmtId="0" fontId="65" fillId="12" borderId="84" xfId="17" applyFont="1" applyFill="1" applyBorder="1" applyAlignment="1">
      <alignment horizontal="center" vertical="center" wrapText="1"/>
    </xf>
    <xf numFmtId="0" fontId="65" fillId="12" borderId="0" xfId="17" applyFont="1" applyFill="1" applyBorder="1" applyAlignment="1">
      <alignment horizontal="center" vertical="center" wrapText="1"/>
    </xf>
    <xf numFmtId="0" fontId="65" fillId="12" borderId="99" xfId="17" applyFont="1" applyFill="1" applyBorder="1" applyAlignment="1">
      <alignment horizontal="center" vertical="center" wrapText="1"/>
    </xf>
    <xf numFmtId="0" fontId="65" fillId="12" borderId="101" xfId="17" applyFont="1" applyFill="1" applyBorder="1" applyAlignment="1">
      <alignment horizontal="center" vertical="center" wrapText="1"/>
    </xf>
    <xf numFmtId="0" fontId="65" fillId="12" borderId="73" xfId="17" applyFont="1" applyFill="1" applyBorder="1" applyAlignment="1">
      <alignment horizontal="center" vertical="center" wrapText="1"/>
    </xf>
    <xf numFmtId="0" fontId="65" fillId="12" borderId="24" xfId="17" applyFont="1" applyFill="1" applyBorder="1" applyAlignment="1">
      <alignment horizontal="center" vertical="center" wrapText="1"/>
    </xf>
    <xf numFmtId="2" fontId="1" fillId="0" borderId="1" xfId="17" applyNumberFormat="1" applyBorder="1" applyAlignment="1">
      <alignment horizontal="center" vertical="center"/>
    </xf>
    <xf numFmtId="2" fontId="1" fillId="0" borderId="107" xfId="17" applyNumberFormat="1" applyBorder="1" applyAlignment="1">
      <alignment horizontal="center" vertical="center"/>
    </xf>
    <xf numFmtId="2" fontId="69" fillId="0" borderId="21" xfId="17" applyNumberFormat="1" applyFont="1" applyBorder="1" applyAlignment="1">
      <alignment horizontal="center" vertical="center"/>
    </xf>
    <xf numFmtId="2" fontId="69" fillId="0" borderId="41" xfId="17" applyNumberFormat="1" applyFont="1" applyBorder="1" applyAlignment="1">
      <alignment horizontal="center" vertical="center"/>
    </xf>
    <xf numFmtId="2" fontId="69" fillId="0" borderId="22" xfId="17" applyNumberFormat="1" applyFont="1" applyBorder="1" applyAlignment="1">
      <alignment horizontal="center" vertical="center"/>
    </xf>
    <xf numFmtId="2" fontId="69" fillId="0" borderId="23" xfId="17" applyNumberFormat="1" applyFont="1" applyBorder="1" applyAlignment="1">
      <alignment horizontal="center" vertical="center"/>
    </xf>
    <xf numFmtId="2" fontId="69" fillId="0" borderId="73" xfId="17" applyNumberFormat="1" applyFont="1" applyBorder="1" applyAlignment="1">
      <alignment horizontal="center" vertical="center"/>
    </xf>
    <xf numFmtId="2" fontId="69" fillId="0" borderId="24" xfId="17" applyNumberFormat="1" applyFont="1" applyBorder="1" applyAlignment="1">
      <alignment horizontal="center" vertical="center"/>
    </xf>
    <xf numFmtId="3" fontId="69" fillId="0" borderId="1" xfId="17" applyNumberFormat="1" applyFont="1" applyBorder="1" applyAlignment="1">
      <alignment horizontal="center" vertical="center"/>
    </xf>
    <xf numFmtId="3" fontId="69" fillId="0" borderId="107" xfId="17" applyNumberFormat="1" applyFont="1" applyBorder="1" applyAlignment="1">
      <alignment horizontal="center" vertical="center"/>
    </xf>
    <xf numFmtId="3" fontId="69" fillId="0" borderId="21" xfId="17" applyNumberFormat="1" applyFont="1" applyBorder="1" applyAlignment="1">
      <alignment horizontal="center" vertical="center"/>
    </xf>
    <xf numFmtId="3" fontId="69" fillId="0" borderId="41" xfId="17" applyNumberFormat="1" applyFont="1" applyBorder="1" applyAlignment="1">
      <alignment horizontal="center" vertical="center"/>
    </xf>
    <xf numFmtId="3" fontId="69" fillId="0" borderId="91" xfId="17" applyNumberFormat="1" applyFont="1" applyBorder="1" applyAlignment="1">
      <alignment horizontal="center" vertical="center"/>
    </xf>
    <xf numFmtId="3" fontId="69" fillId="0" borderId="23" xfId="17" applyNumberFormat="1" applyFont="1" applyBorder="1" applyAlignment="1">
      <alignment horizontal="center" vertical="center"/>
    </xf>
    <xf numFmtId="3" fontId="69" fillId="0" borderId="73" xfId="17" applyNumberFormat="1" applyFont="1" applyBorder="1" applyAlignment="1">
      <alignment horizontal="center" vertical="center"/>
    </xf>
    <xf numFmtId="3" fontId="69" fillId="0" borderId="98" xfId="17" applyNumberFormat="1" applyFont="1" applyBorder="1" applyAlignment="1">
      <alignment horizontal="center" vertical="center"/>
    </xf>
    <xf numFmtId="0" fontId="1" fillId="12" borderId="1" xfId="17" applyFill="1" applyBorder="1" applyAlignment="1">
      <alignment horizontal="center" vertical="center" wrapText="1"/>
    </xf>
    <xf numFmtId="0" fontId="1" fillId="12" borderId="95" xfId="17" applyFill="1" applyBorder="1" applyAlignment="1">
      <alignment horizontal="center" vertical="center" wrapText="1"/>
    </xf>
    <xf numFmtId="0" fontId="1" fillId="12" borderId="41" xfId="17" applyFill="1" applyBorder="1" applyAlignment="1">
      <alignment horizontal="center" vertical="center" wrapText="1"/>
    </xf>
    <xf numFmtId="0" fontId="1" fillId="12" borderId="84" xfId="17" applyFill="1" applyBorder="1" applyAlignment="1">
      <alignment horizontal="center" vertical="center" wrapText="1"/>
    </xf>
    <xf numFmtId="0" fontId="1" fillId="12" borderId="0" xfId="17" applyFill="1" applyBorder="1" applyAlignment="1">
      <alignment horizontal="center" vertical="center" wrapText="1"/>
    </xf>
    <xf numFmtId="0" fontId="1" fillId="12" borderId="101" xfId="17" applyFill="1" applyBorder="1" applyAlignment="1">
      <alignment horizontal="center" vertical="center" wrapText="1"/>
    </xf>
    <xf numFmtId="0" fontId="1" fillId="12" borderId="73" xfId="17" applyFill="1" applyBorder="1" applyAlignment="1">
      <alignment horizontal="center" vertical="center" wrapText="1"/>
    </xf>
    <xf numFmtId="0" fontId="1" fillId="12" borderId="1" xfId="17" applyFill="1" applyBorder="1" applyAlignment="1">
      <alignment horizontal="center" vertical="center"/>
    </xf>
    <xf numFmtId="0" fontId="1" fillId="12" borderId="21" xfId="17" applyFont="1" applyFill="1" applyBorder="1" applyAlignment="1">
      <alignment horizontal="center" vertical="center" wrapText="1"/>
    </xf>
    <xf numFmtId="0" fontId="1" fillId="12" borderId="22" xfId="17" applyFont="1" applyFill="1" applyBorder="1" applyAlignment="1">
      <alignment horizontal="center" vertical="center" wrapText="1"/>
    </xf>
    <xf numFmtId="0" fontId="1" fillId="12" borderId="100" xfId="17" applyFont="1" applyFill="1" applyBorder="1" applyAlignment="1">
      <alignment horizontal="center" vertical="center" wrapText="1"/>
    </xf>
    <xf numFmtId="0" fontId="1" fillId="12" borderId="99" xfId="17" applyFont="1" applyFill="1" applyBorder="1" applyAlignment="1">
      <alignment horizontal="center" vertical="center" wrapText="1"/>
    </xf>
    <xf numFmtId="0" fontId="1" fillId="12" borderId="23" xfId="17" applyFont="1" applyFill="1" applyBorder="1" applyAlignment="1">
      <alignment horizontal="center" vertical="center" wrapText="1"/>
    </xf>
    <xf numFmtId="0" fontId="1" fillId="12" borderId="24" xfId="17" applyFont="1" applyFill="1" applyBorder="1" applyAlignment="1">
      <alignment horizontal="center" vertical="center" wrapText="1"/>
    </xf>
    <xf numFmtId="0" fontId="1" fillId="12" borderId="123" xfId="17" applyFont="1" applyFill="1" applyBorder="1" applyAlignment="1">
      <alignment horizontal="center" vertical="center" shrinkToFit="1"/>
    </xf>
    <xf numFmtId="0" fontId="1" fillId="12" borderId="1" xfId="17" applyFont="1" applyFill="1" applyBorder="1" applyAlignment="1">
      <alignment horizontal="center" vertical="center" shrinkToFit="1"/>
    </xf>
    <xf numFmtId="189" fontId="1" fillId="0" borderId="41" xfId="17" applyNumberFormat="1" applyBorder="1" applyAlignment="1">
      <alignment horizontal="center" vertical="center"/>
    </xf>
    <xf numFmtId="189" fontId="1" fillId="0" borderId="91" xfId="17" applyNumberFormat="1" applyBorder="1" applyAlignment="1">
      <alignment horizontal="center" vertical="center"/>
    </xf>
    <xf numFmtId="189" fontId="1" fillId="0" borderId="0" xfId="17" applyNumberFormat="1" applyBorder="1" applyAlignment="1">
      <alignment horizontal="center" vertical="center"/>
    </xf>
    <xf numFmtId="189" fontId="1" fillId="0" borderId="86" xfId="17" applyNumberFormat="1" applyBorder="1" applyAlignment="1">
      <alignment horizontal="center" vertical="center"/>
    </xf>
    <xf numFmtId="189" fontId="1" fillId="0" borderId="73" xfId="17" applyNumberFormat="1" applyBorder="1" applyAlignment="1">
      <alignment horizontal="center" vertical="center"/>
    </xf>
    <xf numFmtId="189" fontId="1" fillId="0" borderId="98" xfId="17" applyNumberFormat="1" applyBorder="1" applyAlignment="1">
      <alignment horizontal="center" vertical="center"/>
    </xf>
    <xf numFmtId="189" fontId="1" fillId="0" borderId="73" xfId="17" applyNumberFormat="1" applyFont="1" applyBorder="1" applyAlignment="1">
      <alignment horizontal="center" vertical="center"/>
    </xf>
    <xf numFmtId="189" fontId="1" fillId="0" borderId="98" xfId="17" applyNumberFormat="1" applyFont="1" applyBorder="1" applyAlignment="1">
      <alignment horizontal="center" vertical="center"/>
    </xf>
    <xf numFmtId="2" fontId="69" fillId="0" borderId="100" xfId="17" applyNumberFormat="1" applyFont="1" applyBorder="1" applyAlignment="1">
      <alignment horizontal="center" vertical="center"/>
    </xf>
    <xf numFmtId="2" fontId="69" fillId="0" borderId="0" xfId="17" applyNumberFormat="1" applyFont="1" applyBorder="1" applyAlignment="1">
      <alignment horizontal="center" vertical="center"/>
    </xf>
    <xf numFmtId="2" fontId="69" fillId="0" borderId="99" xfId="17" applyNumberFormat="1" applyFont="1" applyBorder="1" applyAlignment="1">
      <alignment horizontal="center" vertical="center"/>
    </xf>
    <xf numFmtId="0" fontId="72" fillId="0" borderId="95" xfId="17" applyFont="1" applyFill="1" applyBorder="1" applyAlignment="1">
      <alignment horizontal="left" vertical="center"/>
    </xf>
    <xf numFmtId="0" fontId="72" fillId="0" borderId="41" xfId="17" applyFont="1" applyFill="1" applyBorder="1" applyAlignment="1">
      <alignment horizontal="left" vertical="center"/>
    </xf>
    <xf numFmtId="0" fontId="72" fillId="0" borderId="91" xfId="17" applyFont="1" applyFill="1" applyBorder="1" applyAlignment="1">
      <alignment horizontal="left" vertical="center"/>
    </xf>
    <xf numFmtId="0" fontId="72" fillId="0" borderId="84" xfId="17" applyFont="1" applyFill="1" applyBorder="1" applyAlignment="1">
      <alignment horizontal="left" vertical="center"/>
    </xf>
    <xf numFmtId="0" fontId="72" fillId="0" borderId="0" xfId="17" applyFont="1" applyFill="1" applyBorder="1" applyAlignment="1">
      <alignment horizontal="left" vertical="center"/>
    </xf>
    <xf numFmtId="0" fontId="72" fillId="0" borderId="86" xfId="17" applyFont="1" applyFill="1" applyBorder="1" applyAlignment="1">
      <alignment horizontal="left" vertical="center"/>
    </xf>
    <xf numFmtId="0" fontId="73" fillId="0" borderId="84" xfId="17" applyFont="1" applyBorder="1" applyAlignment="1">
      <alignment vertical="top"/>
    </xf>
    <xf numFmtId="0" fontId="73" fillId="0" borderId="0" xfId="17" applyFont="1" applyBorder="1" applyAlignment="1">
      <alignment vertical="top"/>
    </xf>
    <xf numFmtId="0" fontId="73" fillId="0" borderId="86" xfId="17" applyFont="1" applyBorder="1" applyAlignment="1">
      <alignment vertical="top"/>
    </xf>
    <xf numFmtId="0" fontId="65" fillId="12" borderId="21" xfId="17" applyFont="1" applyFill="1" applyBorder="1" applyAlignment="1">
      <alignment horizontal="center" vertical="center" wrapText="1"/>
    </xf>
    <xf numFmtId="0" fontId="65" fillId="12" borderId="100" xfId="17" applyFont="1" applyFill="1" applyBorder="1" applyAlignment="1">
      <alignment horizontal="center" vertical="center" wrapText="1"/>
    </xf>
    <xf numFmtId="0" fontId="65" fillId="0" borderId="84" xfId="17" quotePrefix="1" applyFont="1" applyBorder="1" applyAlignment="1">
      <alignment horizontal="left" vertical="center"/>
    </xf>
    <xf numFmtId="0" fontId="65" fillId="0" borderId="0" xfId="17" quotePrefix="1" applyFont="1" applyBorder="1" applyAlignment="1">
      <alignment horizontal="left" vertical="center"/>
    </xf>
    <xf numFmtId="0" fontId="65" fillId="0" borderId="86" xfId="17" quotePrefix="1" applyFont="1" applyBorder="1" applyAlignment="1">
      <alignment horizontal="left" vertical="center"/>
    </xf>
    <xf numFmtId="0" fontId="1" fillId="0" borderId="123" xfId="17" applyFont="1" applyBorder="1" applyAlignment="1">
      <alignment horizontal="center" vertical="center"/>
    </xf>
    <xf numFmtId="0" fontId="1" fillId="0" borderId="1" xfId="17" applyFont="1" applyBorder="1" applyAlignment="1">
      <alignment horizontal="center" vertical="center"/>
    </xf>
    <xf numFmtId="0" fontId="1" fillId="0" borderId="35" xfId="17" applyFont="1" applyBorder="1" applyAlignment="1">
      <alignment horizontal="center" vertical="center"/>
    </xf>
    <xf numFmtId="0" fontId="89" fillId="0" borderId="95" xfId="17" applyFont="1" applyFill="1" applyBorder="1" applyAlignment="1">
      <alignment horizontal="center" vertical="center"/>
    </xf>
    <xf numFmtId="0" fontId="89" fillId="0" borderId="41" xfId="17" applyFont="1" applyFill="1" applyBorder="1" applyAlignment="1">
      <alignment horizontal="center" vertical="center"/>
    </xf>
    <xf numFmtId="0" fontId="89" fillId="0" borderId="101" xfId="17" applyFont="1" applyFill="1" applyBorder="1" applyAlignment="1">
      <alignment horizontal="center" vertical="center"/>
    </xf>
    <xf numFmtId="0" fontId="89" fillId="0" borderId="73" xfId="17" applyFont="1" applyFill="1" applyBorder="1" applyAlignment="1">
      <alignment horizontal="center" vertical="center"/>
    </xf>
    <xf numFmtId="0" fontId="89" fillId="0" borderId="21" xfId="17" applyFont="1" applyFill="1" applyBorder="1" applyAlignment="1">
      <alignment horizontal="center" vertical="center"/>
    </xf>
    <xf numFmtId="0" fontId="89" fillId="0" borderId="23" xfId="17" applyFont="1" applyFill="1" applyBorder="1" applyAlignment="1">
      <alignment horizontal="center" vertical="center"/>
    </xf>
    <xf numFmtId="0" fontId="89" fillId="0" borderId="100" xfId="17" applyFont="1" applyFill="1" applyBorder="1" applyAlignment="1">
      <alignment horizontal="center" vertical="center"/>
    </xf>
    <xf numFmtId="0" fontId="89" fillId="0" borderId="0" xfId="17" applyFont="1" applyFill="1" applyBorder="1" applyAlignment="1">
      <alignment horizontal="center" vertical="center"/>
    </xf>
    <xf numFmtId="0" fontId="89" fillId="0" borderId="86" xfId="17" applyFont="1" applyFill="1" applyBorder="1" applyAlignment="1">
      <alignment horizontal="center" vertical="center"/>
    </xf>
    <xf numFmtId="0" fontId="89" fillId="0" borderId="98" xfId="17" applyFont="1" applyFill="1" applyBorder="1" applyAlignment="1">
      <alignment horizontal="center" vertical="center"/>
    </xf>
    <xf numFmtId="0" fontId="65" fillId="0" borderId="0" xfId="17" applyFont="1" applyAlignment="1">
      <alignment horizontal="center" vertical="center"/>
    </xf>
    <xf numFmtId="0" fontId="65" fillId="0" borderId="86" xfId="17" applyFont="1" applyBorder="1" applyAlignment="1">
      <alignment horizontal="center" vertical="center"/>
    </xf>
    <xf numFmtId="0" fontId="65" fillId="0" borderId="73" xfId="17" applyFont="1" applyBorder="1" applyAlignment="1">
      <alignment horizontal="center" vertical="center"/>
    </xf>
    <xf numFmtId="0" fontId="65" fillId="0" borderId="98" xfId="17" applyFont="1" applyBorder="1" applyAlignment="1">
      <alignment horizontal="center" vertical="center"/>
    </xf>
    <xf numFmtId="0" fontId="65" fillId="0" borderId="111" xfId="17" applyFont="1" applyBorder="1" applyAlignment="1">
      <alignment horizontal="left" vertical="center"/>
    </xf>
    <xf numFmtId="0" fontId="65" fillId="0" borderId="112" xfId="17" applyFont="1" applyBorder="1" applyAlignment="1">
      <alignment horizontal="left" vertical="center"/>
    </xf>
    <xf numFmtId="0" fontId="65" fillId="0" borderId="113" xfId="17" applyFont="1" applyBorder="1" applyAlignment="1">
      <alignment horizontal="left" vertical="center"/>
    </xf>
    <xf numFmtId="0" fontId="65" fillId="0" borderId="84" xfId="17" applyFont="1" applyBorder="1" applyAlignment="1">
      <alignment horizontal="left" vertical="center"/>
    </xf>
    <xf numFmtId="0" fontId="65" fillId="0" borderId="0" xfId="17" applyFont="1" applyBorder="1" applyAlignment="1">
      <alignment horizontal="left" vertical="center"/>
    </xf>
    <xf numFmtId="0" fontId="65" fillId="0" borderId="86" xfId="17" applyFont="1" applyBorder="1" applyAlignment="1">
      <alignment horizontal="left" vertical="center"/>
    </xf>
    <xf numFmtId="0" fontId="1" fillId="0" borderId="95" xfId="17" applyFont="1" applyFill="1" applyBorder="1" applyAlignment="1">
      <alignment horizontal="left" vertical="center" shrinkToFit="1"/>
    </xf>
    <xf numFmtId="0" fontId="1" fillId="0" borderId="41" xfId="17" applyFont="1" applyFill="1" applyBorder="1" applyAlignment="1">
      <alignment horizontal="left" vertical="center" shrinkToFit="1"/>
    </xf>
    <xf numFmtId="0" fontId="1" fillId="0" borderId="114" xfId="17" applyFont="1" applyFill="1" applyBorder="1" applyAlignment="1">
      <alignment horizontal="left" vertical="center" shrinkToFit="1"/>
    </xf>
    <xf numFmtId="0" fontId="1" fillId="0" borderId="115" xfId="17" applyFont="1" applyFill="1" applyBorder="1" applyAlignment="1">
      <alignment horizontal="left" vertical="center" shrinkToFit="1"/>
    </xf>
    <xf numFmtId="0" fontId="1" fillId="0" borderId="111" xfId="17" applyFont="1" applyFill="1" applyBorder="1" applyAlignment="1">
      <alignment horizontal="left" vertical="distributed" shrinkToFit="1"/>
    </xf>
    <xf numFmtId="0" fontId="1" fillId="0" borderId="112" xfId="17" applyFont="1" applyFill="1" applyBorder="1" applyAlignment="1">
      <alignment horizontal="left" vertical="distributed" shrinkToFit="1"/>
    </xf>
    <xf numFmtId="0" fontId="1" fillId="0" borderId="113" xfId="17" applyFont="1" applyFill="1" applyBorder="1" applyAlignment="1">
      <alignment horizontal="left" vertical="distributed" shrinkToFit="1"/>
    </xf>
    <xf numFmtId="0" fontId="1" fillId="0" borderId="108" xfId="17" applyFont="1" applyFill="1" applyBorder="1" applyAlignment="1">
      <alignment horizontal="left" vertical="distributed" shrinkToFit="1"/>
    </xf>
    <xf numFmtId="0" fontId="1" fillId="0" borderId="76" xfId="17" applyFont="1" applyFill="1" applyBorder="1" applyAlignment="1">
      <alignment horizontal="left" vertical="distributed" shrinkToFit="1"/>
    </xf>
    <xf numFmtId="0" fontId="1" fillId="0" borderId="109" xfId="17" applyFont="1" applyFill="1" applyBorder="1" applyAlignment="1">
      <alignment horizontal="left" vertical="distributed" shrinkToFit="1"/>
    </xf>
    <xf numFmtId="0" fontId="63" fillId="11" borderId="101" xfId="17" applyFont="1" applyFill="1" applyBorder="1" applyAlignment="1">
      <alignment horizontal="center" vertical="center"/>
    </xf>
    <xf numFmtId="0" fontId="63" fillId="11" borderId="73" xfId="17" applyFont="1" applyFill="1" applyBorder="1" applyAlignment="1">
      <alignment horizontal="center" vertical="center"/>
    </xf>
    <xf numFmtId="0" fontId="63" fillId="11" borderId="110" xfId="17" applyFont="1" applyFill="1" applyBorder="1" applyAlignment="1">
      <alignment horizontal="center" vertical="center"/>
    </xf>
    <xf numFmtId="0" fontId="63" fillId="11" borderId="100" xfId="17" applyFont="1" applyFill="1" applyBorder="1" applyAlignment="1">
      <alignment horizontal="center" vertical="center"/>
    </xf>
    <xf numFmtId="0" fontId="63" fillId="11" borderId="23" xfId="17" applyFont="1" applyFill="1" applyBorder="1" applyAlignment="1">
      <alignment horizontal="center" vertical="center"/>
    </xf>
    <xf numFmtId="0" fontId="63" fillId="11" borderId="98" xfId="17" applyFont="1" applyFill="1" applyBorder="1" applyAlignment="1">
      <alignment horizontal="center" vertical="center"/>
    </xf>
    <xf numFmtId="0" fontId="63" fillId="11" borderId="0" xfId="17" applyFont="1" applyFill="1" applyAlignment="1">
      <alignment horizontal="center" vertical="center"/>
    </xf>
    <xf numFmtId="0" fontId="73" fillId="0" borderId="84" xfId="17" applyFont="1" applyBorder="1" applyAlignment="1">
      <alignment vertical="center"/>
    </xf>
    <xf numFmtId="0" fontId="73" fillId="0" borderId="0" xfId="17" applyFont="1" applyBorder="1" applyAlignment="1">
      <alignment vertical="center"/>
    </xf>
    <xf numFmtId="0" fontId="73" fillId="0" borderId="86" xfId="17" applyFont="1" applyBorder="1" applyAlignment="1">
      <alignment vertical="center"/>
    </xf>
    <xf numFmtId="0" fontId="69" fillId="0" borderId="95" xfId="17" applyFont="1" applyBorder="1" applyAlignment="1">
      <alignment horizontal="left" vertical="center"/>
    </xf>
    <xf numFmtId="0" fontId="69" fillId="0" borderId="41" xfId="17" applyFont="1" applyBorder="1" applyAlignment="1">
      <alignment horizontal="left" vertical="center"/>
    </xf>
    <xf numFmtId="0" fontId="69" fillId="0" borderId="91" xfId="17" applyFont="1" applyBorder="1" applyAlignment="1">
      <alignment horizontal="left" vertical="center"/>
    </xf>
    <xf numFmtId="0" fontId="69" fillId="0" borderId="84" xfId="17" applyFont="1" applyBorder="1" applyAlignment="1">
      <alignment horizontal="left" vertical="center"/>
    </xf>
    <xf numFmtId="0" fontId="69" fillId="0" borderId="0" xfId="17" applyFont="1" applyBorder="1" applyAlignment="1">
      <alignment horizontal="left" vertical="center"/>
    </xf>
    <xf numFmtId="0" fontId="69" fillId="0" borderId="86" xfId="17" applyFont="1" applyBorder="1" applyAlignment="1">
      <alignment horizontal="left" vertical="center"/>
    </xf>
    <xf numFmtId="0" fontId="65" fillId="0" borderId="1" xfId="17" applyFont="1" applyBorder="1" applyAlignment="1">
      <alignment horizontal="center" vertical="center"/>
    </xf>
    <xf numFmtId="0" fontId="65" fillId="0" borderId="35" xfId="17" applyFont="1" applyBorder="1" applyAlignment="1">
      <alignment horizontal="center" vertical="center"/>
    </xf>
    <xf numFmtId="0" fontId="75" fillId="0" borderId="95" xfId="17" applyFont="1" applyFill="1" applyBorder="1" applyAlignment="1">
      <alignment horizontal="left" vertical="center"/>
    </xf>
    <xf numFmtId="0" fontId="75" fillId="0" borderId="41" xfId="17" applyFont="1" applyFill="1" applyBorder="1" applyAlignment="1">
      <alignment horizontal="left" vertical="center"/>
    </xf>
    <xf numFmtId="0" fontId="75" fillId="0" borderId="91" xfId="17" applyFont="1" applyFill="1" applyBorder="1" applyAlignment="1">
      <alignment horizontal="left" vertical="center"/>
    </xf>
    <xf numFmtId="0" fontId="75" fillId="0" borderId="84" xfId="17" applyFont="1" applyFill="1" applyBorder="1" applyAlignment="1">
      <alignment horizontal="left" vertical="center"/>
    </xf>
    <xf numFmtId="0" fontId="75" fillId="0" borderId="0" xfId="17" applyFont="1" applyFill="1" applyBorder="1" applyAlignment="1">
      <alignment horizontal="left" vertical="center"/>
    </xf>
    <xf numFmtId="0" fontId="75" fillId="0" borderId="86" xfId="17" applyFont="1" applyFill="1" applyBorder="1" applyAlignment="1">
      <alignment horizontal="left" vertical="center"/>
    </xf>
    <xf numFmtId="0" fontId="76" fillId="0" borderId="36" xfId="17" applyFont="1" applyBorder="1" applyAlignment="1">
      <alignment horizontal="left" vertical="center" wrapText="1"/>
    </xf>
    <xf numFmtId="0" fontId="76" fillId="0" borderId="1" xfId="17" applyFont="1" applyBorder="1" applyAlignment="1">
      <alignment horizontal="left" vertical="center" wrapText="1"/>
    </xf>
    <xf numFmtId="0" fontId="76" fillId="0" borderId="107" xfId="17" applyFont="1" applyBorder="1" applyAlignment="1">
      <alignment horizontal="left" vertical="center" wrapText="1"/>
    </xf>
    <xf numFmtId="0" fontId="76" fillId="0" borderId="117" xfId="17" applyFont="1" applyBorder="1" applyAlignment="1">
      <alignment horizontal="left" vertical="center" wrapText="1"/>
    </xf>
    <xf numFmtId="0" fontId="76" fillId="0" borderId="118" xfId="17" applyFont="1" applyBorder="1" applyAlignment="1">
      <alignment horizontal="left" vertical="center" wrapText="1"/>
    </xf>
    <xf numFmtId="0" fontId="76" fillId="0" borderId="119" xfId="17" applyFont="1" applyBorder="1" applyAlignment="1">
      <alignment horizontal="left" vertical="center" wrapText="1"/>
    </xf>
    <xf numFmtId="0" fontId="63" fillId="0" borderId="111" xfId="17" applyFont="1" applyBorder="1" applyAlignment="1">
      <alignment horizontal="left" vertical="center"/>
    </xf>
    <xf numFmtId="0" fontId="63" fillId="0" borderId="112" xfId="17" applyFont="1" applyBorder="1" applyAlignment="1">
      <alignment horizontal="left" vertical="center"/>
    </xf>
    <xf numFmtId="0" fontId="63" fillId="0" borderId="113" xfId="17" applyFont="1" applyBorder="1" applyAlignment="1">
      <alignment horizontal="left" vertical="center"/>
    </xf>
    <xf numFmtId="0" fontId="63" fillId="0" borderId="84" xfId="17" applyFont="1" applyBorder="1" applyAlignment="1">
      <alignment horizontal="left" vertical="center"/>
    </xf>
    <xf numFmtId="0" fontId="63" fillId="0" borderId="0" xfId="17" applyFont="1" applyBorder="1" applyAlignment="1">
      <alignment horizontal="left" vertical="center"/>
    </xf>
    <xf numFmtId="0" fontId="63" fillId="0" borderId="86" xfId="17" applyFont="1" applyBorder="1" applyAlignment="1">
      <alignment horizontal="left" vertical="center"/>
    </xf>
    <xf numFmtId="0" fontId="74" fillId="12" borderId="123" xfId="17" applyFont="1" applyFill="1" applyBorder="1" applyAlignment="1">
      <alignment horizontal="left" vertical="center"/>
    </xf>
    <xf numFmtId="0" fontId="74" fillId="12" borderId="1" xfId="17" applyFont="1" applyFill="1" applyBorder="1" applyAlignment="1">
      <alignment horizontal="left" vertical="center"/>
    </xf>
    <xf numFmtId="0" fontId="75" fillId="0" borderId="84" xfId="17" applyFont="1" applyBorder="1" applyAlignment="1">
      <alignment horizontal="left" vertical="center" shrinkToFit="1"/>
    </xf>
    <xf numFmtId="0" fontId="75" fillId="0" borderId="0" xfId="17" applyFont="1" applyBorder="1" applyAlignment="1">
      <alignment horizontal="left" vertical="center" shrinkToFit="1"/>
    </xf>
    <xf numFmtId="0" fontId="75" fillId="0" borderId="86" xfId="17" applyFont="1" applyBorder="1" applyAlignment="1">
      <alignment horizontal="left" vertical="center" shrinkToFit="1"/>
    </xf>
    <xf numFmtId="0" fontId="75" fillId="0" borderId="114" xfId="17" applyFont="1" applyBorder="1" applyAlignment="1">
      <alignment horizontal="left" vertical="center" shrinkToFit="1"/>
    </xf>
    <xf numFmtId="0" fontId="75" fillId="0" borderId="115" xfId="17" applyFont="1" applyBorder="1" applyAlignment="1">
      <alignment horizontal="left" vertical="center" shrinkToFit="1"/>
    </xf>
    <xf numFmtId="0" fontId="75" fillId="0" borderId="116" xfId="17" applyFont="1" applyBorder="1" applyAlignment="1">
      <alignment horizontal="left" vertical="center" shrinkToFit="1"/>
    </xf>
    <xf numFmtId="0" fontId="1" fillId="0" borderId="84" xfId="17" applyFont="1" applyBorder="1" applyAlignment="1">
      <alignment horizontal="left" vertical="center"/>
    </xf>
    <xf numFmtId="0" fontId="1" fillId="0" borderId="0" xfId="17" applyFont="1" applyBorder="1" applyAlignment="1">
      <alignment horizontal="left" vertical="center"/>
    </xf>
    <xf numFmtId="0" fontId="1" fillId="0" borderId="86" xfId="17" applyFont="1" applyBorder="1" applyAlignment="1">
      <alignment horizontal="left" vertical="center"/>
    </xf>
    <xf numFmtId="0" fontId="65" fillId="12" borderId="123" xfId="17" applyFont="1" applyFill="1" applyBorder="1" applyAlignment="1">
      <alignment horizontal="left" vertical="center"/>
    </xf>
    <xf numFmtId="0" fontId="65" fillId="12" borderId="1" xfId="17" applyFont="1" applyFill="1" applyBorder="1" applyAlignment="1">
      <alignment horizontal="left" vertical="center"/>
    </xf>
    <xf numFmtId="0" fontId="1" fillId="0" borderId="123" xfId="17" applyBorder="1" applyAlignment="1">
      <alignment horizontal="center" vertical="center"/>
    </xf>
    <xf numFmtId="0" fontId="1" fillId="0" borderId="1" xfId="17" applyBorder="1" applyAlignment="1">
      <alignment horizontal="center" vertical="center"/>
    </xf>
    <xf numFmtId="0" fontId="1" fillId="0" borderId="107" xfId="17" applyBorder="1" applyAlignment="1">
      <alignment horizontal="center" vertical="center"/>
    </xf>
    <xf numFmtId="0" fontId="65" fillId="0" borderId="1" xfId="17" quotePrefix="1" applyFont="1" applyBorder="1" applyAlignment="1">
      <alignment horizontal="center" vertical="center"/>
    </xf>
    <xf numFmtId="0" fontId="1" fillId="0" borderId="111" xfId="17" applyFont="1" applyBorder="1" applyAlignment="1">
      <alignment horizontal="left" vertical="center" shrinkToFit="1"/>
    </xf>
    <xf numFmtId="0" fontId="1" fillId="0" borderId="112" xfId="17" applyFont="1" applyBorder="1" applyAlignment="1">
      <alignment horizontal="left" vertical="center" shrinkToFit="1"/>
    </xf>
    <xf numFmtId="0" fontId="1" fillId="0" borderId="113" xfId="17" applyFont="1" applyBorder="1" applyAlignment="1">
      <alignment horizontal="left" vertical="center" shrinkToFit="1"/>
    </xf>
    <xf numFmtId="0" fontId="1" fillId="0" borderId="108" xfId="17" applyFont="1" applyBorder="1" applyAlignment="1">
      <alignment horizontal="left" vertical="center" shrinkToFit="1"/>
    </xf>
    <xf numFmtId="0" fontId="1" fillId="0" borderId="76" xfId="17" applyFont="1" applyBorder="1" applyAlignment="1">
      <alignment horizontal="left" vertical="center" shrinkToFit="1"/>
    </xf>
    <xf numFmtId="0" fontId="1" fillId="0" borderId="109" xfId="17" applyFont="1" applyBorder="1" applyAlignment="1">
      <alignment horizontal="left" vertical="center" shrinkToFit="1"/>
    </xf>
    <xf numFmtId="0" fontId="1" fillId="0" borderId="112" xfId="17" applyBorder="1" applyAlignment="1">
      <alignment horizontal="center" vertical="center" shrinkToFit="1"/>
    </xf>
    <xf numFmtId="0" fontId="1" fillId="0" borderId="113" xfId="17" applyBorder="1" applyAlignment="1">
      <alignment horizontal="center" vertical="center" shrinkToFit="1"/>
    </xf>
    <xf numFmtId="0" fontId="1" fillId="0" borderId="76" xfId="17" applyBorder="1" applyAlignment="1">
      <alignment horizontal="center" vertical="center" shrinkToFit="1"/>
    </xf>
    <xf numFmtId="0" fontId="1" fillId="0" borderId="109" xfId="17" applyBorder="1" applyAlignment="1">
      <alignment horizontal="center" vertical="center" shrinkToFit="1"/>
    </xf>
    <xf numFmtId="0" fontId="63" fillId="11" borderId="120" xfId="17" applyFont="1" applyFill="1" applyBorder="1" applyAlignment="1">
      <alignment horizontal="center" vertical="center"/>
    </xf>
    <xf numFmtId="0" fontId="63" fillId="11" borderId="121" xfId="17" applyFont="1" applyFill="1" applyBorder="1" applyAlignment="1">
      <alignment horizontal="center" vertical="center"/>
    </xf>
    <xf numFmtId="0" fontId="63" fillId="11" borderId="122" xfId="17" applyFont="1" applyFill="1" applyBorder="1" applyAlignment="1">
      <alignment horizontal="center" vertical="center"/>
    </xf>
    <xf numFmtId="0" fontId="63" fillId="11" borderId="123" xfId="17" applyFont="1" applyFill="1" applyBorder="1" applyAlignment="1">
      <alignment horizontal="center" vertical="center"/>
    </xf>
    <xf numFmtId="0" fontId="63" fillId="11" borderId="1" xfId="17" applyFont="1" applyFill="1" applyBorder="1" applyAlignment="1">
      <alignment horizontal="center" vertical="center"/>
    </xf>
    <xf numFmtId="0" fontId="63" fillId="11" borderId="107" xfId="17" applyFont="1" applyFill="1" applyBorder="1" applyAlignment="1">
      <alignment horizontal="center" vertical="center"/>
    </xf>
    <xf numFmtId="0" fontId="77" fillId="0" borderId="84" xfId="17" quotePrefix="1" applyFont="1" applyBorder="1" applyAlignment="1">
      <alignment horizontal="center" vertical="center"/>
    </xf>
    <xf numFmtId="0" fontId="77" fillId="0" borderId="0" xfId="17" applyFont="1" applyBorder="1" applyAlignment="1">
      <alignment horizontal="center" vertical="center"/>
    </xf>
    <xf numFmtId="0" fontId="77" fillId="0" borderId="86" xfId="17" applyFont="1" applyBorder="1" applyAlignment="1">
      <alignment horizontal="center" vertical="center"/>
    </xf>
    <xf numFmtId="0" fontId="77" fillId="0" borderId="84" xfId="17" applyFont="1" applyBorder="1" applyAlignment="1">
      <alignment horizontal="center" vertical="center"/>
    </xf>
    <xf numFmtId="0" fontId="65" fillId="12" borderId="123" xfId="17" applyFont="1" applyFill="1" applyBorder="1" applyAlignment="1">
      <alignment horizontal="center" vertical="center" shrinkToFit="1"/>
    </xf>
    <xf numFmtId="0" fontId="65" fillId="12" borderId="1" xfId="17" applyFont="1" applyFill="1" applyBorder="1" applyAlignment="1">
      <alignment horizontal="center" vertical="center" shrinkToFit="1"/>
    </xf>
    <xf numFmtId="0" fontId="65" fillId="0" borderId="107" xfId="17" applyFont="1" applyBorder="1" applyAlignment="1">
      <alignment horizontal="center" vertical="center"/>
    </xf>
    <xf numFmtId="0" fontId="1" fillId="12" borderId="123" xfId="17" applyFill="1" applyBorder="1" applyAlignment="1">
      <alignment horizontal="center" vertical="center"/>
    </xf>
    <xf numFmtId="190" fontId="1" fillId="0" borderId="1" xfId="17" applyNumberFormat="1" applyBorder="1" applyAlignment="1">
      <alignment horizontal="center" vertical="center"/>
    </xf>
    <xf numFmtId="190" fontId="1" fillId="0" borderId="107" xfId="17" applyNumberFormat="1" applyBorder="1" applyAlignment="1">
      <alignment horizontal="center" vertical="center"/>
    </xf>
    <xf numFmtId="0" fontId="65" fillId="0" borderId="84" xfId="17" applyFont="1" applyFill="1" applyBorder="1" applyAlignment="1">
      <alignment vertical="center" shrinkToFit="1"/>
    </xf>
    <xf numFmtId="0" fontId="65" fillId="0" borderId="0" xfId="17" applyFont="1" applyFill="1" applyBorder="1" applyAlignment="1">
      <alignment vertical="center" shrinkToFit="1"/>
    </xf>
    <xf numFmtId="0" fontId="78" fillId="0" borderId="84" xfId="17" quotePrefix="1" applyFont="1" applyBorder="1" applyAlignment="1">
      <alignment horizontal="left" vertical="center"/>
    </xf>
    <xf numFmtId="0" fontId="78" fillId="0" borderId="0" xfId="17" applyFont="1" applyBorder="1" applyAlignment="1">
      <alignment horizontal="left" vertical="center"/>
    </xf>
    <xf numFmtId="0" fontId="78" fillId="0" borderId="86" xfId="17" applyFont="1" applyBorder="1" applyAlignment="1">
      <alignment horizontal="left" vertical="center"/>
    </xf>
    <xf numFmtId="0" fontId="78" fillId="0" borderId="84" xfId="17" applyFont="1" applyBorder="1" applyAlignment="1">
      <alignment horizontal="left" vertical="center"/>
    </xf>
    <xf numFmtId="0" fontId="79" fillId="0" borderId="84" xfId="17" applyFont="1" applyFill="1" applyBorder="1" applyAlignment="1">
      <alignment vertical="center" shrinkToFit="1"/>
    </xf>
    <xf numFmtId="0" fontId="79" fillId="0" borderId="0" xfId="17" applyFont="1" applyFill="1" applyBorder="1" applyAlignment="1">
      <alignment vertical="center" shrinkToFit="1"/>
    </xf>
    <xf numFmtId="0" fontId="79" fillId="0" borderId="124" xfId="17" applyFont="1" applyFill="1" applyBorder="1" applyAlignment="1">
      <alignment vertical="center" shrinkToFit="1"/>
    </xf>
    <xf numFmtId="0" fontId="79" fillId="0" borderId="70" xfId="17" applyFont="1" applyFill="1" applyBorder="1" applyAlignment="1">
      <alignment vertical="center" shrinkToFit="1"/>
    </xf>
    <xf numFmtId="0" fontId="65" fillId="12" borderId="125" xfId="17" applyFont="1" applyFill="1" applyBorder="1" applyAlignment="1">
      <alignment horizontal="center" vertical="center" shrinkToFit="1"/>
    </xf>
    <xf numFmtId="0" fontId="65" fillId="12" borderId="2" xfId="17" applyFont="1" applyFill="1" applyBorder="1" applyAlignment="1">
      <alignment horizontal="center" vertical="center" shrinkToFit="1"/>
    </xf>
    <xf numFmtId="0" fontId="65" fillId="12" borderId="36" xfId="17" applyFont="1" applyFill="1" applyBorder="1" applyAlignment="1">
      <alignment horizontal="center" vertical="center" shrinkToFit="1"/>
    </xf>
    <xf numFmtId="0" fontId="74" fillId="12" borderId="35" xfId="17" applyFont="1" applyFill="1" applyBorder="1" applyAlignment="1">
      <alignment horizontal="center" vertical="center" shrinkToFit="1"/>
    </xf>
    <xf numFmtId="0" fontId="74" fillId="12" borderId="2" xfId="17" applyFont="1" applyFill="1" applyBorder="1" applyAlignment="1">
      <alignment horizontal="center" vertical="center" shrinkToFit="1"/>
    </xf>
    <xf numFmtId="0" fontId="74" fillId="12" borderId="126" xfId="17" applyFont="1" applyFill="1" applyBorder="1" applyAlignment="1">
      <alignment horizontal="center" vertical="center" shrinkToFit="1"/>
    </xf>
    <xf numFmtId="0" fontId="72" fillId="0" borderId="84" xfId="17" applyFont="1" applyBorder="1" applyAlignment="1">
      <alignment horizontal="left" vertical="center"/>
    </xf>
    <xf numFmtId="0" fontId="72" fillId="0" borderId="0" xfId="17" applyFont="1" applyAlignment="1">
      <alignment horizontal="left" vertical="center"/>
    </xf>
    <xf numFmtId="0" fontId="72" fillId="0" borderId="86" xfId="17" applyFont="1" applyBorder="1" applyAlignment="1">
      <alignment horizontal="left" vertical="center"/>
    </xf>
    <xf numFmtId="0" fontId="74" fillId="0" borderId="95" xfId="17" applyFont="1" applyBorder="1" applyAlignment="1">
      <alignment horizontal="center" vertical="center" wrapText="1" shrinkToFit="1"/>
    </xf>
    <xf numFmtId="0" fontId="74" fillId="0" borderId="41" xfId="17" applyFont="1" applyBorder="1" applyAlignment="1">
      <alignment horizontal="center" vertical="center" wrapText="1" shrinkToFit="1"/>
    </xf>
    <xf numFmtId="0" fontId="74" fillId="0" borderId="22" xfId="17" applyFont="1" applyBorder="1" applyAlignment="1">
      <alignment horizontal="center" vertical="center" wrapText="1" shrinkToFit="1"/>
    </xf>
    <xf numFmtId="0" fontId="74" fillId="0" borderId="84" xfId="17" applyFont="1" applyBorder="1" applyAlignment="1">
      <alignment horizontal="center" vertical="center" wrapText="1" shrinkToFit="1"/>
    </xf>
    <xf numFmtId="0" fontId="74" fillId="0" borderId="0" xfId="17" applyFont="1" applyBorder="1" applyAlignment="1">
      <alignment horizontal="center" vertical="center" wrapText="1" shrinkToFit="1"/>
    </xf>
    <xf numFmtId="0" fontId="74" fillId="0" borderId="99" xfId="17" applyFont="1" applyBorder="1" applyAlignment="1">
      <alignment horizontal="center" vertical="center" wrapText="1" shrinkToFit="1"/>
    </xf>
    <xf numFmtId="0" fontId="74" fillId="0" borderId="21" xfId="17" applyFont="1" applyBorder="1" applyAlignment="1">
      <alignment horizontal="center" vertical="center"/>
    </xf>
    <xf numFmtId="0" fontId="74" fillId="0" borderId="41" xfId="17" applyFont="1" applyBorder="1" applyAlignment="1">
      <alignment horizontal="center" vertical="center"/>
    </xf>
    <xf numFmtId="0" fontId="74" fillId="0" borderId="91" xfId="17" applyFont="1" applyBorder="1" applyAlignment="1">
      <alignment horizontal="center" vertical="center"/>
    </xf>
    <xf numFmtId="0" fontId="74" fillId="0" borderId="100" xfId="17" applyFont="1" applyBorder="1" applyAlignment="1">
      <alignment horizontal="center" vertical="center"/>
    </xf>
    <xf numFmtId="0" fontId="74" fillId="0" borderId="0" xfId="17" applyFont="1" applyBorder="1" applyAlignment="1">
      <alignment horizontal="center" vertical="center"/>
    </xf>
    <xf numFmtId="0" fontId="74" fillId="0" borderId="86" xfId="17" applyFont="1" applyBorder="1" applyAlignment="1">
      <alignment horizontal="center" vertical="center"/>
    </xf>
    <xf numFmtId="0" fontId="65" fillId="12" borderId="95" xfId="17" applyFont="1" applyFill="1" applyBorder="1" applyAlignment="1">
      <alignment horizontal="center" vertical="center" shrinkToFit="1"/>
    </xf>
    <xf numFmtId="0" fontId="65" fillId="12" borderId="41" xfId="17" applyFont="1" applyFill="1" applyBorder="1" applyAlignment="1">
      <alignment horizontal="center" vertical="center" shrinkToFit="1"/>
    </xf>
    <xf numFmtId="0" fontId="65" fillId="12" borderId="22" xfId="17" applyFont="1" applyFill="1" applyBorder="1" applyAlignment="1">
      <alignment horizontal="center" vertical="center" shrinkToFit="1"/>
    </xf>
    <xf numFmtId="0" fontId="65" fillId="12" borderId="101" xfId="17" applyFont="1" applyFill="1" applyBorder="1" applyAlignment="1">
      <alignment horizontal="center" vertical="center" shrinkToFit="1"/>
    </xf>
    <xf numFmtId="0" fontId="65" fillId="12" borderId="73" xfId="17" applyFont="1" applyFill="1" applyBorder="1" applyAlignment="1">
      <alignment horizontal="center" vertical="center" shrinkToFit="1"/>
    </xf>
    <xf numFmtId="0" fontId="65" fillId="12" borderId="24" xfId="17" applyFont="1" applyFill="1" applyBorder="1" applyAlignment="1">
      <alignment horizontal="center" vertical="center" shrinkToFit="1"/>
    </xf>
    <xf numFmtId="0" fontId="73" fillId="0" borderId="84" xfId="17" applyFont="1" applyBorder="1" applyAlignment="1">
      <alignment horizontal="left" vertical="center"/>
    </xf>
    <xf numFmtId="0" fontId="73" fillId="0" borderId="0" xfId="17" applyFont="1" applyAlignment="1">
      <alignment horizontal="left" vertical="center"/>
    </xf>
    <xf numFmtId="0" fontId="73" fillId="0" borderId="86" xfId="17" applyFont="1" applyBorder="1" applyAlignment="1">
      <alignment horizontal="left" vertical="center"/>
    </xf>
    <xf numFmtId="0" fontId="75" fillId="0" borderId="84" xfId="17" quotePrefix="1" applyFont="1" applyBorder="1" applyAlignment="1">
      <alignment horizontal="center" vertical="center" shrinkToFit="1"/>
    </xf>
    <xf numFmtId="0" fontId="75" fillId="0" borderId="0" xfId="17" applyFont="1" applyBorder="1" applyAlignment="1">
      <alignment horizontal="center" vertical="center" shrinkToFit="1"/>
    </xf>
    <xf numFmtId="0" fontId="75" fillId="0" borderId="86" xfId="17" applyFont="1" applyBorder="1" applyAlignment="1">
      <alignment horizontal="center" vertical="center" shrinkToFit="1"/>
    </xf>
    <xf numFmtId="0" fontId="75" fillId="0" borderId="84" xfId="17" applyFont="1" applyBorder="1" applyAlignment="1">
      <alignment horizontal="center" vertical="center" shrinkToFit="1"/>
    </xf>
    <xf numFmtId="0" fontId="73" fillId="0" borderId="0" xfId="17" applyFont="1" applyBorder="1" applyAlignment="1">
      <alignment horizontal="left" vertical="center"/>
    </xf>
    <xf numFmtId="0" fontId="78" fillId="0" borderId="84" xfId="17" quotePrefix="1" applyFont="1" applyBorder="1" applyAlignment="1">
      <alignment horizontal="left" vertical="center" shrinkToFit="1"/>
    </xf>
    <xf numFmtId="0" fontId="78" fillId="0" borderId="0" xfId="17" applyFont="1" applyBorder="1" applyAlignment="1">
      <alignment horizontal="left" vertical="center" shrinkToFit="1"/>
    </xf>
    <xf numFmtId="0" fontId="78" fillId="0" borderId="86" xfId="17" applyFont="1" applyBorder="1" applyAlignment="1">
      <alignment horizontal="left" vertical="center" shrinkToFit="1"/>
    </xf>
    <xf numFmtId="0" fontId="78" fillId="0" borderId="84" xfId="17" applyFont="1" applyBorder="1" applyAlignment="1">
      <alignment horizontal="left" vertical="center" shrinkToFit="1"/>
    </xf>
    <xf numFmtId="0" fontId="80" fillId="0" borderId="95" xfId="17" applyFont="1" applyBorder="1" applyAlignment="1">
      <alignment horizontal="left" vertical="center"/>
    </xf>
    <xf numFmtId="0" fontId="80" fillId="0" borderId="41" xfId="17" applyFont="1" applyBorder="1" applyAlignment="1">
      <alignment horizontal="left" vertical="center"/>
    </xf>
    <xf numFmtId="0" fontId="80" fillId="0" borderId="91" xfId="17" applyFont="1" applyBorder="1" applyAlignment="1">
      <alignment horizontal="left" vertical="center"/>
    </xf>
    <xf numFmtId="0" fontId="80" fillId="0" borderId="84" xfId="17" applyFont="1" applyBorder="1" applyAlignment="1">
      <alignment horizontal="left" vertical="center"/>
    </xf>
    <xf numFmtId="0" fontId="80" fillId="0" borderId="0" xfId="17" applyFont="1" applyAlignment="1">
      <alignment horizontal="left" vertical="center"/>
    </xf>
    <xf numFmtId="0" fontId="80" fillId="0" borderId="86" xfId="17" applyFont="1" applyBorder="1" applyAlignment="1">
      <alignment horizontal="left" vertical="center"/>
    </xf>
    <xf numFmtId="0" fontId="74" fillId="0" borderId="91" xfId="17" applyFont="1" applyBorder="1" applyAlignment="1">
      <alignment horizontal="center" vertical="center" wrapText="1" shrinkToFit="1"/>
    </xf>
    <xf numFmtId="0" fontId="74" fillId="0" borderId="86" xfId="17" applyFont="1" applyBorder="1" applyAlignment="1">
      <alignment horizontal="center" vertical="center" wrapText="1" shrinkToFit="1"/>
    </xf>
    <xf numFmtId="0" fontId="74" fillId="0" borderId="101" xfId="17" applyFont="1" applyBorder="1" applyAlignment="1">
      <alignment horizontal="center" vertical="center" wrapText="1" shrinkToFit="1"/>
    </xf>
    <xf numFmtId="0" fontId="74" fillId="0" borderId="73" xfId="17" applyFont="1" applyBorder="1" applyAlignment="1">
      <alignment horizontal="center" vertical="center" wrapText="1" shrinkToFit="1"/>
    </xf>
    <xf numFmtId="0" fontId="74" fillId="0" borderId="98" xfId="17" applyFont="1" applyBorder="1" applyAlignment="1">
      <alignment horizontal="center" vertical="center" wrapText="1" shrinkToFit="1"/>
    </xf>
    <xf numFmtId="0" fontId="78" fillId="0" borderId="114" xfId="17" applyFont="1" applyBorder="1" applyAlignment="1">
      <alignment horizontal="left" vertical="center" shrinkToFit="1"/>
    </xf>
    <xf numFmtId="0" fontId="78" fillId="0" borderId="115" xfId="17" applyFont="1" applyBorder="1" applyAlignment="1">
      <alignment horizontal="left" vertical="center" shrinkToFit="1"/>
    </xf>
    <xf numFmtId="0" fontId="78" fillId="0" borderId="116" xfId="17" applyFont="1" applyBorder="1" applyAlignment="1">
      <alignment horizontal="left" vertical="center" shrinkToFit="1"/>
    </xf>
    <xf numFmtId="0" fontId="72" fillId="0" borderId="0" xfId="17" applyFont="1" applyBorder="1" applyAlignment="1">
      <alignment horizontal="left" vertical="center"/>
    </xf>
    <xf numFmtId="0" fontId="65" fillId="0" borderId="95" xfId="17" applyFont="1" applyBorder="1" applyAlignment="1">
      <alignment horizontal="left" vertical="center"/>
    </xf>
    <xf numFmtId="0" fontId="65" fillId="0" borderId="41" xfId="17" applyFont="1" applyBorder="1" applyAlignment="1">
      <alignment horizontal="left" vertical="center"/>
    </xf>
    <xf numFmtId="0" fontId="65" fillId="0" borderId="91" xfId="17" applyFont="1" applyBorder="1" applyAlignment="1">
      <alignment horizontal="left" vertical="center"/>
    </xf>
    <xf numFmtId="0" fontId="1" fillId="0" borderId="84" xfId="17" applyBorder="1" applyAlignment="1">
      <alignment horizontal="left" vertical="center"/>
    </xf>
    <xf numFmtId="0" fontId="1" fillId="0" borderId="0" xfId="17" applyBorder="1" applyAlignment="1">
      <alignment horizontal="left" vertical="center"/>
    </xf>
    <xf numFmtId="0" fontId="1" fillId="0" borderId="86" xfId="17" applyBorder="1" applyAlignment="1">
      <alignment horizontal="left" vertical="center"/>
    </xf>
    <xf numFmtId="0" fontId="1" fillId="0" borderId="108" xfId="17" applyBorder="1" applyAlignment="1">
      <alignment horizontal="left" vertical="center"/>
    </xf>
    <xf numFmtId="0" fontId="1" fillId="0" borderId="76" xfId="17" applyBorder="1" applyAlignment="1">
      <alignment horizontal="left" vertical="center"/>
    </xf>
    <xf numFmtId="0" fontId="1" fillId="0" borderId="109" xfId="17" applyBorder="1" applyAlignment="1">
      <alignment horizontal="left" vertical="center"/>
    </xf>
    <xf numFmtId="0" fontId="65" fillId="0" borderId="108" xfId="17" applyFont="1" applyBorder="1" applyAlignment="1">
      <alignment horizontal="left" vertical="center"/>
    </xf>
    <xf numFmtId="0" fontId="65" fillId="0" borderId="76" xfId="17" applyFont="1" applyBorder="1" applyAlignment="1">
      <alignment horizontal="left" vertical="center"/>
    </xf>
    <xf numFmtId="0" fontId="65" fillId="0" borderId="109" xfId="17" applyFont="1" applyBorder="1" applyAlignment="1">
      <alignment horizontal="left" vertical="center"/>
    </xf>
    <xf numFmtId="0" fontId="1" fillId="13" borderId="84" xfId="17" applyFill="1" applyBorder="1" applyAlignment="1">
      <alignment horizontal="left" vertical="center"/>
    </xf>
    <xf numFmtId="0" fontId="1" fillId="13" borderId="0" xfId="17" applyFill="1" applyBorder="1" applyAlignment="1">
      <alignment horizontal="left" vertical="center"/>
    </xf>
    <xf numFmtId="0" fontId="1" fillId="13" borderId="86" xfId="17" applyFill="1" applyBorder="1" applyAlignment="1">
      <alignment horizontal="left" vertical="center"/>
    </xf>
    <xf numFmtId="0" fontId="1" fillId="13" borderId="108" xfId="17" applyFill="1" applyBorder="1" applyAlignment="1">
      <alignment horizontal="left" vertical="center"/>
    </xf>
    <xf numFmtId="0" fontId="1" fillId="13" borderId="76" xfId="17" applyFill="1" applyBorder="1" applyAlignment="1">
      <alignment horizontal="left" vertical="center"/>
    </xf>
    <xf numFmtId="0" fontId="1" fillId="13" borderId="109" xfId="17" applyFill="1" applyBorder="1" applyAlignment="1">
      <alignment horizontal="left" vertical="center"/>
    </xf>
    <xf numFmtId="0" fontId="79" fillId="0" borderId="0" xfId="17" applyFont="1" applyAlignment="1">
      <alignment horizontal="center" vertical="center"/>
    </xf>
    <xf numFmtId="0" fontId="72" fillId="0" borderId="111" xfId="17" applyFont="1" applyBorder="1" applyAlignment="1">
      <alignment horizontal="left" vertical="center"/>
    </xf>
    <xf numFmtId="0" fontId="72" fillId="0" borderId="112" xfId="17" applyFont="1" applyBorder="1" applyAlignment="1">
      <alignment horizontal="left" vertical="center"/>
    </xf>
    <xf numFmtId="0" fontId="72" fillId="0" borderId="113" xfId="17" applyFont="1" applyBorder="1" applyAlignment="1">
      <alignment horizontal="left" vertical="center"/>
    </xf>
    <xf numFmtId="0" fontId="71" fillId="0" borderId="84" xfId="17" applyFont="1" applyBorder="1" applyAlignment="1">
      <alignment horizontal="left" vertical="center"/>
    </xf>
    <xf numFmtId="0" fontId="71" fillId="0" borderId="0" xfId="17" applyFont="1" applyBorder="1" applyAlignment="1">
      <alignment horizontal="left" vertical="center"/>
    </xf>
    <xf numFmtId="0" fontId="71" fillId="0" borderId="86" xfId="17" applyFont="1" applyBorder="1" applyAlignment="1">
      <alignment horizontal="left" vertical="center"/>
    </xf>
    <xf numFmtId="0" fontId="1" fillId="13" borderId="77" xfId="17" applyFill="1" applyBorder="1" applyAlignment="1">
      <alignment horizontal="left" vertical="center"/>
    </xf>
    <xf numFmtId="0" fontId="1" fillId="13" borderId="78" xfId="17" applyFill="1" applyBorder="1" applyAlignment="1">
      <alignment horizontal="left" vertical="center"/>
    </xf>
    <xf numFmtId="0" fontId="1" fillId="13" borderId="81" xfId="17" applyFill="1" applyBorder="1" applyAlignment="1">
      <alignment horizontal="left" vertical="center"/>
    </xf>
    <xf numFmtId="185" fontId="21" fillId="0" borderId="0" xfId="4" applyFont="1" applyFill="1" applyBorder="1" applyAlignment="1">
      <alignment horizontal="right" vertical="center"/>
    </xf>
    <xf numFmtId="0" fontId="81" fillId="8" borderId="1" xfId="16" applyFont="1" applyFill="1" applyBorder="1" applyAlignment="1">
      <alignment horizontal="center" vertical="center"/>
    </xf>
    <xf numFmtId="0" fontId="81" fillId="8" borderId="127" xfId="16" applyFont="1" applyFill="1" applyBorder="1" applyAlignment="1">
      <alignment horizontal="center" vertical="center"/>
    </xf>
    <xf numFmtId="185" fontId="81" fillId="8" borderId="1" xfId="4" applyFont="1" applyFill="1" applyBorder="1" applyAlignment="1">
      <alignment horizontal="center" vertical="center"/>
    </xf>
  </cellXfs>
  <cellStyles count="20">
    <cellStyle name="백분율" xfId="15" builtinId="5"/>
    <cellStyle name="쉼표 [0]" xfId="14" builtinId="6"/>
    <cellStyle name="쉼표 [0] 12 2" xfId="19"/>
    <cellStyle name="쉼표 [0] 2" xfId="4"/>
    <cellStyle name="쉼표 [0] 2 2" xfId="5"/>
    <cellStyle name="쉼표 [0] 2 4" xfId="13"/>
    <cellStyle name="쉼표 [0]_원가" xfId="1"/>
    <cellStyle name="통화 [0] 2 2" xfId="12"/>
    <cellStyle name="표준" xfId="0" builtinId="0"/>
    <cellStyle name="표준 10 2" xfId="18"/>
    <cellStyle name="표준 11" xfId="6"/>
    <cellStyle name="표준 2" xfId="2"/>
    <cellStyle name="표준 2 2" xfId="7"/>
    <cellStyle name="표준 2 2 2" xfId="8"/>
    <cellStyle name="표준 2 21" xfId="10"/>
    <cellStyle name="표준 2 3" xfId="9"/>
    <cellStyle name="표준 3" xfId="11"/>
    <cellStyle name="표준 4" xfId="17"/>
    <cellStyle name="표준_98-nae-htm" xfId="16"/>
    <cellStyle name="표준_원가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0836;&#54028;&#51068;/&#54620;&#51452;(&#51060;&#44032;&#51652;)/&#51060;&#44032;&#51652;/2020&#45380;%20&#49688;&#50896;&#49324;&#50629;&#49548;/2020&#45380;&#49688;&#50896;&#49324;&#50629;&#49548;&#50676;&#49688;&#49569;&#49884;&#49444;&#50976;&#51648;&#48372;&#49688;&#44277;&#49324;&#44228;&#50557;&#45236;&#50669;&#49436;_(&#54869;&#51064;&#50756;&#47308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/05.&#44592;&#49696;&#44592;&#54925;&#49892;%20&#50676;&#49688;&#49569;&#44592;&#49696;&#48512;/02.2025&#45380;/13.&#52380;&#44277;%20&#48143;%20&#48512;&#45800;&#49688;&#44277;&#49324;/&#49888;&#44508;&#44228;&#50557;(25~27&#45380;)/02.&#49444;&#44228;/&#44277;&#49324;%20&#49444;&#44228;&#49436;(2023&#45380;~2025&#45380;%20&#50577;&#51648;&#49324;%20&#50676;&#49688;&#49569;&#44288;%20&#52380;&#44277;%20&#48143;%20&#48512;&#45800;&#49688;%20&#44277;&#493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현황"/>
      <sheetName val="설계서표지(1)"/>
      <sheetName val="설계서표지"/>
      <sheetName val="설계설명서"/>
      <sheetName val="수용가별정리"/>
      <sheetName val="예정공정표"/>
      <sheetName val="인원계획"/>
      <sheetName val="계약서표지"/>
      <sheetName val="원가계산"/>
      <sheetName val="총괄표"/>
      <sheetName val="계약내역서"/>
      <sheetName val="사급내역서"/>
      <sheetName val="기타경비요율"/>
      <sheetName val="지급임차료"/>
      <sheetName val="시공도작성비"/>
      <sheetName val="공사손해보험료"/>
      <sheetName val="재료비수량"/>
      <sheetName val="노무비수량"/>
      <sheetName val="노무비수량(2)"/>
      <sheetName val="설계내역서(2)"/>
      <sheetName val="사급내역서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>
        <row r="37">
          <cell r="M37">
            <v>2667615215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(양지사)"/>
      <sheetName val="원가계산서(서부지사)"/>
      <sheetName val="내역서(서부지사)-1차"/>
      <sheetName val="내역서(서부지사)-2차"/>
      <sheetName val="내역서(서부지사)-3차"/>
      <sheetName val="원가계산서(동부지사)"/>
      <sheetName val="내역서(동부지사)-1차"/>
      <sheetName val="내역서(동부지사)-2차"/>
      <sheetName val="내역서(동부지사)-3차"/>
      <sheetName val="수량집계"/>
      <sheetName val="일위대가목록 (1)"/>
      <sheetName val="일위대가_호표 (1)"/>
      <sheetName val="Sheet1"/>
      <sheetName val="중기사용료목록"/>
      <sheetName val="중기사용료"/>
      <sheetName val="중기기초자료"/>
      <sheetName val="자재"/>
      <sheetName val="자재조서"/>
      <sheetName val="노임"/>
      <sheetName val="산출내역서"/>
      <sheetName val="시공장비중량"/>
      <sheetName val="제비율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D5">
            <v>262551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view="pageBreakPreview" zoomScale="85" zoomScaleSheetLayoutView="85" workbookViewId="0">
      <selection activeCell="C9" sqref="C9"/>
    </sheetView>
  </sheetViews>
  <sheetFormatPr defaultColWidth="9.33203125" defaultRowHeight="14.25"/>
  <cols>
    <col min="1" max="1" width="20.83203125" style="133" customWidth="1"/>
    <col min="2" max="2" width="27" style="133" bestFit="1" customWidth="1"/>
    <col min="3" max="3" width="31.33203125" style="133" bestFit="1" customWidth="1"/>
    <col min="4" max="4" width="31.33203125" style="133" customWidth="1"/>
    <col min="5" max="5" width="27.33203125" style="186" bestFit="1" customWidth="1"/>
    <col min="6" max="6" width="31.33203125" style="133" bestFit="1" customWidth="1"/>
    <col min="7" max="7" width="31.33203125" style="133" customWidth="1"/>
    <col min="8" max="8" width="31.33203125" style="186" bestFit="1" customWidth="1"/>
    <col min="9" max="9" width="31.33203125" style="133" bestFit="1" customWidth="1"/>
    <col min="10" max="10" width="31.33203125" style="133" customWidth="1"/>
    <col min="11" max="11" width="31.33203125" style="186" bestFit="1" customWidth="1"/>
    <col min="12" max="12" width="20.83203125" style="133" customWidth="1"/>
    <col min="13" max="16384" width="9.33203125" style="133"/>
  </cols>
  <sheetData>
    <row r="1" spans="1:12" ht="30" customHeight="1">
      <c r="A1" s="129"/>
      <c r="B1" s="130"/>
      <c r="C1" s="130"/>
      <c r="D1" s="130"/>
      <c r="E1" s="131"/>
      <c r="F1" s="130"/>
      <c r="G1" s="130"/>
      <c r="H1" s="131"/>
      <c r="I1" s="130"/>
      <c r="J1" s="130"/>
      <c r="K1" s="131"/>
      <c r="L1" s="132"/>
    </row>
    <row r="2" spans="1:12" ht="30" customHeight="1">
      <c r="A2" s="134" t="s">
        <v>6506</v>
      </c>
      <c r="B2" s="135"/>
      <c r="C2" s="135"/>
      <c r="D2" s="135"/>
      <c r="E2" s="136"/>
      <c r="F2" s="135"/>
      <c r="G2" s="135"/>
      <c r="H2" s="136"/>
      <c r="I2" s="135"/>
      <c r="J2" s="135"/>
      <c r="K2" s="136"/>
      <c r="L2" s="137"/>
    </row>
    <row r="3" spans="1:12" ht="30" customHeight="1">
      <c r="A3" s="138"/>
      <c r="B3" s="135"/>
      <c r="C3" s="135"/>
      <c r="D3" s="135"/>
      <c r="E3" s="136"/>
      <c r="F3" s="135"/>
      <c r="G3" s="135"/>
      <c r="H3" s="136"/>
      <c r="I3" s="135"/>
      <c r="J3" s="135"/>
      <c r="K3" s="136"/>
      <c r="L3" s="137"/>
    </row>
    <row r="4" spans="1:12" ht="52.5" customHeight="1">
      <c r="A4" s="139" t="s">
        <v>6325</v>
      </c>
      <c r="B4" s="140"/>
      <c r="C4" s="141"/>
      <c r="D4" s="141"/>
      <c r="E4" s="142"/>
      <c r="F4" s="141"/>
      <c r="G4" s="141"/>
      <c r="H4" s="142"/>
      <c r="I4" s="141"/>
      <c r="J4" s="141"/>
      <c r="K4" s="142"/>
      <c r="L4" s="143"/>
    </row>
    <row r="5" spans="1:12" ht="52.5" customHeight="1">
      <c r="A5" s="144"/>
      <c r="B5" s="140"/>
      <c r="C5" s="141"/>
      <c r="D5" s="141"/>
      <c r="E5" s="142"/>
      <c r="F5" s="141"/>
      <c r="G5" s="141"/>
      <c r="H5" s="142"/>
      <c r="I5" s="141"/>
      <c r="J5" s="141"/>
      <c r="K5" s="142"/>
      <c r="L5" s="143"/>
    </row>
    <row r="6" spans="1:12" ht="30" customHeight="1" thickBot="1">
      <c r="A6" s="138"/>
      <c r="B6" s="145"/>
      <c r="C6" s="146"/>
      <c r="D6" s="146"/>
      <c r="E6" s="147"/>
      <c r="F6" s="146"/>
      <c r="G6" s="146"/>
      <c r="H6" s="147"/>
      <c r="I6" s="148"/>
      <c r="J6" s="148"/>
      <c r="K6" s="149" t="s">
        <v>6326</v>
      </c>
      <c r="L6" s="137"/>
    </row>
    <row r="7" spans="1:12" ht="18.75">
      <c r="A7" s="138"/>
      <c r="B7" s="366" t="s">
        <v>6327</v>
      </c>
      <c r="C7" s="363" t="s">
        <v>6328</v>
      </c>
      <c r="D7" s="364"/>
      <c r="E7" s="365"/>
      <c r="F7" s="363" t="s">
        <v>6329</v>
      </c>
      <c r="G7" s="364"/>
      <c r="H7" s="365"/>
      <c r="I7" s="363" t="s">
        <v>6301</v>
      </c>
      <c r="J7" s="364"/>
      <c r="K7" s="365"/>
      <c r="L7" s="150"/>
    </row>
    <row r="8" spans="1:12" ht="19.5" thickBot="1">
      <c r="A8" s="138"/>
      <c r="B8" s="367"/>
      <c r="C8" s="151" t="s">
        <v>6333</v>
      </c>
      <c r="D8" s="187" t="s">
        <v>6334</v>
      </c>
      <c r="E8" s="152" t="s">
        <v>6300</v>
      </c>
      <c r="F8" s="151" t="s">
        <v>6333</v>
      </c>
      <c r="G8" s="187" t="s">
        <v>6334</v>
      </c>
      <c r="H8" s="152" t="s">
        <v>6300</v>
      </c>
      <c r="I8" s="151" t="s">
        <v>6333</v>
      </c>
      <c r="J8" s="187" t="s">
        <v>6334</v>
      </c>
      <c r="K8" s="152" t="s">
        <v>6300</v>
      </c>
      <c r="L8" s="150"/>
    </row>
    <row r="9" spans="1:12" ht="54.75" customHeight="1" thickTop="1">
      <c r="A9" s="138"/>
      <c r="B9" s="153" t="s">
        <v>6330</v>
      </c>
      <c r="C9" s="154">
        <f>'원가계산서(서부지사)'!I29</f>
        <v>569863700</v>
      </c>
      <c r="D9" s="191">
        <f>'원가계산서(동부지사)'!I29</f>
        <v>539841582</v>
      </c>
      <c r="E9" s="155">
        <f>'원가계산서(양지사)'!I29</f>
        <v>1109705282</v>
      </c>
      <c r="F9" s="154">
        <f>'원가계산서(서부지사)'!N29</f>
        <v>0</v>
      </c>
      <c r="G9" s="191">
        <f>'원가계산서(동부지사)'!N29</f>
        <v>193833809</v>
      </c>
      <c r="H9" s="155">
        <f>'원가계산서(양지사)'!N29</f>
        <v>193833809</v>
      </c>
      <c r="I9" s="156">
        <f>'원가계산서(서부지사)'!D29</f>
        <v>569863700</v>
      </c>
      <c r="J9" s="188">
        <f>'원가계산서(동부지사)'!D29</f>
        <v>733675391</v>
      </c>
      <c r="K9" s="157">
        <f>'원가계산서(양지사)'!D29</f>
        <v>1303539091</v>
      </c>
      <c r="L9" s="158"/>
    </row>
    <row r="10" spans="1:12" ht="54.75" customHeight="1">
      <c r="A10" s="138"/>
      <c r="B10" s="159" t="s">
        <v>6331</v>
      </c>
      <c r="C10" s="160">
        <f>'원가계산서(서부지사)'!I30</f>
        <v>56986370</v>
      </c>
      <c r="D10" s="192">
        <f>'원가계산서(동부지사)'!I30</f>
        <v>53984158</v>
      </c>
      <c r="E10" s="161">
        <f>'원가계산서(양지사)'!I30</f>
        <v>110970528</v>
      </c>
      <c r="F10" s="160">
        <f>'원가계산서(서부지사)'!N30</f>
        <v>0</v>
      </c>
      <c r="G10" s="192">
        <f>'원가계산서(동부지사)'!N30</f>
        <v>19383381</v>
      </c>
      <c r="H10" s="161">
        <f>'원가계산서(양지사)'!N30</f>
        <v>19383381</v>
      </c>
      <c r="I10" s="162">
        <f>'원가계산서(서부지사)'!D30</f>
        <v>56986370</v>
      </c>
      <c r="J10" s="189">
        <f>'원가계산서(동부지사)'!D30</f>
        <v>73367539</v>
      </c>
      <c r="K10" s="163">
        <f>'원가계산서(양지사)'!D30</f>
        <v>130353909</v>
      </c>
      <c r="L10" s="164"/>
    </row>
    <row r="11" spans="1:12" ht="54.75" customHeight="1" thickBot="1">
      <c r="A11" s="138"/>
      <c r="B11" s="165" t="s">
        <v>6332</v>
      </c>
      <c r="C11" s="166">
        <f>C9+C10</f>
        <v>626850070</v>
      </c>
      <c r="D11" s="193">
        <f>'원가계산서(동부지사)'!I31</f>
        <v>593825740</v>
      </c>
      <c r="E11" s="167">
        <f>'원가계산서(양지사)'!I31</f>
        <v>1220675810</v>
      </c>
      <c r="F11" s="166">
        <f>'원가계산서(서부지사)'!N31</f>
        <v>0</v>
      </c>
      <c r="G11" s="193">
        <f>'원가계산서(동부지사)'!N31</f>
        <v>213217190</v>
      </c>
      <c r="H11" s="167">
        <f>'원가계산서(양지사)'!N31</f>
        <v>213217190</v>
      </c>
      <c r="I11" s="168">
        <f>'원가계산서(서부지사)'!D31</f>
        <v>626850070</v>
      </c>
      <c r="J11" s="190">
        <f>'원가계산서(동부지사)'!D31</f>
        <v>807042930</v>
      </c>
      <c r="K11" s="200">
        <f>'원가계산서(양지사)'!D31</f>
        <v>1433893000</v>
      </c>
      <c r="L11" s="169"/>
    </row>
    <row r="12" spans="1:12" ht="30" customHeight="1">
      <c r="A12" s="138"/>
      <c r="B12" s="145"/>
      <c r="C12" s="146"/>
      <c r="D12" s="146"/>
      <c r="E12" s="147"/>
      <c r="F12" s="146"/>
      <c r="G12" s="146"/>
      <c r="H12" s="147"/>
      <c r="I12" s="146"/>
      <c r="J12" s="146"/>
      <c r="K12" s="147"/>
      <c r="L12" s="137"/>
    </row>
    <row r="13" spans="1:12" ht="35.1" customHeight="1">
      <c r="A13" s="138"/>
      <c r="B13" s="197"/>
      <c r="C13" s="170"/>
      <c r="D13" s="170"/>
      <c r="E13" s="171"/>
      <c r="F13" s="170"/>
      <c r="G13" s="170"/>
      <c r="H13" s="171"/>
      <c r="I13" s="170"/>
      <c r="J13" s="170"/>
      <c r="K13" s="171"/>
      <c r="L13" s="137"/>
    </row>
    <row r="14" spans="1:12" ht="30" customHeight="1">
      <c r="A14" s="138"/>
      <c r="B14" s="170"/>
      <c r="C14" s="170"/>
      <c r="D14" s="170"/>
      <c r="E14" s="171"/>
      <c r="F14" s="172"/>
      <c r="G14" s="172"/>
      <c r="H14" s="173"/>
      <c r="I14" s="170"/>
      <c r="J14" s="170"/>
      <c r="K14" s="174"/>
      <c r="L14" s="137"/>
    </row>
    <row r="15" spans="1:12" ht="30" customHeight="1">
      <c r="A15" s="138"/>
      <c r="B15" s="195"/>
      <c r="C15" s="175"/>
      <c r="D15" s="175"/>
      <c r="E15" s="176"/>
      <c r="F15" s="177"/>
      <c r="G15" s="177"/>
      <c r="H15" s="177"/>
      <c r="I15" s="178"/>
      <c r="J15" s="178"/>
      <c r="K15" s="179"/>
      <c r="L15" s="137"/>
    </row>
    <row r="16" spans="1:12" ht="30" customHeight="1">
      <c r="A16" s="138"/>
      <c r="B16" s="195"/>
      <c r="C16" s="175"/>
      <c r="D16" s="175"/>
      <c r="E16" s="176"/>
      <c r="F16" s="177"/>
      <c r="G16" s="177"/>
      <c r="H16" s="177"/>
      <c r="I16" s="178"/>
      <c r="J16" s="178"/>
      <c r="K16" s="179"/>
      <c r="L16" s="137"/>
    </row>
    <row r="17" spans="1:12" ht="30" customHeight="1" thickBot="1">
      <c r="A17" s="180"/>
      <c r="B17" s="196"/>
      <c r="C17" s="181"/>
      <c r="D17" s="181"/>
      <c r="E17" s="182"/>
      <c r="F17" s="183"/>
      <c r="G17" s="183"/>
      <c r="H17" s="184"/>
      <c r="I17" s="181"/>
      <c r="J17" s="181"/>
      <c r="K17" s="182"/>
      <c r="L17" s="185"/>
    </row>
  </sheetData>
  <mergeCells count="4">
    <mergeCell ref="C7:E7"/>
    <mergeCell ref="F7:H7"/>
    <mergeCell ref="I7:K7"/>
    <mergeCell ref="B7:B8"/>
  </mergeCells>
  <phoneticPr fontId="7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329"/>
  <sheetViews>
    <sheetView tabSelected="1" view="pageBreakPreview" zoomScale="115" zoomScaleNormal="100" zoomScaleSheetLayoutView="115" workbookViewId="0">
      <selection activeCell="F4" sqref="F4"/>
    </sheetView>
  </sheetViews>
  <sheetFormatPr defaultRowHeight="23.1" customHeight="1"/>
  <cols>
    <col min="1" max="1" width="14.6640625" style="311" customWidth="1"/>
    <col min="2" max="2" width="49.83203125" style="311" customWidth="1"/>
    <col min="3" max="4" width="14.1640625" style="311" customWidth="1"/>
    <col min="5" max="5" width="24.83203125" style="311" customWidth="1"/>
    <col min="6" max="6" width="27.5" style="311" customWidth="1"/>
    <col min="7" max="7" width="14.5" style="311" customWidth="1"/>
    <col min="8" max="9" width="14.83203125" style="311" customWidth="1"/>
    <col min="10" max="10" width="24.83203125" style="311" bestFit="1" customWidth="1"/>
    <col min="11" max="11" width="19.1640625" style="311" bestFit="1" customWidth="1"/>
    <col min="12" max="12" width="20.1640625" style="311" customWidth="1"/>
    <col min="13" max="13" width="24.83203125" style="311" bestFit="1" customWidth="1"/>
    <col min="14" max="14" width="31.5" style="327" bestFit="1" customWidth="1"/>
    <col min="15" max="15" width="17.5" style="311" bestFit="1" customWidth="1"/>
    <col min="16" max="255" width="9.33203125" style="311"/>
    <col min="256" max="256" width="14.6640625" style="311" customWidth="1"/>
    <col min="257" max="257" width="49.83203125" style="311" customWidth="1"/>
    <col min="258" max="259" width="14.1640625" style="311" customWidth="1"/>
    <col min="260" max="260" width="24.83203125" style="311" customWidth="1"/>
    <col min="261" max="261" width="27.5" style="311" customWidth="1"/>
    <col min="262" max="262" width="14.5" style="311" customWidth="1"/>
    <col min="263" max="264" width="9.33203125" style="311"/>
    <col min="265" max="265" width="18.83203125" style="311" bestFit="1" customWidth="1"/>
    <col min="266" max="511" width="9.33203125" style="311"/>
    <col min="512" max="512" width="14.6640625" style="311" customWidth="1"/>
    <col min="513" max="513" width="49.83203125" style="311" customWidth="1"/>
    <col min="514" max="515" width="14.1640625" style="311" customWidth="1"/>
    <col min="516" max="516" width="24.83203125" style="311" customWidth="1"/>
    <col min="517" max="517" width="27.5" style="311" customWidth="1"/>
    <col min="518" max="518" width="14.5" style="311" customWidth="1"/>
    <col min="519" max="520" width="9.33203125" style="311"/>
    <col min="521" max="521" width="18.83203125" style="311" bestFit="1" customWidth="1"/>
    <col min="522" max="767" width="9.33203125" style="311"/>
    <col min="768" max="768" width="14.6640625" style="311" customWidth="1"/>
    <col min="769" max="769" width="49.83203125" style="311" customWidth="1"/>
    <col min="770" max="771" width="14.1640625" style="311" customWidth="1"/>
    <col min="772" max="772" width="24.83203125" style="311" customWidth="1"/>
    <col min="773" max="773" width="27.5" style="311" customWidth="1"/>
    <col min="774" max="774" width="14.5" style="311" customWidth="1"/>
    <col min="775" max="776" width="9.33203125" style="311"/>
    <col min="777" max="777" width="18.83203125" style="311" bestFit="1" customWidth="1"/>
    <col min="778" max="1023" width="9.33203125" style="311"/>
    <col min="1024" max="1024" width="14.6640625" style="311" customWidth="1"/>
    <col min="1025" max="1025" width="49.83203125" style="311" customWidth="1"/>
    <col min="1026" max="1027" width="14.1640625" style="311" customWidth="1"/>
    <col min="1028" max="1028" width="24.83203125" style="311" customWidth="1"/>
    <col min="1029" max="1029" width="27.5" style="311" customWidth="1"/>
    <col min="1030" max="1030" width="14.5" style="311" customWidth="1"/>
    <col min="1031" max="1032" width="9.33203125" style="311"/>
    <col min="1033" max="1033" width="18.83203125" style="311" bestFit="1" customWidth="1"/>
    <col min="1034" max="1279" width="9.33203125" style="311"/>
    <col min="1280" max="1280" width="14.6640625" style="311" customWidth="1"/>
    <col min="1281" max="1281" width="49.83203125" style="311" customWidth="1"/>
    <col min="1282" max="1283" width="14.1640625" style="311" customWidth="1"/>
    <col min="1284" max="1284" width="24.83203125" style="311" customWidth="1"/>
    <col min="1285" max="1285" width="27.5" style="311" customWidth="1"/>
    <col min="1286" max="1286" width="14.5" style="311" customWidth="1"/>
    <col min="1287" max="1288" width="9.33203125" style="311"/>
    <col min="1289" max="1289" width="18.83203125" style="311" bestFit="1" customWidth="1"/>
    <col min="1290" max="1535" width="9.33203125" style="311"/>
    <col min="1536" max="1536" width="14.6640625" style="311" customWidth="1"/>
    <col min="1537" max="1537" width="49.83203125" style="311" customWidth="1"/>
    <col min="1538" max="1539" width="14.1640625" style="311" customWidth="1"/>
    <col min="1540" max="1540" width="24.83203125" style="311" customWidth="1"/>
    <col min="1541" max="1541" width="27.5" style="311" customWidth="1"/>
    <col min="1542" max="1542" width="14.5" style="311" customWidth="1"/>
    <col min="1543" max="1544" width="9.33203125" style="311"/>
    <col min="1545" max="1545" width="18.83203125" style="311" bestFit="1" customWidth="1"/>
    <col min="1546" max="1791" width="9.33203125" style="311"/>
    <col min="1792" max="1792" width="14.6640625" style="311" customWidth="1"/>
    <col min="1793" max="1793" width="49.83203125" style="311" customWidth="1"/>
    <col min="1794" max="1795" width="14.1640625" style="311" customWidth="1"/>
    <col min="1796" max="1796" width="24.83203125" style="311" customWidth="1"/>
    <col min="1797" max="1797" width="27.5" style="311" customWidth="1"/>
    <col min="1798" max="1798" width="14.5" style="311" customWidth="1"/>
    <col min="1799" max="1800" width="9.33203125" style="311"/>
    <col min="1801" max="1801" width="18.83203125" style="311" bestFit="1" customWidth="1"/>
    <col min="1802" max="2047" width="9.33203125" style="311"/>
    <col min="2048" max="2048" width="14.6640625" style="311" customWidth="1"/>
    <col min="2049" max="2049" width="49.83203125" style="311" customWidth="1"/>
    <col min="2050" max="2051" width="14.1640625" style="311" customWidth="1"/>
    <col min="2052" max="2052" width="24.83203125" style="311" customWidth="1"/>
    <col min="2053" max="2053" width="27.5" style="311" customWidth="1"/>
    <col min="2054" max="2054" width="14.5" style="311" customWidth="1"/>
    <col min="2055" max="2056" width="9.33203125" style="311"/>
    <col min="2057" max="2057" width="18.83203125" style="311" bestFit="1" customWidth="1"/>
    <col min="2058" max="2303" width="9.33203125" style="311"/>
    <col min="2304" max="2304" width="14.6640625" style="311" customWidth="1"/>
    <col min="2305" max="2305" width="49.83203125" style="311" customWidth="1"/>
    <col min="2306" max="2307" width="14.1640625" style="311" customWidth="1"/>
    <col min="2308" max="2308" width="24.83203125" style="311" customWidth="1"/>
    <col min="2309" max="2309" width="27.5" style="311" customWidth="1"/>
    <col min="2310" max="2310" width="14.5" style="311" customWidth="1"/>
    <col min="2311" max="2312" width="9.33203125" style="311"/>
    <col min="2313" max="2313" width="18.83203125" style="311" bestFit="1" customWidth="1"/>
    <col min="2314" max="2559" width="9.33203125" style="311"/>
    <col min="2560" max="2560" width="14.6640625" style="311" customWidth="1"/>
    <col min="2561" max="2561" width="49.83203125" style="311" customWidth="1"/>
    <col min="2562" max="2563" width="14.1640625" style="311" customWidth="1"/>
    <col min="2564" max="2564" width="24.83203125" style="311" customWidth="1"/>
    <col min="2565" max="2565" width="27.5" style="311" customWidth="1"/>
    <col min="2566" max="2566" width="14.5" style="311" customWidth="1"/>
    <col min="2567" max="2568" width="9.33203125" style="311"/>
    <col min="2569" max="2569" width="18.83203125" style="311" bestFit="1" customWidth="1"/>
    <col min="2570" max="2815" width="9.33203125" style="311"/>
    <col min="2816" max="2816" width="14.6640625" style="311" customWidth="1"/>
    <col min="2817" max="2817" width="49.83203125" style="311" customWidth="1"/>
    <col min="2818" max="2819" width="14.1640625" style="311" customWidth="1"/>
    <col min="2820" max="2820" width="24.83203125" style="311" customWidth="1"/>
    <col min="2821" max="2821" width="27.5" style="311" customWidth="1"/>
    <col min="2822" max="2822" width="14.5" style="311" customWidth="1"/>
    <col min="2823" max="2824" width="9.33203125" style="311"/>
    <col min="2825" max="2825" width="18.83203125" style="311" bestFit="1" customWidth="1"/>
    <col min="2826" max="3071" width="9.33203125" style="311"/>
    <col min="3072" max="3072" width="14.6640625" style="311" customWidth="1"/>
    <col min="3073" max="3073" width="49.83203125" style="311" customWidth="1"/>
    <col min="3074" max="3075" width="14.1640625" style="311" customWidth="1"/>
    <col min="3076" max="3076" width="24.83203125" style="311" customWidth="1"/>
    <col min="3077" max="3077" width="27.5" style="311" customWidth="1"/>
    <col min="3078" max="3078" width="14.5" style="311" customWidth="1"/>
    <col min="3079" max="3080" width="9.33203125" style="311"/>
    <col min="3081" max="3081" width="18.83203125" style="311" bestFit="1" customWidth="1"/>
    <col min="3082" max="3327" width="9.33203125" style="311"/>
    <col min="3328" max="3328" width="14.6640625" style="311" customWidth="1"/>
    <col min="3329" max="3329" width="49.83203125" style="311" customWidth="1"/>
    <col min="3330" max="3331" width="14.1640625" style="311" customWidth="1"/>
    <col min="3332" max="3332" width="24.83203125" style="311" customWidth="1"/>
    <col min="3333" max="3333" width="27.5" style="311" customWidth="1"/>
    <col min="3334" max="3334" width="14.5" style="311" customWidth="1"/>
    <col min="3335" max="3336" width="9.33203125" style="311"/>
    <col min="3337" max="3337" width="18.83203125" style="311" bestFit="1" customWidth="1"/>
    <col min="3338" max="3583" width="9.33203125" style="311"/>
    <col min="3584" max="3584" width="14.6640625" style="311" customWidth="1"/>
    <col min="3585" max="3585" width="49.83203125" style="311" customWidth="1"/>
    <col min="3586" max="3587" width="14.1640625" style="311" customWidth="1"/>
    <col min="3588" max="3588" width="24.83203125" style="311" customWidth="1"/>
    <col min="3589" max="3589" width="27.5" style="311" customWidth="1"/>
    <col min="3590" max="3590" width="14.5" style="311" customWidth="1"/>
    <col min="3591" max="3592" width="9.33203125" style="311"/>
    <col min="3593" max="3593" width="18.83203125" style="311" bestFit="1" customWidth="1"/>
    <col min="3594" max="3839" width="9.33203125" style="311"/>
    <col min="3840" max="3840" width="14.6640625" style="311" customWidth="1"/>
    <col min="3841" max="3841" width="49.83203125" style="311" customWidth="1"/>
    <col min="3842" max="3843" width="14.1640625" style="311" customWidth="1"/>
    <col min="3844" max="3844" width="24.83203125" style="311" customWidth="1"/>
    <col min="3845" max="3845" width="27.5" style="311" customWidth="1"/>
    <col min="3846" max="3846" width="14.5" style="311" customWidth="1"/>
    <col min="3847" max="3848" width="9.33203125" style="311"/>
    <col min="3849" max="3849" width="18.83203125" style="311" bestFit="1" customWidth="1"/>
    <col min="3850" max="4095" width="9.33203125" style="311"/>
    <col min="4096" max="4096" width="14.6640625" style="311" customWidth="1"/>
    <col min="4097" max="4097" width="49.83203125" style="311" customWidth="1"/>
    <col min="4098" max="4099" width="14.1640625" style="311" customWidth="1"/>
    <col min="4100" max="4100" width="24.83203125" style="311" customWidth="1"/>
    <col min="4101" max="4101" width="27.5" style="311" customWidth="1"/>
    <col min="4102" max="4102" width="14.5" style="311" customWidth="1"/>
    <col min="4103" max="4104" width="9.33203125" style="311"/>
    <col min="4105" max="4105" width="18.83203125" style="311" bestFit="1" customWidth="1"/>
    <col min="4106" max="4351" width="9.33203125" style="311"/>
    <col min="4352" max="4352" width="14.6640625" style="311" customWidth="1"/>
    <col min="4353" max="4353" width="49.83203125" style="311" customWidth="1"/>
    <col min="4354" max="4355" width="14.1640625" style="311" customWidth="1"/>
    <col min="4356" max="4356" width="24.83203125" style="311" customWidth="1"/>
    <col min="4357" max="4357" width="27.5" style="311" customWidth="1"/>
    <col min="4358" max="4358" width="14.5" style="311" customWidth="1"/>
    <col min="4359" max="4360" width="9.33203125" style="311"/>
    <col min="4361" max="4361" width="18.83203125" style="311" bestFit="1" customWidth="1"/>
    <col min="4362" max="4607" width="9.33203125" style="311"/>
    <col min="4608" max="4608" width="14.6640625" style="311" customWidth="1"/>
    <col min="4609" max="4609" width="49.83203125" style="311" customWidth="1"/>
    <col min="4610" max="4611" width="14.1640625" style="311" customWidth="1"/>
    <col min="4612" max="4612" width="24.83203125" style="311" customWidth="1"/>
    <col min="4613" max="4613" width="27.5" style="311" customWidth="1"/>
    <col min="4614" max="4614" width="14.5" style="311" customWidth="1"/>
    <col min="4615" max="4616" width="9.33203125" style="311"/>
    <col min="4617" max="4617" width="18.83203125" style="311" bestFit="1" customWidth="1"/>
    <col min="4618" max="4863" width="9.33203125" style="311"/>
    <col min="4864" max="4864" width="14.6640625" style="311" customWidth="1"/>
    <col min="4865" max="4865" width="49.83203125" style="311" customWidth="1"/>
    <col min="4866" max="4867" width="14.1640625" style="311" customWidth="1"/>
    <col min="4868" max="4868" width="24.83203125" style="311" customWidth="1"/>
    <col min="4869" max="4869" width="27.5" style="311" customWidth="1"/>
    <col min="4870" max="4870" width="14.5" style="311" customWidth="1"/>
    <col min="4871" max="4872" width="9.33203125" style="311"/>
    <col min="4873" max="4873" width="18.83203125" style="311" bestFit="1" customWidth="1"/>
    <col min="4874" max="5119" width="9.33203125" style="311"/>
    <col min="5120" max="5120" width="14.6640625" style="311" customWidth="1"/>
    <col min="5121" max="5121" width="49.83203125" style="311" customWidth="1"/>
    <col min="5122" max="5123" width="14.1640625" style="311" customWidth="1"/>
    <col min="5124" max="5124" width="24.83203125" style="311" customWidth="1"/>
    <col min="5125" max="5125" width="27.5" style="311" customWidth="1"/>
    <col min="5126" max="5126" width="14.5" style="311" customWidth="1"/>
    <col min="5127" max="5128" width="9.33203125" style="311"/>
    <col min="5129" max="5129" width="18.83203125" style="311" bestFit="1" customWidth="1"/>
    <col min="5130" max="5375" width="9.33203125" style="311"/>
    <col min="5376" max="5376" width="14.6640625" style="311" customWidth="1"/>
    <col min="5377" max="5377" width="49.83203125" style="311" customWidth="1"/>
    <col min="5378" max="5379" width="14.1640625" style="311" customWidth="1"/>
    <col min="5380" max="5380" width="24.83203125" style="311" customWidth="1"/>
    <col min="5381" max="5381" width="27.5" style="311" customWidth="1"/>
    <col min="5382" max="5382" width="14.5" style="311" customWidth="1"/>
    <col min="5383" max="5384" width="9.33203125" style="311"/>
    <col min="5385" max="5385" width="18.83203125" style="311" bestFit="1" customWidth="1"/>
    <col min="5386" max="5631" width="9.33203125" style="311"/>
    <col min="5632" max="5632" width="14.6640625" style="311" customWidth="1"/>
    <col min="5633" max="5633" width="49.83203125" style="311" customWidth="1"/>
    <col min="5634" max="5635" width="14.1640625" style="311" customWidth="1"/>
    <col min="5636" max="5636" width="24.83203125" style="311" customWidth="1"/>
    <col min="5637" max="5637" width="27.5" style="311" customWidth="1"/>
    <col min="5638" max="5638" width="14.5" style="311" customWidth="1"/>
    <col min="5639" max="5640" width="9.33203125" style="311"/>
    <col min="5641" max="5641" width="18.83203125" style="311" bestFit="1" customWidth="1"/>
    <col min="5642" max="5887" width="9.33203125" style="311"/>
    <col min="5888" max="5888" width="14.6640625" style="311" customWidth="1"/>
    <col min="5889" max="5889" width="49.83203125" style="311" customWidth="1"/>
    <col min="5890" max="5891" width="14.1640625" style="311" customWidth="1"/>
    <col min="5892" max="5892" width="24.83203125" style="311" customWidth="1"/>
    <col min="5893" max="5893" width="27.5" style="311" customWidth="1"/>
    <col min="5894" max="5894" width="14.5" style="311" customWidth="1"/>
    <col min="5895" max="5896" width="9.33203125" style="311"/>
    <col min="5897" max="5897" width="18.83203125" style="311" bestFit="1" customWidth="1"/>
    <col min="5898" max="6143" width="9.33203125" style="311"/>
    <col min="6144" max="6144" width="14.6640625" style="311" customWidth="1"/>
    <col min="6145" max="6145" width="49.83203125" style="311" customWidth="1"/>
    <col min="6146" max="6147" width="14.1640625" style="311" customWidth="1"/>
    <col min="6148" max="6148" width="24.83203125" style="311" customWidth="1"/>
    <col min="6149" max="6149" width="27.5" style="311" customWidth="1"/>
    <col min="6150" max="6150" width="14.5" style="311" customWidth="1"/>
    <col min="6151" max="6152" width="9.33203125" style="311"/>
    <col min="6153" max="6153" width="18.83203125" style="311" bestFit="1" customWidth="1"/>
    <col min="6154" max="6399" width="9.33203125" style="311"/>
    <col min="6400" max="6400" width="14.6640625" style="311" customWidth="1"/>
    <col min="6401" max="6401" width="49.83203125" style="311" customWidth="1"/>
    <col min="6402" max="6403" width="14.1640625" style="311" customWidth="1"/>
    <col min="6404" max="6404" width="24.83203125" style="311" customWidth="1"/>
    <col min="6405" max="6405" width="27.5" style="311" customWidth="1"/>
    <col min="6406" max="6406" width="14.5" style="311" customWidth="1"/>
    <col min="6407" max="6408" width="9.33203125" style="311"/>
    <col min="6409" max="6409" width="18.83203125" style="311" bestFit="1" customWidth="1"/>
    <col min="6410" max="6655" width="9.33203125" style="311"/>
    <col min="6656" max="6656" width="14.6640625" style="311" customWidth="1"/>
    <col min="6657" max="6657" width="49.83203125" style="311" customWidth="1"/>
    <col min="6658" max="6659" width="14.1640625" style="311" customWidth="1"/>
    <col min="6660" max="6660" width="24.83203125" style="311" customWidth="1"/>
    <col min="6661" max="6661" width="27.5" style="311" customWidth="1"/>
    <col min="6662" max="6662" width="14.5" style="311" customWidth="1"/>
    <col min="6663" max="6664" width="9.33203125" style="311"/>
    <col min="6665" max="6665" width="18.83203125" style="311" bestFit="1" customWidth="1"/>
    <col min="6666" max="6911" width="9.33203125" style="311"/>
    <col min="6912" max="6912" width="14.6640625" style="311" customWidth="1"/>
    <col min="6913" max="6913" width="49.83203125" style="311" customWidth="1"/>
    <col min="6914" max="6915" width="14.1640625" style="311" customWidth="1"/>
    <col min="6916" max="6916" width="24.83203125" style="311" customWidth="1"/>
    <col min="6917" max="6917" width="27.5" style="311" customWidth="1"/>
    <col min="6918" max="6918" width="14.5" style="311" customWidth="1"/>
    <col min="6919" max="6920" width="9.33203125" style="311"/>
    <col min="6921" max="6921" width="18.83203125" style="311" bestFit="1" customWidth="1"/>
    <col min="6922" max="7167" width="9.33203125" style="311"/>
    <col min="7168" max="7168" width="14.6640625" style="311" customWidth="1"/>
    <col min="7169" max="7169" width="49.83203125" style="311" customWidth="1"/>
    <col min="7170" max="7171" width="14.1640625" style="311" customWidth="1"/>
    <col min="7172" max="7172" width="24.83203125" style="311" customWidth="1"/>
    <col min="7173" max="7173" width="27.5" style="311" customWidth="1"/>
    <col min="7174" max="7174" width="14.5" style="311" customWidth="1"/>
    <col min="7175" max="7176" width="9.33203125" style="311"/>
    <col min="7177" max="7177" width="18.83203125" style="311" bestFit="1" customWidth="1"/>
    <col min="7178" max="7423" width="9.33203125" style="311"/>
    <col min="7424" max="7424" width="14.6640625" style="311" customWidth="1"/>
    <col min="7425" max="7425" width="49.83203125" style="311" customWidth="1"/>
    <col min="7426" max="7427" width="14.1640625" style="311" customWidth="1"/>
    <col min="7428" max="7428" width="24.83203125" style="311" customWidth="1"/>
    <col min="7429" max="7429" width="27.5" style="311" customWidth="1"/>
    <col min="7430" max="7430" width="14.5" style="311" customWidth="1"/>
    <col min="7431" max="7432" width="9.33203125" style="311"/>
    <col min="7433" max="7433" width="18.83203125" style="311" bestFit="1" customWidth="1"/>
    <col min="7434" max="7679" width="9.33203125" style="311"/>
    <col min="7680" max="7680" width="14.6640625" style="311" customWidth="1"/>
    <col min="7681" max="7681" width="49.83203125" style="311" customWidth="1"/>
    <col min="7682" max="7683" width="14.1640625" style="311" customWidth="1"/>
    <col min="7684" max="7684" width="24.83203125" style="311" customWidth="1"/>
    <col min="7685" max="7685" width="27.5" style="311" customWidth="1"/>
    <col min="7686" max="7686" width="14.5" style="311" customWidth="1"/>
    <col min="7687" max="7688" width="9.33203125" style="311"/>
    <col min="7689" max="7689" width="18.83203125" style="311" bestFit="1" customWidth="1"/>
    <col min="7690" max="7935" width="9.33203125" style="311"/>
    <col min="7936" max="7936" width="14.6640625" style="311" customWidth="1"/>
    <col min="7937" max="7937" width="49.83203125" style="311" customWidth="1"/>
    <col min="7938" max="7939" width="14.1640625" style="311" customWidth="1"/>
    <col min="7940" max="7940" width="24.83203125" style="311" customWidth="1"/>
    <col min="7941" max="7941" width="27.5" style="311" customWidth="1"/>
    <col min="7942" max="7942" width="14.5" style="311" customWidth="1"/>
    <col min="7943" max="7944" width="9.33203125" style="311"/>
    <col min="7945" max="7945" width="18.83203125" style="311" bestFit="1" customWidth="1"/>
    <col min="7946" max="8191" width="9.33203125" style="311"/>
    <col min="8192" max="8192" width="14.6640625" style="311" customWidth="1"/>
    <col min="8193" max="8193" width="49.83203125" style="311" customWidth="1"/>
    <col min="8194" max="8195" width="14.1640625" style="311" customWidth="1"/>
    <col min="8196" max="8196" width="24.83203125" style="311" customWidth="1"/>
    <col min="8197" max="8197" width="27.5" style="311" customWidth="1"/>
    <col min="8198" max="8198" width="14.5" style="311" customWidth="1"/>
    <col min="8199" max="8200" width="9.33203125" style="311"/>
    <col min="8201" max="8201" width="18.83203125" style="311" bestFit="1" customWidth="1"/>
    <col min="8202" max="8447" width="9.33203125" style="311"/>
    <col min="8448" max="8448" width="14.6640625" style="311" customWidth="1"/>
    <col min="8449" max="8449" width="49.83203125" style="311" customWidth="1"/>
    <col min="8450" max="8451" width="14.1640625" style="311" customWidth="1"/>
    <col min="8452" max="8452" width="24.83203125" style="311" customWidth="1"/>
    <col min="8453" max="8453" width="27.5" style="311" customWidth="1"/>
    <col min="8454" max="8454" width="14.5" style="311" customWidth="1"/>
    <col min="8455" max="8456" width="9.33203125" style="311"/>
    <col min="8457" max="8457" width="18.83203125" style="311" bestFit="1" customWidth="1"/>
    <col min="8458" max="8703" width="9.33203125" style="311"/>
    <col min="8704" max="8704" width="14.6640625" style="311" customWidth="1"/>
    <col min="8705" max="8705" width="49.83203125" style="311" customWidth="1"/>
    <col min="8706" max="8707" width="14.1640625" style="311" customWidth="1"/>
    <col min="8708" max="8708" width="24.83203125" style="311" customWidth="1"/>
    <col min="8709" max="8709" width="27.5" style="311" customWidth="1"/>
    <col min="8710" max="8710" width="14.5" style="311" customWidth="1"/>
    <col min="8711" max="8712" width="9.33203125" style="311"/>
    <col min="8713" max="8713" width="18.83203125" style="311" bestFit="1" customWidth="1"/>
    <col min="8714" max="8959" width="9.33203125" style="311"/>
    <col min="8960" max="8960" width="14.6640625" style="311" customWidth="1"/>
    <col min="8961" max="8961" width="49.83203125" style="311" customWidth="1"/>
    <col min="8962" max="8963" width="14.1640625" style="311" customWidth="1"/>
    <col min="8964" max="8964" width="24.83203125" style="311" customWidth="1"/>
    <col min="8965" max="8965" width="27.5" style="311" customWidth="1"/>
    <col min="8966" max="8966" width="14.5" style="311" customWidth="1"/>
    <col min="8967" max="8968" width="9.33203125" style="311"/>
    <col min="8969" max="8969" width="18.83203125" style="311" bestFit="1" customWidth="1"/>
    <col min="8970" max="9215" width="9.33203125" style="311"/>
    <col min="9216" max="9216" width="14.6640625" style="311" customWidth="1"/>
    <col min="9217" max="9217" width="49.83203125" style="311" customWidth="1"/>
    <col min="9218" max="9219" width="14.1640625" style="311" customWidth="1"/>
    <col min="9220" max="9220" width="24.83203125" style="311" customWidth="1"/>
    <col min="9221" max="9221" width="27.5" style="311" customWidth="1"/>
    <col min="9222" max="9222" width="14.5" style="311" customWidth="1"/>
    <col min="9223" max="9224" width="9.33203125" style="311"/>
    <col min="9225" max="9225" width="18.83203125" style="311" bestFit="1" customWidth="1"/>
    <col min="9226" max="9471" width="9.33203125" style="311"/>
    <col min="9472" max="9472" width="14.6640625" style="311" customWidth="1"/>
    <col min="9473" max="9473" width="49.83203125" style="311" customWidth="1"/>
    <col min="9474" max="9475" width="14.1640625" style="311" customWidth="1"/>
    <col min="9476" max="9476" width="24.83203125" style="311" customWidth="1"/>
    <col min="9477" max="9477" width="27.5" style="311" customWidth="1"/>
    <col min="9478" max="9478" width="14.5" style="311" customWidth="1"/>
    <col min="9479" max="9480" width="9.33203125" style="311"/>
    <col min="9481" max="9481" width="18.83203125" style="311" bestFit="1" customWidth="1"/>
    <col min="9482" max="9727" width="9.33203125" style="311"/>
    <col min="9728" max="9728" width="14.6640625" style="311" customWidth="1"/>
    <col min="9729" max="9729" width="49.83203125" style="311" customWidth="1"/>
    <col min="9730" max="9731" width="14.1640625" style="311" customWidth="1"/>
    <col min="9732" max="9732" width="24.83203125" style="311" customWidth="1"/>
    <col min="9733" max="9733" width="27.5" style="311" customWidth="1"/>
    <col min="9734" max="9734" width="14.5" style="311" customWidth="1"/>
    <col min="9735" max="9736" width="9.33203125" style="311"/>
    <col min="9737" max="9737" width="18.83203125" style="311" bestFit="1" customWidth="1"/>
    <col min="9738" max="9983" width="9.33203125" style="311"/>
    <col min="9984" max="9984" width="14.6640625" style="311" customWidth="1"/>
    <col min="9985" max="9985" width="49.83203125" style="311" customWidth="1"/>
    <col min="9986" max="9987" width="14.1640625" style="311" customWidth="1"/>
    <col min="9988" max="9988" width="24.83203125" style="311" customWidth="1"/>
    <col min="9989" max="9989" width="27.5" style="311" customWidth="1"/>
    <col min="9990" max="9990" width="14.5" style="311" customWidth="1"/>
    <col min="9991" max="9992" width="9.33203125" style="311"/>
    <col min="9993" max="9993" width="18.83203125" style="311" bestFit="1" customWidth="1"/>
    <col min="9994" max="10239" width="9.33203125" style="311"/>
    <col min="10240" max="10240" width="14.6640625" style="311" customWidth="1"/>
    <col min="10241" max="10241" width="49.83203125" style="311" customWidth="1"/>
    <col min="10242" max="10243" width="14.1640625" style="311" customWidth="1"/>
    <col min="10244" max="10244" width="24.83203125" style="311" customWidth="1"/>
    <col min="10245" max="10245" width="27.5" style="311" customWidth="1"/>
    <col min="10246" max="10246" width="14.5" style="311" customWidth="1"/>
    <col min="10247" max="10248" width="9.33203125" style="311"/>
    <col min="10249" max="10249" width="18.83203125" style="311" bestFit="1" customWidth="1"/>
    <col min="10250" max="10495" width="9.33203125" style="311"/>
    <col min="10496" max="10496" width="14.6640625" style="311" customWidth="1"/>
    <col min="10497" max="10497" width="49.83203125" style="311" customWidth="1"/>
    <col min="10498" max="10499" width="14.1640625" style="311" customWidth="1"/>
    <col min="10500" max="10500" width="24.83203125" style="311" customWidth="1"/>
    <col min="10501" max="10501" width="27.5" style="311" customWidth="1"/>
    <col min="10502" max="10502" width="14.5" style="311" customWidth="1"/>
    <col min="10503" max="10504" width="9.33203125" style="311"/>
    <col min="10505" max="10505" width="18.83203125" style="311" bestFit="1" customWidth="1"/>
    <col min="10506" max="10751" width="9.33203125" style="311"/>
    <col min="10752" max="10752" width="14.6640625" style="311" customWidth="1"/>
    <col min="10753" max="10753" width="49.83203125" style="311" customWidth="1"/>
    <col min="10754" max="10755" width="14.1640625" style="311" customWidth="1"/>
    <col min="10756" max="10756" width="24.83203125" style="311" customWidth="1"/>
    <col min="10757" max="10757" width="27.5" style="311" customWidth="1"/>
    <col min="10758" max="10758" width="14.5" style="311" customWidth="1"/>
    <col min="10759" max="10760" width="9.33203125" style="311"/>
    <col min="10761" max="10761" width="18.83203125" style="311" bestFit="1" customWidth="1"/>
    <col min="10762" max="11007" width="9.33203125" style="311"/>
    <col min="11008" max="11008" width="14.6640625" style="311" customWidth="1"/>
    <col min="11009" max="11009" width="49.83203125" style="311" customWidth="1"/>
    <col min="11010" max="11011" width="14.1640625" style="311" customWidth="1"/>
    <col min="11012" max="11012" width="24.83203125" style="311" customWidth="1"/>
    <col min="11013" max="11013" width="27.5" style="311" customWidth="1"/>
    <col min="11014" max="11014" width="14.5" style="311" customWidth="1"/>
    <col min="11015" max="11016" width="9.33203125" style="311"/>
    <col min="11017" max="11017" width="18.83203125" style="311" bestFit="1" customWidth="1"/>
    <col min="11018" max="11263" width="9.33203125" style="311"/>
    <col min="11264" max="11264" width="14.6640625" style="311" customWidth="1"/>
    <col min="11265" max="11265" width="49.83203125" style="311" customWidth="1"/>
    <col min="11266" max="11267" width="14.1640625" style="311" customWidth="1"/>
    <col min="11268" max="11268" width="24.83203125" style="311" customWidth="1"/>
    <col min="11269" max="11269" width="27.5" style="311" customWidth="1"/>
    <col min="11270" max="11270" width="14.5" style="311" customWidth="1"/>
    <col min="11271" max="11272" width="9.33203125" style="311"/>
    <col min="11273" max="11273" width="18.83203125" style="311" bestFit="1" customWidth="1"/>
    <col min="11274" max="11519" width="9.33203125" style="311"/>
    <col min="11520" max="11520" width="14.6640625" style="311" customWidth="1"/>
    <col min="11521" max="11521" width="49.83203125" style="311" customWidth="1"/>
    <col min="11522" max="11523" width="14.1640625" style="311" customWidth="1"/>
    <col min="11524" max="11524" width="24.83203125" style="311" customWidth="1"/>
    <col min="11525" max="11525" width="27.5" style="311" customWidth="1"/>
    <col min="11526" max="11526" width="14.5" style="311" customWidth="1"/>
    <col min="11527" max="11528" width="9.33203125" style="311"/>
    <col min="11529" max="11529" width="18.83203125" style="311" bestFit="1" customWidth="1"/>
    <col min="11530" max="11775" width="9.33203125" style="311"/>
    <col min="11776" max="11776" width="14.6640625" style="311" customWidth="1"/>
    <col min="11777" max="11777" width="49.83203125" style="311" customWidth="1"/>
    <col min="11778" max="11779" width="14.1640625" style="311" customWidth="1"/>
    <col min="11780" max="11780" width="24.83203125" style="311" customWidth="1"/>
    <col min="11781" max="11781" width="27.5" style="311" customWidth="1"/>
    <col min="11782" max="11782" width="14.5" style="311" customWidth="1"/>
    <col min="11783" max="11784" width="9.33203125" style="311"/>
    <col min="11785" max="11785" width="18.83203125" style="311" bestFit="1" customWidth="1"/>
    <col min="11786" max="12031" width="9.33203125" style="311"/>
    <col min="12032" max="12032" width="14.6640625" style="311" customWidth="1"/>
    <col min="12033" max="12033" width="49.83203125" style="311" customWidth="1"/>
    <col min="12034" max="12035" width="14.1640625" style="311" customWidth="1"/>
    <col min="12036" max="12036" width="24.83203125" style="311" customWidth="1"/>
    <col min="12037" max="12037" width="27.5" style="311" customWidth="1"/>
    <col min="12038" max="12038" width="14.5" style="311" customWidth="1"/>
    <col min="12039" max="12040" width="9.33203125" style="311"/>
    <col min="12041" max="12041" width="18.83203125" style="311" bestFit="1" customWidth="1"/>
    <col min="12042" max="12287" width="9.33203125" style="311"/>
    <col min="12288" max="12288" width="14.6640625" style="311" customWidth="1"/>
    <col min="12289" max="12289" width="49.83203125" style="311" customWidth="1"/>
    <col min="12290" max="12291" width="14.1640625" style="311" customWidth="1"/>
    <col min="12292" max="12292" width="24.83203125" style="311" customWidth="1"/>
    <col min="12293" max="12293" width="27.5" style="311" customWidth="1"/>
    <col min="12294" max="12294" width="14.5" style="311" customWidth="1"/>
    <col min="12295" max="12296" width="9.33203125" style="311"/>
    <col min="12297" max="12297" width="18.83203125" style="311" bestFit="1" customWidth="1"/>
    <col min="12298" max="12543" width="9.33203125" style="311"/>
    <col min="12544" max="12544" width="14.6640625" style="311" customWidth="1"/>
    <col min="12545" max="12545" width="49.83203125" style="311" customWidth="1"/>
    <col min="12546" max="12547" width="14.1640625" style="311" customWidth="1"/>
    <col min="12548" max="12548" width="24.83203125" style="311" customWidth="1"/>
    <col min="12549" max="12549" width="27.5" style="311" customWidth="1"/>
    <col min="12550" max="12550" width="14.5" style="311" customWidth="1"/>
    <col min="12551" max="12552" width="9.33203125" style="311"/>
    <col min="12553" max="12553" width="18.83203125" style="311" bestFit="1" customWidth="1"/>
    <col min="12554" max="12799" width="9.33203125" style="311"/>
    <col min="12800" max="12800" width="14.6640625" style="311" customWidth="1"/>
    <col min="12801" max="12801" width="49.83203125" style="311" customWidth="1"/>
    <col min="12802" max="12803" width="14.1640625" style="311" customWidth="1"/>
    <col min="12804" max="12804" width="24.83203125" style="311" customWidth="1"/>
    <col min="12805" max="12805" width="27.5" style="311" customWidth="1"/>
    <col min="12806" max="12806" width="14.5" style="311" customWidth="1"/>
    <col min="12807" max="12808" width="9.33203125" style="311"/>
    <col min="12809" max="12809" width="18.83203125" style="311" bestFit="1" customWidth="1"/>
    <col min="12810" max="13055" width="9.33203125" style="311"/>
    <col min="13056" max="13056" width="14.6640625" style="311" customWidth="1"/>
    <col min="13057" max="13057" width="49.83203125" style="311" customWidth="1"/>
    <col min="13058" max="13059" width="14.1640625" style="311" customWidth="1"/>
    <col min="13060" max="13060" width="24.83203125" style="311" customWidth="1"/>
    <col min="13061" max="13061" width="27.5" style="311" customWidth="1"/>
    <col min="13062" max="13062" width="14.5" style="311" customWidth="1"/>
    <col min="13063" max="13064" width="9.33203125" style="311"/>
    <col min="13065" max="13065" width="18.83203125" style="311" bestFit="1" customWidth="1"/>
    <col min="13066" max="13311" width="9.33203125" style="311"/>
    <col min="13312" max="13312" width="14.6640625" style="311" customWidth="1"/>
    <col min="13313" max="13313" width="49.83203125" style="311" customWidth="1"/>
    <col min="13314" max="13315" width="14.1640625" style="311" customWidth="1"/>
    <col min="13316" max="13316" width="24.83203125" style="311" customWidth="1"/>
    <col min="13317" max="13317" width="27.5" style="311" customWidth="1"/>
    <col min="13318" max="13318" width="14.5" style="311" customWidth="1"/>
    <col min="13319" max="13320" width="9.33203125" style="311"/>
    <col min="13321" max="13321" width="18.83203125" style="311" bestFit="1" customWidth="1"/>
    <col min="13322" max="13567" width="9.33203125" style="311"/>
    <col min="13568" max="13568" width="14.6640625" style="311" customWidth="1"/>
    <col min="13569" max="13569" width="49.83203125" style="311" customWidth="1"/>
    <col min="13570" max="13571" width="14.1640625" style="311" customWidth="1"/>
    <col min="13572" max="13572" width="24.83203125" style="311" customWidth="1"/>
    <col min="13573" max="13573" width="27.5" style="311" customWidth="1"/>
    <col min="13574" max="13574" width="14.5" style="311" customWidth="1"/>
    <col min="13575" max="13576" width="9.33203125" style="311"/>
    <col min="13577" max="13577" width="18.83203125" style="311" bestFit="1" customWidth="1"/>
    <col min="13578" max="13823" width="9.33203125" style="311"/>
    <col min="13824" max="13824" width="14.6640625" style="311" customWidth="1"/>
    <col min="13825" max="13825" width="49.83203125" style="311" customWidth="1"/>
    <col min="13826" max="13827" width="14.1640625" style="311" customWidth="1"/>
    <col min="13828" max="13828" width="24.83203125" style="311" customWidth="1"/>
    <col min="13829" max="13829" width="27.5" style="311" customWidth="1"/>
    <col min="13830" max="13830" width="14.5" style="311" customWidth="1"/>
    <col min="13831" max="13832" width="9.33203125" style="311"/>
    <col min="13833" max="13833" width="18.83203125" style="311" bestFit="1" customWidth="1"/>
    <col min="13834" max="14079" width="9.33203125" style="311"/>
    <col min="14080" max="14080" width="14.6640625" style="311" customWidth="1"/>
    <col min="14081" max="14081" width="49.83203125" style="311" customWidth="1"/>
    <col min="14082" max="14083" width="14.1640625" style="311" customWidth="1"/>
    <col min="14084" max="14084" width="24.83203125" style="311" customWidth="1"/>
    <col min="14085" max="14085" width="27.5" style="311" customWidth="1"/>
    <col min="14086" max="14086" width="14.5" style="311" customWidth="1"/>
    <col min="14087" max="14088" width="9.33203125" style="311"/>
    <col min="14089" max="14089" width="18.83203125" style="311" bestFit="1" customWidth="1"/>
    <col min="14090" max="14335" width="9.33203125" style="311"/>
    <col min="14336" max="14336" width="14.6640625" style="311" customWidth="1"/>
    <col min="14337" max="14337" width="49.83203125" style="311" customWidth="1"/>
    <col min="14338" max="14339" width="14.1640625" style="311" customWidth="1"/>
    <col min="14340" max="14340" width="24.83203125" style="311" customWidth="1"/>
    <col min="14341" max="14341" width="27.5" style="311" customWidth="1"/>
    <col min="14342" max="14342" width="14.5" style="311" customWidth="1"/>
    <col min="14343" max="14344" width="9.33203125" style="311"/>
    <col min="14345" max="14345" width="18.83203125" style="311" bestFit="1" customWidth="1"/>
    <col min="14346" max="14591" width="9.33203125" style="311"/>
    <col min="14592" max="14592" width="14.6640625" style="311" customWidth="1"/>
    <col min="14593" max="14593" width="49.83203125" style="311" customWidth="1"/>
    <col min="14594" max="14595" width="14.1640625" style="311" customWidth="1"/>
    <col min="14596" max="14596" width="24.83203125" style="311" customWidth="1"/>
    <col min="14597" max="14597" width="27.5" style="311" customWidth="1"/>
    <col min="14598" max="14598" width="14.5" style="311" customWidth="1"/>
    <col min="14599" max="14600" width="9.33203125" style="311"/>
    <col min="14601" max="14601" width="18.83203125" style="311" bestFit="1" customWidth="1"/>
    <col min="14602" max="14847" width="9.33203125" style="311"/>
    <col min="14848" max="14848" width="14.6640625" style="311" customWidth="1"/>
    <col min="14849" max="14849" width="49.83203125" style="311" customWidth="1"/>
    <col min="14850" max="14851" width="14.1640625" style="311" customWidth="1"/>
    <col min="14852" max="14852" width="24.83203125" style="311" customWidth="1"/>
    <col min="14853" max="14853" width="27.5" style="311" customWidth="1"/>
    <col min="14854" max="14854" width="14.5" style="311" customWidth="1"/>
    <col min="14855" max="14856" width="9.33203125" style="311"/>
    <col min="14857" max="14857" width="18.83203125" style="311" bestFit="1" customWidth="1"/>
    <col min="14858" max="15103" width="9.33203125" style="311"/>
    <col min="15104" max="15104" width="14.6640625" style="311" customWidth="1"/>
    <col min="15105" max="15105" width="49.83203125" style="311" customWidth="1"/>
    <col min="15106" max="15107" width="14.1640625" style="311" customWidth="1"/>
    <col min="15108" max="15108" width="24.83203125" style="311" customWidth="1"/>
    <col min="15109" max="15109" width="27.5" style="311" customWidth="1"/>
    <col min="15110" max="15110" width="14.5" style="311" customWidth="1"/>
    <col min="15111" max="15112" width="9.33203125" style="311"/>
    <col min="15113" max="15113" width="18.83203125" style="311" bestFit="1" customWidth="1"/>
    <col min="15114" max="15359" width="9.33203125" style="311"/>
    <col min="15360" max="15360" width="14.6640625" style="311" customWidth="1"/>
    <col min="15361" max="15361" width="49.83203125" style="311" customWidth="1"/>
    <col min="15362" max="15363" width="14.1640625" style="311" customWidth="1"/>
    <col min="15364" max="15364" width="24.83203125" style="311" customWidth="1"/>
    <col min="15365" max="15365" width="27.5" style="311" customWidth="1"/>
    <col min="15366" max="15366" width="14.5" style="311" customWidth="1"/>
    <col min="15367" max="15368" width="9.33203125" style="311"/>
    <col min="15369" max="15369" width="18.83203125" style="311" bestFit="1" customWidth="1"/>
    <col min="15370" max="15615" width="9.33203125" style="311"/>
    <col min="15616" max="15616" width="14.6640625" style="311" customWidth="1"/>
    <col min="15617" max="15617" width="49.83203125" style="311" customWidth="1"/>
    <col min="15618" max="15619" width="14.1640625" style="311" customWidth="1"/>
    <col min="15620" max="15620" width="24.83203125" style="311" customWidth="1"/>
    <col min="15621" max="15621" width="27.5" style="311" customWidth="1"/>
    <col min="15622" max="15622" width="14.5" style="311" customWidth="1"/>
    <col min="15623" max="15624" width="9.33203125" style="311"/>
    <col min="15625" max="15625" width="18.83203125" style="311" bestFit="1" customWidth="1"/>
    <col min="15626" max="15871" width="9.33203125" style="311"/>
    <col min="15872" max="15872" width="14.6640625" style="311" customWidth="1"/>
    <col min="15873" max="15873" width="49.83203125" style="311" customWidth="1"/>
    <col min="15874" max="15875" width="14.1640625" style="311" customWidth="1"/>
    <col min="15876" max="15876" width="24.83203125" style="311" customWidth="1"/>
    <col min="15877" max="15877" width="27.5" style="311" customWidth="1"/>
    <col min="15878" max="15878" width="14.5" style="311" customWidth="1"/>
    <col min="15879" max="15880" width="9.33203125" style="311"/>
    <col min="15881" max="15881" width="18.83203125" style="311" bestFit="1" customWidth="1"/>
    <col min="15882" max="16127" width="9.33203125" style="311"/>
    <col min="16128" max="16128" width="14.6640625" style="311" customWidth="1"/>
    <col min="16129" max="16129" width="49.83203125" style="311" customWidth="1"/>
    <col min="16130" max="16131" width="14.1640625" style="311" customWidth="1"/>
    <col min="16132" max="16132" width="24.83203125" style="311" customWidth="1"/>
    <col min="16133" max="16133" width="27.5" style="311" customWidth="1"/>
    <col min="16134" max="16134" width="14.5" style="311" customWidth="1"/>
    <col min="16135" max="16136" width="9.33203125" style="311"/>
    <col min="16137" max="16137" width="18.83203125" style="311" bestFit="1" customWidth="1"/>
    <col min="16138" max="16384" width="9.33203125" style="311"/>
  </cols>
  <sheetData>
    <row r="1" spans="1:31" ht="24.95" customHeight="1">
      <c r="A1" s="307"/>
      <c r="B1" s="308"/>
      <c r="C1" s="308"/>
      <c r="D1" s="308"/>
      <c r="E1" s="308"/>
      <c r="F1" s="308"/>
      <c r="G1" s="309"/>
      <c r="H1" s="310"/>
      <c r="I1" s="310"/>
      <c r="J1" s="310"/>
      <c r="K1" s="310"/>
      <c r="L1" s="310"/>
      <c r="M1" s="310"/>
      <c r="N1" s="326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</row>
    <row r="2" spans="1:31" ht="24.95" customHeight="1">
      <c r="A2" s="312"/>
      <c r="B2" s="313" t="s">
        <v>6585</v>
      </c>
      <c r="C2" s="314"/>
      <c r="D2" s="314"/>
      <c r="E2" s="314"/>
      <c r="F2" s="314"/>
      <c r="G2" s="315"/>
      <c r="H2" s="310"/>
      <c r="I2" s="310"/>
      <c r="J2" s="310"/>
      <c r="K2" s="310"/>
      <c r="L2" s="310"/>
      <c r="M2" s="310"/>
      <c r="N2" s="326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</row>
    <row r="3" spans="1:31" ht="24.95" customHeight="1">
      <c r="A3" s="312"/>
      <c r="B3" s="314"/>
      <c r="C3" s="314"/>
      <c r="D3" s="314"/>
      <c r="E3" s="314"/>
      <c r="F3" s="314"/>
      <c r="G3" s="315"/>
      <c r="H3" s="310"/>
      <c r="I3" s="310"/>
      <c r="J3" s="310"/>
      <c r="K3" s="310"/>
      <c r="L3" s="310"/>
      <c r="M3" s="310"/>
      <c r="N3" s="326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</row>
    <row r="4" spans="1:31" ht="24.95" customHeight="1">
      <c r="A4" s="312"/>
      <c r="B4" s="314"/>
      <c r="C4" s="314"/>
      <c r="D4" s="314"/>
      <c r="E4" s="361" t="s">
        <v>6612</v>
      </c>
      <c r="F4" s="317" t="s">
        <v>6613</v>
      </c>
      <c r="G4" s="362" t="s">
        <v>6614</v>
      </c>
      <c r="H4" s="310"/>
      <c r="I4" s="310"/>
      <c r="J4" s="310"/>
      <c r="K4" s="310"/>
      <c r="L4" s="310"/>
      <c r="M4" s="310"/>
      <c r="N4" s="326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</row>
    <row r="5" spans="1:31" ht="24.95" customHeight="1">
      <c r="A5" s="312"/>
      <c r="B5" s="314"/>
      <c r="C5" s="314"/>
      <c r="D5" s="314"/>
      <c r="E5" s="314"/>
      <c r="F5" s="314"/>
      <c r="G5" s="315"/>
      <c r="H5" s="310"/>
      <c r="I5" s="310"/>
      <c r="J5" s="310"/>
      <c r="K5" s="310"/>
      <c r="L5" s="310"/>
      <c r="M5" s="310"/>
      <c r="N5" s="326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</row>
    <row r="6" spans="1:31" ht="24.95" customHeight="1">
      <c r="A6" s="312"/>
      <c r="B6" s="314"/>
      <c r="C6" s="314"/>
      <c r="D6" s="314"/>
      <c r="E6" s="314"/>
      <c r="F6" s="314"/>
      <c r="G6" s="315"/>
      <c r="H6" s="310"/>
      <c r="I6" s="310"/>
      <c r="J6" s="310"/>
      <c r="K6" s="310"/>
      <c r="L6" s="310"/>
      <c r="M6" s="310"/>
      <c r="N6" s="326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  <c r="AD6" s="310"/>
      <c r="AE6" s="310"/>
    </row>
    <row r="7" spans="1:31" ht="24.95" customHeight="1">
      <c r="A7" s="312"/>
      <c r="B7" s="314"/>
      <c r="C7" s="314"/>
      <c r="D7" s="314"/>
      <c r="E7" s="314"/>
      <c r="F7" s="314"/>
      <c r="G7" s="315"/>
      <c r="H7" s="310"/>
      <c r="I7" s="310"/>
      <c r="J7" s="310"/>
      <c r="K7" s="310"/>
      <c r="L7" s="310"/>
      <c r="M7" s="310"/>
      <c r="N7" s="326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</row>
    <row r="8" spans="1:31" ht="24.95" customHeight="1">
      <c r="A8" s="312"/>
      <c r="B8" s="314"/>
      <c r="C8" s="314"/>
      <c r="D8" s="314"/>
      <c r="E8" s="314"/>
      <c r="F8" s="314"/>
      <c r="G8" s="315"/>
      <c r="H8" s="310"/>
      <c r="I8" s="310"/>
      <c r="J8" s="310"/>
      <c r="K8" s="310"/>
      <c r="L8" s="310"/>
      <c r="M8" s="310"/>
      <c r="N8" s="326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</row>
    <row r="9" spans="1:31" ht="24.95" customHeight="1">
      <c r="A9" s="368" t="s">
        <v>6611</v>
      </c>
      <c r="B9" s="369"/>
      <c r="C9" s="369"/>
      <c r="D9" s="369"/>
      <c r="E9" s="369"/>
      <c r="F9" s="369"/>
      <c r="G9" s="370"/>
      <c r="H9" s="310"/>
      <c r="I9" s="310"/>
      <c r="J9" s="310"/>
      <c r="K9" s="310"/>
      <c r="L9" s="310"/>
      <c r="M9" s="310"/>
      <c r="N9" s="326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</row>
    <row r="10" spans="1:31" ht="24.95" customHeight="1">
      <c r="A10" s="354"/>
      <c r="B10" s="355"/>
      <c r="C10" s="355"/>
      <c r="D10" s="355"/>
      <c r="E10" s="355"/>
      <c r="F10" s="355"/>
      <c r="G10" s="356"/>
      <c r="H10" s="310"/>
      <c r="I10" s="310"/>
      <c r="J10" s="310"/>
      <c r="K10" s="310"/>
      <c r="L10" s="310"/>
      <c r="M10" s="310"/>
      <c r="N10" s="326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  <c r="AC10" s="310"/>
      <c r="AD10" s="310"/>
      <c r="AE10" s="310"/>
    </row>
    <row r="11" spans="1:31" ht="24.95" customHeight="1">
      <c r="A11" s="312"/>
      <c r="B11" s="316"/>
      <c r="C11" s="314"/>
      <c r="D11" s="314"/>
      <c r="E11" s="317" t="s">
        <v>6608</v>
      </c>
      <c r="F11" s="318">
        <f>F14+F15</f>
        <v>1433893000</v>
      </c>
      <c r="G11" s="315"/>
      <c r="H11" s="310"/>
      <c r="I11" s="310"/>
      <c r="J11" s="310"/>
      <c r="K11" s="310"/>
      <c r="L11" s="325">
        <v>1466520000</v>
      </c>
      <c r="M11" s="310" t="s">
        <v>6597</v>
      </c>
      <c r="N11" s="326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0"/>
    </row>
    <row r="12" spans="1:31" ht="24.95" customHeight="1" thickBot="1">
      <c r="A12" s="312"/>
      <c r="B12" s="314"/>
      <c r="C12" s="314"/>
      <c r="D12" s="314"/>
      <c r="E12" s="357"/>
      <c r="F12" s="357"/>
      <c r="G12" s="315"/>
      <c r="H12" s="310"/>
      <c r="I12" s="310"/>
      <c r="J12" s="310"/>
      <c r="K12" s="310"/>
      <c r="L12" s="325">
        <v>146652000</v>
      </c>
      <c r="M12" s="310" t="s">
        <v>6598</v>
      </c>
      <c r="N12" s="326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</row>
    <row r="13" spans="1:31" ht="24.95" customHeight="1">
      <c r="A13" s="312"/>
      <c r="B13" s="314"/>
      <c r="C13" s="314"/>
      <c r="D13" s="314"/>
      <c r="E13" s="319" t="s">
        <v>6578</v>
      </c>
      <c r="F13" s="320" t="s">
        <v>6579</v>
      </c>
      <c r="G13" s="315"/>
      <c r="H13" s="310"/>
      <c r="I13" s="310" t="s">
        <v>6580</v>
      </c>
      <c r="J13" s="310">
        <v>1613172000</v>
      </c>
      <c r="K13" s="310"/>
      <c r="L13" s="325">
        <f>L12+L11</f>
        <v>1613172000</v>
      </c>
      <c r="M13" s="310" t="s">
        <v>6587</v>
      </c>
      <c r="N13" s="326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</row>
    <row r="14" spans="1:31" ht="24.95" customHeight="1">
      <c r="A14" s="312"/>
      <c r="B14" s="314"/>
      <c r="C14" s="314"/>
      <c r="D14" s="314"/>
      <c r="E14" s="321" t="s">
        <v>6609</v>
      </c>
      <c r="F14" s="322">
        <f>'원가계산서(양지사)'!D29</f>
        <v>1303539091</v>
      </c>
      <c r="G14" s="315"/>
      <c r="H14" s="310"/>
      <c r="I14" s="310" t="s">
        <v>6581</v>
      </c>
      <c r="J14" s="310">
        <v>1440443356</v>
      </c>
      <c r="K14" s="310"/>
      <c r="L14" s="325">
        <f>INT(L15*1.1)</f>
        <v>1440443356</v>
      </c>
      <c r="M14" s="310" t="s">
        <v>6599</v>
      </c>
      <c r="N14" s="326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  <c r="AC14" s="310"/>
      <c r="AD14" s="310"/>
      <c r="AE14" s="310"/>
    </row>
    <row r="15" spans="1:31" ht="24.95" customHeight="1" thickBot="1">
      <c r="A15" s="312"/>
      <c r="B15" s="314"/>
      <c r="C15" s="314"/>
      <c r="D15" s="314"/>
      <c r="E15" s="323" t="s">
        <v>6582</v>
      </c>
      <c r="F15" s="324">
        <f>'원가계산서(양지사)'!D30</f>
        <v>130353909</v>
      </c>
      <c r="G15" s="315"/>
      <c r="H15" s="310"/>
      <c r="I15" s="310"/>
      <c r="J15" s="310">
        <v>1309493960</v>
      </c>
      <c r="K15" s="310"/>
      <c r="L15" s="325">
        <v>1309493960</v>
      </c>
      <c r="M15" s="310" t="s">
        <v>6600</v>
      </c>
      <c r="N15" s="326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  <c r="AC15" s="310"/>
      <c r="AD15" s="310"/>
      <c r="AE15" s="310"/>
    </row>
    <row r="16" spans="1:31" ht="24.95" customHeight="1" thickBot="1">
      <c r="A16" s="358"/>
      <c r="B16" s="359"/>
      <c r="C16" s="359"/>
      <c r="D16" s="359"/>
      <c r="E16" s="359"/>
      <c r="F16" s="359"/>
      <c r="G16" s="360"/>
      <c r="H16" s="310"/>
      <c r="I16" s="310" t="s">
        <v>6583</v>
      </c>
      <c r="J16" s="310">
        <v>1440443356</v>
      </c>
      <c r="K16" s="310"/>
      <c r="L16" s="310"/>
      <c r="M16" s="310"/>
      <c r="N16" s="326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</row>
    <row r="17" spans="1:31" ht="23.1" customHeight="1">
      <c r="A17" s="310"/>
      <c r="B17" s="310"/>
      <c r="C17" s="310"/>
      <c r="D17" s="310"/>
      <c r="E17" s="310"/>
      <c r="F17" s="310"/>
      <c r="G17" s="310"/>
      <c r="H17" s="310"/>
      <c r="I17" s="310" t="s">
        <v>6584</v>
      </c>
      <c r="J17" s="310"/>
      <c r="K17" s="310"/>
      <c r="L17" s="310"/>
      <c r="M17" s="310"/>
      <c r="N17" s="326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</row>
    <row r="18" spans="1:31" ht="23.1" customHeight="1">
      <c r="A18" s="310"/>
      <c r="B18" s="310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26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10"/>
      <c r="AE18" s="310"/>
    </row>
    <row r="19" spans="1:31" ht="23.1" customHeight="1">
      <c r="A19" s="310"/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26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  <c r="AB19" s="310"/>
      <c r="AC19" s="310"/>
      <c r="AD19" s="310"/>
      <c r="AE19" s="310"/>
    </row>
    <row r="20" spans="1:31" ht="23.1" customHeight="1">
      <c r="A20" s="310"/>
      <c r="B20" s="310"/>
      <c r="C20" s="310"/>
      <c r="D20" s="310"/>
      <c r="E20" s="310"/>
      <c r="F20" s="310"/>
      <c r="G20" s="310"/>
      <c r="H20" s="371" t="s">
        <v>6596</v>
      </c>
      <c r="I20" s="373" t="s">
        <v>6586</v>
      </c>
      <c r="J20" s="328" t="s">
        <v>6590</v>
      </c>
      <c r="K20" s="329">
        <v>5976106</v>
      </c>
      <c r="M20" s="310"/>
      <c r="N20" s="332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  <c r="AB20" s="310"/>
      <c r="AC20" s="310"/>
      <c r="AD20" s="310"/>
      <c r="AE20" s="310"/>
    </row>
    <row r="21" spans="1:31" ht="23.1" customHeight="1">
      <c r="A21" s="310"/>
      <c r="B21" s="310"/>
      <c r="C21" s="310"/>
      <c r="D21" s="310"/>
      <c r="E21" s="310"/>
      <c r="F21" s="310"/>
      <c r="G21" s="310"/>
      <c r="H21" s="372"/>
      <c r="I21" s="374"/>
      <c r="J21" s="328" t="s">
        <v>6589</v>
      </c>
      <c r="K21" s="329">
        <v>4522968</v>
      </c>
      <c r="M21" s="342"/>
      <c r="N21" s="332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</row>
    <row r="22" spans="1:31" ht="23.1" customHeight="1">
      <c r="A22" s="310"/>
      <c r="B22" s="310"/>
      <c r="C22" s="310"/>
      <c r="D22" s="310"/>
      <c r="E22" s="310"/>
      <c r="F22" s="310"/>
      <c r="G22" s="310"/>
      <c r="H22" s="372"/>
      <c r="I22" s="374"/>
      <c r="J22" s="328" t="s">
        <v>6591</v>
      </c>
      <c r="K22" s="329">
        <v>594316</v>
      </c>
      <c r="M22" s="342"/>
      <c r="N22" s="332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0"/>
      <c r="AD22" s="310"/>
      <c r="AE22" s="310"/>
    </row>
    <row r="23" spans="1:31" ht="23.1" customHeight="1">
      <c r="A23" s="310"/>
      <c r="B23" s="310"/>
      <c r="C23" s="310"/>
      <c r="D23" s="310"/>
      <c r="E23" s="310"/>
      <c r="F23" s="310"/>
      <c r="G23" s="310"/>
      <c r="H23" s="372"/>
      <c r="I23" s="374"/>
      <c r="J23" s="328" t="s">
        <v>6592</v>
      </c>
      <c r="K23" s="329">
        <v>2893693</v>
      </c>
      <c r="M23" s="342"/>
      <c r="N23" s="332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</row>
    <row r="24" spans="1:31" ht="23.1" customHeight="1">
      <c r="A24" s="310"/>
      <c r="B24" s="310"/>
      <c r="C24" s="310"/>
      <c r="F24" s="310"/>
      <c r="G24" s="310"/>
      <c r="H24" s="372"/>
      <c r="I24" s="374"/>
      <c r="J24" s="328" t="s">
        <v>6593</v>
      </c>
      <c r="K24" s="329">
        <v>30446538</v>
      </c>
      <c r="M24" s="342"/>
      <c r="N24" s="332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</row>
    <row r="25" spans="1:31" ht="23.1" customHeight="1">
      <c r="A25" s="310"/>
      <c r="B25" s="310"/>
      <c r="C25" s="310"/>
      <c r="D25" s="310"/>
      <c r="E25" s="310"/>
      <c r="F25" s="310"/>
      <c r="G25" s="310"/>
      <c r="H25" s="372"/>
      <c r="I25" s="374"/>
      <c r="J25" s="328" t="s">
        <v>6594</v>
      </c>
      <c r="K25" s="329">
        <v>2825360</v>
      </c>
      <c r="M25" s="342"/>
      <c r="N25" s="332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/>
    </row>
    <row r="26" spans="1:31" ht="23.1" customHeight="1">
      <c r="A26" s="310"/>
      <c r="B26" s="310"/>
      <c r="C26" s="310"/>
      <c r="D26" s="310"/>
      <c r="E26" s="310"/>
      <c r="F26" s="310"/>
      <c r="G26" s="310"/>
      <c r="H26" s="372"/>
      <c r="I26" s="375"/>
      <c r="J26" s="331" t="s">
        <v>6587</v>
      </c>
      <c r="K26" s="329">
        <f>SUM(K20:K25)</f>
        <v>47258981</v>
      </c>
      <c r="M26" s="342"/>
      <c r="N26" s="332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310"/>
      <c r="AE26" s="310"/>
    </row>
    <row r="27" spans="1:31" ht="23.1" customHeight="1">
      <c r="A27" s="310"/>
      <c r="B27" s="310"/>
      <c r="C27" s="310"/>
      <c r="D27" s="310"/>
      <c r="E27" s="310"/>
      <c r="F27" s="310"/>
      <c r="G27" s="310"/>
      <c r="H27" s="372"/>
      <c r="I27" s="330" t="s">
        <v>6588</v>
      </c>
      <c r="J27" s="328" t="s">
        <v>6595</v>
      </c>
      <c r="K27" s="329">
        <v>3517591</v>
      </c>
      <c r="M27" s="342"/>
      <c r="N27" s="332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</row>
    <row r="28" spans="1:31" ht="23.1" customHeight="1">
      <c r="A28" s="310"/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43"/>
      <c r="N28" s="344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  <c r="AB28" s="310"/>
      <c r="AC28" s="310"/>
      <c r="AD28" s="310"/>
      <c r="AE28" s="310"/>
    </row>
    <row r="29" spans="1:31" ht="23.1" customHeight="1">
      <c r="A29" s="310"/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43"/>
      <c r="N29" s="344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310"/>
      <c r="AE29" s="310"/>
    </row>
    <row r="30" spans="1:31" ht="23.1" customHeight="1">
      <c r="A30" s="310"/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26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</row>
    <row r="31" spans="1:31" ht="23.1" customHeight="1">
      <c r="A31" s="310"/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26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  <c r="AB31" s="310"/>
      <c r="AC31" s="310"/>
      <c r="AD31" s="310"/>
      <c r="AE31" s="310"/>
    </row>
    <row r="32" spans="1:31" ht="23.1" customHeight="1">
      <c r="A32" s="310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26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  <c r="AC32" s="310"/>
      <c r="AD32" s="310"/>
      <c r="AE32" s="310"/>
    </row>
    <row r="33" spans="1:31" ht="23.1" customHeight="1">
      <c r="A33" s="310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26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  <c r="AC33" s="310"/>
      <c r="AD33" s="310"/>
      <c r="AE33" s="310"/>
    </row>
    <row r="34" spans="1:31" ht="23.1" customHeight="1">
      <c r="A34" s="310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26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</row>
    <row r="35" spans="1:31" ht="23.1" customHeight="1">
      <c r="A35" s="310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26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  <c r="AB35" s="310"/>
      <c r="AC35" s="310"/>
      <c r="AD35" s="310"/>
      <c r="AE35" s="310"/>
    </row>
    <row r="36" spans="1:31" ht="23.1" customHeight="1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26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</row>
    <row r="37" spans="1:31" ht="23.1" customHeight="1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26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</row>
    <row r="38" spans="1:31" ht="23.1" customHeight="1">
      <c r="A38" s="310"/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26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</row>
    <row r="39" spans="1:31" ht="23.1" customHeight="1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26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</row>
    <row r="40" spans="1:31" ht="23.1" customHeight="1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26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</row>
    <row r="41" spans="1:31" ht="23.1" customHeight="1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26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</row>
    <row r="42" spans="1:31" ht="23.1" customHeight="1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26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310"/>
    </row>
    <row r="43" spans="1:31" ht="23.1" customHeight="1">
      <c r="A43" s="310"/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26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</row>
    <row r="44" spans="1:31" ht="23.1" customHeight="1">
      <c r="A44" s="310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26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</row>
    <row r="45" spans="1:31" ht="23.1" customHeight="1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26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310"/>
    </row>
    <row r="46" spans="1:31" ht="23.1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26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310"/>
    </row>
    <row r="47" spans="1:31" ht="23.1" customHeight="1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26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310"/>
    </row>
    <row r="48" spans="1:31" ht="23.1" customHeight="1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26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310"/>
    </row>
    <row r="49" spans="1:31" ht="23.1" customHeight="1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26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310"/>
    </row>
    <row r="50" spans="1:31" ht="23.1" customHeight="1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26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</row>
    <row r="51" spans="1:31" ht="23.1" customHeight="1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26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310"/>
    </row>
    <row r="52" spans="1:31" ht="23.1" customHeight="1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26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</row>
    <row r="53" spans="1:31" ht="23.1" customHeight="1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26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</row>
    <row r="54" spans="1:31" ht="23.1" customHeight="1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26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310"/>
    </row>
    <row r="55" spans="1:31" ht="23.1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26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</row>
    <row r="56" spans="1:31" ht="23.1" customHeight="1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26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</row>
    <row r="57" spans="1:31" ht="23.1" customHeight="1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26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  <row r="58" spans="1:31" ht="23.1" customHeight="1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26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310"/>
    </row>
    <row r="59" spans="1:31" ht="23.1" customHeight="1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26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310"/>
    </row>
    <row r="60" spans="1:31" ht="23.1" customHeight="1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26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</row>
    <row r="61" spans="1:31" ht="23.1" customHeight="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26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310"/>
    </row>
    <row r="62" spans="1:31" ht="23.1" customHeight="1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26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310"/>
    </row>
    <row r="63" spans="1:31" ht="23.1" customHeight="1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26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310"/>
    </row>
    <row r="64" spans="1:31" ht="23.1" customHeight="1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26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310"/>
    </row>
    <row r="65" spans="1:31" ht="23.1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26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</row>
    <row r="66" spans="1:31" ht="23.1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26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</row>
    <row r="67" spans="1:31" ht="23.1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26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310"/>
    </row>
    <row r="68" spans="1:31" ht="23.1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26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310"/>
    </row>
    <row r="69" spans="1:31" ht="23.1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26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310"/>
    </row>
    <row r="70" spans="1:31" ht="23.1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26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310"/>
    </row>
    <row r="71" spans="1:31" ht="23.1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26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310"/>
    </row>
    <row r="72" spans="1:31" ht="23.1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26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  <c r="AC72" s="310"/>
      <c r="AD72" s="310"/>
      <c r="AE72" s="310"/>
    </row>
    <row r="73" spans="1:31" ht="23.1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26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310"/>
    </row>
    <row r="74" spans="1:31" ht="23.1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26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310"/>
    </row>
    <row r="75" spans="1:31" ht="23.1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26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310"/>
    </row>
    <row r="76" spans="1:31" ht="23.1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26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</row>
    <row r="77" spans="1:31" ht="23.1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26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310"/>
    </row>
    <row r="78" spans="1:31" ht="23.1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26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310"/>
    </row>
    <row r="79" spans="1:31" ht="23.1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26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310"/>
    </row>
    <row r="80" spans="1:31" ht="23.1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26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310"/>
    </row>
    <row r="81" spans="1:31" ht="23.1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26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</row>
    <row r="82" spans="1:31" ht="23.1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26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</row>
    <row r="83" spans="1:31" ht="23.1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26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</row>
    <row r="84" spans="1:31" ht="23.1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26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</row>
    <row r="85" spans="1:31" ht="23.1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26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</row>
    <row r="86" spans="1:31" ht="23.1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26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</row>
    <row r="87" spans="1:31" ht="23.1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26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</row>
    <row r="88" spans="1:31" ht="23.1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26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</row>
    <row r="89" spans="1:31" ht="23.1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26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</row>
    <row r="90" spans="1:31" ht="23.1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26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</row>
    <row r="91" spans="1:31" ht="23.1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26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</row>
    <row r="92" spans="1:31" ht="23.1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26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</row>
    <row r="93" spans="1:31" ht="23.1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26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</row>
    <row r="94" spans="1:31" ht="23.1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26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</row>
    <row r="95" spans="1:31" ht="23.1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26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</row>
    <row r="96" spans="1:31" ht="23.1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26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</row>
    <row r="97" spans="1:31" ht="23.1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26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</row>
    <row r="98" spans="1:31" ht="23.1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26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</row>
    <row r="99" spans="1:31" ht="23.1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26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</row>
    <row r="100" spans="1:31" ht="23.1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26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</row>
    <row r="101" spans="1:31" ht="23.1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26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</row>
    <row r="102" spans="1:31" ht="23.1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26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</row>
    <row r="103" spans="1:31" ht="23.1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26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</row>
    <row r="104" spans="1:31" ht="23.1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26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</row>
    <row r="105" spans="1:31" ht="23.1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26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</row>
    <row r="106" spans="1:31" ht="23.1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26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</row>
    <row r="107" spans="1:31" ht="23.1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26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</row>
    <row r="108" spans="1:31" ht="23.1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26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</row>
    <row r="109" spans="1:31" ht="23.1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26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</row>
    <row r="110" spans="1:31" ht="23.1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26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</row>
    <row r="111" spans="1:31" ht="23.1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26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</row>
    <row r="112" spans="1:31" ht="23.1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26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</row>
    <row r="113" spans="1:31" ht="23.1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26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</row>
    <row r="114" spans="1:31" ht="23.1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26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</row>
    <row r="115" spans="1:31" ht="23.1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26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</row>
    <row r="116" spans="1:31" ht="23.1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26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</row>
    <row r="117" spans="1:31" ht="23.1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26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</row>
    <row r="118" spans="1:31" ht="23.1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26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</row>
    <row r="119" spans="1:31" ht="23.1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26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</row>
    <row r="120" spans="1:31" ht="23.1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26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</row>
    <row r="121" spans="1:31" ht="23.1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26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</row>
    <row r="122" spans="1:31" ht="23.1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26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</row>
    <row r="123" spans="1:31" ht="23.1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26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</row>
    <row r="124" spans="1:31" ht="23.1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26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</row>
    <row r="125" spans="1:31" ht="23.1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26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</row>
    <row r="126" spans="1:31" ht="23.1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26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</row>
    <row r="127" spans="1:31" ht="23.1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26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</row>
    <row r="128" spans="1:31" ht="23.1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26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</row>
    <row r="129" spans="1:31" ht="23.1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26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</row>
    <row r="130" spans="1:31" ht="23.1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26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</row>
    <row r="131" spans="1:31" ht="23.1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26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</row>
    <row r="132" spans="1:31" ht="23.1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26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</row>
    <row r="133" spans="1:31" ht="23.1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26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</row>
    <row r="134" spans="1:31" ht="23.1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26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</row>
    <row r="135" spans="1:31" ht="23.1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26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</row>
    <row r="136" spans="1:31" ht="23.1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26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</row>
    <row r="137" spans="1:31" ht="23.1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26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</row>
    <row r="138" spans="1:31" ht="23.1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26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</row>
    <row r="139" spans="1:31" ht="23.1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26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</row>
    <row r="140" spans="1:31" ht="23.1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26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</row>
    <row r="141" spans="1:31" ht="23.1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26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</row>
    <row r="142" spans="1:31" ht="23.1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26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</row>
    <row r="143" spans="1:31" ht="23.1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26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</row>
    <row r="144" spans="1:31" ht="23.1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26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</row>
    <row r="145" spans="1:31" ht="23.1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26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</row>
    <row r="146" spans="1:31" ht="23.1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26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</row>
    <row r="147" spans="1:31" ht="23.1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26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</row>
    <row r="148" spans="1:31" ht="23.1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26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</row>
    <row r="149" spans="1:31" ht="23.1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26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</row>
    <row r="150" spans="1:31" ht="23.1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26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</row>
    <row r="151" spans="1:31" ht="23.1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26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</row>
    <row r="152" spans="1:31" ht="23.1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26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</row>
    <row r="153" spans="1:31" ht="23.1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26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</row>
    <row r="154" spans="1:31" ht="23.1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26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</row>
    <row r="155" spans="1:31" ht="23.1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26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</row>
    <row r="156" spans="1:31" ht="23.1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26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</row>
    <row r="157" spans="1:31" ht="23.1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26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</row>
    <row r="158" spans="1:31" ht="23.1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26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</row>
    <row r="159" spans="1:31" ht="23.1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26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</row>
    <row r="160" spans="1:31" ht="23.1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26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</row>
    <row r="161" spans="1:31" ht="23.1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26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</row>
    <row r="162" spans="1:31" ht="23.1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26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</row>
    <row r="163" spans="1:31" ht="23.1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26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</row>
    <row r="164" spans="1:31" ht="23.1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26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</row>
    <row r="165" spans="1:31" ht="23.1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26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</row>
    <row r="166" spans="1:31" ht="23.1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26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</row>
    <row r="167" spans="1:31" ht="23.1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26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</row>
    <row r="168" spans="1:31" ht="23.1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26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</row>
    <row r="169" spans="1:31" ht="23.1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26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</row>
    <row r="170" spans="1:31" ht="23.1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26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</row>
    <row r="171" spans="1:31" ht="23.1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26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</row>
    <row r="172" spans="1:31" ht="23.1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26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</row>
    <row r="173" spans="1:31" ht="23.1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26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</row>
    <row r="174" spans="1:31" ht="23.1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26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</row>
    <row r="175" spans="1:31" ht="23.1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26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</row>
    <row r="176" spans="1:31" ht="23.1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26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</row>
    <row r="177" spans="1:31" ht="23.1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26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</row>
    <row r="178" spans="1:31" ht="23.1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26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</row>
    <row r="179" spans="1:31" ht="23.1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26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</row>
    <row r="180" spans="1:31" ht="23.1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26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</row>
    <row r="181" spans="1:31" ht="23.1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26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</row>
    <row r="182" spans="1:31" ht="23.1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26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</row>
    <row r="183" spans="1:31" ht="23.1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26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</row>
    <row r="184" spans="1:31" ht="23.1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26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</row>
    <row r="185" spans="1:31" ht="23.1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26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</row>
    <row r="186" spans="1:31" ht="23.1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26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</row>
    <row r="187" spans="1:31" ht="23.1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26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</row>
    <row r="188" spans="1:31" ht="23.1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26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</row>
    <row r="189" spans="1:31" ht="23.1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26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</row>
    <row r="190" spans="1:31" ht="23.1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26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</row>
    <row r="191" spans="1:31" ht="23.1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26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</row>
    <row r="192" spans="1:31" ht="23.1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26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</row>
    <row r="193" spans="1:31" ht="23.1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26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</row>
    <row r="194" spans="1:31" ht="23.1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26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</row>
    <row r="195" spans="1:31" ht="23.1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26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</row>
    <row r="196" spans="1:31" ht="23.1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26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</row>
    <row r="197" spans="1:31" ht="23.1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26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</row>
    <row r="198" spans="1:31" ht="23.1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26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</row>
    <row r="199" spans="1:31" ht="23.1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26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</row>
    <row r="200" spans="1:31" ht="23.1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26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</row>
    <row r="201" spans="1:31" ht="23.1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26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</row>
    <row r="202" spans="1:31" ht="23.1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26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</row>
    <row r="203" spans="1:31" ht="23.1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26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</row>
    <row r="204" spans="1:31" ht="23.1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26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</row>
    <row r="205" spans="1:31" ht="23.1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26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</row>
    <row r="206" spans="1:31" ht="23.1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26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</row>
    <row r="207" spans="1:31" ht="23.1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26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</row>
    <row r="208" spans="1:31" ht="23.1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26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</row>
    <row r="209" spans="1:31" ht="23.1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26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</row>
    <row r="210" spans="1:31" ht="23.1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26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</row>
    <row r="211" spans="1:31" ht="23.1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26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</row>
    <row r="212" spans="1:31" ht="23.1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26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</row>
    <row r="213" spans="1:31" ht="23.1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26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</row>
    <row r="214" spans="1:31" ht="23.1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26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</row>
    <row r="215" spans="1:31" ht="23.1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26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</row>
    <row r="216" spans="1:31" ht="23.1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26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</row>
    <row r="217" spans="1:31" ht="23.1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26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</row>
    <row r="218" spans="1:31" ht="23.1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26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</row>
    <row r="219" spans="1:31" ht="23.1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26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</row>
    <row r="220" spans="1:31" ht="23.1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26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</row>
    <row r="221" spans="1:31" ht="23.1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26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</row>
    <row r="222" spans="1:31" ht="23.1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26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</row>
    <row r="223" spans="1:31" ht="23.1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26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</row>
    <row r="224" spans="1:31" ht="23.1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26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</row>
    <row r="225" spans="1:31" ht="23.1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26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</row>
    <row r="226" spans="1:31" ht="23.1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26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</row>
    <row r="227" spans="1:31" ht="23.1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26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</row>
    <row r="228" spans="1:31" ht="23.1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26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</row>
    <row r="229" spans="1:31" ht="23.1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26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</row>
    <row r="230" spans="1:31" ht="23.1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26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</row>
    <row r="231" spans="1:31" ht="23.1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26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</row>
    <row r="232" spans="1:31" ht="23.1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26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</row>
    <row r="233" spans="1:31" ht="23.1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26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</row>
    <row r="234" spans="1:31" ht="23.1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26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</row>
    <row r="235" spans="1:31" ht="23.1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26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</row>
    <row r="236" spans="1:31" ht="23.1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26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</row>
    <row r="237" spans="1:31" ht="23.1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26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</row>
    <row r="238" spans="1:31" ht="23.1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26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</row>
    <row r="239" spans="1:31" ht="23.1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26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</row>
    <row r="240" spans="1:31" ht="23.1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26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</row>
    <row r="241" spans="1:31" ht="23.1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26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</row>
    <row r="242" spans="1:31" ht="23.1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26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</row>
    <row r="243" spans="1:31" ht="23.1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26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</row>
    <row r="244" spans="1:31" ht="23.1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26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</row>
    <row r="245" spans="1:31" ht="23.1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26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</row>
    <row r="246" spans="1:31" ht="23.1" customHeight="1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26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</row>
    <row r="247" spans="1:31" ht="23.1" customHeight="1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26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</row>
    <row r="248" spans="1:31" ht="23.1" customHeight="1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26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</row>
    <row r="249" spans="1:31" ht="23.1" customHeight="1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26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</row>
    <row r="250" spans="1:31" ht="23.1" customHeight="1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26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</row>
    <row r="251" spans="1:31" ht="23.1" customHeight="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26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</row>
    <row r="252" spans="1:31" ht="23.1" customHeight="1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26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</row>
    <row r="253" spans="1:31" ht="23.1" customHeight="1">
      <c r="A253" s="310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26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</row>
    <row r="254" spans="1:31" ht="23.1" customHeight="1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26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</row>
    <row r="255" spans="1:31" ht="23.1" customHeight="1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26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</row>
    <row r="256" spans="1:31" ht="23.1" customHeight="1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26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</row>
    <row r="257" spans="1:31" ht="23.1" customHeight="1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26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</row>
    <row r="258" spans="1:31" ht="23.1" customHeight="1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26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</row>
    <row r="259" spans="1:31" ht="23.1" customHeight="1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26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</row>
    <row r="260" spans="1:31" ht="23.1" customHeight="1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26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</row>
    <row r="261" spans="1:31" ht="23.1" customHeight="1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26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</row>
    <row r="262" spans="1:31" ht="23.1" customHeight="1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26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</row>
    <row r="263" spans="1:31" ht="23.1" customHeight="1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26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</row>
    <row r="264" spans="1:31" ht="23.1" customHeight="1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26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</row>
    <row r="265" spans="1:31" ht="23.1" customHeight="1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26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</row>
    <row r="266" spans="1:31" ht="23.1" customHeight="1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26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</row>
    <row r="267" spans="1:31" ht="23.1" customHeight="1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26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</row>
    <row r="268" spans="1:31" ht="23.1" customHeight="1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26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</row>
    <row r="269" spans="1:31" ht="23.1" customHeight="1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26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</row>
    <row r="270" spans="1:31" ht="23.1" customHeight="1">
      <c r="A270" s="310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26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</row>
    <row r="271" spans="1:31" ht="23.1" customHeight="1">
      <c r="A271" s="310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26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</row>
    <row r="272" spans="1:31" ht="23.1" customHeight="1">
      <c r="A272" s="310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26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</row>
    <row r="273" spans="1:31" ht="23.1" customHeight="1">
      <c r="A273" s="310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26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</row>
    <row r="274" spans="1:31" ht="23.1" customHeight="1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26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</row>
    <row r="275" spans="1:31" ht="23.1" customHeight="1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26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</row>
    <row r="276" spans="1:31" ht="23.1" customHeight="1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26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</row>
    <row r="277" spans="1:31" ht="23.1" customHeight="1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26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</row>
    <row r="278" spans="1:31" ht="23.1" customHeight="1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26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</row>
    <row r="279" spans="1:31" ht="23.1" customHeight="1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26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</row>
    <row r="280" spans="1:31" ht="23.1" customHeight="1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26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</row>
    <row r="281" spans="1:31" ht="23.1" customHeight="1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26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</row>
    <row r="282" spans="1:31" ht="23.1" customHeight="1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26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</row>
    <row r="283" spans="1:31" ht="23.1" customHeight="1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26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</row>
    <row r="284" spans="1:31" ht="23.1" customHeight="1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26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</row>
    <row r="285" spans="1:31" ht="23.1" customHeight="1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26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</row>
    <row r="286" spans="1:31" ht="23.1" customHeight="1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26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</row>
    <row r="287" spans="1:31" ht="23.1" customHeight="1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26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</row>
    <row r="288" spans="1:31" ht="23.1" customHeight="1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26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</row>
    <row r="289" spans="1:31" ht="23.1" customHeight="1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26"/>
      <c r="O289" s="310"/>
      <c r="P289" s="310"/>
      <c r="Q289" s="310"/>
      <c r="R289" s="310"/>
      <c r="S289" s="310"/>
      <c r="T289" s="310"/>
      <c r="U289" s="310"/>
      <c r="V289" s="310"/>
      <c r="W289" s="310"/>
      <c r="X289" s="310"/>
      <c r="Y289" s="310"/>
      <c r="Z289" s="310"/>
      <c r="AA289" s="310"/>
      <c r="AB289" s="310"/>
      <c r="AC289" s="310"/>
      <c r="AD289" s="310"/>
      <c r="AE289" s="310"/>
    </row>
    <row r="290" spans="1:31" ht="23.1" customHeight="1">
      <c r="A290" s="310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26"/>
      <c r="O290" s="310"/>
      <c r="P290" s="310"/>
      <c r="Q290" s="310"/>
      <c r="R290" s="310"/>
      <c r="S290" s="310"/>
      <c r="T290" s="310"/>
      <c r="U290" s="310"/>
      <c r="V290" s="310"/>
      <c r="W290" s="310"/>
      <c r="X290" s="310"/>
      <c r="Y290" s="310"/>
      <c r="Z290" s="310"/>
      <c r="AA290" s="310"/>
      <c r="AB290" s="310"/>
      <c r="AC290" s="310"/>
      <c r="AD290" s="310"/>
      <c r="AE290" s="310"/>
    </row>
    <row r="291" spans="1:31" ht="23.1" customHeight="1">
      <c r="A291" s="310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26"/>
      <c r="O291" s="310"/>
      <c r="P291" s="310"/>
      <c r="Q291" s="310"/>
      <c r="R291" s="310"/>
      <c r="S291" s="310"/>
      <c r="T291" s="310"/>
      <c r="U291" s="310"/>
      <c r="V291" s="310"/>
      <c r="W291" s="310"/>
      <c r="X291" s="310"/>
      <c r="Y291" s="310"/>
      <c r="Z291" s="310"/>
      <c r="AA291" s="310"/>
      <c r="AB291" s="310"/>
      <c r="AC291" s="310"/>
      <c r="AD291" s="310"/>
      <c r="AE291" s="310"/>
    </row>
    <row r="292" spans="1:31" ht="23.1" customHeight="1">
      <c r="A292" s="310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26"/>
      <c r="O292" s="310"/>
      <c r="P292" s="310"/>
      <c r="Q292" s="310"/>
      <c r="R292" s="310"/>
      <c r="S292" s="310"/>
      <c r="T292" s="310"/>
      <c r="U292" s="310"/>
      <c r="V292" s="310"/>
      <c r="W292" s="310"/>
      <c r="X292" s="310"/>
      <c r="Y292" s="310"/>
      <c r="Z292" s="310"/>
      <c r="AA292" s="310"/>
      <c r="AB292" s="310"/>
      <c r="AC292" s="310"/>
      <c r="AD292" s="310"/>
      <c r="AE292" s="310"/>
    </row>
    <row r="293" spans="1:31" ht="23.1" customHeight="1">
      <c r="A293" s="310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26"/>
      <c r="O293" s="310"/>
      <c r="P293" s="310"/>
      <c r="Q293" s="310"/>
      <c r="R293" s="310"/>
      <c r="S293" s="310"/>
      <c r="T293" s="310"/>
      <c r="U293" s="310"/>
      <c r="V293" s="310"/>
      <c r="W293" s="310"/>
      <c r="X293" s="310"/>
      <c r="Y293" s="310"/>
      <c r="Z293" s="310"/>
      <c r="AA293" s="310"/>
      <c r="AB293" s="310"/>
      <c r="AC293" s="310"/>
      <c r="AD293" s="310"/>
      <c r="AE293" s="310"/>
    </row>
    <row r="294" spans="1:31" ht="23.1" customHeight="1">
      <c r="A294" s="310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26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</row>
    <row r="295" spans="1:31" ht="23.1" customHeight="1">
      <c r="A295" s="310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26"/>
      <c r="O295" s="310"/>
      <c r="P295" s="310"/>
      <c r="Q295" s="310"/>
      <c r="R295" s="310"/>
      <c r="S295" s="310"/>
      <c r="T295" s="310"/>
      <c r="U295" s="310"/>
      <c r="V295" s="310"/>
      <c r="W295" s="310"/>
      <c r="X295" s="310"/>
      <c r="Y295" s="310"/>
      <c r="Z295" s="310"/>
      <c r="AA295" s="310"/>
      <c r="AB295" s="310"/>
      <c r="AC295" s="310"/>
      <c r="AD295" s="310"/>
      <c r="AE295" s="310"/>
    </row>
    <row r="296" spans="1:31" ht="23.1" customHeight="1">
      <c r="A296" s="310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26"/>
      <c r="O296" s="310"/>
      <c r="P296" s="310"/>
      <c r="Q296" s="310"/>
      <c r="R296" s="310"/>
      <c r="S296" s="310"/>
      <c r="T296" s="310"/>
      <c r="U296" s="310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</row>
    <row r="297" spans="1:31" ht="23.1" customHeight="1">
      <c r="A297" s="310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26"/>
      <c r="O297" s="310"/>
      <c r="P297" s="310"/>
      <c r="Q297" s="310"/>
      <c r="R297" s="310"/>
      <c r="S297" s="310"/>
      <c r="T297" s="310"/>
      <c r="U297" s="310"/>
      <c r="V297" s="310"/>
      <c r="W297" s="310"/>
      <c r="X297" s="310"/>
      <c r="Y297" s="310"/>
      <c r="Z297" s="310"/>
      <c r="AA297" s="310"/>
      <c r="AB297" s="310"/>
      <c r="AC297" s="310"/>
      <c r="AD297" s="310"/>
      <c r="AE297" s="310"/>
    </row>
    <row r="298" spans="1:31" ht="23.1" customHeight="1">
      <c r="A298" s="310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26"/>
      <c r="O298" s="310"/>
      <c r="P298" s="310"/>
      <c r="Q298" s="310"/>
      <c r="R298" s="310"/>
      <c r="S298" s="310"/>
      <c r="T298" s="310"/>
      <c r="U298" s="310"/>
      <c r="V298" s="310"/>
      <c r="W298" s="310"/>
      <c r="X298" s="310"/>
      <c r="Y298" s="310"/>
      <c r="Z298" s="310"/>
      <c r="AA298" s="310"/>
      <c r="AB298" s="310"/>
      <c r="AC298" s="310"/>
      <c r="AD298" s="310"/>
      <c r="AE298" s="310"/>
    </row>
    <row r="299" spans="1:31" ht="23.1" customHeight="1">
      <c r="A299" s="310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26"/>
      <c r="O299" s="310"/>
      <c r="P299" s="310"/>
      <c r="Q299" s="310"/>
      <c r="R299" s="310"/>
      <c r="S299" s="310"/>
      <c r="T299" s="310"/>
      <c r="U299" s="310"/>
      <c r="V299" s="310"/>
      <c r="W299" s="310"/>
      <c r="X299" s="310"/>
      <c r="Y299" s="310"/>
      <c r="Z299" s="310"/>
      <c r="AA299" s="310"/>
      <c r="AB299" s="310"/>
      <c r="AC299" s="310"/>
      <c r="AD299" s="310"/>
      <c r="AE299" s="310"/>
    </row>
    <row r="300" spans="1:31" ht="23.1" customHeight="1">
      <c r="A300" s="310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26"/>
      <c r="O300" s="310"/>
      <c r="P300" s="310"/>
      <c r="Q300" s="310"/>
      <c r="R300" s="310"/>
      <c r="S300" s="310"/>
      <c r="T300" s="310"/>
      <c r="U300" s="310"/>
      <c r="V300" s="310"/>
      <c r="W300" s="310"/>
      <c r="X300" s="310"/>
      <c r="Y300" s="310"/>
      <c r="Z300" s="310"/>
      <c r="AA300" s="310"/>
      <c r="AB300" s="310"/>
      <c r="AC300" s="310"/>
      <c r="AD300" s="310"/>
      <c r="AE300" s="310"/>
    </row>
    <row r="301" spans="1:31" ht="23.1" customHeight="1">
      <c r="A301" s="310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26"/>
      <c r="O301" s="310"/>
      <c r="P301" s="310"/>
      <c r="Q301" s="310"/>
      <c r="R301" s="310"/>
      <c r="S301" s="310"/>
      <c r="T301" s="310"/>
      <c r="U301" s="310"/>
      <c r="V301" s="310"/>
      <c r="W301" s="310"/>
      <c r="X301" s="310"/>
      <c r="Y301" s="310"/>
      <c r="Z301" s="310"/>
      <c r="AA301" s="310"/>
      <c r="AB301" s="310"/>
      <c r="AC301" s="310"/>
      <c r="AD301" s="310"/>
      <c r="AE301" s="310"/>
    </row>
    <row r="302" spans="1:31" ht="23.1" customHeight="1">
      <c r="A302" s="310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26"/>
      <c r="O302" s="310"/>
      <c r="P302" s="310"/>
      <c r="Q302" s="310"/>
      <c r="R302" s="310"/>
      <c r="S302" s="310"/>
      <c r="T302" s="310"/>
      <c r="U302" s="310"/>
      <c r="V302" s="310"/>
      <c r="W302" s="310"/>
      <c r="X302" s="310"/>
      <c r="Y302" s="310"/>
      <c r="Z302" s="310"/>
      <c r="AA302" s="310"/>
      <c r="AB302" s="310"/>
      <c r="AC302" s="310"/>
      <c r="AD302" s="310"/>
      <c r="AE302" s="310"/>
    </row>
    <row r="303" spans="1:31" ht="23.1" customHeight="1">
      <c r="A303" s="310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26"/>
      <c r="O303" s="310"/>
      <c r="P303" s="310"/>
      <c r="Q303" s="310"/>
      <c r="R303" s="310"/>
      <c r="S303" s="310"/>
      <c r="T303" s="310"/>
      <c r="U303" s="310"/>
      <c r="V303" s="310"/>
      <c r="W303" s="310"/>
      <c r="X303" s="310"/>
      <c r="Y303" s="310"/>
      <c r="Z303" s="310"/>
      <c r="AA303" s="310"/>
      <c r="AB303" s="310"/>
      <c r="AC303" s="310"/>
      <c r="AD303" s="310"/>
      <c r="AE303" s="310"/>
    </row>
    <row r="304" spans="1:31" ht="23.1" customHeight="1">
      <c r="A304" s="310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26"/>
      <c r="O304" s="310"/>
      <c r="P304" s="310"/>
      <c r="Q304" s="310"/>
      <c r="R304" s="310"/>
      <c r="S304" s="310"/>
      <c r="T304" s="310"/>
      <c r="U304" s="310"/>
      <c r="V304" s="310"/>
      <c r="W304" s="310"/>
      <c r="X304" s="310"/>
      <c r="Y304" s="310"/>
      <c r="Z304" s="310"/>
      <c r="AA304" s="310"/>
      <c r="AB304" s="310"/>
      <c r="AC304" s="310"/>
      <c r="AD304" s="310"/>
      <c r="AE304" s="310"/>
    </row>
    <row r="305" spans="1:31" ht="23.1" customHeight="1">
      <c r="A305" s="310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26"/>
      <c r="O305" s="310"/>
      <c r="P305" s="310"/>
      <c r="Q305" s="310"/>
      <c r="R305" s="310"/>
      <c r="S305" s="310"/>
      <c r="T305" s="310"/>
      <c r="U305" s="310"/>
      <c r="V305" s="310"/>
      <c r="W305" s="310"/>
      <c r="X305" s="310"/>
      <c r="Y305" s="310"/>
      <c r="Z305" s="310"/>
      <c r="AA305" s="310"/>
      <c r="AB305" s="310"/>
      <c r="AC305" s="310"/>
      <c r="AD305" s="310"/>
      <c r="AE305" s="310"/>
    </row>
    <row r="306" spans="1:31" ht="23.1" customHeight="1">
      <c r="A306" s="310"/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N306" s="326"/>
      <c r="O306" s="310"/>
      <c r="P306" s="310"/>
      <c r="Q306" s="310"/>
      <c r="R306" s="310"/>
      <c r="S306" s="310"/>
      <c r="T306" s="310"/>
      <c r="U306" s="310"/>
      <c r="V306" s="310"/>
      <c r="W306" s="310"/>
      <c r="X306" s="310"/>
      <c r="Y306" s="310"/>
      <c r="Z306" s="310"/>
      <c r="AA306" s="310"/>
      <c r="AB306" s="310"/>
      <c r="AC306" s="310"/>
      <c r="AD306" s="310"/>
      <c r="AE306" s="310"/>
    </row>
    <row r="307" spans="1:31" ht="23.1" customHeight="1">
      <c r="A307" s="310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26"/>
      <c r="O307" s="310"/>
      <c r="P307" s="310"/>
      <c r="Q307" s="310"/>
      <c r="R307" s="310"/>
      <c r="S307" s="310"/>
      <c r="T307" s="310"/>
      <c r="U307" s="310"/>
      <c r="V307" s="310"/>
      <c r="W307" s="310"/>
      <c r="X307" s="310"/>
      <c r="Y307" s="310"/>
      <c r="Z307" s="310"/>
      <c r="AA307" s="310"/>
      <c r="AB307" s="310"/>
      <c r="AC307" s="310"/>
      <c r="AD307" s="310"/>
      <c r="AE307" s="310"/>
    </row>
    <row r="308" spans="1:31" ht="23.1" customHeight="1">
      <c r="A308" s="310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26"/>
      <c r="O308" s="310"/>
      <c r="P308" s="310"/>
      <c r="Q308" s="310"/>
      <c r="R308" s="310"/>
      <c r="S308" s="310"/>
      <c r="T308" s="310"/>
      <c r="U308" s="310"/>
      <c r="V308" s="310"/>
      <c r="W308" s="310"/>
      <c r="X308" s="310"/>
      <c r="Y308" s="310"/>
      <c r="Z308" s="310"/>
      <c r="AA308" s="310"/>
      <c r="AB308" s="310"/>
      <c r="AC308" s="310"/>
      <c r="AD308" s="310"/>
      <c r="AE308" s="310"/>
    </row>
    <row r="309" spans="1:31" ht="23.1" customHeight="1">
      <c r="A309" s="310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26"/>
      <c r="O309" s="310"/>
      <c r="P309" s="310"/>
      <c r="Q309" s="310"/>
      <c r="R309" s="310"/>
      <c r="S309" s="310"/>
      <c r="T309" s="310"/>
      <c r="U309" s="310"/>
      <c r="V309" s="310"/>
      <c r="W309" s="310"/>
      <c r="X309" s="310"/>
      <c r="Y309" s="310"/>
      <c r="Z309" s="310"/>
      <c r="AA309" s="310"/>
      <c r="AB309" s="310"/>
      <c r="AC309" s="310"/>
      <c r="AD309" s="310"/>
      <c r="AE309" s="310"/>
    </row>
    <row r="310" spans="1:31" ht="23.1" customHeight="1">
      <c r="A310" s="310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26"/>
      <c r="O310" s="310"/>
      <c r="P310" s="310"/>
      <c r="Q310" s="310"/>
      <c r="R310" s="310"/>
      <c r="S310" s="310"/>
      <c r="T310" s="310"/>
      <c r="U310" s="310"/>
      <c r="V310" s="310"/>
      <c r="W310" s="310"/>
      <c r="X310" s="310"/>
      <c r="Y310" s="310"/>
      <c r="Z310" s="310"/>
      <c r="AA310" s="310"/>
      <c r="AB310" s="310"/>
      <c r="AC310" s="310"/>
      <c r="AD310" s="310"/>
      <c r="AE310" s="310"/>
    </row>
    <row r="311" spans="1:31" ht="23.1" customHeight="1">
      <c r="A311" s="310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26"/>
      <c r="O311" s="310"/>
      <c r="P311" s="310"/>
      <c r="Q311" s="310"/>
      <c r="R311" s="310"/>
      <c r="S311" s="310"/>
      <c r="T311" s="310"/>
      <c r="U311" s="310"/>
      <c r="V311" s="310"/>
      <c r="W311" s="310"/>
      <c r="X311" s="310"/>
      <c r="Y311" s="310"/>
      <c r="Z311" s="310"/>
      <c r="AA311" s="310"/>
      <c r="AB311" s="310"/>
      <c r="AC311" s="310"/>
      <c r="AD311" s="310"/>
      <c r="AE311" s="310"/>
    </row>
    <row r="312" spans="1:31" ht="23.1" customHeight="1">
      <c r="A312" s="310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26"/>
      <c r="O312" s="310"/>
      <c r="P312" s="310"/>
      <c r="Q312" s="310"/>
      <c r="R312" s="310"/>
      <c r="S312" s="310"/>
      <c r="T312" s="310"/>
      <c r="U312" s="310"/>
      <c r="V312" s="310"/>
      <c r="W312" s="310"/>
      <c r="X312" s="310"/>
      <c r="Y312" s="310"/>
      <c r="Z312" s="310"/>
      <c r="AA312" s="310"/>
      <c r="AB312" s="310"/>
      <c r="AC312" s="310"/>
      <c r="AD312" s="310"/>
      <c r="AE312" s="310"/>
    </row>
    <row r="313" spans="1:31" ht="23.1" customHeight="1">
      <c r="A313" s="310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26"/>
      <c r="O313" s="310"/>
      <c r="P313" s="310"/>
      <c r="Q313" s="310"/>
      <c r="R313" s="310"/>
      <c r="S313" s="310"/>
      <c r="T313" s="310"/>
      <c r="U313" s="310"/>
      <c r="V313" s="310"/>
      <c r="W313" s="310"/>
      <c r="X313" s="310"/>
      <c r="Y313" s="310"/>
      <c r="Z313" s="310"/>
      <c r="AA313" s="310"/>
      <c r="AB313" s="310"/>
      <c r="AC313" s="310"/>
      <c r="AD313" s="310"/>
      <c r="AE313" s="310"/>
    </row>
    <row r="314" spans="1:31" ht="23.1" customHeight="1">
      <c r="A314" s="310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26"/>
      <c r="O314" s="310"/>
      <c r="P314" s="310"/>
      <c r="Q314" s="310"/>
      <c r="R314" s="310"/>
      <c r="S314" s="310"/>
      <c r="T314" s="310"/>
      <c r="U314" s="310"/>
      <c r="V314" s="310"/>
      <c r="W314" s="310"/>
      <c r="X314" s="310"/>
      <c r="Y314" s="310"/>
      <c r="Z314" s="310"/>
      <c r="AA314" s="310"/>
      <c r="AB314" s="310"/>
      <c r="AC314" s="310"/>
      <c r="AD314" s="310"/>
      <c r="AE314" s="310"/>
    </row>
    <row r="315" spans="1:31" ht="23.1" customHeight="1">
      <c r="A315" s="310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26"/>
      <c r="O315" s="310"/>
      <c r="P315" s="310"/>
      <c r="Q315" s="310"/>
      <c r="R315" s="310"/>
      <c r="S315" s="310"/>
      <c r="T315" s="310"/>
      <c r="U315" s="310"/>
      <c r="V315" s="310"/>
      <c r="W315" s="310"/>
      <c r="X315" s="310"/>
      <c r="Y315" s="310"/>
      <c r="Z315" s="310"/>
      <c r="AA315" s="310"/>
      <c r="AB315" s="310"/>
      <c r="AC315" s="310"/>
      <c r="AD315" s="310"/>
      <c r="AE315" s="310"/>
    </row>
    <row r="316" spans="1:31" ht="23.1" customHeight="1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26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  <c r="AA316" s="310"/>
      <c r="AB316" s="310"/>
      <c r="AC316" s="310"/>
      <c r="AD316" s="310"/>
      <c r="AE316" s="310"/>
    </row>
    <row r="317" spans="1:31" ht="23.1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26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  <c r="AA317" s="310"/>
      <c r="AB317" s="310"/>
      <c r="AC317" s="310"/>
      <c r="AD317" s="310"/>
      <c r="AE317" s="310"/>
    </row>
    <row r="318" spans="1:31" ht="23.1" customHeight="1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26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</row>
    <row r="319" spans="1:31" ht="23.1" customHeight="1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26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</row>
    <row r="320" spans="1:31" ht="23.1" customHeight="1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26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  <c r="AA320" s="310"/>
      <c r="AB320" s="310"/>
      <c r="AC320" s="310"/>
      <c r="AD320" s="310"/>
      <c r="AE320" s="310"/>
    </row>
    <row r="321" spans="1:31" ht="23.1" customHeight="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26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  <c r="AA321" s="310"/>
      <c r="AB321" s="310"/>
      <c r="AC321" s="310"/>
      <c r="AD321" s="310"/>
      <c r="AE321" s="310"/>
    </row>
    <row r="322" spans="1:31" ht="23.1" customHeight="1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26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  <c r="AA322" s="310"/>
      <c r="AB322" s="310"/>
      <c r="AC322" s="310"/>
      <c r="AD322" s="310"/>
      <c r="AE322" s="310"/>
    </row>
    <row r="323" spans="1:31" ht="23.1" customHeight="1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26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  <c r="AA323" s="310"/>
      <c r="AB323" s="310"/>
      <c r="AC323" s="310"/>
      <c r="AD323" s="310"/>
      <c r="AE323" s="310"/>
    </row>
    <row r="324" spans="1:31" ht="23.1" customHeight="1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  <c r="AA324" s="310"/>
      <c r="AB324" s="310"/>
      <c r="AC324" s="310"/>
      <c r="AD324" s="310"/>
      <c r="AE324" s="310"/>
    </row>
    <row r="325" spans="1:31" ht="23.1" customHeight="1">
      <c r="H325" s="310"/>
      <c r="I325" s="310"/>
      <c r="J325" s="310"/>
      <c r="K325" s="310"/>
      <c r="L325" s="310"/>
      <c r="M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  <c r="AA325" s="310"/>
      <c r="AB325" s="310"/>
      <c r="AC325" s="310"/>
      <c r="AD325" s="310"/>
      <c r="AE325" s="310"/>
    </row>
    <row r="326" spans="1:31" ht="23.1" customHeight="1">
      <c r="H326" s="310"/>
      <c r="I326" s="310"/>
      <c r="J326" s="310"/>
      <c r="K326" s="310"/>
      <c r="L326" s="310"/>
      <c r="M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  <c r="AA326" s="310"/>
      <c r="AB326" s="310"/>
      <c r="AC326" s="310"/>
      <c r="AD326" s="310"/>
      <c r="AE326" s="310"/>
    </row>
    <row r="327" spans="1:31" ht="23.1" customHeight="1">
      <c r="H327" s="310"/>
      <c r="I327" s="310"/>
      <c r="J327" s="310"/>
      <c r="K327" s="310"/>
      <c r="L327" s="310"/>
      <c r="M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  <c r="AA327" s="310"/>
      <c r="AB327" s="310"/>
      <c r="AC327" s="310"/>
      <c r="AD327" s="310"/>
      <c r="AE327" s="310"/>
    </row>
    <row r="328" spans="1:31" ht="23.1" customHeight="1">
      <c r="H328" s="310"/>
      <c r="I328" s="310"/>
      <c r="J328" s="310"/>
      <c r="K328" s="310"/>
      <c r="L328" s="310"/>
      <c r="M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  <c r="AA328" s="310"/>
      <c r="AB328" s="310"/>
      <c r="AC328" s="310"/>
      <c r="AD328" s="310"/>
      <c r="AE328" s="310"/>
    </row>
    <row r="329" spans="1:31" ht="23.1" customHeight="1">
      <c r="M329" s="310"/>
    </row>
  </sheetData>
  <mergeCells count="3">
    <mergeCell ref="A9:G9"/>
    <mergeCell ref="H20:H27"/>
    <mergeCell ref="I20:I26"/>
  </mergeCells>
  <phoneticPr fontId="7" type="noConversion"/>
  <printOptions horizontalCentered="1" verticalCentered="1" gridLinesSet="0"/>
  <pageMargins left="0.74803149606299213" right="0.62992125984251968" top="0.74803149606299213" bottom="0.59055118110236227" header="0.51181102362204722" footer="0.35433070866141736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T48"/>
  <sheetViews>
    <sheetView view="pageBreakPreview" zoomScaleNormal="100" zoomScaleSheetLayoutView="100" workbookViewId="0">
      <selection activeCell="D11" sqref="D11"/>
    </sheetView>
  </sheetViews>
  <sheetFormatPr defaultRowHeight="10.5"/>
  <cols>
    <col min="1" max="1" width="15.6640625" style="79" customWidth="1"/>
    <col min="2" max="2" width="19.6640625" style="79" customWidth="1"/>
    <col min="3" max="3" width="44.33203125" style="79" bestFit="1" customWidth="1"/>
    <col min="4" max="4" width="19.33203125" style="91" bestFit="1" customWidth="1"/>
    <col min="5" max="5" width="32.83203125" style="79" bestFit="1" customWidth="1"/>
    <col min="6" max="6" width="15.6640625" style="79" customWidth="1"/>
    <col min="7" max="7" width="19.6640625" style="79" customWidth="1"/>
    <col min="8" max="8" width="44.33203125" style="79" bestFit="1" customWidth="1"/>
    <col min="9" max="9" width="19.1640625" style="79" bestFit="1" customWidth="1"/>
    <col min="10" max="10" width="32.83203125" style="79" bestFit="1" customWidth="1"/>
    <col min="11" max="11" width="15.6640625" style="79" customWidth="1"/>
    <col min="12" max="12" width="19.6640625" style="79" customWidth="1"/>
    <col min="13" max="13" width="44.33203125" style="79" bestFit="1" customWidth="1"/>
    <col min="14" max="14" width="19.1640625" style="79" bestFit="1" customWidth="1"/>
    <col min="15" max="15" width="32.83203125" style="79" bestFit="1" customWidth="1"/>
    <col min="16" max="16" width="9.33203125" style="334"/>
    <col min="17" max="19" width="9.33203125" style="79"/>
    <col min="21" max="251" width="9.33203125" style="79"/>
    <col min="252" max="252" width="15.6640625" style="79" customWidth="1"/>
    <col min="253" max="253" width="19.6640625" style="79" customWidth="1"/>
    <col min="254" max="254" width="44.33203125" style="79" bestFit="1" customWidth="1"/>
    <col min="255" max="255" width="19.33203125" style="79" bestFit="1" customWidth="1"/>
    <col min="256" max="256" width="32.83203125" style="79" bestFit="1" customWidth="1"/>
    <col min="257" max="257" width="15.6640625" style="79" customWidth="1"/>
    <col min="258" max="258" width="19.6640625" style="79" customWidth="1"/>
    <col min="259" max="259" width="44.33203125" style="79" bestFit="1" customWidth="1"/>
    <col min="260" max="260" width="19.33203125" style="79" bestFit="1" customWidth="1"/>
    <col min="261" max="261" width="32.83203125" style="79" bestFit="1" customWidth="1"/>
    <col min="262" max="262" width="15.6640625" style="79" customWidth="1"/>
    <col min="263" max="263" width="19.6640625" style="79" customWidth="1"/>
    <col min="264" max="264" width="44.33203125" style="79" bestFit="1" customWidth="1"/>
    <col min="265" max="265" width="19.1640625" style="79" bestFit="1" customWidth="1"/>
    <col min="266" max="266" width="32.83203125" style="79" bestFit="1" customWidth="1"/>
    <col min="267" max="267" width="15.6640625" style="79" customWidth="1"/>
    <col min="268" max="268" width="19.6640625" style="79" customWidth="1"/>
    <col min="269" max="269" width="44.33203125" style="79" bestFit="1" customWidth="1"/>
    <col min="270" max="270" width="19.1640625" style="79" bestFit="1" customWidth="1"/>
    <col min="271" max="271" width="32.83203125" style="79" bestFit="1" customWidth="1"/>
    <col min="272" max="507" width="9.33203125" style="79"/>
    <col min="508" max="508" width="15.6640625" style="79" customWidth="1"/>
    <col min="509" max="509" width="19.6640625" style="79" customWidth="1"/>
    <col min="510" max="510" width="44.33203125" style="79" bestFit="1" customWidth="1"/>
    <col min="511" max="511" width="19.33203125" style="79" bestFit="1" customWidth="1"/>
    <col min="512" max="512" width="32.83203125" style="79" bestFit="1" customWidth="1"/>
    <col min="513" max="513" width="15.6640625" style="79" customWidth="1"/>
    <col min="514" max="514" width="19.6640625" style="79" customWidth="1"/>
    <col min="515" max="515" width="44.33203125" style="79" bestFit="1" customWidth="1"/>
    <col min="516" max="516" width="19.33203125" style="79" bestFit="1" customWidth="1"/>
    <col min="517" max="517" width="32.83203125" style="79" bestFit="1" customWidth="1"/>
    <col min="518" max="518" width="15.6640625" style="79" customWidth="1"/>
    <col min="519" max="519" width="19.6640625" style="79" customWidth="1"/>
    <col min="520" max="520" width="44.33203125" style="79" bestFit="1" customWidth="1"/>
    <col min="521" max="521" width="19.1640625" style="79" bestFit="1" customWidth="1"/>
    <col min="522" max="522" width="32.83203125" style="79" bestFit="1" customWidth="1"/>
    <col min="523" max="523" width="15.6640625" style="79" customWidth="1"/>
    <col min="524" max="524" width="19.6640625" style="79" customWidth="1"/>
    <col min="525" max="525" width="44.33203125" style="79" bestFit="1" customWidth="1"/>
    <col min="526" max="526" width="19.1640625" style="79" bestFit="1" customWidth="1"/>
    <col min="527" max="527" width="32.83203125" style="79" bestFit="1" customWidth="1"/>
    <col min="528" max="763" width="9.33203125" style="79"/>
    <col min="764" max="764" width="15.6640625" style="79" customWidth="1"/>
    <col min="765" max="765" width="19.6640625" style="79" customWidth="1"/>
    <col min="766" max="766" width="44.33203125" style="79" bestFit="1" customWidth="1"/>
    <col min="767" max="767" width="19.33203125" style="79" bestFit="1" customWidth="1"/>
    <col min="768" max="768" width="32.83203125" style="79" bestFit="1" customWidth="1"/>
    <col min="769" max="769" width="15.6640625" style="79" customWidth="1"/>
    <col min="770" max="770" width="19.6640625" style="79" customWidth="1"/>
    <col min="771" max="771" width="44.33203125" style="79" bestFit="1" customWidth="1"/>
    <col min="772" max="772" width="19.33203125" style="79" bestFit="1" customWidth="1"/>
    <col min="773" max="773" width="32.83203125" style="79" bestFit="1" customWidth="1"/>
    <col min="774" max="774" width="15.6640625" style="79" customWidth="1"/>
    <col min="775" max="775" width="19.6640625" style="79" customWidth="1"/>
    <col min="776" max="776" width="44.33203125" style="79" bestFit="1" customWidth="1"/>
    <col min="777" max="777" width="19.1640625" style="79" bestFit="1" customWidth="1"/>
    <col min="778" max="778" width="32.83203125" style="79" bestFit="1" customWidth="1"/>
    <col min="779" max="779" width="15.6640625" style="79" customWidth="1"/>
    <col min="780" max="780" width="19.6640625" style="79" customWidth="1"/>
    <col min="781" max="781" width="44.33203125" style="79" bestFit="1" customWidth="1"/>
    <col min="782" max="782" width="19.1640625" style="79" bestFit="1" customWidth="1"/>
    <col min="783" max="783" width="32.83203125" style="79" bestFit="1" customWidth="1"/>
    <col min="784" max="1019" width="9.33203125" style="79"/>
    <col min="1020" max="1020" width="15.6640625" style="79" customWidth="1"/>
    <col min="1021" max="1021" width="19.6640625" style="79" customWidth="1"/>
    <col min="1022" max="1022" width="44.33203125" style="79" bestFit="1" customWidth="1"/>
    <col min="1023" max="1023" width="19.33203125" style="79" bestFit="1" customWidth="1"/>
    <col min="1024" max="1024" width="32.83203125" style="79" bestFit="1" customWidth="1"/>
    <col min="1025" max="1025" width="15.6640625" style="79" customWidth="1"/>
    <col min="1026" max="1026" width="19.6640625" style="79" customWidth="1"/>
    <col min="1027" max="1027" width="44.33203125" style="79" bestFit="1" customWidth="1"/>
    <col min="1028" max="1028" width="19.33203125" style="79" bestFit="1" customWidth="1"/>
    <col min="1029" max="1029" width="32.83203125" style="79" bestFit="1" customWidth="1"/>
    <col min="1030" max="1030" width="15.6640625" style="79" customWidth="1"/>
    <col min="1031" max="1031" width="19.6640625" style="79" customWidth="1"/>
    <col min="1032" max="1032" width="44.33203125" style="79" bestFit="1" customWidth="1"/>
    <col min="1033" max="1033" width="19.1640625" style="79" bestFit="1" customWidth="1"/>
    <col min="1034" max="1034" width="32.83203125" style="79" bestFit="1" customWidth="1"/>
    <col min="1035" max="1035" width="15.6640625" style="79" customWidth="1"/>
    <col min="1036" max="1036" width="19.6640625" style="79" customWidth="1"/>
    <col min="1037" max="1037" width="44.33203125" style="79" bestFit="1" customWidth="1"/>
    <col min="1038" max="1038" width="19.1640625" style="79" bestFit="1" customWidth="1"/>
    <col min="1039" max="1039" width="32.83203125" style="79" bestFit="1" customWidth="1"/>
    <col min="1040" max="1275" width="9.33203125" style="79"/>
    <col min="1276" max="1276" width="15.6640625" style="79" customWidth="1"/>
    <col min="1277" max="1277" width="19.6640625" style="79" customWidth="1"/>
    <col min="1278" max="1278" width="44.33203125" style="79" bestFit="1" customWidth="1"/>
    <col min="1279" max="1279" width="19.33203125" style="79" bestFit="1" customWidth="1"/>
    <col min="1280" max="1280" width="32.83203125" style="79" bestFit="1" customWidth="1"/>
    <col min="1281" max="1281" width="15.6640625" style="79" customWidth="1"/>
    <col min="1282" max="1282" width="19.6640625" style="79" customWidth="1"/>
    <col min="1283" max="1283" width="44.33203125" style="79" bestFit="1" customWidth="1"/>
    <col min="1284" max="1284" width="19.33203125" style="79" bestFit="1" customWidth="1"/>
    <col min="1285" max="1285" width="32.83203125" style="79" bestFit="1" customWidth="1"/>
    <col min="1286" max="1286" width="15.6640625" style="79" customWidth="1"/>
    <col min="1287" max="1287" width="19.6640625" style="79" customWidth="1"/>
    <col min="1288" max="1288" width="44.33203125" style="79" bestFit="1" customWidth="1"/>
    <col min="1289" max="1289" width="19.1640625" style="79" bestFit="1" customWidth="1"/>
    <col min="1290" max="1290" width="32.83203125" style="79" bestFit="1" customWidth="1"/>
    <col min="1291" max="1291" width="15.6640625" style="79" customWidth="1"/>
    <col min="1292" max="1292" width="19.6640625" style="79" customWidth="1"/>
    <col min="1293" max="1293" width="44.33203125" style="79" bestFit="1" customWidth="1"/>
    <col min="1294" max="1294" width="19.1640625" style="79" bestFit="1" customWidth="1"/>
    <col min="1295" max="1295" width="32.83203125" style="79" bestFit="1" customWidth="1"/>
    <col min="1296" max="1531" width="9.33203125" style="79"/>
    <col min="1532" max="1532" width="15.6640625" style="79" customWidth="1"/>
    <col min="1533" max="1533" width="19.6640625" style="79" customWidth="1"/>
    <col min="1534" max="1534" width="44.33203125" style="79" bestFit="1" customWidth="1"/>
    <col min="1535" max="1535" width="19.33203125" style="79" bestFit="1" customWidth="1"/>
    <col min="1536" max="1536" width="32.83203125" style="79" bestFit="1" customWidth="1"/>
    <col min="1537" max="1537" width="15.6640625" style="79" customWidth="1"/>
    <col min="1538" max="1538" width="19.6640625" style="79" customWidth="1"/>
    <col min="1539" max="1539" width="44.33203125" style="79" bestFit="1" customWidth="1"/>
    <col min="1540" max="1540" width="19.33203125" style="79" bestFit="1" customWidth="1"/>
    <col min="1541" max="1541" width="32.83203125" style="79" bestFit="1" customWidth="1"/>
    <col min="1542" max="1542" width="15.6640625" style="79" customWidth="1"/>
    <col min="1543" max="1543" width="19.6640625" style="79" customWidth="1"/>
    <col min="1544" max="1544" width="44.33203125" style="79" bestFit="1" customWidth="1"/>
    <col min="1545" max="1545" width="19.1640625" style="79" bestFit="1" customWidth="1"/>
    <col min="1546" max="1546" width="32.83203125" style="79" bestFit="1" customWidth="1"/>
    <col min="1547" max="1547" width="15.6640625" style="79" customWidth="1"/>
    <col min="1548" max="1548" width="19.6640625" style="79" customWidth="1"/>
    <col min="1549" max="1549" width="44.33203125" style="79" bestFit="1" customWidth="1"/>
    <col min="1550" max="1550" width="19.1640625" style="79" bestFit="1" customWidth="1"/>
    <col min="1551" max="1551" width="32.83203125" style="79" bestFit="1" customWidth="1"/>
    <col min="1552" max="1787" width="9.33203125" style="79"/>
    <col min="1788" max="1788" width="15.6640625" style="79" customWidth="1"/>
    <col min="1789" max="1789" width="19.6640625" style="79" customWidth="1"/>
    <col min="1790" max="1790" width="44.33203125" style="79" bestFit="1" customWidth="1"/>
    <col min="1791" max="1791" width="19.33203125" style="79" bestFit="1" customWidth="1"/>
    <col min="1792" max="1792" width="32.83203125" style="79" bestFit="1" customWidth="1"/>
    <col min="1793" max="1793" width="15.6640625" style="79" customWidth="1"/>
    <col min="1794" max="1794" width="19.6640625" style="79" customWidth="1"/>
    <col min="1795" max="1795" width="44.33203125" style="79" bestFit="1" customWidth="1"/>
    <col min="1796" max="1796" width="19.33203125" style="79" bestFit="1" customWidth="1"/>
    <col min="1797" max="1797" width="32.83203125" style="79" bestFit="1" customWidth="1"/>
    <col min="1798" max="1798" width="15.6640625" style="79" customWidth="1"/>
    <col min="1799" max="1799" width="19.6640625" style="79" customWidth="1"/>
    <col min="1800" max="1800" width="44.33203125" style="79" bestFit="1" customWidth="1"/>
    <col min="1801" max="1801" width="19.1640625" style="79" bestFit="1" customWidth="1"/>
    <col min="1802" max="1802" width="32.83203125" style="79" bestFit="1" customWidth="1"/>
    <col min="1803" max="1803" width="15.6640625" style="79" customWidth="1"/>
    <col min="1804" max="1804" width="19.6640625" style="79" customWidth="1"/>
    <col min="1805" max="1805" width="44.33203125" style="79" bestFit="1" customWidth="1"/>
    <col min="1806" max="1806" width="19.1640625" style="79" bestFit="1" customWidth="1"/>
    <col min="1807" max="1807" width="32.83203125" style="79" bestFit="1" customWidth="1"/>
    <col min="1808" max="2043" width="9.33203125" style="79"/>
    <col min="2044" max="2044" width="15.6640625" style="79" customWidth="1"/>
    <col min="2045" max="2045" width="19.6640625" style="79" customWidth="1"/>
    <col min="2046" max="2046" width="44.33203125" style="79" bestFit="1" customWidth="1"/>
    <col min="2047" max="2047" width="19.33203125" style="79" bestFit="1" customWidth="1"/>
    <col min="2048" max="2048" width="32.83203125" style="79" bestFit="1" customWidth="1"/>
    <col min="2049" max="2049" width="15.6640625" style="79" customWidth="1"/>
    <col min="2050" max="2050" width="19.6640625" style="79" customWidth="1"/>
    <col min="2051" max="2051" width="44.33203125" style="79" bestFit="1" customWidth="1"/>
    <col min="2052" max="2052" width="19.33203125" style="79" bestFit="1" customWidth="1"/>
    <col min="2053" max="2053" width="32.83203125" style="79" bestFit="1" customWidth="1"/>
    <col min="2054" max="2054" width="15.6640625" style="79" customWidth="1"/>
    <col min="2055" max="2055" width="19.6640625" style="79" customWidth="1"/>
    <col min="2056" max="2056" width="44.33203125" style="79" bestFit="1" customWidth="1"/>
    <col min="2057" max="2057" width="19.1640625" style="79" bestFit="1" customWidth="1"/>
    <col min="2058" max="2058" width="32.83203125" style="79" bestFit="1" customWidth="1"/>
    <col min="2059" max="2059" width="15.6640625" style="79" customWidth="1"/>
    <col min="2060" max="2060" width="19.6640625" style="79" customWidth="1"/>
    <col min="2061" max="2061" width="44.33203125" style="79" bestFit="1" customWidth="1"/>
    <col min="2062" max="2062" width="19.1640625" style="79" bestFit="1" customWidth="1"/>
    <col min="2063" max="2063" width="32.83203125" style="79" bestFit="1" customWidth="1"/>
    <col min="2064" max="2299" width="9.33203125" style="79"/>
    <col min="2300" max="2300" width="15.6640625" style="79" customWidth="1"/>
    <col min="2301" max="2301" width="19.6640625" style="79" customWidth="1"/>
    <col min="2302" max="2302" width="44.33203125" style="79" bestFit="1" customWidth="1"/>
    <col min="2303" max="2303" width="19.33203125" style="79" bestFit="1" customWidth="1"/>
    <col min="2304" max="2304" width="32.83203125" style="79" bestFit="1" customWidth="1"/>
    <col min="2305" max="2305" width="15.6640625" style="79" customWidth="1"/>
    <col min="2306" max="2306" width="19.6640625" style="79" customWidth="1"/>
    <col min="2307" max="2307" width="44.33203125" style="79" bestFit="1" customWidth="1"/>
    <col min="2308" max="2308" width="19.33203125" style="79" bestFit="1" customWidth="1"/>
    <col min="2309" max="2309" width="32.83203125" style="79" bestFit="1" customWidth="1"/>
    <col min="2310" max="2310" width="15.6640625" style="79" customWidth="1"/>
    <col min="2311" max="2311" width="19.6640625" style="79" customWidth="1"/>
    <col min="2312" max="2312" width="44.33203125" style="79" bestFit="1" customWidth="1"/>
    <col min="2313" max="2313" width="19.1640625" style="79" bestFit="1" customWidth="1"/>
    <col min="2314" max="2314" width="32.83203125" style="79" bestFit="1" customWidth="1"/>
    <col min="2315" max="2315" width="15.6640625" style="79" customWidth="1"/>
    <col min="2316" max="2316" width="19.6640625" style="79" customWidth="1"/>
    <col min="2317" max="2317" width="44.33203125" style="79" bestFit="1" customWidth="1"/>
    <col min="2318" max="2318" width="19.1640625" style="79" bestFit="1" customWidth="1"/>
    <col min="2319" max="2319" width="32.83203125" style="79" bestFit="1" customWidth="1"/>
    <col min="2320" max="2555" width="9.33203125" style="79"/>
    <col min="2556" max="2556" width="15.6640625" style="79" customWidth="1"/>
    <col min="2557" max="2557" width="19.6640625" style="79" customWidth="1"/>
    <col min="2558" max="2558" width="44.33203125" style="79" bestFit="1" customWidth="1"/>
    <col min="2559" max="2559" width="19.33203125" style="79" bestFit="1" customWidth="1"/>
    <col min="2560" max="2560" width="32.83203125" style="79" bestFit="1" customWidth="1"/>
    <col min="2561" max="2561" width="15.6640625" style="79" customWidth="1"/>
    <col min="2562" max="2562" width="19.6640625" style="79" customWidth="1"/>
    <col min="2563" max="2563" width="44.33203125" style="79" bestFit="1" customWidth="1"/>
    <col min="2564" max="2564" width="19.33203125" style="79" bestFit="1" customWidth="1"/>
    <col min="2565" max="2565" width="32.83203125" style="79" bestFit="1" customWidth="1"/>
    <col min="2566" max="2566" width="15.6640625" style="79" customWidth="1"/>
    <col min="2567" max="2567" width="19.6640625" style="79" customWidth="1"/>
    <col min="2568" max="2568" width="44.33203125" style="79" bestFit="1" customWidth="1"/>
    <col min="2569" max="2569" width="19.1640625" style="79" bestFit="1" customWidth="1"/>
    <col min="2570" max="2570" width="32.83203125" style="79" bestFit="1" customWidth="1"/>
    <col min="2571" max="2571" width="15.6640625" style="79" customWidth="1"/>
    <col min="2572" max="2572" width="19.6640625" style="79" customWidth="1"/>
    <col min="2573" max="2573" width="44.33203125" style="79" bestFit="1" customWidth="1"/>
    <col min="2574" max="2574" width="19.1640625" style="79" bestFit="1" customWidth="1"/>
    <col min="2575" max="2575" width="32.83203125" style="79" bestFit="1" customWidth="1"/>
    <col min="2576" max="2811" width="9.33203125" style="79"/>
    <col min="2812" max="2812" width="15.6640625" style="79" customWidth="1"/>
    <col min="2813" max="2813" width="19.6640625" style="79" customWidth="1"/>
    <col min="2814" max="2814" width="44.33203125" style="79" bestFit="1" customWidth="1"/>
    <col min="2815" max="2815" width="19.33203125" style="79" bestFit="1" customWidth="1"/>
    <col min="2816" max="2816" width="32.83203125" style="79" bestFit="1" customWidth="1"/>
    <col min="2817" max="2817" width="15.6640625" style="79" customWidth="1"/>
    <col min="2818" max="2818" width="19.6640625" style="79" customWidth="1"/>
    <col min="2819" max="2819" width="44.33203125" style="79" bestFit="1" customWidth="1"/>
    <col min="2820" max="2820" width="19.33203125" style="79" bestFit="1" customWidth="1"/>
    <col min="2821" max="2821" width="32.83203125" style="79" bestFit="1" customWidth="1"/>
    <col min="2822" max="2822" width="15.6640625" style="79" customWidth="1"/>
    <col min="2823" max="2823" width="19.6640625" style="79" customWidth="1"/>
    <col min="2824" max="2824" width="44.33203125" style="79" bestFit="1" customWidth="1"/>
    <col min="2825" max="2825" width="19.1640625" style="79" bestFit="1" customWidth="1"/>
    <col min="2826" max="2826" width="32.83203125" style="79" bestFit="1" customWidth="1"/>
    <col min="2827" max="2827" width="15.6640625" style="79" customWidth="1"/>
    <col min="2828" max="2828" width="19.6640625" style="79" customWidth="1"/>
    <col min="2829" max="2829" width="44.33203125" style="79" bestFit="1" customWidth="1"/>
    <col min="2830" max="2830" width="19.1640625" style="79" bestFit="1" customWidth="1"/>
    <col min="2831" max="2831" width="32.83203125" style="79" bestFit="1" customWidth="1"/>
    <col min="2832" max="3067" width="9.33203125" style="79"/>
    <col min="3068" max="3068" width="15.6640625" style="79" customWidth="1"/>
    <col min="3069" max="3069" width="19.6640625" style="79" customWidth="1"/>
    <col min="3070" max="3070" width="44.33203125" style="79" bestFit="1" customWidth="1"/>
    <col min="3071" max="3071" width="19.33203125" style="79" bestFit="1" customWidth="1"/>
    <col min="3072" max="3072" width="32.83203125" style="79" bestFit="1" customWidth="1"/>
    <col min="3073" max="3073" width="15.6640625" style="79" customWidth="1"/>
    <col min="3074" max="3074" width="19.6640625" style="79" customWidth="1"/>
    <col min="3075" max="3075" width="44.33203125" style="79" bestFit="1" customWidth="1"/>
    <col min="3076" max="3076" width="19.33203125" style="79" bestFit="1" customWidth="1"/>
    <col min="3077" max="3077" width="32.83203125" style="79" bestFit="1" customWidth="1"/>
    <col min="3078" max="3078" width="15.6640625" style="79" customWidth="1"/>
    <col min="3079" max="3079" width="19.6640625" style="79" customWidth="1"/>
    <col min="3080" max="3080" width="44.33203125" style="79" bestFit="1" customWidth="1"/>
    <col min="3081" max="3081" width="19.1640625" style="79" bestFit="1" customWidth="1"/>
    <col min="3082" max="3082" width="32.83203125" style="79" bestFit="1" customWidth="1"/>
    <col min="3083" max="3083" width="15.6640625" style="79" customWidth="1"/>
    <col min="3084" max="3084" width="19.6640625" style="79" customWidth="1"/>
    <col min="3085" max="3085" width="44.33203125" style="79" bestFit="1" customWidth="1"/>
    <col min="3086" max="3086" width="19.1640625" style="79" bestFit="1" customWidth="1"/>
    <col min="3087" max="3087" width="32.83203125" style="79" bestFit="1" customWidth="1"/>
    <col min="3088" max="3323" width="9.33203125" style="79"/>
    <col min="3324" max="3324" width="15.6640625" style="79" customWidth="1"/>
    <col min="3325" max="3325" width="19.6640625" style="79" customWidth="1"/>
    <col min="3326" max="3326" width="44.33203125" style="79" bestFit="1" customWidth="1"/>
    <col min="3327" max="3327" width="19.33203125" style="79" bestFit="1" customWidth="1"/>
    <col min="3328" max="3328" width="32.83203125" style="79" bestFit="1" customWidth="1"/>
    <col min="3329" max="3329" width="15.6640625" style="79" customWidth="1"/>
    <col min="3330" max="3330" width="19.6640625" style="79" customWidth="1"/>
    <col min="3331" max="3331" width="44.33203125" style="79" bestFit="1" customWidth="1"/>
    <col min="3332" max="3332" width="19.33203125" style="79" bestFit="1" customWidth="1"/>
    <col min="3333" max="3333" width="32.83203125" style="79" bestFit="1" customWidth="1"/>
    <col min="3334" max="3334" width="15.6640625" style="79" customWidth="1"/>
    <col min="3335" max="3335" width="19.6640625" style="79" customWidth="1"/>
    <col min="3336" max="3336" width="44.33203125" style="79" bestFit="1" customWidth="1"/>
    <col min="3337" max="3337" width="19.1640625" style="79" bestFit="1" customWidth="1"/>
    <col min="3338" max="3338" width="32.83203125" style="79" bestFit="1" customWidth="1"/>
    <col min="3339" max="3339" width="15.6640625" style="79" customWidth="1"/>
    <col min="3340" max="3340" width="19.6640625" style="79" customWidth="1"/>
    <col min="3341" max="3341" width="44.33203125" style="79" bestFit="1" customWidth="1"/>
    <col min="3342" max="3342" width="19.1640625" style="79" bestFit="1" customWidth="1"/>
    <col min="3343" max="3343" width="32.83203125" style="79" bestFit="1" customWidth="1"/>
    <col min="3344" max="3579" width="9.33203125" style="79"/>
    <col min="3580" max="3580" width="15.6640625" style="79" customWidth="1"/>
    <col min="3581" max="3581" width="19.6640625" style="79" customWidth="1"/>
    <col min="3582" max="3582" width="44.33203125" style="79" bestFit="1" customWidth="1"/>
    <col min="3583" max="3583" width="19.33203125" style="79" bestFit="1" customWidth="1"/>
    <col min="3584" max="3584" width="32.83203125" style="79" bestFit="1" customWidth="1"/>
    <col min="3585" max="3585" width="15.6640625" style="79" customWidth="1"/>
    <col min="3586" max="3586" width="19.6640625" style="79" customWidth="1"/>
    <col min="3587" max="3587" width="44.33203125" style="79" bestFit="1" customWidth="1"/>
    <col min="3588" max="3588" width="19.33203125" style="79" bestFit="1" customWidth="1"/>
    <col min="3589" max="3589" width="32.83203125" style="79" bestFit="1" customWidth="1"/>
    <col min="3590" max="3590" width="15.6640625" style="79" customWidth="1"/>
    <col min="3591" max="3591" width="19.6640625" style="79" customWidth="1"/>
    <col min="3592" max="3592" width="44.33203125" style="79" bestFit="1" customWidth="1"/>
    <col min="3593" max="3593" width="19.1640625" style="79" bestFit="1" customWidth="1"/>
    <col min="3594" max="3594" width="32.83203125" style="79" bestFit="1" customWidth="1"/>
    <col min="3595" max="3595" width="15.6640625" style="79" customWidth="1"/>
    <col min="3596" max="3596" width="19.6640625" style="79" customWidth="1"/>
    <col min="3597" max="3597" width="44.33203125" style="79" bestFit="1" customWidth="1"/>
    <col min="3598" max="3598" width="19.1640625" style="79" bestFit="1" customWidth="1"/>
    <col min="3599" max="3599" width="32.83203125" style="79" bestFit="1" customWidth="1"/>
    <col min="3600" max="3835" width="9.33203125" style="79"/>
    <col min="3836" max="3836" width="15.6640625" style="79" customWidth="1"/>
    <col min="3837" max="3837" width="19.6640625" style="79" customWidth="1"/>
    <col min="3838" max="3838" width="44.33203125" style="79" bestFit="1" customWidth="1"/>
    <col min="3839" max="3839" width="19.33203125" style="79" bestFit="1" customWidth="1"/>
    <col min="3840" max="3840" width="32.83203125" style="79" bestFit="1" customWidth="1"/>
    <col min="3841" max="3841" width="15.6640625" style="79" customWidth="1"/>
    <col min="3842" max="3842" width="19.6640625" style="79" customWidth="1"/>
    <col min="3843" max="3843" width="44.33203125" style="79" bestFit="1" customWidth="1"/>
    <col min="3844" max="3844" width="19.33203125" style="79" bestFit="1" customWidth="1"/>
    <col min="3845" max="3845" width="32.83203125" style="79" bestFit="1" customWidth="1"/>
    <col min="3846" max="3846" width="15.6640625" style="79" customWidth="1"/>
    <col min="3847" max="3847" width="19.6640625" style="79" customWidth="1"/>
    <col min="3848" max="3848" width="44.33203125" style="79" bestFit="1" customWidth="1"/>
    <col min="3849" max="3849" width="19.1640625" style="79" bestFit="1" customWidth="1"/>
    <col min="3850" max="3850" width="32.83203125" style="79" bestFit="1" customWidth="1"/>
    <col min="3851" max="3851" width="15.6640625" style="79" customWidth="1"/>
    <col min="3852" max="3852" width="19.6640625" style="79" customWidth="1"/>
    <col min="3853" max="3853" width="44.33203125" style="79" bestFit="1" customWidth="1"/>
    <col min="3854" max="3854" width="19.1640625" style="79" bestFit="1" customWidth="1"/>
    <col min="3855" max="3855" width="32.83203125" style="79" bestFit="1" customWidth="1"/>
    <col min="3856" max="4091" width="9.33203125" style="79"/>
    <col min="4092" max="4092" width="15.6640625" style="79" customWidth="1"/>
    <col min="4093" max="4093" width="19.6640625" style="79" customWidth="1"/>
    <col min="4094" max="4094" width="44.33203125" style="79" bestFit="1" customWidth="1"/>
    <col min="4095" max="4095" width="19.33203125" style="79" bestFit="1" customWidth="1"/>
    <col min="4096" max="4096" width="32.83203125" style="79" bestFit="1" customWidth="1"/>
    <col min="4097" max="4097" width="15.6640625" style="79" customWidth="1"/>
    <col min="4098" max="4098" width="19.6640625" style="79" customWidth="1"/>
    <col min="4099" max="4099" width="44.33203125" style="79" bestFit="1" customWidth="1"/>
    <col min="4100" max="4100" width="19.33203125" style="79" bestFit="1" customWidth="1"/>
    <col min="4101" max="4101" width="32.83203125" style="79" bestFit="1" customWidth="1"/>
    <col min="4102" max="4102" width="15.6640625" style="79" customWidth="1"/>
    <col min="4103" max="4103" width="19.6640625" style="79" customWidth="1"/>
    <col min="4104" max="4104" width="44.33203125" style="79" bestFit="1" customWidth="1"/>
    <col min="4105" max="4105" width="19.1640625" style="79" bestFit="1" customWidth="1"/>
    <col min="4106" max="4106" width="32.83203125" style="79" bestFit="1" customWidth="1"/>
    <col min="4107" max="4107" width="15.6640625" style="79" customWidth="1"/>
    <col min="4108" max="4108" width="19.6640625" style="79" customWidth="1"/>
    <col min="4109" max="4109" width="44.33203125" style="79" bestFit="1" customWidth="1"/>
    <col min="4110" max="4110" width="19.1640625" style="79" bestFit="1" customWidth="1"/>
    <col min="4111" max="4111" width="32.83203125" style="79" bestFit="1" customWidth="1"/>
    <col min="4112" max="4347" width="9.33203125" style="79"/>
    <col min="4348" max="4348" width="15.6640625" style="79" customWidth="1"/>
    <col min="4349" max="4349" width="19.6640625" style="79" customWidth="1"/>
    <col min="4350" max="4350" width="44.33203125" style="79" bestFit="1" customWidth="1"/>
    <col min="4351" max="4351" width="19.33203125" style="79" bestFit="1" customWidth="1"/>
    <col min="4352" max="4352" width="32.83203125" style="79" bestFit="1" customWidth="1"/>
    <col min="4353" max="4353" width="15.6640625" style="79" customWidth="1"/>
    <col min="4354" max="4354" width="19.6640625" style="79" customWidth="1"/>
    <col min="4355" max="4355" width="44.33203125" style="79" bestFit="1" customWidth="1"/>
    <col min="4356" max="4356" width="19.33203125" style="79" bestFit="1" customWidth="1"/>
    <col min="4357" max="4357" width="32.83203125" style="79" bestFit="1" customWidth="1"/>
    <col min="4358" max="4358" width="15.6640625" style="79" customWidth="1"/>
    <col min="4359" max="4359" width="19.6640625" style="79" customWidth="1"/>
    <col min="4360" max="4360" width="44.33203125" style="79" bestFit="1" customWidth="1"/>
    <col min="4361" max="4361" width="19.1640625" style="79" bestFit="1" customWidth="1"/>
    <col min="4362" max="4362" width="32.83203125" style="79" bestFit="1" customWidth="1"/>
    <col min="4363" max="4363" width="15.6640625" style="79" customWidth="1"/>
    <col min="4364" max="4364" width="19.6640625" style="79" customWidth="1"/>
    <col min="4365" max="4365" width="44.33203125" style="79" bestFit="1" customWidth="1"/>
    <col min="4366" max="4366" width="19.1640625" style="79" bestFit="1" customWidth="1"/>
    <col min="4367" max="4367" width="32.83203125" style="79" bestFit="1" customWidth="1"/>
    <col min="4368" max="4603" width="9.33203125" style="79"/>
    <col min="4604" max="4604" width="15.6640625" style="79" customWidth="1"/>
    <col min="4605" max="4605" width="19.6640625" style="79" customWidth="1"/>
    <col min="4606" max="4606" width="44.33203125" style="79" bestFit="1" customWidth="1"/>
    <col min="4607" max="4607" width="19.33203125" style="79" bestFit="1" customWidth="1"/>
    <col min="4608" max="4608" width="32.83203125" style="79" bestFit="1" customWidth="1"/>
    <col min="4609" max="4609" width="15.6640625" style="79" customWidth="1"/>
    <col min="4610" max="4610" width="19.6640625" style="79" customWidth="1"/>
    <col min="4611" max="4611" width="44.33203125" style="79" bestFit="1" customWidth="1"/>
    <col min="4612" max="4612" width="19.33203125" style="79" bestFit="1" customWidth="1"/>
    <col min="4613" max="4613" width="32.83203125" style="79" bestFit="1" customWidth="1"/>
    <col min="4614" max="4614" width="15.6640625" style="79" customWidth="1"/>
    <col min="4615" max="4615" width="19.6640625" style="79" customWidth="1"/>
    <col min="4616" max="4616" width="44.33203125" style="79" bestFit="1" customWidth="1"/>
    <col min="4617" max="4617" width="19.1640625" style="79" bestFit="1" customWidth="1"/>
    <col min="4618" max="4618" width="32.83203125" style="79" bestFit="1" customWidth="1"/>
    <col min="4619" max="4619" width="15.6640625" style="79" customWidth="1"/>
    <col min="4620" max="4620" width="19.6640625" style="79" customWidth="1"/>
    <col min="4621" max="4621" width="44.33203125" style="79" bestFit="1" customWidth="1"/>
    <col min="4622" max="4622" width="19.1640625" style="79" bestFit="1" customWidth="1"/>
    <col min="4623" max="4623" width="32.83203125" style="79" bestFit="1" customWidth="1"/>
    <col min="4624" max="4859" width="9.33203125" style="79"/>
    <col min="4860" max="4860" width="15.6640625" style="79" customWidth="1"/>
    <col min="4861" max="4861" width="19.6640625" style="79" customWidth="1"/>
    <col min="4862" max="4862" width="44.33203125" style="79" bestFit="1" customWidth="1"/>
    <col min="4863" max="4863" width="19.33203125" style="79" bestFit="1" customWidth="1"/>
    <col min="4864" max="4864" width="32.83203125" style="79" bestFit="1" customWidth="1"/>
    <col min="4865" max="4865" width="15.6640625" style="79" customWidth="1"/>
    <col min="4866" max="4866" width="19.6640625" style="79" customWidth="1"/>
    <col min="4867" max="4867" width="44.33203125" style="79" bestFit="1" customWidth="1"/>
    <col min="4868" max="4868" width="19.33203125" style="79" bestFit="1" customWidth="1"/>
    <col min="4869" max="4869" width="32.83203125" style="79" bestFit="1" customWidth="1"/>
    <col min="4870" max="4870" width="15.6640625" style="79" customWidth="1"/>
    <col min="4871" max="4871" width="19.6640625" style="79" customWidth="1"/>
    <col min="4872" max="4872" width="44.33203125" style="79" bestFit="1" customWidth="1"/>
    <col min="4873" max="4873" width="19.1640625" style="79" bestFit="1" customWidth="1"/>
    <col min="4874" max="4874" width="32.83203125" style="79" bestFit="1" customWidth="1"/>
    <col min="4875" max="4875" width="15.6640625" style="79" customWidth="1"/>
    <col min="4876" max="4876" width="19.6640625" style="79" customWidth="1"/>
    <col min="4877" max="4877" width="44.33203125" style="79" bestFit="1" customWidth="1"/>
    <col min="4878" max="4878" width="19.1640625" style="79" bestFit="1" customWidth="1"/>
    <col min="4879" max="4879" width="32.83203125" style="79" bestFit="1" customWidth="1"/>
    <col min="4880" max="5115" width="9.33203125" style="79"/>
    <col min="5116" max="5116" width="15.6640625" style="79" customWidth="1"/>
    <col min="5117" max="5117" width="19.6640625" style="79" customWidth="1"/>
    <col min="5118" max="5118" width="44.33203125" style="79" bestFit="1" customWidth="1"/>
    <col min="5119" max="5119" width="19.33203125" style="79" bestFit="1" customWidth="1"/>
    <col min="5120" max="5120" width="32.83203125" style="79" bestFit="1" customWidth="1"/>
    <col min="5121" max="5121" width="15.6640625" style="79" customWidth="1"/>
    <col min="5122" max="5122" width="19.6640625" style="79" customWidth="1"/>
    <col min="5123" max="5123" width="44.33203125" style="79" bestFit="1" customWidth="1"/>
    <col min="5124" max="5124" width="19.33203125" style="79" bestFit="1" customWidth="1"/>
    <col min="5125" max="5125" width="32.83203125" style="79" bestFit="1" customWidth="1"/>
    <col min="5126" max="5126" width="15.6640625" style="79" customWidth="1"/>
    <col min="5127" max="5127" width="19.6640625" style="79" customWidth="1"/>
    <col min="5128" max="5128" width="44.33203125" style="79" bestFit="1" customWidth="1"/>
    <col min="5129" max="5129" width="19.1640625" style="79" bestFit="1" customWidth="1"/>
    <col min="5130" max="5130" width="32.83203125" style="79" bestFit="1" customWidth="1"/>
    <col min="5131" max="5131" width="15.6640625" style="79" customWidth="1"/>
    <col min="5132" max="5132" width="19.6640625" style="79" customWidth="1"/>
    <col min="5133" max="5133" width="44.33203125" style="79" bestFit="1" customWidth="1"/>
    <col min="5134" max="5134" width="19.1640625" style="79" bestFit="1" customWidth="1"/>
    <col min="5135" max="5135" width="32.83203125" style="79" bestFit="1" customWidth="1"/>
    <col min="5136" max="5371" width="9.33203125" style="79"/>
    <col min="5372" max="5372" width="15.6640625" style="79" customWidth="1"/>
    <col min="5373" max="5373" width="19.6640625" style="79" customWidth="1"/>
    <col min="5374" max="5374" width="44.33203125" style="79" bestFit="1" customWidth="1"/>
    <col min="5375" max="5375" width="19.33203125" style="79" bestFit="1" customWidth="1"/>
    <col min="5376" max="5376" width="32.83203125" style="79" bestFit="1" customWidth="1"/>
    <col min="5377" max="5377" width="15.6640625" style="79" customWidth="1"/>
    <col min="5378" max="5378" width="19.6640625" style="79" customWidth="1"/>
    <col min="5379" max="5379" width="44.33203125" style="79" bestFit="1" customWidth="1"/>
    <col min="5380" max="5380" width="19.33203125" style="79" bestFit="1" customWidth="1"/>
    <col min="5381" max="5381" width="32.83203125" style="79" bestFit="1" customWidth="1"/>
    <col min="5382" max="5382" width="15.6640625" style="79" customWidth="1"/>
    <col min="5383" max="5383" width="19.6640625" style="79" customWidth="1"/>
    <col min="5384" max="5384" width="44.33203125" style="79" bestFit="1" customWidth="1"/>
    <col min="5385" max="5385" width="19.1640625" style="79" bestFit="1" customWidth="1"/>
    <col min="5386" max="5386" width="32.83203125" style="79" bestFit="1" customWidth="1"/>
    <col min="5387" max="5387" width="15.6640625" style="79" customWidth="1"/>
    <col min="5388" max="5388" width="19.6640625" style="79" customWidth="1"/>
    <col min="5389" max="5389" width="44.33203125" style="79" bestFit="1" customWidth="1"/>
    <col min="5390" max="5390" width="19.1640625" style="79" bestFit="1" customWidth="1"/>
    <col min="5391" max="5391" width="32.83203125" style="79" bestFit="1" customWidth="1"/>
    <col min="5392" max="5627" width="9.33203125" style="79"/>
    <col min="5628" max="5628" width="15.6640625" style="79" customWidth="1"/>
    <col min="5629" max="5629" width="19.6640625" style="79" customWidth="1"/>
    <col min="5630" max="5630" width="44.33203125" style="79" bestFit="1" customWidth="1"/>
    <col min="5631" max="5631" width="19.33203125" style="79" bestFit="1" customWidth="1"/>
    <col min="5632" max="5632" width="32.83203125" style="79" bestFit="1" customWidth="1"/>
    <col min="5633" max="5633" width="15.6640625" style="79" customWidth="1"/>
    <col min="5634" max="5634" width="19.6640625" style="79" customWidth="1"/>
    <col min="5635" max="5635" width="44.33203125" style="79" bestFit="1" customWidth="1"/>
    <col min="5636" max="5636" width="19.33203125" style="79" bestFit="1" customWidth="1"/>
    <col min="5637" max="5637" width="32.83203125" style="79" bestFit="1" customWidth="1"/>
    <col min="5638" max="5638" width="15.6640625" style="79" customWidth="1"/>
    <col min="5639" max="5639" width="19.6640625" style="79" customWidth="1"/>
    <col min="5640" max="5640" width="44.33203125" style="79" bestFit="1" customWidth="1"/>
    <col min="5641" max="5641" width="19.1640625" style="79" bestFit="1" customWidth="1"/>
    <col min="5642" max="5642" width="32.83203125" style="79" bestFit="1" customWidth="1"/>
    <col min="5643" max="5643" width="15.6640625" style="79" customWidth="1"/>
    <col min="5644" max="5644" width="19.6640625" style="79" customWidth="1"/>
    <col min="5645" max="5645" width="44.33203125" style="79" bestFit="1" customWidth="1"/>
    <col min="5646" max="5646" width="19.1640625" style="79" bestFit="1" customWidth="1"/>
    <col min="5647" max="5647" width="32.83203125" style="79" bestFit="1" customWidth="1"/>
    <col min="5648" max="5883" width="9.33203125" style="79"/>
    <col min="5884" max="5884" width="15.6640625" style="79" customWidth="1"/>
    <col min="5885" max="5885" width="19.6640625" style="79" customWidth="1"/>
    <col min="5886" max="5886" width="44.33203125" style="79" bestFit="1" customWidth="1"/>
    <col min="5887" max="5887" width="19.33203125" style="79" bestFit="1" customWidth="1"/>
    <col min="5888" max="5888" width="32.83203125" style="79" bestFit="1" customWidth="1"/>
    <col min="5889" max="5889" width="15.6640625" style="79" customWidth="1"/>
    <col min="5890" max="5890" width="19.6640625" style="79" customWidth="1"/>
    <col min="5891" max="5891" width="44.33203125" style="79" bestFit="1" customWidth="1"/>
    <col min="5892" max="5892" width="19.33203125" style="79" bestFit="1" customWidth="1"/>
    <col min="5893" max="5893" width="32.83203125" style="79" bestFit="1" customWidth="1"/>
    <col min="5894" max="5894" width="15.6640625" style="79" customWidth="1"/>
    <col min="5895" max="5895" width="19.6640625" style="79" customWidth="1"/>
    <col min="5896" max="5896" width="44.33203125" style="79" bestFit="1" customWidth="1"/>
    <col min="5897" max="5897" width="19.1640625" style="79" bestFit="1" customWidth="1"/>
    <col min="5898" max="5898" width="32.83203125" style="79" bestFit="1" customWidth="1"/>
    <col min="5899" max="5899" width="15.6640625" style="79" customWidth="1"/>
    <col min="5900" max="5900" width="19.6640625" style="79" customWidth="1"/>
    <col min="5901" max="5901" width="44.33203125" style="79" bestFit="1" customWidth="1"/>
    <col min="5902" max="5902" width="19.1640625" style="79" bestFit="1" customWidth="1"/>
    <col min="5903" max="5903" width="32.83203125" style="79" bestFit="1" customWidth="1"/>
    <col min="5904" max="6139" width="9.33203125" style="79"/>
    <col min="6140" max="6140" width="15.6640625" style="79" customWidth="1"/>
    <col min="6141" max="6141" width="19.6640625" style="79" customWidth="1"/>
    <col min="6142" max="6142" width="44.33203125" style="79" bestFit="1" customWidth="1"/>
    <col min="6143" max="6143" width="19.33203125" style="79" bestFit="1" customWidth="1"/>
    <col min="6144" max="6144" width="32.83203125" style="79" bestFit="1" customWidth="1"/>
    <col min="6145" max="6145" width="15.6640625" style="79" customWidth="1"/>
    <col min="6146" max="6146" width="19.6640625" style="79" customWidth="1"/>
    <col min="6147" max="6147" width="44.33203125" style="79" bestFit="1" customWidth="1"/>
    <col min="6148" max="6148" width="19.33203125" style="79" bestFit="1" customWidth="1"/>
    <col min="6149" max="6149" width="32.83203125" style="79" bestFit="1" customWidth="1"/>
    <col min="6150" max="6150" width="15.6640625" style="79" customWidth="1"/>
    <col min="6151" max="6151" width="19.6640625" style="79" customWidth="1"/>
    <col min="6152" max="6152" width="44.33203125" style="79" bestFit="1" customWidth="1"/>
    <col min="6153" max="6153" width="19.1640625" style="79" bestFit="1" customWidth="1"/>
    <col min="6154" max="6154" width="32.83203125" style="79" bestFit="1" customWidth="1"/>
    <col min="6155" max="6155" width="15.6640625" style="79" customWidth="1"/>
    <col min="6156" max="6156" width="19.6640625" style="79" customWidth="1"/>
    <col min="6157" max="6157" width="44.33203125" style="79" bestFit="1" customWidth="1"/>
    <col min="6158" max="6158" width="19.1640625" style="79" bestFit="1" customWidth="1"/>
    <col min="6159" max="6159" width="32.83203125" style="79" bestFit="1" customWidth="1"/>
    <col min="6160" max="6395" width="9.33203125" style="79"/>
    <col min="6396" max="6396" width="15.6640625" style="79" customWidth="1"/>
    <col min="6397" max="6397" width="19.6640625" style="79" customWidth="1"/>
    <col min="6398" max="6398" width="44.33203125" style="79" bestFit="1" customWidth="1"/>
    <col min="6399" max="6399" width="19.33203125" style="79" bestFit="1" customWidth="1"/>
    <col min="6400" max="6400" width="32.83203125" style="79" bestFit="1" customWidth="1"/>
    <col min="6401" max="6401" width="15.6640625" style="79" customWidth="1"/>
    <col min="6402" max="6402" width="19.6640625" style="79" customWidth="1"/>
    <col min="6403" max="6403" width="44.33203125" style="79" bestFit="1" customWidth="1"/>
    <col min="6404" max="6404" width="19.33203125" style="79" bestFit="1" customWidth="1"/>
    <col min="6405" max="6405" width="32.83203125" style="79" bestFit="1" customWidth="1"/>
    <col min="6406" max="6406" width="15.6640625" style="79" customWidth="1"/>
    <col min="6407" max="6407" width="19.6640625" style="79" customWidth="1"/>
    <col min="6408" max="6408" width="44.33203125" style="79" bestFit="1" customWidth="1"/>
    <col min="6409" max="6409" width="19.1640625" style="79" bestFit="1" customWidth="1"/>
    <col min="6410" max="6410" width="32.83203125" style="79" bestFit="1" customWidth="1"/>
    <col min="6411" max="6411" width="15.6640625" style="79" customWidth="1"/>
    <col min="6412" max="6412" width="19.6640625" style="79" customWidth="1"/>
    <col min="6413" max="6413" width="44.33203125" style="79" bestFit="1" customWidth="1"/>
    <col min="6414" max="6414" width="19.1640625" style="79" bestFit="1" customWidth="1"/>
    <col min="6415" max="6415" width="32.83203125" style="79" bestFit="1" customWidth="1"/>
    <col min="6416" max="6651" width="9.33203125" style="79"/>
    <col min="6652" max="6652" width="15.6640625" style="79" customWidth="1"/>
    <col min="6653" max="6653" width="19.6640625" style="79" customWidth="1"/>
    <col min="6654" max="6654" width="44.33203125" style="79" bestFit="1" customWidth="1"/>
    <col min="6655" max="6655" width="19.33203125" style="79" bestFit="1" customWidth="1"/>
    <col min="6656" max="6656" width="32.83203125" style="79" bestFit="1" customWidth="1"/>
    <col min="6657" max="6657" width="15.6640625" style="79" customWidth="1"/>
    <col min="6658" max="6658" width="19.6640625" style="79" customWidth="1"/>
    <col min="6659" max="6659" width="44.33203125" style="79" bestFit="1" customWidth="1"/>
    <col min="6660" max="6660" width="19.33203125" style="79" bestFit="1" customWidth="1"/>
    <col min="6661" max="6661" width="32.83203125" style="79" bestFit="1" customWidth="1"/>
    <col min="6662" max="6662" width="15.6640625" style="79" customWidth="1"/>
    <col min="6663" max="6663" width="19.6640625" style="79" customWidth="1"/>
    <col min="6664" max="6664" width="44.33203125" style="79" bestFit="1" customWidth="1"/>
    <col min="6665" max="6665" width="19.1640625" style="79" bestFit="1" customWidth="1"/>
    <col min="6666" max="6666" width="32.83203125" style="79" bestFit="1" customWidth="1"/>
    <col min="6667" max="6667" width="15.6640625" style="79" customWidth="1"/>
    <col min="6668" max="6668" width="19.6640625" style="79" customWidth="1"/>
    <col min="6669" max="6669" width="44.33203125" style="79" bestFit="1" customWidth="1"/>
    <col min="6670" max="6670" width="19.1640625" style="79" bestFit="1" customWidth="1"/>
    <col min="6671" max="6671" width="32.83203125" style="79" bestFit="1" customWidth="1"/>
    <col min="6672" max="6907" width="9.33203125" style="79"/>
    <col min="6908" max="6908" width="15.6640625" style="79" customWidth="1"/>
    <col min="6909" max="6909" width="19.6640625" style="79" customWidth="1"/>
    <col min="6910" max="6910" width="44.33203125" style="79" bestFit="1" customWidth="1"/>
    <col min="6911" max="6911" width="19.33203125" style="79" bestFit="1" customWidth="1"/>
    <col min="6912" max="6912" width="32.83203125" style="79" bestFit="1" customWidth="1"/>
    <col min="6913" max="6913" width="15.6640625" style="79" customWidth="1"/>
    <col min="6914" max="6914" width="19.6640625" style="79" customWidth="1"/>
    <col min="6915" max="6915" width="44.33203125" style="79" bestFit="1" customWidth="1"/>
    <col min="6916" max="6916" width="19.33203125" style="79" bestFit="1" customWidth="1"/>
    <col min="6917" max="6917" width="32.83203125" style="79" bestFit="1" customWidth="1"/>
    <col min="6918" max="6918" width="15.6640625" style="79" customWidth="1"/>
    <col min="6919" max="6919" width="19.6640625" style="79" customWidth="1"/>
    <col min="6920" max="6920" width="44.33203125" style="79" bestFit="1" customWidth="1"/>
    <col min="6921" max="6921" width="19.1640625" style="79" bestFit="1" customWidth="1"/>
    <col min="6922" max="6922" width="32.83203125" style="79" bestFit="1" customWidth="1"/>
    <col min="6923" max="6923" width="15.6640625" style="79" customWidth="1"/>
    <col min="6924" max="6924" width="19.6640625" style="79" customWidth="1"/>
    <col min="6925" max="6925" width="44.33203125" style="79" bestFit="1" customWidth="1"/>
    <col min="6926" max="6926" width="19.1640625" style="79" bestFit="1" customWidth="1"/>
    <col min="6927" max="6927" width="32.83203125" style="79" bestFit="1" customWidth="1"/>
    <col min="6928" max="7163" width="9.33203125" style="79"/>
    <col min="7164" max="7164" width="15.6640625" style="79" customWidth="1"/>
    <col min="7165" max="7165" width="19.6640625" style="79" customWidth="1"/>
    <col min="7166" max="7166" width="44.33203125" style="79" bestFit="1" customWidth="1"/>
    <col min="7167" max="7167" width="19.33203125" style="79" bestFit="1" customWidth="1"/>
    <col min="7168" max="7168" width="32.83203125" style="79" bestFit="1" customWidth="1"/>
    <col min="7169" max="7169" width="15.6640625" style="79" customWidth="1"/>
    <col min="7170" max="7170" width="19.6640625" style="79" customWidth="1"/>
    <col min="7171" max="7171" width="44.33203125" style="79" bestFit="1" customWidth="1"/>
    <col min="7172" max="7172" width="19.33203125" style="79" bestFit="1" customWidth="1"/>
    <col min="7173" max="7173" width="32.83203125" style="79" bestFit="1" customWidth="1"/>
    <col min="7174" max="7174" width="15.6640625" style="79" customWidth="1"/>
    <col min="7175" max="7175" width="19.6640625" style="79" customWidth="1"/>
    <col min="7176" max="7176" width="44.33203125" style="79" bestFit="1" customWidth="1"/>
    <col min="7177" max="7177" width="19.1640625" style="79" bestFit="1" customWidth="1"/>
    <col min="7178" max="7178" width="32.83203125" style="79" bestFit="1" customWidth="1"/>
    <col min="7179" max="7179" width="15.6640625" style="79" customWidth="1"/>
    <col min="7180" max="7180" width="19.6640625" style="79" customWidth="1"/>
    <col min="7181" max="7181" width="44.33203125" style="79" bestFit="1" customWidth="1"/>
    <col min="7182" max="7182" width="19.1640625" style="79" bestFit="1" customWidth="1"/>
    <col min="7183" max="7183" width="32.83203125" style="79" bestFit="1" customWidth="1"/>
    <col min="7184" max="7419" width="9.33203125" style="79"/>
    <col min="7420" max="7420" width="15.6640625" style="79" customWidth="1"/>
    <col min="7421" max="7421" width="19.6640625" style="79" customWidth="1"/>
    <col min="7422" max="7422" width="44.33203125" style="79" bestFit="1" customWidth="1"/>
    <col min="7423" max="7423" width="19.33203125" style="79" bestFit="1" customWidth="1"/>
    <col min="7424" max="7424" width="32.83203125" style="79" bestFit="1" customWidth="1"/>
    <col min="7425" max="7425" width="15.6640625" style="79" customWidth="1"/>
    <col min="7426" max="7426" width="19.6640625" style="79" customWidth="1"/>
    <col min="7427" max="7427" width="44.33203125" style="79" bestFit="1" customWidth="1"/>
    <col min="7428" max="7428" width="19.33203125" style="79" bestFit="1" customWidth="1"/>
    <col min="7429" max="7429" width="32.83203125" style="79" bestFit="1" customWidth="1"/>
    <col min="7430" max="7430" width="15.6640625" style="79" customWidth="1"/>
    <col min="7431" max="7431" width="19.6640625" style="79" customWidth="1"/>
    <col min="7432" max="7432" width="44.33203125" style="79" bestFit="1" customWidth="1"/>
    <col min="7433" max="7433" width="19.1640625" style="79" bestFit="1" customWidth="1"/>
    <col min="7434" max="7434" width="32.83203125" style="79" bestFit="1" customWidth="1"/>
    <col min="7435" max="7435" width="15.6640625" style="79" customWidth="1"/>
    <col min="7436" max="7436" width="19.6640625" style="79" customWidth="1"/>
    <col min="7437" max="7437" width="44.33203125" style="79" bestFit="1" customWidth="1"/>
    <col min="7438" max="7438" width="19.1640625" style="79" bestFit="1" customWidth="1"/>
    <col min="7439" max="7439" width="32.83203125" style="79" bestFit="1" customWidth="1"/>
    <col min="7440" max="7675" width="9.33203125" style="79"/>
    <col min="7676" max="7676" width="15.6640625" style="79" customWidth="1"/>
    <col min="7677" max="7677" width="19.6640625" style="79" customWidth="1"/>
    <col min="7678" max="7678" width="44.33203125" style="79" bestFit="1" customWidth="1"/>
    <col min="7679" max="7679" width="19.33203125" style="79" bestFit="1" customWidth="1"/>
    <col min="7680" max="7680" width="32.83203125" style="79" bestFit="1" customWidth="1"/>
    <col min="7681" max="7681" width="15.6640625" style="79" customWidth="1"/>
    <col min="7682" max="7682" width="19.6640625" style="79" customWidth="1"/>
    <col min="7683" max="7683" width="44.33203125" style="79" bestFit="1" customWidth="1"/>
    <col min="7684" max="7684" width="19.33203125" style="79" bestFit="1" customWidth="1"/>
    <col min="7685" max="7685" width="32.83203125" style="79" bestFit="1" customWidth="1"/>
    <col min="7686" max="7686" width="15.6640625" style="79" customWidth="1"/>
    <col min="7687" max="7687" width="19.6640625" style="79" customWidth="1"/>
    <col min="7688" max="7688" width="44.33203125" style="79" bestFit="1" customWidth="1"/>
    <col min="7689" max="7689" width="19.1640625" style="79" bestFit="1" customWidth="1"/>
    <col min="7690" max="7690" width="32.83203125" style="79" bestFit="1" customWidth="1"/>
    <col min="7691" max="7691" width="15.6640625" style="79" customWidth="1"/>
    <col min="7692" max="7692" width="19.6640625" style="79" customWidth="1"/>
    <col min="7693" max="7693" width="44.33203125" style="79" bestFit="1" customWidth="1"/>
    <col min="7694" max="7694" width="19.1640625" style="79" bestFit="1" customWidth="1"/>
    <col min="7695" max="7695" width="32.83203125" style="79" bestFit="1" customWidth="1"/>
    <col min="7696" max="7931" width="9.33203125" style="79"/>
    <col min="7932" max="7932" width="15.6640625" style="79" customWidth="1"/>
    <col min="7933" max="7933" width="19.6640625" style="79" customWidth="1"/>
    <col min="7934" max="7934" width="44.33203125" style="79" bestFit="1" customWidth="1"/>
    <col min="7935" max="7935" width="19.33203125" style="79" bestFit="1" customWidth="1"/>
    <col min="7936" max="7936" width="32.83203125" style="79" bestFit="1" customWidth="1"/>
    <col min="7937" max="7937" width="15.6640625" style="79" customWidth="1"/>
    <col min="7938" max="7938" width="19.6640625" style="79" customWidth="1"/>
    <col min="7939" max="7939" width="44.33203125" style="79" bestFit="1" customWidth="1"/>
    <col min="7940" max="7940" width="19.33203125" style="79" bestFit="1" customWidth="1"/>
    <col min="7941" max="7941" width="32.83203125" style="79" bestFit="1" customWidth="1"/>
    <col min="7942" max="7942" width="15.6640625" style="79" customWidth="1"/>
    <col min="7943" max="7943" width="19.6640625" style="79" customWidth="1"/>
    <col min="7944" max="7944" width="44.33203125" style="79" bestFit="1" customWidth="1"/>
    <col min="7945" max="7945" width="19.1640625" style="79" bestFit="1" customWidth="1"/>
    <col min="7946" max="7946" width="32.83203125" style="79" bestFit="1" customWidth="1"/>
    <col min="7947" max="7947" width="15.6640625" style="79" customWidth="1"/>
    <col min="7948" max="7948" width="19.6640625" style="79" customWidth="1"/>
    <col min="7949" max="7949" width="44.33203125" style="79" bestFit="1" customWidth="1"/>
    <col min="7950" max="7950" width="19.1640625" style="79" bestFit="1" customWidth="1"/>
    <col min="7951" max="7951" width="32.83203125" style="79" bestFit="1" customWidth="1"/>
    <col min="7952" max="8187" width="9.33203125" style="79"/>
    <col min="8188" max="8188" width="15.6640625" style="79" customWidth="1"/>
    <col min="8189" max="8189" width="19.6640625" style="79" customWidth="1"/>
    <col min="8190" max="8190" width="44.33203125" style="79" bestFit="1" customWidth="1"/>
    <col min="8191" max="8191" width="19.33203125" style="79" bestFit="1" customWidth="1"/>
    <col min="8192" max="8192" width="32.83203125" style="79" bestFit="1" customWidth="1"/>
    <col min="8193" max="8193" width="15.6640625" style="79" customWidth="1"/>
    <col min="8194" max="8194" width="19.6640625" style="79" customWidth="1"/>
    <col min="8195" max="8195" width="44.33203125" style="79" bestFit="1" customWidth="1"/>
    <col min="8196" max="8196" width="19.33203125" style="79" bestFit="1" customWidth="1"/>
    <col min="8197" max="8197" width="32.83203125" style="79" bestFit="1" customWidth="1"/>
    <col min="8198" max="8198" width="15.6640625" style="79" customWidth="1"/>
    <col min="8199" max="8199" width="19.6640625" style="79" customWidth="1"/>
    <col min="8200" max="8200" width="44.33203125" style="79" bestFit="1" customWidth="1"/>
    <col min="8201" max="8201" width="19.1640625" style="79" bestFit="1" customWidth="1"/>
    <col min="8202" max="8202" width="32.83203125" style="79" bestFit="1" customWidth="1"/>
    <col min="8203" max="8203" width="15.6640625" style="79" customWidth="1"/>
    <col min="8204" max="8204" width="19.6640625" style="79" customWidth="1"/>
    <col min="8205" max="8205" width="44.33203125" style="79" bestFit="1" customWidth="1"/>
    <col min="8206" max="8206" width="19.1640625" style="79" bestFit="1" customWidth="1"/>
    <col min="8207" max="8207" width="32.83203125" style="79" bestFit="1" customWidth="1"/>
    <col min="8208" max="8443" width="9.33203125" style="79"/>
    <col min="8444" max="8444" width="15.6640625" style="79" customWidth="1"/>
    <col min="8445" max="8445" width="19.6640625" style="79" customWidth="1"/>
    <col min="8446" max="8446" width="44.33203125" style="79" bestFit="1" customWidth="1"/>
    <col min="8447" max="8447" width="19.33203125" style="79" bestFit="1" customWidth="1"/>
    <col min="8448" max="8448" width="32.83203125" style="79" bestFit="1" customWidth="1"/>
    <col min="8449" max="8449" width="15.6640625" style="79" customWidth="1"/>
    <col min="8450" max="8450" width="19.6640625" style="79" customWidth="1"/>
    <col min="8451" max="8451" width="44.33203125" style="79" bestFit="1" customWidth="1"/>
    <col min="8452" max="8452" width="19.33203125" style="79" bestFit="1" customWidth="1"/>
    <col min="8453" max="8453" width="32.83203125" style="79" bestFit="1" customWidth="1"/>
    <col min="8454" max="8454" width="15.6640625" style="79" customWidth="1"/>
    <col min="8455" max="8455" width="19.6640625" style="79" customWidth="1"/>
    <col min="8456" max="8456" width="44.33203125" style="79" bestFit="1" customWidth="1"/>
    <col min="8457" max="8457" width="19.1640625" style="79" bestFit="1" customWidth="1"/>
    <col min="8458" max="8458" width="32.83203125" style="79" bestFit="1" customWidth="1"/>
    <col min="8459" max="8459" width="15.6640625" style="79" customWidth="1"/>
    <col min="8460" max="8460" width="19.6640625" style="79" customWidth="1"/>
    <col min="8461" max="8461" width="44.33203125" style="79" bestFit="1" customWidth="1"/>
    <col min="8462" max="8462" width="19.1640625" style="79" bestFit="1" customWidth="1"/>
    <col min="8463" max="8463" width="32.83203125" style="79" bestFit="1" customWidth="1"/>
    <col min="8464" max="8699" width="9.33203125" style="79"/>
    <col min="8700" max="8700" width="15.6640625" style="79" customWidth="1"/>
    <col min="8701" max="8701" width="19.6640625" style="79" customWidth="1"/>
    <col min="8702" max="8702" width="44.33203125" style="79" bestFit="1" customWidth="1"/>
    <col min="8703" max="8703" width="19.33203125" style="79" bestFit="1" customWidth="1"/>
    <col min="8704" max="8704" width="32.83203125" style="79" bestFit="1" customWidth="1"/>
    <col min="8705" max="8705" width="15.6640625" style="79" customWidth="1"/>
    <col min="8706" max="8706" width="19.6640625" style="79" customWidth="1"/>
    <col min="8707" max="8707" width="44.33203125" style="79" bestFit="1" customWidth="1"/>
    <col min="8708" max="8708" width="19.33203125" style="79" bestFit="1" customWidth="1"/>
    <col min="8709" max="8709" width="32.83203125" style="79" bestFit="1" customWidth="1"/>
    <col min="8710" max="8710" width="15.6640625" style="79" customWidth="1"/>
    <col min="8711" max="8711" width="19.6640625" style="79" customWidth="1"/>
    <col min="8712" max="8712" width="44.33203125" style="79" bestFit="1" customWidth="1"/>
    <col min="8713" max="8713" width="19.1640625" style="79" bestFit="1" customWidth="1"/>
    <col min="8714" max="8714" width="32.83203125" style="79" bestFit="1" customWidth="1"/>
    <col min="8715" max="8715" width="15.6640625" style="79" customWidth="1"/>
    <col min="8716" max="8716" width="19.6640625" style="79" customWidth="1"/>
    <col min="8717" max="8717" width="44.33203125" style="79" bestFit="1" customWidth="1"/>
    <col min="8718" max="8718" width="19.1640625" style="79" bestFit="1" customWidth="1"/>
    <col min="8719" max="8719" width="32.83203125" style="79" bestFit="1" customWidth="1"/>
    <col min="8720" max="8955" width="9.33203125" style="79"/>
    <col min="8956" max="8956" width="15.6640625" style="79" customWidth="1"/>
    <col min="8957" max="8957" width="19.6640625" style="79" customWidth="1"/>
    <col min="8958" max="8958" width="44.33203125" style="79" bestFit="1" customWidth="1"/>
    <col min="8959" max="8959" width="19.33203125" style="79" bestFit="1" customWidth="1"/>
    <col min="8960" max="8960" width="32.83203125" style="79" bestFit="1" customWidth="1"/>
    <col min="8961" max="8961" width="15.6640625" style="79" customWidth="1"/>
    <col min="8962" max="8962" width="19.6640625" style="79" customWidth="1"/>
    <col min="8963" max="8963" width="44.33203125" style="79" bestFit="1" customWidth="1"/>
    <col min="8964" max="8964" width="19.33203125" style="79" bestFit="1" customWidth="1"/>
    <col min="8965" max="8965" width="32.83203125" style="79" bestFit="1" customWidth="1"/>
    <col min="8966" max="8966" width="15.6640625" style="79" customWidth="1"/>
    <col min="8967" max="8967" width="19.6640625" style="79" customWidth="1"/>
    <col min="8968" max="8968" width="44.33203125" style="79" bestFit="1" customWidth="1"/>
    <col min="8969" max="8969" width="19.1640625" style="79" bestFit="1" customWidth="1"/>
    <col min="8970" max="8970" width="32.83203125" style="79" bestFit="1" customWidth="1"/>
    <col min="8971" max="8971" width="15.6640625" style="79" customWidth="1"/>
    <col min="8972" max="8972" width="19.6640625" style="79" customWidth="1"/>
    <col min="8973" max="8973" width="44.33203125" style="79" bestFit="1" customWidth="1"/>
    <col min="8974" max="8974" width="19.1640625" style="79" bestFit="1" customWidth="1"/>
    <col min="8975" max="8975" width="32.83203125" style="79" bestFit="1" customWidth="1"/>
    <col min="8976" max="9211" width="9.33203125" style="79"/>
    <col min="9212" max="9212" width="15.6640625" style="79" customWidth="1"/>
    <col min="9213" max="9213" width="19.6640625" style="79" customWidth="1"/>
    <col min="9214" max="9214" width="44.33203125" style="79" bestFit="1" customWidth="1"/>
    <col min="9215" max="9215" width="19.33203125" style="79" bestFit="1" customWidth="1"/>
    <col min="9216" max="9216" width="32.83203125" style="79" bestFit="1" customWidth="1"/>
    <col min="9217" max="9217" width="15.6640625" style="79" customWidth="1"/>
    <col min="9218" max="9218" width="19.6640625" style="79" customWidth="1"/>
    <col min="9219" max="9219" width="44.33203125" style="79" bestFit="1" customWidth="1"/>
    <col min="9220" max="9220" width="19.33203125" style="79" bestFit="1" customWidth="1"/>
    <col min="9221" max="9221" width="32.83203125" style="79" bestFit="1" customWidth="1"/>
    <col min="9222" max="9222" width="15.6640625" style="79" customWidth="1"/>
    <col min="9223" max="9223" width="19.6640625" style="79" customWidth="1"/>
    <col min="9224" max="9224" width="44.33203125" style="79" bestFit="1" customWidth="1"/>
    <col min="9225" max="9225" width="19.1640625" style="79" bestFit="1" customWidth="1"/>
    <col min="9226" max="9226" width="32.83203125" style="79" bestFit="1" customWidth="1"/>
    <col min="9227" max="9227" width="15.6640625" style="79" customWidth="1"/>
    <col min="9228" max="9228" width="19.6640625" style="79" customWidth="1"/>
    <col min="9229" max="9229" width="44.33203125" style="79" bestFit="1" customWidth="1"/>
    <col min="9230" max="9230" width="19.1640625" style="79" bestFit="1" customWidth="1"/>
    <col min="9231" max="9231" width="32.83203125" style="79" bestFit="1" customWidth="1"/>
    <col min="9232" max="9467" width="9.33203125" style="79"/>
    <col min="9468" max="9468" width="15.6640625" style="79" customWidth="1"/>
    <col min="9469" max="9469" width="19.6640625" style="79" customWidth="1"/>
    <col min="9470" max="9470" width="44.33203125" style="79" bestFit="1" customWidth="1"/>
    <col min="9471" max="9471" width="19.33203125" style="79" bestFit="1" customWidth="1"/>
    <col min="9472" max="9472" width="32.83203125" style="79" bestFit="1" customWidth="1"/>
    <col min="9473" max="9473" width="15.6640625" style="79" customWidth="1"/>
    <col min="9474" max="9474" width="19.6640625" style="79" customWidth="1"/>
    <col min="9475" max="9475" width="44.33203125" style="79" bestFit="1" customWidth="1"/>
    <col min="9476" max="9476" width="19.33203125" style="79" bestFit="1" customWidth="1"/>
    <col min="9477" max="9477" width="32.83203125" style="79" bestFit="1" customWidth="1"/>
    <col min="9478" max="9478" width="15.6640625" style="79" customWidth="1"/>
    <col min="9479" max="9479" width="19.6640625" style="79" customWidth="1"/>
    <col min="9480" max="9480" width="44.33203125" style="79" bestFit="1" customWidth="1"/>
    <col min="9481" max="9481" width="19.1640625" style="79" bestFit="1" customWidth="1"/>
    <col min="9482" max="9482" width="32.83203125" style="79" bestFit="1" customWidth="1"/>
    <col min="9483" max="9483" width="15.6640625" style="79" customWidth="1"/>
    <col min="9484" max="9484" width="19.6640625" style="79" customWidth="1"/>
    <col min="9485" max="9485" width="44.33203125" style="79" bestFit="1" customWidth="1"/>
    <col min="9486" max="9486" width="19.1640625" style="79" bestFit="1" customWidth="1"/>
    <col min="9487" max="9487" width="32.83203125" style="79" bestFit="1" customWidth="1"/>
    <col min="9488" max="9723" width="9.33203125" style="79"/>
    <col min="9724" max="9724" width="15.6640625" style="79" customWidth="1"/>
    <col min="9725" max="9725" width="19.6640625" style="79" customWidth="1"/>
    <col min="9726" max="9726" width="44.33203125" style="79" bestFit="1" customWidth="1"/>
    <col min="9727" max="9727" width="19.33203125" style="79" bestFit="1" customWidth="1"/>
    <col min="9728" max="9728" width="32.83203125" style="79" bestFit="1" customWidth="1"/>
    <col min="9729" max="9729" width="15.6640625" style="79" customWidth="1"/>
    <col min="9730" max="9730" width="19.6640625" style="79" customWidth="1"/>
    <col min="9731" max="9731" width="44.33203125" style="79" bestFit="1" customWidth="1"/>
    <col min="9732" max="9732" width="19.33203125" style="79" bestFit="1" customWidth="1"/>
    <col min="9733" max="9733" width="32.83203125" style="79" bestFit="1" customWidth="1"/>
    <col min="9734" max="9734" width="15.6640625" style="79" customWidth="1"/>
    <col min="9735" max="9735" width="19.6640625" style="79" customWidth="1"/>
    <col min="9736" max="9736" width="44.33203125" style="79" bestFit="1" customWidth="1"/>
    <col min="9737" max="9737" width="19.1640625" style="79" bestFit="1" customWidth="1"/>
    <col min="9738" max="9738" width="32.83203125" style="79" bestFit="1" customWidth="1"/>
    <col min="9739" max="9739" width="15.6640625" style="79" customWidth="1"/>
    <col min="9740" max="9740" width="19.6640625" style="79" customWidth="1"/>
    <col min="9741" max="9741" width="44.33203125" style="79" bestFit="1" customWidth="1"/>
    <col min="9742" max="9742" width="19.1640625" style="79" bestFit="1" customWidth="1"/>
    <col min="9743" max="9743" width="32.83203125" style="79" bestFit="1" customWidth="1"/>
    <col min="9744" max="9979" width="9.33203125" style="79"/>
    <col min="9980" max="9980" width="15.6640625" style="79" customWidth="1"/>
    <col min="9981" max="9981" width="19.6640625" style="79" customWidth="1"/>
    <col min="9982" max="9982" width="44.33203125" style="79" bestFit="1" customWidth="1"/>
    <col min="9983" max="9983" width="19.33203125" style="79" bestFit="1" customWidth="1"/>
    <col min="9984" max="9984" width="32.83203125" style="79" bestFit="1" customWidth="1"/>
    <col min="9985" max="9985" width="15.6640625" style="79" customWidth="1"/>
    <col min="9986" max="9986" width="19.6640625" style="79" customWidth="1"/>
    <col min="9987" max="9987" width="44.33203125" style="79" bestFit="1" customWidth="1"/>
    <col min="9988" max="9988" width="19.33203125" style="79" bestFit="1" customWidth="1"/>
    <col min="9989" max="9989" width="32.83203125" style="79" bestFit="1" customWidth="1"/>
    <col min="9990" max="9990" width="15.6640625" style="79" customWidth="1"/>
    <col min="9991" max="9991" width="19.6640625" style="79" customWidth="1"/>
    <col min="9992" max="9992" width="44.33203125" style="79" bestFit="1" customWidth="1"/>
    <col min="9993" max="9993" width="19.1640625" style="79" bestFit="1" customWidth="1"/>
    <col min="9994" max="9994" width="32.83203125" style="79" bestFit="1" customWidth="1"/>
    <col min="9995" max="9995" width="15.6640625" style="79" customWidth="1"/>
    <col min="9996" max="9996" width="19.6640625" style="79" customWidth="1"/>
    <col min="9997" max="9997" width="44.33203125" style="79" bestFit="1" customWidth="1"/>
    <col min="9998" max="9998" width="19.1640625" style="79" bestFit="1" customWidth="1"/>
    <col min="9999" max="9999" width="32.83203125" style="79" bestFit="1" customWidth="1"/>
    <col min="10000" max="10235" width="9.33203125" style="79"/>
    <col min="10236" max="10236" width="15.6640625" style="79" customWidth="1"/>
    <col min="10237" max="10237" width="19.6640625" style="79" customWidth="1"/>
    <col min="10238" max="10238" width="44.33203125" style="79" bestFit="1" customWidth="1"/>
    <col min="10239" max="10239" width="19.33203125" style="79" bestFit="1" customWidth="1"/>
    <col min="10240" max="10240" width="32.83203125" style="79" bestFit="1" customWidth="1"/>
    <col min="10241" max="10241" width="15.6640625" style="79" customWidth="1"/>
    <col min="10242" max="10242" width="19.6640625" style="79" customWidth="1"/>
    <col min="10243" max="10243" width="44.33203125" style="79" bestFit="1" customWidth="1"/>
    <col min="10244" max="10244" width="19.33203125" style="79" bestFit="1" customWidth="1"/>
    <col min="10245" max="10245" width="32.83203125" style="79" bestFit="1" customWidth="1"/>
    <col min="10246" max="10246" width="15.6640625" style="79" customWidth="1"/>
    <col min="10247" max="10247" width="19.6640625" style="79" customWidth="1"/>
    <col min="10248" max="10248" width="44.33203125" style="79" bestFit="1" customWidth="1"/>
    <col min="10249" max="10249" width="19.1640625" style="79" bestFit="1" customWidth="1"/>
    <col min="10250" max="10250" width="32.83203125" style="79" bestFit="1" customWidth="1"/>
    <col min="10251" max="10251" width="15.6640625" style="79" customWidth="1"/>
    <col min="10252" max="10252" width="19.6640625" style="79" customWidth="1"/>
    <col min="10253" max="10253" width="44.33203125" style="79" bestFit="1" customWidth="1"/>
    <col min="10254" max="10254" width="19.1640625" style="79" bestFit="1" customWidth="1"/>
    <col min="10255" max="10255" width="32.83203125" style="79" bestFit="1" customWidth="1"/>
    <col min="10256" max="10491" width="9.33203125" style="79"/>
    <col min="10492" max="10492" width="15.6640625" style="79" customWidth="1"/>
    <col min="10493" max="10493" width="19.6640625" style="79" customWidth="1"/>
    <col min="10494" max="10494" width="44.33203125" style="79" bestFit="1" customWidth="1"/>
    <col min="10495" max="10495" width="19.33203125" style="79" bestFit="1" customWidth="1"/>
    <col min="10496" max="10496" width="32.83203125" style="79" bestFit="1" customWidth="1"/>
    <col min="10497" max="10497" width="15.6640625" style="79" customWidth="1"/>
    <col min="10498" max="10498" width="19.6640625" style="79" customWidth="1"/>
    <col min="10499" max="10499" width="44.33203125" style="79" bestFit="1" customWidth="1"/>
    <col min="10500" max="10500" width="19.33203125" style="79" bestFit="1" customWidth="1"/>
    <col min="10501" max="10501" width="32.83203125" style="79" bestFit="1" customWidth="1"/>
    <col min="10502" max="10502" width="15.6640625" style="79" customWidth="1"/>
    <col min="10503" max="10503" width="19.6640625" style="79" customWidth="1"/>
    <col min="10504" max="10504" width="44.33203125" style="79" bestFit="1" customWidth="1"/>
    <col min="10505" max="10505" width="19.1640625" style="79" bestFit="1" customWidth="1"/>
    <col min="10506" max="10506" width="32.83203125" style="79" bestFit="1" customWidth="1"/>
    <col min="10507" max="10507" width="15.6640625" style="79" customWidth="1"/>
    <col min="10508" max="10508" width="19.6640625" style="79" customWidth="1"/>
    <col min="10509" max="10509" width="44.33203125" style="79" bestFit="1" customWidth="1"/>
    <col min="10510" max="10510" width="19.1640625" style="79" bestFit="1" customWidth="1"/>
    <col min="10511" max="10511" width="32.83203125" style="79" bestFit="1" customWidth="1"/>
    <col min="10512" max="10747" width="9.33203125" style="79"/>
    <col min="10748" max="10748" width="15.6640625" style="79" customWidth="1"/>
    <col min="10749" max="10749" width="19.6640625" style="79" customWidth="1"/>
    <col min="10750" max="10750" width="44.33203125" style="79" bestFit="1" customWidth="1"/>
    <col min="10751" max="10751" width="19.33203125" style="79" bestFit="1" customWidth="1"/>
    <col min="10752" max="10752" width="32.83203125" style="79" bestFit="1" customWidth="1"/>
    <col min="10753" max="10753" width="15.6640625" style="79" customWidth="1"/>
    <col min="10754" max="10754" width="19.6640625" style="79" customWidth="1"/>
    <col min="10755" max="10755" width="44.33203125" style="79" bestFit="1" customWidth="1"/>
    <col min="10756" max="10756" width="19.33203125" style="79" bestFit="1" customWidth="1"/>
    <col min="10757" max="10757" width="32.83203125" style="79" bestFit="1" customWidth="1"/>
    <col min="10758" max="10758" width="15.6640625" style="79" customWidth="1"/>
    <col min="10759" max="10759" width="19.6640625" style="79" customWidth="1"/>
    <col min="10760" max="10760" width="44.33203125" style="79" bestFit="1" customWidth="1"/>
    <col min="10761" max="10761" width="19.1640625" style="79" bestFit="1" customWidth="1"/>
    <col min="10762" max="10762" width="32.83203125" style="79" bestFit="1" customWidth="1"/>
    <col min="10763" max="10763" width="15.6640625" style="79" customWidth="1"/>
    <col min="10764" max="10764" width="19.6640625" style="79" customWidth="1"/>
    <col min="10765" max="10765" width="44.33203125" style="79" bestFit="1" customWidth="1"/>
    <col min="10766" max="10766" width="19.1640625" style="79" bestFit="1" customWidth="1"/>
    <col min="10767" max="10767" width="32.83203125" style="79" bestFit="1" customWidth="1"/>
    <col min="10768" max="11003" width="9.33203125" style="79"/>
    <col min="11004" max="11004" width="15.6640625" style="79" customWidth="1"/>
    <col min="11005" max="11005" width="19.6640625" style="79" customWidth="1"/>
    <col min="11006" max="11006" width="44.33203125" style="79" bestFit="1" customWidth="1"/>
    <col min="11007" max="11007" width="19.33203125" style="79" bestFit="1" customWidth="1"/>
    <col min="11008" max="11008" width="32.83203125" style="79" bestFit="1" customWidth="1"/>
    <col min="11009" max="11009" width="15.6640625" style="79" customWidth="1"/>
    <col min="11010" max="11010" width="19.6640625" style="79" customWidth="1"/>
    <col min="11011" max="11011" width="44.33203125" style="79" bestFit="1" customWidth="1"/>
    <col min="11012" max="11012" width="19.33203125" style="79" bestFit="1" customWidth="1"/>
    <col min="11013" max="11013" width="32.83203125" style="79" bestFit="1" customWidth="1"/>
    <col min="11014" max="11014" width="15.6640625" style="79" customWidth="1"/>
    <col min="11015" max="11015" width="19.6640625" style="79" customWidth="1"/>
    <col min="11016" max="11016" width="44.33203125" style="79" bestFit="1" customWidth="1"/>
    <col min="11017" max="11017" width="19.1640625" style="79" bestFit="1" customWidth="1"/>
    <col min="11018" max="11018" width="32.83203125" style="79" bestFit="1" customWidth="1"/>
    <col min="11019" max="11019" width="15.6640625" style="79" customWidth="1"/>
    <col min="11020" max="11020" width="19.6640625" style="79" customWidth="1"/>
    <col min="11021" max="11021" width="44.33203125" style="79" bestFit="1" customWidth="1"/>
    <col min="11022" max="11022" width="19.1640625" style="79" bestFit="1" customWidth="1"/>
    <col min="11023" max="11023" width="32.83203125" style="79" bestFit="1" customWidth="1"/>
    <col min="11024" max="11259" width="9.33203125" style="79"/>
    <col min="11260" max="11260" width="15.6640625" style="79" customWidth="1"/>
    <col min="11261" max="11261" width="19.6640625" style="79" customWidth="1"/>
    <col min="11262" max="11262" width="44.33203125" style="79" bestFit="1" customWidth="1"/>
    <col min="11263" max="11263" width="19.33203125" style="79" bestFit="1" customWidth="1"/>
    <col min="11264" max="11264" width="32.83203125" style="79" bestFit="1" customWidth="1"/>
    <col min="11265" max="11265" width="15.6640625" style="79" customWidth="1"/>
    <col min="11266" max="11266" width="19.6640625" style="79" customWidth="1"/>
    <col min="11267" max="11267" width="44.33203125" style="79" bestFit="1" customWidth="1"/>
    <col min="11268" max="11268" width="19.33203125" style="79" bestFit="1" customWidth="1"/>
    <col min="11269" max="11269" width="32.83203125" style="79" bestFit="1" customWidth="1"/>
    <col min="11270" max="11270" width="15.6640625" style="79" customWidth="1"/>
    <col min="11271" max="11271" width="19.6640625" style="79" customWidth="1"/>
    <col min="11272" max="11272" width="44.33203125" style="79" bestFit="1" customWidth="1"/>
    <col min="11273" max="11273" width="19.1640625" style="79" bestFit="1" customWidth="1"/>
    <col min="11274" max="11274" width="32.83203125" style="79" bestFit="1" customWidth="1"/>
    <col min="11275" max="11275" width="15.6640625" style="79" customWidth="1"/>
    <col min="11276" max="11276" width="19.6640625" style="79" customWidth="1"/>
    <col min="11277" max="11277" width="44.33203125" style="79" bestFit="1" customWidth="1"/>
    <col min="11278" max="11278" width="19.1640625" style="79" bestFit="1" customWidth="1"/>
    <col min="11279" max="11279" width="32.83203125" style="79" bestFit="1" customWidth="1"/>
    <col min="11280" max="11515" width="9.33203125" style="79"/>
    <col min="11516" max="11516" width="15.6640625" style="79" customWidth="1"/>
    <col min="11517" max="11517" width="19.6640625" style="79" customWidth="1"/>
    <col min="11518" max="11518" width="44.33203125" style="79" bestFit="1" customWidth="1"/>
    <col min="11519" max="11519" width="19.33203125" style="79" bestFit="1" customWidth="1"/>
    <col min="11520" max="11520" width="32.83203125" style="79" bestFit="1" customWidth="1"/>
    <col min="11521" max="11521" width="15.6640625" style="79" customWidth="1"/>
    <col min="11522" max="11522" width="19.6640625" style="79" customWidth="1"/>
    <col min="11523" max="11523" width="44.33203125" style="79" bestFit="1" customWidth="1"/>
    <col min="11524" max="11524" width="19.33203125" style="79" bestFit="1" customWidth="1"/>
    <col min="11525" max="11525" width="32.83203125" style="79" bestFit="1" customWidth="1"/>
    <col min="11526" max="11526" width="15.6640625" style="79" customWidth="1"/>
    <col min="11527" max="11527" width="19.6640625" style="79" customWidth="1"/>
    <col min="11528" max="11528" width="44.33203125" style="79" bestFit="1" customWidth="1"/>
    <col min="11529" max="11529" width="19.1640625" style="79" bestFit="1" customWidth="1"/>
    <col min="11530" max="11530" width="32.83203125" style="79" bestFit="1" customWidth="1"/>
    <col min="11531" max="11531" width="15.6640625" style="79" customWidth="1"/>
    <col min="11532" max="11532" width="19.6640625" style="79" customWidth="1"/>
    <col min="11533" max="11533" width="44.33203125" style="79" bestFit="1" customWidth="1"/>
    <col min="11534" max="11534" width="19.1640625" style="79" bestFit="1" customWidth="1"/>
    <col min="11535" max="11535" width="32.83203125" style="79" bestFit="1" customWidth="1"/>
    <col min="11536" max="11771" width="9.33203125" style="79"/>
    <col min="11772" max="11772" width="15.6640625" style="79" customWidth="1"/>
    <col min="11773" max="11773" width="19.6640625" style="79" customWidth="1"/>
    <col min="11774" max="11774" width="44.33203125" style="79" bestFit="1" customWidth="1"/>
    <col min="11775" max="11775" width="19.33203125" style="79" bestFit="1" customWidth="1"/>
    <col min="11776" max="11776" width="32.83203125" style="79" bestFit="1" customWidth="1"/>
    <col min="11777" max="11777" width="15.6640625" style="79" customWidth="1"/>
    <col min="11778" max="11778" width="19.6640625" style="79" customWidth="1"/>
    <col min="11779" max="11779" width="44.33203125" style="79" bestFit="1" customWidth="1"/>
    <col min="11780" max="11780" width="19.33203125" style="79" bestFit="1" customWidth="1"/>
    <col min="11781" max="11781" width="32.83203125" style="79" bestFit="1" customWidth="1"/>
    <col min="11782" max="11782" width="15.6640625" style="79" customWidth="1"/>
    <col min="11783" max="11783" width="19.6640625" style="79" customWidth="1"/>
    <col min="11784" max="11784" width="44.33203125" style="79" bestFit="1" customWidth="1"/>
    <col min="11785" max="11785" width="19.1640625" style="79" bestFit="1" customWidth="1"/>
    <col min="11786" max="11786" width="32.83203125" style="79" bestFit="1" customWidth="1"/>
    <col min="11787" max="11787" width="15.6640625" style="79" customWidth="1"/>
    <col min="11788" max="11788" width="19.6640625" style="79" customWidth="1"/>
    <col min="11789" max="11789" width="44.33203125" style="79" bestFit="1" customWidth="1"/>
    <col min="11790" max="11790" width="19.1640625" style="79" bestFit="1" customWidth="1"/>
    <col min="11791" max="11791" width="32.83203125" style="79" bestFit="1" customWidth="1"/>
    <col min="11792" max="12027" width="9.33203125" style="79"/>
    <col min="12028" max="12028" width="15.6640625" style="79" customWidth="1"/>
    <col min="12029" max="12029" width="19.6640625" style="79" customWidth="1"/>
    <col min="12030" max="12030" width="44.33203125" style="79" bestFit="1" customWidth="1"/>
    <col min="12031" max="12031" width="19.33203125" style="79" bestFit="1" customWidth="1"/>
    <col min="12032" max="12032" width="32.83203125" style="79" bestFit="1" customWidth="1"/>
    <col min="12033" max="12033" width="15.6640625" style="79" customWidth="1"/>
    <col min="12034" max="12034" width="19.6640625" style="79" customWidth="1"/>
    <col min="12035" max="12035" width="44.33203125" style="79" bestFit="1" customWidth="1"/>
    <col min="12036" max="12036" width="19.33203125" style="79" bestFit="1" customWidth="1"/>
    <col min="12037" max="12037" width="32.83203125" style="79" bestFit="1" customWidth="1"/>
    <col min="12038" max="12038" width="15.6640625" style="79" customWidth="1"/>
    <col min="12039" max="12039" width="19.6640625" style="79" customWidth="1"/>
    <col min="12040" max="12040" width="44.33203125" style="79" bestFit="1" customWidth="1"/>
    <col min="12041" max="12041" width="19.1640625" style="79" bestFit="1" customWidth="1"/>
    <col min="12042" max="12042" width="32.83203125" style="79" bestFit="1" customWidth="1"/>
    <col min="12043" max="12043" width="15.6640625" style="79" customWidth="1"/>
    <col min="12044" max="12044" width="19.6640625" style="79" customWidth="1"/>
    <col min="12045" max="12045" width="44.33203125" style="79" bestFit="1" customWidth="1"/>
    <col min="12046" max="12046" width="19.1640625" style="79" bestFit="1" customWidth="1"/>
    <col min="12047" max="12047" width="32.83203125" style="79" bestFit="1" customWidth="1"/>
    <col min="12048" max="12283" width="9.33203125" style="79"/>
    <col min="12284" max="12284" width="15.6640625" style="79" customWidth="1"/>
    <col min="12285" max="12285" width="19.6640625" style="79" customWidth="1"/>
    <col min="12286" max="12286" width="44.33203125" style="79" bestFit="1" customWidth="1"/>
    <col min="12287" max="12287" width="19.33203125" style="79" bestFit="1" customWidth="1"/>
    <col min="12288" max="12288" width="32.83203125" style="79" bestFit="1" customWidth="1"/>
    <col min="12289" max="12289" width="15.6640625" style="79" customWidth="1"/>
    <col min="12290" max="12290" width="19.6640625" style="79" customWidth="1"/>
    <col min="12291" max="12291" width="44.33203125" style="79" bestFit="1" customWidth="1"/>
    <col min="12292" max="12292" width="19.33203125" style="79" bestFit="1" customWidth="1"/>
    <col min="12293" max="12293" width="32.83203125" style="79" bestFit="1" customWidth="1"/>
    <col min="12294" max="12294" width="15.6640625" style="79" customWidth="1"/>
    <col min="12295" max="12295" width="19.6640625" style="79" customWidth="1"/>
    <col min="12296" max="12296" width="44.33203125" style="79" bestFit="1" customWidth="1"/>
    <col min="12297" max="12297" width="19.1640625" style="79" bestFit="1" customWidth="1"/>
    <col min="12298" max="12298" width="32.83203125" style="79" bestFit="1" customWidth="1"/>
    <col min="12299" max="12299" width="15.6640625" style="79" customWidth="1"/>
    <col min="12300" max="12300" width="19.6640625" style="79" customWidth="1"/>
    <col min="12301" max="12301" width="44.33203125" style="79" bestFit="1" customWidth="1"/>
    <col min="12302" max="12302" width="19.1640625" style="79" bestFit="1" customWidth="1"/>
    <col min="12303" max="12303" width="32.83203125" style="79" bestFit="1" customWidth="1"/>
    <col min="12304" max="12539" width="9.33203125" style="79"/>
    <col min="12540" max="12540" width="15.6640625" style="79" customWidth="1"/>
    <col min="12541" max="12541" width="19.6640625" style="79" customWidth="1"/>
    <col min="12542" max="12542" width="44.33203125" style="79" bestFit="1" customWidth="1"/>
    <col min="12543" max="12543" width="19.33203125" style="79" bestFit="1" customWidth="1"/>
    <col min="12544" max="12544" width="32.83203125" style="79" bestFit="1" customWidth="1"/>
    <col min="12545" max="12545" width="15.6640625" style="79" customWidth="1"/>
    <col min="12546" max="12546" width="19.6640625" style="79" customWidth="1"/>
    <col min="12547" max="12547" width="44.33203125" style="79" bestFit="1" customWidth="1"/>
    <col min="12548" max="12548" width="19.33203125" style="79" bestFit="1" customWidth="1"/>
    <col min="12549" max="12549" width="32.83203125" style="79" bestFit="1" customWidth="1"/>
    <col min="12550" max="12550" width="15.6640625" style="79" customWidth="1"/>
    <col min="12551" max="12551" width="19.6640625" style="79" customWidth="1"/>
    <col min="12552" max="12552" width="44.33203125" style="79" bestFit="1" customWidth="1"/>
    <col min="12553" max="12553" width="19.1640625" style="79" bestFit="1" customWidth="1"/>
    <col min="12554" max="12554" width="32.83203125" style="79" bestFit="1" customWidth="1"/>
    <col min="12555" max="12555" width="15.6640625" style="79" customWidth="1"/>
    <col min="12556" max="12556" width="19.6640625" style="79" customWidth="1"/>
    <col min="12557" max="12557" width="44.33203125" style="79" bestFit="1" customWidth="1"/>
    <col min="12558" max="12558" width="19.1640625" style="79" bestFit="1" customWidth="1"/>
    <col min="12559" max="12559" width="32.83203125" style="79" bestFit="1" customWidth="1"/>
    <col min="12560" max="12795" width="9.33203125" style="79"/>
    <col min="12796" max="12796" width="15.6640625" style="79" customWidth="1"/>
    <col min="12797" max="12797" width="19.6640625" style="79" customWidth="1"/>
    <col min="12798" max="12798" width="44.33203125" style="79" bestFit="1" customWidth="1"/>
    <col min="12799" max="12799" width="19.33203125" style="79" bestFit="1" customWidth="1"/>
    <col min="12800" max="12800" width="32.83203125" style="79" bestFit="1" customWidth="1"/>
    <col min="12801" max="12801" width="15.6640625" style="79" customWidth="1"/>
    <col min="12802" max="12802" width="19.6640625" style="79" customWidth="1"/>
    <col min="12803" max="12803" width="44.33203125" style="79" bestFit="1" customWidth="1"/>
    <col min="12804" max="12804" width="19.33203125" style="79" bestFit="1" customWidth="1"/>
    <col min="12805" max="12805" width="32.83203125" style="79" bestFit="1" customWidth="1"/>
    <col min="12806" max="12806" width="15.6640625" style="79" customWidth="1"/>
    <col min="12807" max="12807" width="19.6640625" style="79" customWidth="1"/>
    <col min="12808" max="12808" width="44.33203125" style="79" bestFit="1" customWidth="1"/>
    <col min="12809" max="12809" width="19.1640625" style="79" bestFit="1" customWidth="1"/>
    <col min="12810" max="12810" width="32.83203125" style="79" bestFit="1" customWidth="1"/>
    <col min="12811" max="12811" width="15.6640625" style="79" customWidth="1"/>
    <col min="12812" max="12812" width="19.6640625" style="79" customWidth="1"/>
    <col min="12813" max="12813" width="44.33203125" style="79" bestFit="1" customWidth="1"/>
    <col min="12814" max="12814" width="19.1640625" style="79" bestFit="1" customWidth="1"/>
    <col min="12815" max="12815" width="32.83203125" style="79" bestFit="1" customWidth="1"/>
    <col min="12816" max="13051" width="9.33203125" style="79"/>
    <col min="13052" max="13052" width="15.6640625" style="79" customWidth="1"/>
    <col min="13053" max="13053" width="19.6640625" style="79" customWidth="1"/>
    <col min="13054" max="13054" width="44.33203125" style="79" bestFit="1" customWidth="1"/>
    <col min="13055" max="13055" width="19.33203125" style="79" bestFit="1" customWidth="1"/>
    <col min="13056" max="13056" width="32.83203125" style="79" bestFit="1" customWidth="1"/>
    <col min="13057" max="13057" width="15.6640625" style="79" customWidth="1"/>
    <col min="13058" max="13058" width="19.6640625" style="79" customWidth="1"/>
    <col min="13059" max="13059" width="44.33203125" style="79" bestFit="1" customWidth="1"/>
    <col min="13060" max="13060" width="19.33203125" style="79" bestFit="1" customWidth="1"/>
    <col min="13061" max="13061" width="32.83203125" style="79" bestFit="1" customWidth="1"/>
    <col min="13062" max="13062" width="15.6640625" style="79" customWidth="1"/>
    <col min="13063" max="13063" width="19.6640625" style="79" customWidth="1"/>
    <col min="13064" max="13064" width="44.33203125" style="79" bestFit="1" customWidth="1"/>
    <col min="13065" max="13065" width="19.1640625" style="79" bestFit="1" customWidth="1"/>
    <col min="13066" max="13066" width="32.83203125" style="79" bestFit="1" customWidth="1"/>
    <col min="13067" max="13067" width="15.6640625" style="79" customWidth="1"/>
    <col min="13068" max="13068" width="19.6640625" style="79" customWidth="1"/>
    <col min="13069" max="13069" width="44.33203125" style="79" bestFit="1" customWidth="1"/>
    <col min="13070" max="13070" width="19.1640625" style="79" bestFit="1" customWidth="1"/>
    <col min="13071" max="13071" width="32.83203125" style="79" bestFit="1" customWidth="1"/>
    <col min="13072" max="13307" width="9.33203125" style="79"/>
    <col min="13308" max="13308" width="15.6640625" style="79" customWidth="1"/>
    <col min="13309" max="13309" width="19.6640625" style="79" customWidth="1"/>
    <col min="13310" max="13310" width="44.33203125" style="79" bestFit="1" customWidth="1"/>
    <col min="13311" max="13311" width="19.33203125" style="79" bestFit="1" customWidth="1"/>
    <col min="13312" max="13312" width="32.83203125" style="79" bestFit="1" customWidth="1"/>
    <col min="13313" max="13313" width="15.6640625" style="79" customWidth="1"/>
    <col min="13314" max="13314" width="19.6640625" style="79" customWidth="1"/>
    <col min="13315" max="13315" width="44.33203125" style="79" bestFit="1" customWidth="1"/>
    <col min="13316" max="13316" width="19.33203125" style="79" bestFit="1" customWidth="1"/>
    <col min="13317" max="13317" width="32.83203125" style="79" bestFit="1" customWidth="1"/>
    <col min="13318" max="13318" width="15.6640625" style="79" customWidth="1"/>
    <col min="13319" max="13319" width="19.6640625" style="79" customWidth="1"/>
    <col min="13320" max="13320" width="44.33203125" style="79" bestFit="1" customWidth="1"/>
    <col min="13321" max="13321" width="19.1640625" style="79" bestFit="1" customWidth="1"/>
    <col min="13322" max="13322" width="32.83203125" style="79" bestFit="1" customWidth="1"/>
    <col min="13323" max="13323" width="15.6640625" style="79" customWidth="1"/>
    <col min="13324" max="13324" width="19.6640625" style="79" customWidth="1"/>
    <col min="13325" max="13325" width="44.33203125" style="79" bestFit="1" customWidth="1"/>
    <col min="13326" max="13326" width="19.1640625" style="79" bestFit="1" customWidth="1"/>
    <col min="13327" max="13327" width="32.83203125" style="79" bestFit="1" customWidth="1"/>
    <col min="13328" max="13563" width="9.33203125" style="79"/>
    <col min="13564" max="13564" width="15.6640625" style="79" customWidth="1"/>
    <col min="13565" max="13565" width="19.6640625" style="79" customWidth="1"/>
    <col min="13566" max="13566" width="44.33203125" style="79" bestFit="1" customWidth="1"/>
    <col min="13567" max="13567" width="19.33203125" style="79" bestFit="1" customWidth="1"/>
    <col min="13568" max="13568" width="32.83203125" style="79" bestFit="1" customWidth="1"/>
    <col min="13569" max="13569" width="15.6640625" style="79" customWidth="1"/>
    <col min="13570" max="13570" width="19.6640625" style="79" customWidth="1"/>
    <col min="13571" max="13571" width="44.33203125" style="79" bestFit="1" customWidth="1"/>
    <col min="13572" max="13572" width="19.33203125" style="79" bestFit="1" customWidth="1"/>
    <col min="13573" max="13573" width="32.83203125" style="79" bestFit="1" customWidth="1"/>
    <col min="13574" max="13574" width="15.6640625" style="79" customWidth="1"/>
    <col min="13575" max="13575" width="19.6640625" style="79" customWidth="1"/>
    <col min="13576" max="13576" width="44.33203125" style="79" bestFit="1" customWidth="1"/>
    <col min="13577" max="13577" width="19.1640625" style="79" bestFit="1" customWidth="1"/>
    <col min="13578" max="13578" width="32.83203125" style="79" bestFit="1" customWidth="1"/>
    <col min="13579" max="13579" width="15.6640625" style="79" customWidth="1"/>
    <col min="13580" max="13580" width="19.6640625" style="79" customWidth="1"/>
    <col min="13581" max="13581" width="44.33203125" style="79" bestFit="1" customWidth="1"/>
    <col min="13582" max="13582" width="19.1640625" style="79" bestFit="1" customWidth="1"/>
    <col min="13583" max="13583" width="32.83203125" style="79" bestFit="1" customWidth="1"/>
    <col min="13584" max="13819" width="9.33203125" style="79"/>
    <col min="13820" max="13820" width="15.6640625" style="79" customWidth="1"/>
    <col min="13821" max="13821" width="19.6640625" style="79" customWidth="1"/>
    <col min="13822" max="13822" width="44.33203125" style="79" bestFit="1" customWidth="1"/>
    <col min="13823" max="13823" width="19.33203125" style="79" bestFit="1" customWidth="1"/>
    <col min="13824" max="13824" width="32.83203125" style="79" bestFit="1" customWidth="1"/>
    <col min="13825" max="13825" width="15.6640625" style="79" customWidth="1"/>
    <col min="13826" max="13826" width="19.6640625" style="79" customWidth="1"/>
    <col min="13827" max="13827" width="44.33203125" style="79" bestFit="1" customWidth="1"/>
    <col min="13828" max="13828" width="19.33203125" style="79" bestFit="1" customWidth="1"/>
    <col min="13829" max="13829" width="32.83203125" style="79" bestFit="1" customWidth="1"/>
    <col min="13830" max="13830" width="15.6640625" style="79" customWidth="1"/>
    <col min="13831" max="13831" width="19.6640625" style="79" customWidth="1"/>
    <col min="13832" max="13832" width="44.33203125" style="79" bestFit="1" customWidth="1"/>
    <col min="13833" max="13833" width="19.1640625" style="79" bestFit="1" customWidth="1"/>
    <col min="13834" max="13834" width="32.83203125" style="79" bestFit="1" customWidth="1"/>
    <col min="13835" max="13835" width="15.6640625" style="79" customWidth="1"/>
    <col min="13836" max="13836" width="19.6640625" style="79" customWidth="1"/>
    <col min="13837" max="13837" width="44.33203125" style="79" bestFit="1" customWidth="1"/>
    <col min="13838" max="13838" width="19.1640625" style="79" bestFit="1" customWidth="1"/>
    <col min="13839" max="13839" width="32.83203125" style="79" bestFit="1" customWidth="1"/>
    <col min="13840" max="14075" width="9.33203125" style="79"/>
    <col min="14076" max="14076" width="15.6640625" style="79" customWidth="1"/>
    <col min="14077" max="14077" width="19.6640625" style="79" customWidth="1"/>
    <col min="14078" max="14078" width="44.33203125" style="79" bestFit="1" customWidth="1"/>
    <col min="14079" max="14079" width="19.33203125" style="79" bestFit="1" customWidth="1"/>
    <col min="14080" max="14080" width="32.83203125" style="79" bestFit="1" customWidth="1"/>
    <col min="14081" max="14081" width="15.6640625" style="79" customWidth="1"/>
    <col min="14082" max="14082" width="19.6640625" style="79" customWidth="1"/>
    <col min="14083" max="14083" width="44.33203125" style="79" bestFit="1" customWidth="1"/>
    <col min="14084" max="14084" width="19.33203125" style="79" bestFit="1" customWidth="1"/>
    <col min="14085" max="14085" width="32.83203125" style="79" bestFit="1" customWidth="1"/>
    <col min="14086" max="14086" width="15.6640625" style="79" customWidth="1"/>
    <col min="14087" max="14087" width="19.6640625" style="79" customWidth="1"/>
    <col min="14088" max="14088" width="44.33203125" style="79" bestFit="1" customWidth="1"/>
    <col min="14089" max="14089" width="19.1640625" style="79" bestFit="1" customWidth="1"/>
    <col min="14090" max="14090" width="32.83203125" style="79" bestFit="1" customWidth="1"/>
    <col min="14091" max="14091" width="15.6640625" style="79" customWidth="1"/>
    <col min="14092" max="14092" width="19.6640625" style="79" customWidth="1"/>
    <col min="14093" max="14093" width="44.33203125" style="79" bestFit="1" customWidth="1"/>
    <col min="14094" max="14094" width="19.1640625" style="79" bestFit="1" customWidth="1"/>
    <col min="14095" max="14095" width="32.83203125" style="79" bestFit="1" customWidth="1"/>
    <col min="14096" max="14331" width="9.33203125" style="79"/>
    <col min="14332" max="14332" width="15.6640625" style="79" customWidth="1"/>
    <col min="14333" max="14333" width="19.6640625" style="79" customWidth="1"/>
    <col min="14334" max="14334" width="44.33203125" style="79" bestFit="1" customWidth="1"/>
    <col min="14335" max="14335" width="19.33203125" style="79" bestFit="1" customWidth="1"/>
    <col min="14336" max="14336" width="32.83203125" style="79" bestFit="1" customWidth="1"/>
    <col min="14337" max="14337" width="15.6640625" style="79" customWidth="1"/>
    <col min="14338" max="14338" width="19.6640625" style="79" customWidth="1"/>
    <col min="14339" max="14339" width="44.33203125" style="79" bestFit="1" customWidth="1"/>
    <col min="14340" max="14340" width="19.33203125" style="79" bestFit="1" customWidth="1"/>
    <col min="14341" max="14341" width="32.83203125" style="79" bestFit="1" customWidth="1"/>
    <col min="14342" max="14342" width="15.6640625" style="79" customWidth="1"/>
    <col min="14343" max="14343" width="19.6640625" style="79" customWidth="1"/>
    <col min="14344" max="14344" width="44.33203125" style="79" bestFit="1" customWidth="1"/>
    <col min="14345" max="14345" width="19.1640625" style="79" bestFit="1" customWidth="1"/>
    <col min="14346" max="14346" width="32.83203125" style="79" bestFit="1" customWidth="1"/>
    <col min="14347" max="14347" width="15.6640625" style="79" customWidth="1"/>
    <col min="14348" max="14348" width="19.6640625" style="79" customWidth="1"/>
    <col min="14349" max="14349" width="44.33203125" style="79" bestFit="1" customWidth="1"/>
    <col min="14350" max="14350" width="19.1640625" style="79" bestFit="1" customWidth="1"/>
    <col min="14351" max="14351" width="32.83203125" style="79" bestFit="1" customWidth="1"/>
    <col min="14352" max="14587" width="9.33203125" style="79"/>
    <col min="14588" max="14588" width="15.6640625" style="79" customWidth="1"/>
    <col min="14589" max="14589" width="19.6640625" style="79" customWidth="1"/>
    <col min="14590" max="14590" width="44.33203125" style="79" bestFit="1" customWidth="1"/>
    <col min="14591" max="14591" width="19.33203125" style="79" bestFit="1" customWidth="1"/>
    <col min="14592" max="14592" width="32.83203125" style="79" bestFit="1" customWidth="1"/>
    <col min="14593" max="14593" width="15.6640625" style="79" customWidth="1"/>
    <col min="14594" max="14594" width="19.6640625" style="79" customWidth="1"/>
    <col min="14595" max="14595" width="44.33203125" style="79" bestFit="1" customWidth="1"/>
    <col min="14596" max="14596" width="19.33203125" style="79" bestFit="1" customWidth="1"/>
    <col min="14597" max="14597" width="32.83203125" style="79" bestFit="1" customWidth="1"/>
    <col min="14598" max="14598" width="15.6640625" style="79" customWidth="1"/>
    <col min="14599" max="14599" width="19.6640625" style="79" customWidth="1"/>
    <col min="14600" max="14600" width="44.33203125" style="79" bestFit="1" customWidth="1"/>
    <col min="14601" max="14601" width="19.1640625" style="79" bestFit="1" customWidth="1"/>
    <col min="14602" max="14602" width="32.83203125" style="79" bestFit="1" customWidth="1"/>
    <col min="14603" max="14603" width="15.6640625" style="79" customWidth="1"/>
    <col min="14604" max="14604" width="19.6640625" style="79" customWidth="1"/>
    <col min="14605" max="14605" width="44.33203125" style="79" bestFit="1" customWidth="1"/>
    <col min="14606" max="14606" width="19.1640625" style="79" bestFit="1" customWidth="1"/>
    <col min="14607" max="14607" width="32.83203125" style="79" bestFit="1" customWidth="1"/>
    <col min="14608" max="14843" width="9.33203125" style="79"/>
    <col min="14844" max="14844" width="15.6640625" style="79" customWidth="1"/>
    <col min="14845" max="14845" width="19.6640625" style="79" customWidth="1"/>
    <col min="14846" max="14846" width="44.33203125" style="79" bestFit="1" customWidth="1"/>
    <col min="14847" max="14847" width="19.33203125" style="79" bestFit="1" customWidth="1"/>
    <col min="14848" max="14848" width="32.83203125" style="79" bestFit="1" customWidth="1"/>
    <col min="14849" max="14849" width="15.6640625" style="79" customWidth="1"/>
    <col min="14850" max="14850" width="19.6640625" style="79" customWidth="1"/>
    <col min="14851" max="14851" width="44.33203125" style="79" bestFit="1" customWidth="1"/>
    <col min="14852" max="14852" width="19.33203125" style="79" bestFit="1" customWidth="1"/>
    <col min="14853" max="14853" width="32.83203125" style="79" bestFit="1" customWidth="1"/>
    <col min="14854" max="14854" width="15.6640625" style="79" customWidth="1"/>
    <col min="14855" max="14855" width="19.6640625" style="79" customWidth="1"/>
    <col min="14856" max="14856" width="44.33203125" style="79" bestFit="1" customWidth="1"/>
    <col min="14857" max="14857" width="19.1640625" style="79" bestFit="1" customWidth="1"/>
    <col min="14858" max="14858" width="32.83203125" style="79" bestFit="1" customWidth="1"/>
    <col min="14859" max="14859" width="15.6640625" style="79" customWidth="1"/>
    <col min="14860" max="14860" width="19.6640625" style="79" customWidth="1"/>
    <col min="14861" max="14861" width="44.33203125" style="79" bestFit="1" customWidth="1"/>
    <col min="14862" max="14862" width="19.1640625" style="79" bestFit="1" customWidth="1"/>
    <col min="14863" max="14863" width="32.83203125" style="79" bestFit="1" customWidth="1"/>
    <col min="14864" max="15099" width="9.33203125" style="79"/>
    <col min="15100" max="15100" width="15.6640625" style="79" customWidth="1"/>
    <col min="15101" max="15101" width="19.6640625" style="79" customWidth="1"/>
    <col min="15102" max="15102" width="44.33203125" style="79" bestFit="1" customWidth="1"/>
    <col min="15103" max="15103" width="19.33203125" style="79" bestFit="1" customWidth="1"/>
    <col min="15104" max="15104" width="32.83203125" style="79" bestFit="1" customWidth="1"/>
    <col min="15105" max="15105" width="15.6640625" style="79" customWidth="1"/>
    <col min="15106" max="15106" width="19.6640625" style="79" customWidth="1"/>
    <col min="15107" max="15107" width="44.33203125" style="79" bestFit="1" customWidth="1"/>
    <col min="15108" max="15108" width="19.33203125" style="79" bestFit="1" customWidth="1"/>
    <col min="15109" max="15109" width="32.83203125" style="79" bestFit="1" customWidth="1"/>
    <col min="15110" max="15110" width="15.6640625" style="79" customWidth="1"/>
    <col min="15111" max="15111" width="19.6640625" style="79" customWidth="1"/>
    <col min="15112" max="15112" width="44.33203125" style="79" bestFit="1" customWidth="1"/>
    <col min="15113" max="15113" width="19.1640625" style="79" bestFit="1" customWidth="1"/>
    <col min="15114" max="15114" width="32.83203125" style="79" bestFit="1" customWidth="1"/>
    <col min="15115" max="15115" width="15.6640625" style="79" customWidth="1"/>
    <col min="15116" max="15116" width="19.6640625" style="79" customWidth="1"/>
    <col min="15117" max="15117" width="44.33203125" style="79" bestFit="1" customWidth="1"/>
    <col min="15118" max="15118" width="19.1640625" style="79" bestFit="1" customWidth="1"/>
    <col min="15119" max="15119" width="32.83203125" style="79" bestFit="1" customWidth="1"/>
    <col min="15120" max="15355" width="9.33203125" style="79"/>
    <col min="15356" max="15356" width="15.6640625" style="79" customWidth="1"/>
    <col min="15357" max="15357" width="19.6640625" style="79" customWidth="1"/>
    <col min="15358" max="15358" width="44.33203125" style="79" bestFit="1" customWidth="1"/>
    <col min="15359" max="15359" width="19.33203125" style="79" bestFit="1" customWidth="1"/>
    <col min="15360" max="15360" width="32.83203125" style="79" bestFit="1" customWidth="1"/>
    <col min="15361" max="15361" width="15.6640625" style="79" customWidth="1"/>
    <col min="15362" max="15362" width="19.6640625" style="79" customWidth="1"/>
    <col min="15363" max="15363" width="44.33203125" style="79" bestFit="1" customWidth="1"/>
    <col min="15364" max="15364" width="19.33203125" style="79" bestFit="1" customWidth="1"/>
    <col min="15365" max="15365" width="32.83203125" style="79" bestFit="1" customWidth="1"/>
    <col min="15366" max="15366" width="15.6640625" style="79" customWidth="1"/>
    <col min="15367" max="15367" width="19.6640625" style="79" customWidth="1"/>
    <col min="15368" max="15368" width="44.33203125" style="79" bestFit="1" customWidth="1"/>
    <col min="15369" max="15369" width="19.1640625" style="79" bestFit="1" customWidth="1"/>
    <col min="15370" max="15370" width="32.83203125" style="79" bestFit="1" customWidth="1"/>
    <col min="15371" max="15371" width="15.6640625" style="79" customWidth="1"/>
    <col min="15372" max="15372" width="19.6640625" style="79" customWidth="1"/>
    <col min="15373" max="15373" width="44.33203125" style="79" bestFit="1" customWidth="1"/>
    <col min="15374" max="15374" width="19.1640625" style="79" bestFit="1" customWidth="1"/>
    <col min="15375" max="15375" width="32.83203125" style="79" bestFit="1" customWidth="1"/>
    <col min="15376" max="15611" width="9.33203125" style="79"/>
    <col min="15612" max="15612" width="15.6640625" style="79" customWidth="1"/>
    <col min="15613" max="15613" width="19.6640625" style="79" customWidth="1"/>
    <col min="15614" max="15614" width="44.33203125" style="79" bestFit="1" customWidth="1"/>
    <col min="15615" max="15615" width="19.33203125" style="79" bestFit="1" customWidth="1"/>
    <col min="15616" max="15616" width="32.83203125" style="79" bestFit="1" customWidth="1"/>
    <col min="15617" max="15617" width="15.6640625" style="79" customWidth="1"/>
    <col min="15618" max="15618" width="19.6640625" style="79" customWidth="1"/>
    <col min="15619" max="15619" width="44.33203125" style="79" bestFit="1" customWidth="1"/>
    <col min="15620" max="15620" width="19.33203125" style="79" bestFit="1" customWidth="1"/>
    <col min="15621" max="15621" width="32.83203125" style="79" bestFit="1" customWidth="1"/>
    <col min="15622" max="15622" width="15.6640625" style="79" customWidth="1"/>
    <col min="15623" max="15623" width="19.6640625" style="79" customWidth="1"/>
    <col min="15624" max="15624" width="44.33203125" style="79" bestFit="1" customWidth="1"/>
    <col min="15625" max="15625" width="19.1640625" style="79" bestFit="1" customWidth="1"/>
    <col min="15626" max="15626" width="32.83203125" style="79" bestFit="1" customWidth="1"/>
    <col min="15627" max="15627" width="15.6640625" style="79" customWidth="1"/>
    <col min="15628" max="15628" width="19.6640625" style="79" customWidth="1"/>
    <col min="15629" max="15629" width="44.33203125" style="79" bestFit="1" customWidth="1"/>
    <col min="15630" max="15630" width="19.1640625" style="79" bestFit="1" customWidth="1"/>
    <col min="15631" max="15631" width="32.83203125" style="79" bestFit="1" customWidth="1"/>
    <col min="15632" max="15867" width="9.33203125" style="79"/>
    <col min="15868" max="15868" width="15.6640625" style="79" customWidth="1"/>
    <col min="15869" max="15869" width="19.6640625" style="79" customWidth="1"/>
    <col min="15870" max="15870" width="44.33203125" style="79" bestFit="1" customWidth="1"/>
    <col min="15871" max="15871" width="19.33203125" style="79" bestFit="1" customWidth="1"/>
    <col min="15872" max="15872" width="32.83203125" style="79" bestFit="1" customWidth="1"/>
    <col min="15873" max="15873" width="15.6640625" style="79" customWidth="1"/>
    <col min="15874" max="15874" width="19.6640625" style="79" customWidth="1"/>
    <col min="15875" max="15875" width="44.33203125" style="79" bestFit="1" customWidth="1"/>
    <col min="15876" max="15876" width="19.33203125" style="79" bestFit="1" customWidth="1"/>
    <col min="15877" max="15877" width="32.83203125" style="79" bestFit="1" customWidth="1"/>
    <col min="15878" max="15878" width="15.6640625" style="79" customWidth="1"/>
    <col min="15879" max="15879" width="19.6640625" style="79" customWidth="1"/>
    <col min="15880" max="15880" width="44.33203125" style="79" bestFit="1" customWidth="1"/>
    <col min="15881" max="15881" width="19.1640625" style="79" bestFit="1" customWidth="1"/>
    <col min="15882" max="15882" width="32.83203125" style="79" bestFit="1" customWidth="1"/>
    <col min="15883" max="15883" width="15.6640625" style="79" customWidth="1"/>
    <col min="15884" max="15884" width="19.6640625" style="79" customWidth="1"/>
    <col min="15885" max="15885" width="44.33203125" style="79" bestFit="1" customWidth="1"/>
    <col min="15886" max="15886" width="19.1640625" style="79" bestFit="1" customWidth="1"/>
    <col min="15887" max="15887" width="32.83203125" style="79" bestFit="1" customWidth="1"/>
    <col min="15888" max="16123" width="9.33203125" style="79"/>
    <col min="16124" max="16124" width="15.6640625" style="79" customWidth="1"/>
    <col min="16125" max="16125" width="19.6640625" style="79" customWidth="1"/>
    <col min="16126" max="16126" width="44.33203125" style="79" bestFit="1" customWidth="1"/>
    <col min="16127" max="16127" width="19.33203125" style="79" bestFit="1" customWidth="1"/>
    <col min="16128" max="16128" width="32.83203125" style="79" bestFit="1" customWidth="1"/>
    <col min="16129" max="16129" width="15.6640625" style="79" customWidth="1"/>
    <col min="16130" max="16130" width="19.6640625" style="79" customWidth="1"/>
    <col min="16131" max="16131" width="44.33203125" style="79" bestFit="1" customWidth="1"/>
    <col min="16132" max="16132" width="19.33203125" style="79" bestFit="1" customWidth="1"/>
    <col min="16133" max="16133" width="32.83203125" style="79" bestFit="1" customWidth="1"/>
    <col min="16134" max="16134" width="15.6640625" style="79" customWidth="1"/>
    <col min="16135" max="16135" width="19.6640625" style="79" customWidth="1"/>
    <col min="16136" max="16136" width="44.33203125" style="79" bestFit="1" customWidth="1"/>
    <col min="16137" max="16137" width="19.1640625" style="79" bestFit="1" customWidth="1"/>
    <col min="16138" max="16138" width="32.83203125" style="79" bestFit="1" customWidth="1"/>
    <col min="16139" max="16139" width="15.6640625" style="79" customWidth="1"/>
    <col min="16140" max="16140" width="19.6640625" style="79" customWidth="1"/>
    <col min="16141" max="16141" width="44.33203125" style="79" bestFit="1" customWidth="1"/>
    <col min="16142" max="16142" width="19.1640625" style="79" bestFit="1" customWidth="1"/>
    <col min="16143" max="16143" width="32.83203125" style="79" bestFit="1" customWidth="1"/>
    <col min="16144" max="16384" width="9.33203125" style="79"/>
  </cols>
  <sheetData>
    <row r="1" spans="1:18" ht="24.95" customHeight="1">
      <c r="A1" s="376" t="s">
        <v>6610</v>
      </c>
      <c r="B1" s="377"/>
      <c r="C1" s="377"/>
      <c r="D1" s="377"/>
      <c r="E1" s="377"/>
      <c r="F1" s="376" t="s">
        <v>6234</v>
      </c>
      <c r="G1" s="377"/>
      <c r="H1" s="377"/>
      <c r="I1" s="377"/>
      <c r="J1" s="377"/>
      <c r="K1" s="376" t="s">
        <v>6234</v>
      </c>
      <c r="L1" s="377"/>
      <c r="M1" s="377"/>
      <c r="N1" s="377"/>
      <c r="O1" s="377"/>
    </row>
    <row r="2" spans="1:18" ht="30" customHeight="1">
      <c r="A2" s="378" t="s">
        <v>6507</v>
      </c>
      <c r="B2" s="378"/>
      <c r="C2" s="378"/>
      <c r="D2" s="378"/>
      <c r="E2" s="378"/>
      <c r="F2" s="378" t="s">
        <v>6508</v>
      </c>
      <c r="G2" s="378"/>
      <c r="H2" s="378"/>
      <c r="I2" s="378"/>
      <c r="J2" s="378"/>
      <c r="K2" s="378" t="s">
        <v>6509</v>
      </c>
      <c r="L2" s="378"/>
      <c r="M2" s="378"/>
      <c r="N2" s="378"/>
      <c r="O2" s="378"/>
    </row>
    <row r="3" spans="1:18" ht="15.2" customHeight="1">
      <c r="A3" s="380"/>
      <c r="B3" s="381"/>
      <c r="C3" s="381"/>
      <c r="D3" s="56"/>
      <c r="E3" s="80" t="s">
        <v>6236</v>
      </c>
      <c r="F3" s="380"/>
      <c r="G3" s="381"/>
      <c r="H3" s="381"/>
      <c r="I3" s="56"/>
      <c r="J3" s="80" t="s">
        <v>6236</v>
      </c>
      <c r="K3" s="380"/>
      <c r="L3" s="381"/>
      <c r="M3" s="381"/>
      <c r="N3" s="56"/>
      <c r="O3" s="80" t="s">
        <v>6236</v>
      </c>
    </row>
    <row r="4" spans="1:18" ht="22.5" customHeight="1">
      <c r="A4" s="382" t="s">
        <v>6237</v>
      </c>
      <c r="B4" s="379"/>
      <c r="C4" s="379"/>
      <c r="D4" s="383" t="s">
        <v>6238</v>
      </c>
      <c r="E4" s="379" t="s">
        <v>6239</v>
      </c>
      <c r="F4" s="382" t="s">
        <v>6237</v>
      </c>
      <c r="G4" s="379"/>
      <c r="H4" s="379"/>
      <c r="I4" s="383" t="s">
        <v>6238</v>
      </c>
      <c r="J4" s="379" t="s">
        <v>6239</v>
      </c>
      <c r="K4" s="382" t="s">
        <v>6237</v>
      </c>
      <c r="L4" s="379"/>
      <c r="M4" s="379"/>
      <c r="N4" s="383" t="s">
        <v>6238</v>
      </c>
      <c r="O4" s="379" t="s">
        <v>6239</v>
      </c>
    </row>
    <row r="5" spans="1:18" ht="22.5" customHeight="1">
      <c r="A5" s="379"/>
      <c r="B5" s="379"/>
      <c r="C5" s="379"/>
      <c r="D5" s="384"/>
      <c r="E5" s="379"/>
      <c r="F5" s="379"/>
      <c r="G5" s="379"/>
      <c r="H5" s="379"/>
      <c r="I5" s="384"/>
      <c r="J5" s="379"/>
      <c r="K5" s="379"/>
      <c r="L5" s="379"/>
      <c r="M5" s="379"/>
      <c r="N5" s="384"/>
      <c r="O5" s="379"/>
    </row>
    <row r="6" spans="1:18" ht="22.5" customHeight="1">
      <c r="A6" s="387" t="s">
        <v>6240</v>
      </c>
      <c r="B6" s="390" t="s">
        <v>6241</v>
      </c>
      <c r="C6" s="81" t="s">
        <v>6242</v>
      </c>
      <c r="D6" s="82">
        <f>'원가계산서(서부지사)'!D6+'원가계산서(동부지사)'!D6</f>
        <v>900532746</v>
      </c>
      <c r="E6" s="83"/>
      <c r="F6" s="387" t="s">
        <v>6240</v>
      </c>
      <c r="G6" s="390" t="s">
        <v>6241</v>
      </c>
      <c r="H6" s="81" t="s">
        <v>6242</v>
      </c>
      <c r="I6" s="82">
        <f>'원가계산서(서부지사)'!I6+'원가계산서(동부지사)'!I6</f>
        <v>774223894</v>
      </c>
      <c r="J6" s="59"/>
      <c r="K6" s="387" t="s">
        <v>6240</v>
      </c>
      <c r="L6" s="390" t="s">
        <v>6241</v>
      </c>
      <c r="M6" s="81" t="s">
        <v>6242</v>
      </c>
      <c r="N6" s="82">
        <f>'원가계산서(서부지사)'!N6+'원가계산서(동부지사)'!N6</f>
        <v>126308852</v>
      </c>
      <c r="O6" s="59"/>
      <c r="P6" s="335"/>
    </row>
    <row r="7" spans="1:18" ht="22.5" customHeight="1">
      <c r="A7" s="388"/>
      <c r="B7" s="391"/>
      <c r="C7" s="60" t="s">
        <v>6243</v>
      </c>
      <c r="D7" s="84">
        <f>'원가계산서(서부지사)'!D7+'원가계산서(동부지사)'!D7</f>
        <v>0</v>
      </c>
      <c r="E7" s="61"/>
      <c r="F7" s="388"/>
      <c r="G7" s="391"/>
      <c r="H7" s="60" t="s">
        <v>6243</v>
      </c>
      <c r="I7" s="84">
        <f>'원가계산서(서부지사)'!I7+'원가계산서(동부지사)'!I7</f>
        <v>0</v>
      </c>
      <c r="J7" s="61"/>
      <c r="K7" s="388"/>
      <c r="L7" s="391"/>
      <c r="M7" s="60" t="s">
        <v>6243</v>
      </c>
      <c r="N7" s="84">
        <f>'원가계산서(서부지사)'!N7+'원가계산서(동부지사)'!N7</f>
        <v>0</v>
      </c>
      <c r="O7" s="61"/>
      <c r="P7" s="335"/>
    </row>
    <row r="8" spans="1:18" ht="22.5" customHeight="1">
      <c r="A8" s="388"/>
      <c r="B8" s="392"/>
      <c r="C8" s="77" t="s">
        <v>6244</v>
      </c>
      <c r="D8" s="84">
        <f>'원가계산서(서부지사)'!D8+'원가계산서(동부지사)'!D8</f>
        <v>900532746</v>
      </c>
      <c r="E8" s="85"/>
      <c r="F8" s="388"/>
      <c r="G8" s="392"/>
      <c r="H8" s="77" t="s">
        <v>6244</v>
      </c>
      <c r="I8" s="84">
        <f>'원가계산서(서부지사)'!I8+'원가계산서(동부지사)'!I8</f>
        <v>774223894</v>
      </c>
      <c r="J8" s="85"/>
      <c r="K8" s="388"/>
      <c r="L8" s="392"/>
      <c r="M8" s="77" t="s">
        <v>6244</v>
      </c>
      <c r="N8" s="84">
        <f>'원가계산서(서부지사)'!N8+'원가계산서(동부지사)'!N8</f>
        <v>126308852</v>
      </c>
      <c r="O8" s="85"/>
      <c r="P8" s="335"/>
    </row>
    <row r="9" spans="1:18" ht="22.5" customHeight="1">
      <c r="A9" s="388"/>
      <c r="B9" s="394" t="s">
        <v>6245</v>
      </c>
      <c r="C9" s="60" t="s">
        <v>6246</v>
      </c>
      <c r="D9" s="84">
        <f>'원가계산서(서부지사)'!D9+'원가계산서(동부지사)'!D9</f>
        <v>111091290</v>
      </c>
      <c r="E9" s="85"/>
      <c r="F9" s="388"/>
      <c r="G9" s="394" t="s">
        <v>6245</v>
      </c>
      <c r="H9" s="60" t="s">
        <v>6246</v>
      </c>
      <c r="I9" s="84">
        <f>'원가계산서(서부지사)'!I9+'원가계산서(동부지사)'!I9</f>
        <v>91113622</v>
      </c>
      <c r="J9" s="85"/>
      <c r="K9" s="388"/>
      <c r="L9" s="394" t="s">
        <v>6245</v>
      </c>
      <c r="M9" s="60" t="s">
        <v>6246</v>
      </c>
      <c r="N9" s="84">
        <f>'원가계산서(서부지사)'!N9+'원가계산서(동부지사)'!N9</f>
        <v>19977668</v>
      </c>
      <c r="O9" s="85"/>
      <c r="P9" s="335"/>
    </row>
    <row r="10" spans="1:18" ht="22.5" customHeight="1">
      <c r="A10" s="388"/>
      <c r="B10" s="395"/>
      <c r="C10" s="60" t="s">
        <v>6247</v>
      </c>
      <c r="D10" s="84">
        <f>'원가계산서(서부지사)'!D10+'원가계산서(동부지사)'!D10</f>
        <v>16774783</v>
      </c>
      <c r="E10" s="85" t="s">
        <v>6277</v>
      </c>
      <c r="F10" s="388"/>
      <c r="G10" s="395"/>
      <c r="H10" s="60" t="s">
        <v>6247</v>
      </c>
      <c r="I10" s="84">
        <f>'원가계산서(서부지사)'!I10+'원가계산서(동부지사)'!I10</f>
        <v>13758156</v>
      </c>
      <c r="J10" s="85" t="str">
        <f>E10</f>
        <v>나 1)의 15.1%</v>
      </c>
      <c r="K10" s="388"/>
      <c r="L10" s="395"/>
      <c r="M10" s="60" t="s">
        <v>6247</v>
      </c>
      <c r="N10" s="84">
        <f>'원가계산서(서부지사)'!N10+'원가계산서(동부지사)'!N10</f>
        <v>3016627</v>
      </c>
      <c r="O10" s="85" t="str">
        <f>E10</f>
        <v>나 1)의 15.1%</v>
      </c>
      <c r="P10" s="336">
        <v>0.151</v>
      </c>
    </row>
    <row r="11" spans="1:18" ht="22.5" customHeight="1">
      <c r="A11" s="388"/>
      <c r="B11" s="396"/>
      <c r="C11" s="77" t="s">
        <v>6248</v>
      </c>
      <c r="D11" s="84">
        <f>'원가계산서(서부지사)'!D11+'원가계산서(동부지사)'!D11</f>
        <v>127866073</v>
      </c>
      <c r="E11" s="85"/>
      <c r="F11" s="388"/>
      <c r="G11" s="396"/>
      <c r="H11" s="77" t="s">
        <v>6248</v>
      </c>
      <c r="I11" s="84">
        <f>'원가계산서(서부지사)'!I11+'원가계산서(동부지사)'!I11</f>
        <v>104871778</v>
      </c>
      <c r="J11" s="85"/>
      <c r="K11" s="388"/>
      <c r="L11" s="396"/>
      <c r="M11" s="77" t="s">
        <v>6248</v>
      </c>
      <c r="N11" s="84">
        <f>'원가계산서(서부지사)'!N11+'원가계산서(동부지사)'!N11</f>
        <v>22994295</v>
      </c>
      <c r="O11" s="85"/>
      <c r="P11" s="335"/>
    </row>
    <row r="12" spans="1:18" ht="22.5" customHeight="1">
      <c r="A12" s="388"/>
      <c r="B12" s="397" t="s">
        <v>6249</v>
      </c>
      <c r="C12" s="60" t="s">
        <v>6250</v>
      </c>
      <c r="D12" s="84">
        <f>'원가계산서(서부지사)'!D12+'원가계산서(동부지사)'!D12</f>
        <v>23707460</v>
      </c>
      <c r="E12" s="85"/>
      <c r="F12" s="388"/>
      <c r="G12" s="397" t="s">
        <v>6249</v>
      </c>
      <c r="H12" s="60" t="s">
        <v>6250</v>
      </c>
      <c r="I12" s="84">
        <f>'원가계산서(서부지사)'!I12+'원가계산서(동부지사)'!I12</f>
        <v>17775496</v>
      </c>
      <c r="J12" s="85"/>
      <c r="K12" s="388"/>
      <c r="L12" s="397" t="s">
        <v>6249</v>
      </c>
      <c r="M12" s="60" t="s">
        <v>6250</v>
      </c>
      <c r="N12" s="84">
        <f>'원가계산서(서부지사)'!N12+'원가계산서(동부지사)'!N12</f>
        <v>5931964</v>
      </c>
      <c r="O12" s="85"/>
      <c r="P12" s="335"/>
    </row>
    <row r="13" spans="1:18" ht="22.5" customHeight="1">
      <c r="A13" s="388"/>
      <c r="B13" s="391"/>
      <c r="C13" s="60" t="s">
        <v>6251</v>
      </c>
      <c r="D13" s="84">
        <f>'원가계산서(서부지사)'!D13+'원가계산서(동부지사)'!D13</f>
        <v>4552031</v>
      </c>
      <c r="E13" s="86" t="s">
        <v>6278</v>
      </c>
      <c r="F13" s="388"/>
      <c r="G13" s="391"/>
      <c r="H13" s="60" t="s">
        <v>6251</v>
      </c>
      <c r="I13" s="84">
        <f>'원가계산서(서부지사)'!I13+'원가계산서(동부지사)'!I13</f>
        <v>3733435</v>
      </c>
      <c r="J13" s="86" t="str">
        <f t="shared" ref="J13:J22" si="0">E13</f>
        <v>나 ) 의 3.56%</v>
      </c>
      <c r="K13" s="388"/>
      <c r="L13" s="391"/>
      <c r="M13" s="60" t="s">
        <v>6251</v>
      </c>
      <c r="N13" s="84">
        <f>'원가계산서(서부지사)'!N13+'원가계산서(동부지사)'!N13</f>
        <v>818596</v>
      </c>
      <c r="O13" s="86" t="str">
        <f t="shared" ref="O13:O22" si="1">E13</f>
        <v>나 ) 의 3.56%</v>
      </c>
      <c r="P13" s="337">
        <f>3.56*0.01</f>
        <v>3.56E-2</v>
      </c>
    </row>
    <row r="14" spans="1:18" ht="22.5" customHeight="1">
      <c r="A14" s="388"/>
      <c r="B14" s="391"/>
      <c r="C14" s="60" t="s">
        <v>6252</v>
      </c>
      <c r="D14" s="84">
        <f>'원가계산서(서부지사)'!D14+'원가계산서(동부지사)'!D14</f>
        <v>1291446</v>
      </c>
      <c r="E14" s="86" t="s">
        <v>6279</v>
      </c>
      <c r="F14" s="388"/>
      <c r="G14" s="391"/>
      <c r="H14" s="60" t="s">
        <v>6252</v>
      </c>
      <c r="I14" s="84">
        <f>'원가계산서(서부지사)'!I14+'원가계산서(동부지사)'!I14</f>
        <v>1059204</v>
      </c>
      <c r="J14" s="86" t="str">
        <f t="shared" si="0"/>
        <v>나 ) 의 1.01%</v>
      </c>
      <c r="K14" s="388"/>
      <c r="L14" s="391"/>
      <c r="M14" s="60" t="s">
        <v>6252</v>
      </c>
      <c r="N14" s="84">
        <f>'원가계산서(서부지사)'!N14+'원가계산서(동부지사)'!N14</f>
        <v>232242</v>
      </c>
      <c r="O14" s="86" t="str">
        <f t="shared" si="1"/>
        <v>나 ) 의 1.01%</v>
      </c>
      <c r="P14" s="337">
        <f>1.01*0.01</f>
        <v>1.01E-2</v>
      </c>
    </row>
    <row r="15" spans="1:18" ht="22.5" customHeight="1">
      <c r="A15" s="388"/>
      <c r="B15" s="391"/>
      <c r="C15" s="349" t="s">
        <v>6253</v>
      </c>
      <c r="D15" s="84">
        <f>'원가계산서(서부지사)'!D15+'원가계산서(동부지사)'!D15</f>
        <v>4522968</v>
      </c>
      <c r="E15" s="85" t="s">
        <v>6560</v>
      </c>
      <c r="F15" s="388"/>
      <c r="G15" s="391"/>
      <c r="H15" s="60" t="s">
        <v>6253</v>
      </c>
      <c r="I15" s="84">
        <f>'원가계산서(서부지사)'!I15+'원가계산서(동부지사)'!I15</f>
        <v>3709598</v>
      </c>
      <c r="J15" s="85" t="str">
        <f t="shared" si="0"/>
        <v>나 1)의 3.595%</v>
      </c>
      <c r="K15" s="388"/>
      <c r="L15" s="391"/>
      <c r="M15" s="60" t="s">
        <v>6253</v>
      </c>
      <c r="N15" s="84">
        <f>'원가계산서(서부지사)'!N15+'원가계산서(동부지사)'!N15</f>
        <v>813370</v>
      </c>
      <c r="O15" s="85" t="str">
        <f t="shared" si="1"/>
        <v>나 1)의 3.595%</v>
      </c>
      <c r="P15" s="338">
        <f>3.595*0.01</f>
        <v>3.5950000000000003E-2</v>
      </c>
      <c r="R15" s="333" t="s">
        <v>6556</v>
      </c>
    </row>
    <row r="16" spans="1:18" ht="22.5" customHeight="1">
      <c r="A16" s="388"/>
      <c r="B16" s="391"/>
      <c r="C16" s="350" t="s">
        <v>6280</v>
      </c>
      <c r="D16" s="84">
        <f>'원가계산서(서부지사)'!D16+'원가계산서(동부지사)'!D16</f>
        <v>594316</v>
      </c>
      <c r="E16" s="85" t="s">
        <v>6561</v>
      </c>
      <c r="F16" s="388"/>
      <c r="G16" s="391"/>
      <c r="H16" s="63" t="s">
        <v>6280</v>
      </c>
      <c r="I16" s="84">
        <f>'원가계산서(서부지사)'!I16+'원가계산서(동부지사)'!I16</f>
        <v>487440</v>
      </c>
      <c r="J16" s="85" t="str">
        <f t="shared" si="0"/>
        <v>다 4)의 13.14%</v>
      </c>
      <c r="K16" s="388"/>
      <c r="L16" s="391"/>
      <c r="M16" s="63" t="s">
        <v>6280</v>
      </c>
      <c r="N16" s="84">
        <f>'원가계산서(서부지사)'!N16+'원가계산서(동부지사)'!N16</f>
        <v>106876</v>
      </c>
      <c r="O16" s="85" t="str">
        <f t="shared" si="1"/>
        <v>다 4)의 13.14%</v>
      </c>
      <c r="P16" s="337">
        <f>13.14*0.01</f>
        <v>0.13140000000000002</v>
      </c>
      <c r="R16" s="333" t="s">
        <v>6557</v>
      </c>
    </row>
    <row r="17" spans="1:18" ht="22.5" customHeight="1">
      <c r="A17" s="388"/>
      <c r="B17" s="391"/>
      <c r="C17" s="349" t="s">
        <v>6255</v>
      </c>
      <c r="D17" s="84">
        <f>'원가계산서(서부지사)'!D17+'원가계산서(동부지사)'!D17</f>
        <v>5976106</v>
      </c>
      <c r="E17" s="85" t="s">
        <v>6562</v>
      </c>
      <c r="F17" s="388"/>
      <c r="G17" s="391"/>
      <c r="H17" s="60" t="s">
        <v>6255</v>
      </c>
      <c r="I17" s="84">
        <f>'원가계산서(서부지사)'!I17+'원가계산서(동부지사)'!I17</f>
        <v>4901417</v>
      </c>
      <c r="J17" s="85" t="str">
        <f t="shared" si="0"/>
        <v>나 1)의 4.75%</v>
      </c>
      <c r="K17" s="388"/>
      <c r="L17" s="391"/>
      <c r="M17" s="60" t="s">
        <v>6255</v>
      </c>
      <c r="N17" s="84">
        <f>'원가계산서(서부지사)'!N17+'원가계산서(동부지사)'!N17</f>
        <v>1074689</v>
      </c>
      <c r="O17" s="85" t="str">
        <f t="shared" si="1"/>
        <v>나 1)의 4.75%</v>
      </c>
      <c r="P17" s="337">
        <f>4.75*0.01</f>
        <v>4.7500000000000001E-2</v>
      </c>
      <c r="R17" s="333" t="s">
        <v>6558</v>
      </c>
    </row>
    <row r="18" spans="1:18" ht="22.5" customHeight="1">
      <c r="A18" s="388"/>
      <c r="B18" s="391"/>
      <c r="C18" s="353" t="s">
        <v>6256</v>
      </c>
      <c r="D18" s="84">
        <f>'원가계산서(서부지사)'!D18+'원가계산서(동부지사)'!D18</f>
        <v>3105993</v>
      </c>
      <c r="E18" s="85" t="s">
        <v>6281</v>
      </c>
      <c r="F18" s="388"/>
      <c r="G18" s="391"/>
      <c r="H18" s="60" t="s">
        <v>6256</v>
      </c>
      <c r="I18" s="84">
        <f>'원가계산서(서부지사)'!I18+'원가계산서(동부지사)'!I18</f>
        <v>2649338</v>
      </c>
      <c r="J18" s="85" t="str">
        <f t="shared" si="0"/>
        <v>(재+직노+기경)*0.3%</v>
      </c>
      <c r="K18" s="388"/>
      <c r="L18" s="391"/>
      <c r="M18" s="60" t="s">
        <v>6256</v>
      </c>
      <c r="N18" s="84">
        <f>'원가계산서(서부지사)'!N18+'원가계산서(동부지사)'!N18</f>
        <v>456655</v>
      </c>
      <c r="O18" s="85" t="str">
        <f t="shared" si="1"/>
        <v>(재+직노+기경)*0.3%</v>
      </c>
      <c r="P18" s="336">
        <f>0.3*0.01</f>
        <v>3.0000000000000001E-3</v>
      </c>
    </row>
    <row r="19" spans="1:18" ht="22.5" customHeight="1">
      <c r="A19" s="388"/>
      <c r="B19" s="391"/>
      <c r="C19" s="349" t="s">
        <v>6282</v>
      </c>
      <c r="D19" s="84">
        <f>'원가계산서(서부지사)'!D19+'원가계산서(동부지사)'!D19</f>
        <v>30446538</v>
      </c>
      <c r="E19" s="86" t="s">
        <v>6283</v>
      </c>
      <c r="F19" s="388"/>
      <c r="G19" s="391"/>
      <c r="H19" s="60" t="s">
        <v>6282</v>
      </c>
      <c r="I19" s="84">
        <f>'원가계산서(서부지사)'!I19+'원가계산서(동부지사)'!I19</f>
        <v>26043798</v>
      </c>
      <c r="J19" s="85" t="str">
        <f t="shared" si="0"/>
        <v>가+나1)의 2.28%+4,325천원</v>
      </c>
      <c r="K19" s="388"/>
      <c r="L19" s="391"/>
      <c r="M19" s="60" t="s">
        <v>6282</v>
      </c>
      <c r="N19" s="84">
        <f>'원가계산서(서부지사)'!N19+'원가계산서(동부지사)'!N19</f>
        <v>4402740</v>
      </c>
      <c r="O19" s="85" t="str">
        <f t="shared" si="1"/>
        <v>가+나1)의 2.28%+4,325천원</v>
      </c>
      <c r="P19" s="335"/>
    </row>
    <row r="20" spans="1:18" ht="22.5" customHeight="1">
      <c r="A20" s="388"/>
      <c r="B20" s="391"/>
      <c r="C20" s="350" t="s">
        <v>6261</v>
      </c>
      <c r="D20" s="84">
        <f>'원가계산서(서부지사)'!D20+'원가계산서(동부지사)'!D20</f>
        <v>2893693</v>
      </c>
      <c r="E20" s="85" t="s">
        <v>6284</v>
      </c>
      <c r="F20" s="388"/>
      <c r="G20" s="391"/>
      <c r="H20" s="63" t="s">
        <v>6261</v>
      </c>
      <c r="I20" s="84">
        <f>'원가계산서(서부지사)'!I20+'원가계산서(동부지사)'!I20</f>
        <v>2373317</v>
      </c>
      <c r="J20" s="85" t="str">
        <f t="shared" si="0"/>
        <v>나 1)의 2.3%</v>
      </c>
      <c r="K20" s="388"/>
      <c r="L20" s="391"/>
      <c r="M20" s="63" t="s">
        <v>6261</v>
      </c>
      <c r="N20" s="84">
        <f>'원가계산서(서부지사)'!N20+'원가계산서(동부지사)'!N20</f>
        <v>520376</v>
      </c>
      <c r="O20" s="85" t="str">
        <f t="shared" si="1"/>
        <v>나 1)의 2.3%</v>
      </c>
      <c r="P20" s="336">
        <f>2.3*0.01</f>
        <v>2.3E-2</v>
      </c>
    </row>
    <row r="21" spans="1:18" ht="22.5" customHeight="1">
      <c r="A21" s="388"/>
      <c r="B21" s="391"/>
      <c r="C21" s="60" t="s">
        <v>6264</v>
      </c>
      <c r="D21" s="84">
        <f>'원가계산서(서부지사)'!D21+'원가계산서(동부지사)'!D21</f>
        <v>52448338</v>
      </c>
      <c r="E21" s="86" t="s">
        <v>6285</v>
      </c>
      <c r="F21" s="388"/>
      <c r="G21" s="391"/>
      <c r="H21" s="60" t="s">
        <v>6264</v>
      </c>
      <c r="I21" s="84">
        <f>'원가계산서(서부지사)'!I21+'원가계산서(동부지사)'!I21</f>
        <v>44833878</v>
      </c>
      <c r="J21" s="86" t="str">
        <f t="shared" si="0"/>
        <v>(가+나)의 5.1%</v>
      </c>
      <c r="K21" s="388"/>
      <c r="L21" s="391"/>
      <c r="M21" s="60" t="s">
        <v>6264</v>
      </c>
      <c r="N21" s="84">
        <f>'원가계산서(서부지사)'!N21+'원가계산서(동부지사)'!N21</f>
        <v>7614460</v>
      </c>
      <c r="O21" s="86" t="str">
        <f t="shared" si="1"/>
        <v>(가+나)의 5.1%</v>
      </c>
      <c r="P21" s="336">
        <f>5.1*0.01</f>
        <v>5.0999999999999997E-2</v>
      </c>
    </row>
    <row r="22" spans="1:18" ht="22.5" customHeight="1">
      <c r="A22" s="388"/>
      <c r="B22" s="391"/>
      <c r="C22" s="87" t="s">
        <v>6286</v>
      </c>
      <c r="D22" s="84">
        <f>'원가계산서(서부지사)'!D22+'원가계산서(동부지사)'!D22</f>
        <v>1035330</v>
      </c>
      <c r="E22" s="86" t="s">
        <v>6287</v>
      </c>
      <c r="F22" s="388"/>
      <c r="G22" s="391"/>
      <c r="H22" s="87" t="s">
        <v>6286</v>
      </c>
      <c r="I22" s="84">
        <f>'원가계산서(서부지사)'!I22+'원가계산서(동부지사)'!I22</f>
        <v>883112</v>
      </c>
      <c r="J22" s="86" t="str">
        <f t="shared" si="0"/>
        <v>가1)+나1)+다1)의 0.1%</v>
      </c>
      <c r="K22" s="388"/>
      <c r="L22" s="391"/>
      <c r="M22" s="87" t="s">
        <v>6286</v>
      </c>
      <c r="N22" s="84">
        <f>'원가계산서(서부지사)'!N22+'원가계산서(동부지사)'!N22</f>
        <v>152218</v>
      </c>
      <c r="O22" s="86" t="str">
        <f t="shared" si="1"/>
        <v>가1)+나1)+다1)의 0.1%</v>
      </c>
      <c r="P22" s="336">
        <f>0.1*0.01</f>
        <v>1E-3</v>
      </c>
    </row>
    <row r="23" spans="1:18" ht="22.5" customHeight="1">
      <c r="A23" s="388"/>
      <c r="B23" s="391"/>
      <c r="C23" s="351" t="s">
        <v>6288</v>
      </c>
      <c r="D23" s="84">
        <f>'원가계산서(서부지사)'!D23+'원가계산서(동부지사)'!D23</f>
        <v>2825360</v>
      </c>
      <c r="E23" s="86"/>
      <c r="F23" s="388"/>
      <c r="G23" s="391"/>
      <c r="H23" s="87" t="s">
        <v>6288</v>
      </c>
      <c r="I23" s="84">
        <f>'원가계산서(서부지사)'!I23+'원가계산서(동부지사)'!I23</f>
        <v>2825360</v>
      </c>
      <c r="J23" s="86"/>
      <c r="K23" s="388"/>
      <c r="L23" s="391"/>
      <c r="M23" s="87" t="s">
        <v>6288</v>
      </c>
      <c r="N23" s="84">
        <f>'원가계산서(서부지사)'!N23+'원가계산서(동부지사)'!N23</f>
        <v>0</v>
      </c>
      <c r="O23" s="86"/>
      <c r="P23" s="335"/>
    </row>
    <row r="24" spans="1:18" ht="22.5" customHeight="1">
      <c r="A24" s="388"/>
      <c r="B24" s="392"/>
      <c r="C24" s="77" t="s">
        <v>6248</v>
      </c>
      <c r="D24" s="84">
        <f>'원가계산서(서부지사)'!D24+'원가계산서(동부지사)'!D24</f>
        <v>133399579</v>
      </c>
      <c r="E24" s="88"/>
      <c r="F24" s="388"/>
      <c r="G24" s="392"/>
      <c r="H24" s="77" t="s">
        <v>6248</v>
      </c>
      <c r="I24" s="84">
        <f>'원가계산서(서부지사)'!I24+'원가계산서(동부지사)'!I24</f>
        <v>111275393</v>
      </c>
      <c r="J24" s="88"/>
      <c r="K24" s="388"/>
      <c r="L24" s="392"/>
      <c r="M24" s="77" t="s">
        <v>6248</v>
      </c>
      <c r="N24" s="84">
        <f>'원가계산서(서부지사)'!N24+'원가계산서(동부지사)'!N24</f>
        <v>22124186</v>
      </c>
      <c r="O24" s="88"/>
      <c r="P24" s="335"/>
    </row>
    <row r="25" spans="1:18" ht="22.5" customHeight="1">
      <c r="A25" s="389"/>
      <c r="B25" s="385" t="s">
        <v>6267</v>
      </c>
      <c r="C25" s="386"/>
      <c r="D25" s="84">
        <f>'원가계산서(서부지사)'!D25+'원가계산서(동부지사)'!D25</f>
        <v>1161798398</v>
      </c>
      <c r="E25" s="89"/>
      <c r="F25" s="389"/>
      <c r="G25" s="385" t="s">
        <v>6267</v>
      </c>
      <c r="H25" s="386"/>
      <c r="I25" s="84">
        <f>'원가계산서(서부지사)'!I25+'원가계산서(동부지사)'!I25</f>
        <v>990371065</v>
      </c>
      <c r="J25" s="89"/>
      <c r="K25" s="389"/>
      <c r="L25" s="385" t="s">
        <v>6267</v>
      </c>
      <c r="M25" s="386"/>
      <c r="N25" s="84">
        <f>'원가계산서(서부지사)'!N25+'원가계산서(동부지사)'!N25</f>
        <v>171427333</v>
      </c>
      <c r="O25" s="89"/>
      <c r="P25" s="335"/>
    </row>
    <row r="26" spans="1:18" ht="22.5" customHeight="1">
      <c r="A26" s="90">
        <v>2</v>
      </c>
      <c r="B26" s="393" t="s">
        <v>6268</v>
      </c>
      <c r="C26" s="393"/>
      <c r="D26" s="84">
        <f>'원가계산서(서부지사)'!D26+'원가계산서(동부지사)'!D26</f>
        <v>75516895</v>
      </c>
      <c r="E26" s="86" t="s">
        <v>6548</v>
      </c>
      <c r="F26" s="90">
        <v>2</v>
      </c>
      <c r="G26" s="393" t="s">
        <v>6268</v>
      </c>
      <c r="H26" s="393"/>
      <c r="I26" s="84">
        <f>'원가계산서(서부지사)'!I26+'원가계산서(동부지사)'!I26</f>
        <v>64374119</v>
      </c>
      <c r="J26" s="86" t="str">
        <f>E26</f>
        <v>1 의 6.5%</v>
      </c>
      <c r="K26" s="90">
        <v>2</v>
      </c>
      <c r="L26" s="393" t="s">
        <v>6268</v>
      </c>
      <c r="M26" s="393"/>
      <c r="N26" s="84">
        <f>'원가계산서(서부지사)'!N26+'원가계산서(동부지사)'!N26</f>
        <v>11142776</v>
      </c>
      <c r="O26" s="86" t="str">
        <f>E26</f>
        <v>1 의 6.5%</v>
      </c>
      <c r="P26" s="336">
        <f>6.5*0.01</f>
        <v>6.5000000000000002E-2</v>
      </c>
      <c r="R26" s="261"/>
    </row>
    <row r="27" spans="1:18" ht="22.5" customHeight="1">
      <c r="A27" s="90">
        <v>3</v>
      </c>
      <c r="B27" s="393" t="s">
        <v>6269</v>
      </c>
      <c r="C27" s="393"/>
      <c r="D27" s="84">
        <f>'원가계산서(서부지사)'!D27+'원가계산서(동부지사)'!D27</f>
        <v>50517329</v>
      </c>
      <c r="E27" s="86" t="s">
        <v>6289</v>
      </c>
      <c r="F27" s="90">
        <v>3</v>
      </c>
      <c r="G27" s="393" t="s">
        <v>6269</v>
      </c>
      <c r="H27" s="393"/>
      <c r="I27" s="84">
        <f>'원가계산서(서부지사)'!I27+'원가계산서(동부지사)'!I27</f>
        <v>42078140</v>
      </c>
      <c r="J27" s="86" t="str">
        <f>E27</f>
        <v>나+다+2의 15%</v>
      </c>
      <c r="K27" s="90">
        <v>3</v>
      </c>
      <c r="L27" s="393" t="s">
        <v>6269</v>
      </c>
      <c r="M27" s="393"/>
      <c r="N27" s="84">
        <f>'원가계산서(서부지사)'!N27+'원가계산서(동부지사)'!N27</f>
        <v>8439189</v>
      </c>
      <c r="O27" s="86" t="str">
        <f>E27</f>
        <v>나+다+2의 15%</v>
      </c>
      <c r="P27" s="336">
        <f>15*0.01</f>
        <v>0.15</v>
      </c>
    </row>
    <row r="28" spans="1:18" ht="22.5" customHeight="1">
      <c r="A28" s="90">
        <v>4</v>
      </c>
      <c r="B28" s="398" t="s">
        <v>6290</v>
      </c>
      <c r="C28" s="386"/>
      <c r="D28" s="84">
        <f>'원가계산서(서부지사)'!D28+'원가계산서(동부지사)'!D28</f>
        <v>15706469</v>
      </c>
      <c r="E28" s="86"/>
      <c r="F28" s="90">
        <v>4</v>
      </c>
      <c r="G28" s="398" t="s">
        <v>6290</v>
      </c>
      <c r="H28" s="386"/>
      <c r="I28" s="84">
        <f>'원가계산서(서부지사)'!I28+'원가계산서(동부지사)'!I28</f>
        <v>12881958</v>
      </c>
      <c r="J28" s="68"/>
      <c r="K28" s="90">
        <v>4</v>
      </c>
      <c r="L28" s="398" t="s">
        <v>6290</v>
      </c>
      <c r="M28" s="386"/>
      <c r="N28" s="84">
        <f>'원가계산서(서부지사)'!N28+'원가계산서(동부지사)'!N28</f>
        <v>2824511</v>
      </c>
      <c r="O28" s="68"/>
      <c r="P28" s="335"/>
      <c r="R28" s="261" t="s">
        <v>6559</v>
      </c>
    </row>
    <row r="29" spans="1:18" ht="22.5" customHeight="1">
      <c r="A29" s="90">
        <v>5</v>
      </c>
      <c r="B29" s="393" t="s">
        <v>6270</v>
      </c>
      <c r="C29" s="393"/>
      <c r="D29" s="84">
        <f>'원가계산서(서부지사)'!D29+'원가계산서(동부지사)'!D29</f>
        <v>1303539091</v>
      </c>
      <c r="E29" s="61"/>
      <c r="F29" s="90">
        <v>5</v>
      </c>
      <c r="G29" s="393" t="s">
        <v>6270</v>
      </c>
      <c r="H29" s="393"/>
      <c r="I29" s="84">
        <f>'원가계산서(서부지사)'!I29+'원가계산서(동부지사)'!I29</f>
        <v>1109705282</v>
      </c>
      <c r="J29" s="61"/>
      <c r="K29" s="90">
        <v>5</v>
      </c>
      <c r="L29" s="393" t="s">
        <v>6270</v>
      </c>
      <c r="M29" s="393"/>
      <c r="N29" s="84">
        <f>'원가계산서(서부지사)'!N29+'원가계산서(동부지사)'!N29</f>
        <v>193833809</v>
      </c>
      <c r="O29" s="61"/>
      <c r="P29" s="335"/>
    </row>
    <row r="30" spans="1:18" ht="22.5" customHeight="1">
      <c r="A30" s="90">
        <v>6</v>
      </c>
      <c r="B30" s="393" t="s">
        <v>6271</v>
      </c>
      <c r="C30" s="393"/>
      <c r="D30" s="84">
        <f>'원가계산서(서부지사)'!D30+'원가계산서(동부지사)'!D30</f>
        <v>130353909</v>
      </c>
      <c r="E30" s="68" t="s">
        <v>6272</v>
      </c>
      <c r="F30" s="90">
        <v>6</v>
      </c>
      <c r="G30" s="393" t="s">
        <v>6271</v>
      </c>
      <c r="H30" s="393"/>
      <c r="I30" s="84">
        <f>'원가계산서(서부지사)'!I30+'원가계산서(동부지사)'!I30</f>
        <v>110970528</v>
      </c>
      <c r="J30" s="68" t="str">
        <f>E30</f>
        <v>5의 10%</v>
      </c>
      <c r="K30" s="90">
        <v>6</v>
      </c>
      <c r="L30" s="393" t="s">
        <v>6271</v>
      </c>
      <c r="M30" s="393"/>
      <c r="N30" s="84">
        <f>'원가계산서(서부지사)'!N30+'원가계산서(동부지사)'!N30</f>
        <v>19383381</v>
      </c>
      <c r="O30" s="68" t="str">
        <f>E30</f>
        <v>5의 10%</v>
      </c>
      <c r="P30" s="335"/>
    </row>
    <row r="31" spans="1:18" ht="22.5" customHeight="1">
      <c r="A31" s="75">
        <v>7</v>
      </c>
      <c r="B31" s="401" t="s">
        <v>6273</v>
      </c>
      <c r="C31" s="402"/>
      <c r="D31" s="78">
        <f>'원가계산서(서부지사)'!D31+'원가계산서(동부지사)'!D31</f>
        <v>1433893000</v>
      </c>
      <c r="E31" s="76"/>
      <c r="F31" s="75">
        <v>7</v>
      </c>
      <c r="G31" s="401" t="s">
        <v>6273</v>
      </c>
      <c r="H31" s="402"/>
      <c r="I31" s="78">
        <f>'원가계산서(서부지사)'!I31+'원가계산서(동부지사)'!I31</f>
        <v>1220675810</v>
      </c>
      <c r="J31" s="76"/>
      <c r="K31" s="75">
        <v>7</v>
      </c>
      <c r="L31" s="401" t="s">
        <v>6273</v>
      </c>
      <c r="M31" s="402"/>
      <c r="N31" s="78">
        <f>'원가계산서(서부지사)'!N31+'원가계산서(동부지사)'!N31</f>
        <v>213217190</v>
      </c>
      <c r="O31" s="76"/>
      <c r="P31" s="335"/>
    </row>
    <row r="32" spans="1:18" ht="22.5" customHeight="1">
      <c r="A32" s="399" t="s">
        <v>6605</v>
      </c>
      <c r="B32" s="400"/>
      <c r="C32" s="400"/>
      <c r="D32" s="400"/>
      <c r="E32" s="400"/>
      <c r="F32" s="399"/>
      <c r="G32" s="400"/>
      <c r="H32" s="400"/>
      <c r="I32" s="400"/>
      <c r="J32" s="400"/>
      <c r="K32" s="399"/>
      <c r="L32" s="400"/>
      <c r="M32" s="400"/>
      <c r="N32" s="400"/>
      <c r="O32" s="400"/>
    </row>
    <row r="34" spans="4:4">
      <c r="D34" s="79">
        <v>1433893000</v>
      </c>
    </row>
    <row r="35" spans="4:4">
      <c r="D35" s="346">
        <f>D34/D31</f>
        <v>1</v>
      </c>
    </row>
    <row r="38" spans="4:4">
      <c r="D38" s="91">
        <f>D34/1.1</f>
        <v>1303539090.9090908</v>
      </c>
    </row>
    <row r="42" spans="4:4">
      <c r="D42" s="79"/>
    </row>
    <row r="43" spans="4:4">
      <c r="D43" s="352">
        <f>D11/D31</f>
        <v>8.9174068776401022E-2</v>
      </c>
    </row>
    <row r="48" spans="4:4">
      <c r="D48" s="79"/>
    </row>
  </sheetData>
  <mergeCells count="54">
    <mergeCell ref="A32:E32"/>
    <mergeCell ref="F32:J32"/>
    <mergeCell ref="K32:O32"/>
    <mergeCell ref="B30:C30"/>
    <mergeCell ref="G30:H30"/>
    <mergeCell ref="L30:M30"/>
    <mergeCell ref="B31:C31"/>
    <mergeCell ref="G31:H31"/>
    <mergeCell ref="L31:M31"/>
    <mergeCell ref="B28:C28"/>
    <mergeCell ref="G28:H28"/>
    <mergeCell ref="L28:M28"/>
    <mergeCell ref="B29:C29"/>
    <mergeCell ref="G29:H29"/>
    <mergeCell ref="L29:M29"/>
    <mergeCell ref="L25:M25"/>
    <mergeCell ref="B26:C26"/>
    <mergeCell ref="G26:H26"/>
    <mergeCell ref="L26:M26"/>
    <mergeCell ref="B27:C27"/>
    <mergeCell ref="G27:H27"/>
    <mergeCell ref="L27:M27"/>
    <mergeCell ref="K6:K25"/>
    <mergeCell ref="L6:L8"/>
    <mergeCell ref="B9:B11"/>
    <mergeCell ref="G9:G11"/>
    <mergeCell ref="L9:L11"/>
    <mergeCell ref="B12:B24"/>
    <mergeCell ref="G12:G24"/>
    <mergeCell ref="L12:L24"/>
    <mergeCell ref="G6:G8"/>
    <mergeCell ref="G25:H25"/>
    <mergeCell ref="A6:A25"/>
    <mergeCell ref="B6:B8"/>
    <mergeCell ref="F6:F25"/>
    <mergeCell ref="B25:C25"/>
    <mergeCell ref="O4:O5"/>
    <mergeCell ref="A3:C3"/>
    <mergeCell ref="F3:H3"/>
    <mergeCell ref="K3:M3"/>
    <mergeCell ref="A4:C5"/>
    <mergeCell ref="D4:D5"/>
    <mergeCell ref="E4:E5"/>
    <mergeCell ref="F4:H5"/>
    <mergeCell ref="I4:I5"/>
    <mergeCell ref="J4:J5"/>
    <mergeCell ref="K4:M5"/>
    <mergeCell ref="N4:N5"/>
    <mergeCell ref="A1:E1"/>
    <mergeCell ref="F1:J1"/>
    <mergeCell ref="K1:O1"/>
    <mergeCell ref="A2:E2"/>
    <mergeCell ref="F2:J2"/>
    <mergeCell ref="K2:O2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T43"/>
  <sheetViews>
    <sheetView view="pageBreakPreview" zoomScaleNormal="100" zoomScaleSheetLayoutView="100" workbookViewId="0">
      <selection activeCell="I15" sqref="I15"/>
    </sheetView>
  </sheetViews>
  <sheetFormatPr defaultRowHeight="12"/>
  <cols>
    <col min="1" max="1" width="15.6640625" style="79" customWidth="1"/>
    <col min="2" max="2" width="19.6640625" style="79" customWidth="1"/>
    <col min="3" max="3" width="44.33203125" style="79" bestFit="1" customWidth="1"/>
    <col min="4" max="4" width="19.33203125" style="79" bestFit="1" customWidth="1"/>
    <col min="5" max="5" width="32.83203125" style="79" bestFit="1" customWidth="1"/>
    <col min="6" max="6" width="15.6640625" style="79" customWidth="1"/>
    <col min="7" max="7" width="19.6640625" style="79" customWidth="1"/>
    <col min="8" max="8" width="44.33203125" style="79" bestFit="1" customWidth="1"/>
    <col min="9" max="9" width="19.1640625" style="79" bestFit="1" customWidth="1"/>
    <col min="10" max="10" width="32.83203125" style="79" bestFit="1" customWidth="1"/>
    <col min="11" max="11" width="15.6640625" style="79" customWidth="1"/>
    <col min="12" max="12" width="19.6640625" style="79" customWidth="1"/>
    <col min="13" max="13" width="44.33203125" style="79" bestFit="1" customWidth="1"/>
    <col min="14" max="14" width="19.1640625" style="79" bestFit="1" customWidth="1"/>
    <col min="15" max="15" width="32.83203125" style="79" bestFit="1" customWidth="1"/>
    <col min="16" max="16" width="9.33203125" style="334"/>
    <col min="17" max="17" width="9.33203125" style="79"/>
    <col min="18" max="18" width="14.33203125" style="340" bestFit="1" customWidth="1"/>
    <col min="19" max="19" width="9.33203125" style="79"/>
    <col min="21" max="251" width="9.33203125" style="79"/>
    <col min="252" max="252" width="15.6640625" style="79" customWidth="1"/>
    <col min="253" max="253" width="19.6640625" style="79" customWidth="1"/>
    <col min="254" max="254" width="44.33203125" style="79" bestFit="1" customWidth="1"/>
    <col min="255" max="255" width="19.33203125" style="79" bestFit="1" customWidth="1"/>
    <col min="256" max="256" width="32.83203125" style="79" bestFit="1" customWidth="1"/>
    <col min="257" max="257" width="15.6640625" style="79" customWidth="1"/>
    <col min="258" max="258" width="19.6640625" style="79" customWidth="1"/>
    <col min="259" max="259" width="44.33203125" style="79" bestFit="1" customWidth="1"/>
    <col min="260" max="260" width="19.1640625" style="79" bestFit="1" customWidth="1"/>
    <col min="261" max="261" width="32.83203125" style="79" bestFit="1" customWidth="1"/>
    <col min="262" max="262" width="15.6640625" style="79" customWidth="1"/>
    <col min="263" max="263" width="19.6640625" style="79" customWidth="1"/>
    <col min="264" max="264" width="44.33203125" style="79" bestFit="1" customWidth="1"/>
    <col min="265" max="265" width="19.1640625" style="79" bestFit="1" customWidth="1"/>
    <col min="266" max="266" width="32.83203125" style="79" bestFit="1" customWidth="1"/>
    <col min="267" max="267" width="15.6640625" style="79" customWidth="1"/>
    <col min="268" max="268" width="19.6640625" style="79" customWidth="1"/>
    <col min="269" max="269" width="44.33203125" style="79" bestFit="1" customWidth="1"/>
    <col min="270" max="270" width="19.1640625" style="79" bestFit="1" customWidth="1"/>
    <col min="271" max="271" width="32.83203125" style="79" bestFit="1" customWidth="1"/>
    <col min="272" max="507" width="9.33203125" style="79"/>
    <col min="508" max="508" width="15.6640625" style="79" customWidth="1"/>
    <col min="509" max="509" width="19.6640625" style="79" customWidth="1"/>
    <col min="510" max="510" width="44.33203125" style="79" bestFit="1" customWidth="1"/>
    <col min="511" max="511" width="19.33203125" style="79" bestFit="1" customWidth="1"/>
    <col min="512" max="512" width="32.83203125" style="79" bestFit="1" customWidth="1"/>
    <col min="513" max="513" width="15.6640625" style="79" customWidth="1"/>
    <col min="514" max="514" width="19.6640625" style="79" customWidth="1"/>
    <col min="515" max="515" width="44.33203125" style="79" bestFit="1" customWidth="1"/>
    <col min="516" max="516" width="19.1640625" style="79" bestFit="1" customWidth="1"/>
    <col min="517" max="517" width="32.83203125" style="79" bestFit="1" customWidth="1"/>
    <col min="518" max="518" width="15.6640625" style="79" customWidth="1"/>
    <col min="519" max="519" width="19.6640625" style="79" customWidth="1"/>
    <col min="520" max="520" width="44.33203125" style="79" bestFit="1" customWidth="1"/>
    <col min="521" max="521" width="19.1640625" style="79" bestFit="1" customWidth="1"/>
    <col min="522" max="522" width="32.83203125" style="79" bestFit="1" customWidth="1"/>
    <col min="523" max="523" width="15.6640625" style="79" customWidth="1"/>
    <col min="524" max="524" width="19.6640625" style="79" customWidth="1"/>
    <col min="525" max="525" width="44.33203125" style="79" bestFit="1" customWidth="1"/>
    <col min="526" max="526" width="19.1640625" style="79" bestFit="1" customWidth="1"/>
    <col min="527" max="527" width="32.83203125" style="79" bestFit="1" customWidth="1"/>
    <col min="528" max="763" width="9.33203125" style="79"/>
    <col min="764" max="764" width="15.6640625" style="79" customWidth="1"/>
    <col min="765" max="765" width="19.6640625" style="79" customWidth="1"/>
    <col min="766" max="766" width="44.33203125" style="79" bestFit="1" customWidth="1"/>
    <col min="767" max="767" width="19.33203125" style="79" bestFit="1" customWidth="1"/>
    <col min="768" max="768" width="32.83203125" style="79" bestFit="1" customWidth="1"/>
    <col min="769" max="769" width="15.6640625" style="79" customWidth="1"/>
    <col min="770" max="770" width="19.6640625" style="79" customWidth="1"/>
    <col min="771" max="771" width="44.33203125" style="79" bestFit="1" customWidth="1"/>
    <col min="772" max="772" width="19.1640625" style="79" bestFit="1" customWidth="1"/>
    <col min="773" max="773" width="32.83203125" style="79" bestFit="1" customWidth="1"/>
    <col min="774" max="774" width="15.6640625" style="79" customWidth="1"/>
    <col min="775" max="775" width="19.6640625" style="79" customWidth="1"/>
    <col min="776" max="776" width="44.33203125" style="79" bestFit="1" customWidth="1"/>
    <col min="777" max="777" width="19.1640625" style="79" bestFit="1" customWidth="1"/>
    <col min="778" max="778" width="32.83203125" style="79" bestFit="1" customWidth="1"/>
    <col min="779" max="779" width="15.6640625" style="79" customWidth="1"/>
    <col min="780" max="780" width="19.6640625" style="79" customWidth="1"/>
    <col min="781" max="781" width="44.33203125" style="79" bestFit="1" customWidth="1"/>
    <col min="782" max="782" width="19.1640625" style="79" bestFit="1" customWidth="1"/>
    <col min="783" max="783" width="32.83203125" style="79" bestFit="1" customWidth="1"/>
    <col min="784" max="1019" width="9.33203125" style="79"/>
    <col min="1020" max="1020" width="15.6640625" style="79" customWidth="1"/>
    <col min="1021" max="1021" width="19.6640625" style="79" customWidth="1"/>
    <col min="1022" max="1022" width="44.33203125" style="79" bestFit="1" customWidth="1"/>
    <col min="1023" max="1023" width="19.33203125" style="79" bestFit="1" customWidth="1"/>
    <col min="1024" max="1024" width="32.83203125" style="79" bestFit="1" customWidth="1"/>
    <col min="1025" max="1025" width="15.6640625" style="79" customWidth="1"/>
    <col min="1026" max="1026" width="19.6640625" style="79" customWidth="1"/>
    <col min="1027" max="1027" width="44.33203125" style="79" bestFit="1" customWidth="1"/>
    <col min="1028" max="1028" width="19.1640625" style="79" bestFit="1" customWidth="1"/>
    <col min="1029" max="1029" width="32.83203125" style="79" bestFit="1" customWidth="1"/>
    <col min="1030" max="1030" width="15.6640625" style="79" customWidth="1"/>
    <col min="1031" max="1031" width="19.6640625" style="79" customWidth="1"/>
    <col min="1032" max="1032" width="44.33203125" style="79" bestFit="1" customWidth="1"/>
    <col min="1033" max="1033" width="19.1640625" style="79" bestFit="1" customWidth="1"/>
    <col min="1034" max="1034" width="32.83203125" style="79" bestFit="1" customWidth="1"/>
    <col min="1035" max="1035" width="15.6640625" style="79" customWidth="1"/>
    <col min="1036" max="1036" width="19.6640625" style="79" customWidth="1"/>
    <col min="1037" max="1037" width="44.33203125" style="79" bestFit="1" customWidth="1"/>
    <col min="1038" max="1038" width="19.1640625" style="79" bestFit="1" customWidth="1"/>
    <col min="1039" max="1039" width="32.83203125" style="79" bestFit="1" customWidth="1"/>
    <col min="1040" max="1275" width="9.33203125" style="79"/>
    <col min="1276" max="1276" width="15.6640625" style="79" customWidth="1"/>
    <col min="1277" max="1277" width="19.6640625" style="79" customWidth="1"/>
    <col min="1278" max="1278" width="44.33203125" style="79" bestFit="1" customWidth="1"/>
    <col min="1279" max="1279" width="19.33203125" style="79" bestFit="1" customWidth="1"/>
    <col min="1280" max="1280" width="32.83203125" style="79" bestFit="1" customWidth="1"/>
    <col min="1281" max="1281" width="15.6640625" style="79" customWidth="1"/>
    <col min="1282" max="1282" width="19.6640625" style="79" customWidth="1"/>
    <col min="1283" max="1283" width="44.33203125" style="79" bestFit="1" customWidth="1"/>
    <col min="1284" max="1284" width="19.1640625" style="79" bestFit="1" customWidth="1"/>
    <col min="1285" max="1285" width="32.83203125" style="79" bestFit="1" customWidth="1"/>
    <col min="1286" max="1286" width="15.6640625" style="79" customWidth="1"/>
    <col min="1287" max="1287" width="19.6640625" style="79" customWidth="1"/>
    <col min="1288" max="1288" width="44.33203125" style="79" bestFit="1" customWidth="1"/>
    <col min="1289" max="1289" width="19.1640625" style="79" bestFit="1" customWidth="1"/>
    <col min="1290" max="1290" width="32.83203125" style="79" bestFit="1" customWidth="1"/>
    <col min="1291" max="1291" width="15.6640625" style="79" customWidth="1"/>
    <col min="1292" max="1292" width="19.6640625" style="79" customWidth="1"/>
    <col min="1293" max="1293" width="44.33203125" style="79" bestFit="1" customWidth="1"/>
    <col min="1294" max="1294" width="19.1640625" style="79" bestFit="1" customWidth="1"/>
    <col min="1295" max="1295" width="32.83203125" style="79" bestFit="1" customWidth="1"/>
    <col min="1296" max="1531" width="9.33203125" style="79"/>
    <col min="1532" max="1532" width="15.6640625" style="79" customWidth="1"/>
    <col min="1533" max="1533" width="19.6640625" style="79" customWidth="1"/>
    <col min="1534" max="1534" width="44.33203125" style="79" bestFit="1" customWidth="1"/>
    <col min="1535" max="1535" width="19.33203125" style="79" bestFit="1" customWidth="1"/>
    <col min="1536" max="1536" width="32.83203125" style="79" bestFit="1" customWidth="1"/>
    <col min="1537" max="1537" width="15.6640625" style="79" customWidth="1"/>
    <col min="1538" max="1538" width="19.6640625" style="79" customWidth="1"/>
    <col min="1539" max="1539" width="44.33203125" style="79" bestFit="1" customWidth="1"/>
    <col min="1540" max="1540" width="19.1640625" style="79" bestFit="1" customWidth="1"/>
    <col min="1541" max="1541" width="32.83203125" style="79" bestFit="1" customWidth="1"/>
    <col min="1542" max="1542" width="15.6640625" style="79" customWidth="1"/>
    <col min="1543" max="1543" width="19.6640625" style="79" customWidth="1"/>
    <col min="1544" max="1544" width="44.33203125" style="79" bestFit="1" customWidth="1"/>
    <col min="1545" max="1545" width="19.1640625" style="79" bestFit="1" customWidth="1"/>
    <col min="1546" max="1546" width="32.83203125" style="79" bestFit="1" customWidth="1"/>
    <col min="1547" max="1547" width="15.6640625" style="79" customWidth="1"/>
    <col min="1548" max="1548" width="19.6640625" style="79" customWidth="1"/>
    <col min="1549" max="1549" width="44.33203125" style="79" bestFit="1" customWidth="1"/>
    <col min="1550" max="1550" width="19.1640625" style="79" bestFit="1" customWidth="1"/>
    <col min="1551" max="1551" width="32.83203125" style="79" bestFit="1" customWidth="1"/>
    <col min="1552" max="1787" width="9.33203125" style="79"/>
    <col min="1788" max="1788" width="15.6640625" style="79" customWidth="1"/>
    <col min="1789" max="1789" width="19.6640625" style="79" customWidth="1"/>
    <col min="1790" max="1790" width="44.33203125" style="79" bestFit="1" customWidth="1"/>
    <col min="1791" max="1791" width="19.33203125" style="79" bestFit="1" customWidth="1"/>
    <col min="1792" max="1792" width="32.83203125" style="79" bestFit="1" customWidth="1"/>
    <col min="1793" max="1793" width="15.6640625" style="79" customWidth="1"/>
    <col min="1794" max="1794" width="19.6640625" style="79" customWidth="1"/>
    <col min="1795" max="1795" width="44.33203125" style="79" bestFit="1" customWidth="1"/>
    <col min="1796" max="1796" width="19.1640625" style="79" bestFit="1" customWidth="1"/>
    <col min="1797" max="1797" width="32.83203125" style="79" bestFit="1" customWidth="1"/>
    <col min="1798" max="1798" width="15.6640625" style="79" customWidth="1"/>
    <col min="1799" max="1799" width="19.6640625" style="79" customWidth="1"/>
    <col min="1800" max="1800" width="44.33203125" style="79" bestFit="1" customWidth="1"/>
    <col min="1801" max="1801" width="19.1640625" style="79" bestFit="1" customWidth="1"/>
    <col min="1802" max="1802" width="32.83203125" style="79" bestFit="1" customWidth="1"/>
    <col min="1803" max="1803" width="15.6640625" style="79" customWidth="1"/>
    <col min="1804" max="1804" width="19.6640625" style="79" customWidth="1"/>
    <col min="1805" max="1805" width="44.33203125" style="79" bestFit="1" customWidth="1"/>
    <col min="1806" max="1806" width="19.1640625" style="79" bestFit="1" customWidth="1"/>
    <col min="1807" max="1807" width="32.83203125" style="79" bestFit="1" customWidth="1"/>
    <col min="1808" max="2043" width="9.33203125" style="79"/>
    <col min="2044" max="2044" width="15.6640625" style="79" customWidth="1"/>
    <col min="2045" max="2045" width="19.6640625" style="79" customWidth="1"/>
    <col min="2046" max="2046" width="44.33203125" style="79" bestFit="1" customWidth="1"/>
    <col min="2047" max="2047" width="19.33203125" style="79" bestFit="1" customWidth="1"/>
    <col min="2048" max="2048" width="32.83203125" style="79" bestFit="1" customWidth="1"/>
    <col min="2049" max="2049" width="15.6640625" style="79" customWidth="1"/>
    <col min="2050" max="2050" width="19.6640625" style="79" customWidth="1"/>
    <col min="2051" max="2051" width="44.33203125" style="79" bestFit="1" customWidth="1"/>
    <col min="2052" max="2052" width="19.1640625" style="79" bestFit="1" customWidth="1"/>
    <col min="2053" max="2053" width="32.83203125" style="79" bestFit="1" customWidth="1"/>
    <col min="2054" max="2054" width="15.6640625" style="79" customWidth="1"/>
    <col min="2055" max="2055" width="19.6640625" style="79" customWidth="1"/>
    <col min="2056" max="2056" width="44.33203125" style="79" bestFit="1" customWidth="1"/>
    <col min="2057" max="2057" width="19.1640625" style="79" bestFit="1" customWidth="1"/>
    <col min="2058" max="2058" width="32.83203125" style="79" bestFit="1" customWidth="1"/>
    <col min="2059" max="2059" width="15.6640625" style="79" customWidth="1"/>
    <col min="2060" max="2060" width="19.6640625" style="79" customWidth="1"/>
    <col min="2061" max="2061" width="44.33203125" style="79" bestFit="1" customWidth="1"/>
    <col min="2062" max="2062" width="19.1640625" style="79" bestFit="1" customWidth="1"/>
    <col min="2063" max="2063" width="32.83203125" style="79" bestFit="1" customWidth="1"/>
    <col min="2064" max="2299" width="9.33203125" style="79"/>
    <col min="2300" max="2300" width="15.6640625" style="79" customWidth="1"/>
    <col min="2301" max="2301" width="19.6640625" style="79" customWidth="1"/>
    <col min="2302" max="2302" width="44.33203125" style="79" bestFit="1" customWidth="1"/>
    <col min="2303" max="2303" width="19.33203125" style="79" bestFit="1" customWidth="1"/>
    <col min="2304" max="2304" width="32.83203125" style="79" bestFit="1" customWidth="1"/>
    <col min="2305" max="2305" width="15.6640625" style="79" customWidth="1"/>
    <col min="2306" max="2306" width="19.6640625" style="79" customWidth="1"/>
    <col min="2307" max="2307" width="44.33203125" style="79" bestFit="1" customWidth="1"/>
    <col min="2308" max="2308" width="19.1640625" style="79" bestFit="1" customWidth="1"/>
    <col min="2309" max="2309" width="32.83203125" style="79" bestFit="1" customWidth="1"/>
    <col min="2310" max="2310" width="15.6640625" style="79" customWidth="1"/>
    <col min="2311" max="2311" width="19.6640625" style="79" customWidth="1"/>
    <col min="2312" max="2312" width="44.33203125" style="79" bestFit="1" customWidth="1"/>
    <col min="2313" max="2313" width="19.1640625" style="79" bestFit="1" customWidth="1"/>
    <col min="2314" max="2314" width="32.83203125" style="79" bestFit="1" customWidth="1"/>
    <col min="2315" max="2315" width="15.6640625" style="79" customWidth="1"/>
    <col min="2316" max="2316" width="19.6640625" style="79" customWidth="1"/>
    <col min="2317" max="2317" width="44.33203125" style="79" bestFit="1" customWidth="1"/>
    <col min="2318" max="2318" width="19.1640625" style="79" bestFit="1" customWidth="1"/>
    <col min="2319" max="2319" width="32.83203125" style="79" bestFit="1" customWidth="1"/>
    <col min="2320" max="2555" width="9.33203125" style="79"/>
    <col min="2556" max="2556" width="15.6640625" style="79" customWidth="1"/>
    <col min="2557" max="2557" width="19.6640625" style="79" customWidth="1"/>
    <col min="2558" max="2558" width="44.33203125" style="79" bestFit="1" customWidth="1"/>
    <col min="2559" max="2559" width="19.33203125" style="79" bestFit="1" customWidth="1"/>
    <col min="2560" max="2560" width="32.83203125" style="79" bestFit="1" customWidth="1"/>
    <col min="2561" max="2561" width="15.6640625" style="79" customWidth="1"/>
    <col min="2562" max="2562" width="19.6640625" style="79" customWidth="1"/>
    <col min="2563" max="2563" width="44.33203125" style="79" bestFit="1" customWidth="1"/>
    <col min="2564" max="2564" width="19.1640625" style="79" bestFit="1" customWidth="1"/>
    <col min="2565" max="2565" width="32.83203125" style="79" bestFit="1" customWidth="1"/>
    <col min="2566" max="2566" width="15.6640625" style="79" customWidth="1"/>
    <col min="2567" max="2567" width="19.6640625" style="79" customWidth="1"/>
    <col min="2568" max="2568" width="44.33203125" style="79" bestFit="1" customWidth="1"/>
    <col min="2569" max="2569" width="19.1640625" style="79" bestFit="1" customWidth="1"/>
    <col min="2570" max="2570" width="32.83203125" style="79" bestFit="1" customWidth="1"/>
    <col min="2571" max="2571" width="15.6640625" style="79" customWidth="1"/>
    <col min="2572" max="2572" width="19.6640625" style="79" customWidth="1"/>
    <col min="2573" max="2573" width="44.33203125" style="79" bestFit="1" customWidth="1"/>
    <col min="2574" max="2574" width="19.1640625" style="79" bestFit="1" customWidth="1"/>
    <col min="2575" max="2575" width="32.83203125" style="79" bestFit="1" customWidth="1"/>
    <col min="2576" max="2811" width="9.33203125" style="79"/>
    <col min="2812" max="2812" width="15.6640625" style="79" customWidth="1"/>
    <col min="2813" max="2813" width="19.6640625" style="79" customWidth="1"/>
    <col min="2814" max="2814" width="44.33203125" style="79" bestFit="1" customWidth="1"/>
    <col min="2815" max="2815" width="19.33203125" style="79" bestFit="1" customWidth="1"/>
    <col min="2816" max="2816" width="32.83203125" style="79" bestFit="1" customWidth="1"/>
    <col min="2817" max="2817" width="15.6640625" style="79" customWidth="1"/>
    <col min="2818" max="2818" width="19.6640625" style="79" customWidth="1"/>
    <col min="2819" max="2819" width="44.33203125" style="79" bestFit="1" customWidth="1"/>
    <col min="2820" max="2820" width="19.1640625" style="79" bestFit="1" customWidth="1"/>
    <col min="2821" max="2821" width="32.83203125" style="79" bestFit="1" customWidth="1"/>
    <col min="2822" max="2822" width="15.6640625" style="79" customWidth="1"/>
    <col min="2823" max="2823" width="19.6640625" style="79" customWidth="1"/>
    <col min="2824" max="2824" width="44.33203125" style="79" bestFit="1" customWidth="1"/>
    <col min="2825" max="2825" width="19.1640625" style="79" bestFit="1" customWidth="1"/>
    <col min="2826" max="2826" width="32.83203125" style="79" bestFit="1" customWidth="1"/>
    <col min="2827" max="2827" width="15.6640625" style="79" customWidth="1"/>
    <col min="2828" max="2828" width="19.6640625" style="79" customWidth="1"/>
    <col min="2829" max="2829" width="44.33203125" style="79" bestFit="1" customWidth="1"/>
    <col min="2830" max="2830" width="19.1640625" style="79" bestFit="1" customWidth="1"/>
    <col min="2831" max="2831" width="32.83203125" style="79" bestFit="1" customWidth="1"/>
    <col min="2832" max="3067" width="9.33203125" style="79"/>
    <col min="3068" max="3068" width="15.6640625" style="79" customWidth="1"/>
    <col min="3069" max="3069" width="19.6640625" style="79" customWidth="1"/>
    <col min="3070" max="3070" width="44.33203125" style="79" bestFit="1" customWidth="1"/>
    <col min="3071" max="3071" width="19.33203125" style="79" bestFit="1" customWidth="1"/>
    <col min="3072" max="3072" width="32.83203125" style="79" bestFit="1" customWidth="1"/>
    <col min="3073" max="3073" width="15.6640625" style="79" customWidth="1"/>
    <col min="3074" max="3074" width="19.6640625" style="79" customWidth="1"/>
    <col min="3075" max="3075" width="44.33203125" style="79" bestFit="1" customWidth="1"/>
    <col min="3076" max="3076" width="19.1640625" style="79" bestFit="1" customWidth="1"/>
    <col min="3077" max="3077" width="32.83203125" style="79" bestFit="1" customWidth="1"/>
    <col min="3078" max="3078" width="15.6640625" style="79" customWidth="1"/>
    <col min="3079" max="3079" width="19.6640625" style="79" customWidth="1"/>
    <col min="3080" max="3080" width="44.33203125" style="79" bestFit="1" customWidth="1"/>
    <col min="3081" max="3081" width="19.1640625" style="79" bestFit="1" customWidth="1"/>
    <col min="3082" max="3082" width="32.83203125" style="79" bestFit="1" customWidth="1"/>
    <col min="3083" max="3083" width="15.6640625" style="79" customWidth="1"/>
    <col min="3084" max="3084" width="19.6640625" style="79" customWidth="1"/>
    <col min="3085" max="3085" width="44.33203125" style="79" bestFit="1" customWidth="1"/>
    <col min="3086" max="3086" width="19.1640625" style="79" bestFit="1" customWidth="1"/>
    <col min="3087" max="3087" width="32.83203125" style="79" bestFit="1" customWidth="1"/>
    <col min="3088" max="3323" width="9.33203125" style="79"/>
    <col min="3324" max="3324" width="15.6640625" style="79" customWidth="1"/>
    <col min="3325" max="3325" width="19.6640625" style="79" customWidth="1"/>
    <col min="3326" max="3326" width="44.33203125" style="79" bestFit="1" customWidth="1"/>
    <col min="3327" max="3327" width="19.33203125" style="79" bestFit="1" customWidth="1"/>
    <col min="3328" max="3328" width="32.83203125" style="79" bestFit="1" customWidth="1"/>
    <col min="3329" max="3329" width="15.6640625" style="79" customWidth="1"/>
    <col min="3330" max="3330" width="19.6640625" style="79" customWidth="1"/>
    <col min="3331" max="3331" width="44.33203125" style="79" bestFit="1" customWidth="1"/>
    <col min="3332" max="3332" width="19.1640625" style="79" bestFit="1" customWidth="1"/>
    <col min="3333" max="3333" width="32.83203125" style="79" bestFit="1" customWidth="1"/>
    <col min="3334" max="3334" width="15.6640625" style="79" customWidth="1"/>
    <col min="3335" max="3335" width="19.6640625" style="79" customWidth="1"/>
    <col min="3336" max="3336" width="44.33203125" style="79" bestFit="1" customWidth="1"/>
    <col min="3337" max="3337" width="19.1640625" style="79" bestFit="1" customWidth="1"/>
    <col min="3338" max="3338" width="32.83203125" style="79" bestFit="1" customWidth="1"/>
    <col min="3339" max="3339" width="15.6640625" style="79" customWidth="1"/>
    <col min="3340" max="3340" width="19.6640625" style="79" customWidth="1"/>
    <col min="3341" max="3341" width="44.33203125" style="79" bestFit="1" customWidth="1"/>
    <col min="3342" max="3342" width="19.1640625" style="79" bestFit="1" customWidth="1"/>
    <col min="3343" max="3343" width="32.83203125" style="79" bestFit="1" customWidth="1"/>
    <col min="3344" max="3579" width="9.33203125" style="79"/>
    <col min="3580" max="3580" width="15.6640625" style="79" customWidth="1"/>
    <col min="3581" max="3581" width="19.6640625" style="79" customWidth="1"/>
    <col min="3582" max="3582" width="44.33203125" style="79" bestFit="1" customWidth="1"/>
    <col min="3583" max="3583" width="19.33203125" style="79" bestFit="1" customWidth="1"/>
    <col min="3584" max="3584" width="32.83203125" style="79" bestFit="1" customWidth="1"/>
    <col min="3585" max="3585" width="15.6640625" style="79" customWidth="1"/>
    <col min="3586" max="3586" width="19.6640625" style="79" customWidth="1"/>
    <col min="3587" max="3587" width="44.33203125" style="79" bestFit="1" customWidth="1"/>
    <col min="3588" max="3588" width="19.1640625" style="79" bestFit="1" customWidth="1"/>
    <col min="3589" max="3589" width="32.83203125" style="79" bestFit="1" customWidth="1"/>
    <col min="3590" max="3590" width="15.6640625" style="79" customWidth="1"/>
    <col min="3591" max="3591" width="19.6640625" style="79" customWidth="1"/>
    <col min="3592" max="3592" width="44.33203125" style="79" bestFit="1" customWidth="1"/>
    <col min="3593" max="3593" width="19.1640625" style="79" bestFit="1" customWidth="1"/>
    <col min="3594" max="3594" width="32.83203125" style="79" bestFit="1" customWidth="1"/>
    <col min="3595" max="3595" width="15.6640625" style="79" customWidth="1"/>
    <col min="3596" max="3596" width="19.6640625" style="79" customWidth="1"/>
    <col min="3597" max="3597" width="44.33203125" style="79" bestFit="1" customWidth="1"/>
    <col min="3598" max="3598" width="19.1640625" style="79" bestFit="1" customWidth="1"/>
    <col min="3599" max="3599" width="32.83203125" style="79" bestFit="1" customWidth="1"/>
    <col min="3600" max="3835" width="9.33203125" style="79"/>
    <col min="3836" max="3836" width="15.6640625" style="79" customWidth="1"/>
    <col min="3837" max="3837" width="19.6640625" style="79" customWidth="1"/>
    <col min="3838" max="3838" width="44.33203125" style="79" bestFit="1" customWidth="1"/>
    <col min="3839" max="3839" width="19.33203125" style="79" bestFit="1" customWidth="1"/>
    <col min="3840" max="3840" width="32.83203125" style="79" bestFit="1" customWidth="1"/>
    <col min="3841" max="3841" width="15.6640625" style="79" customWidth="1"/>
    <col min="3842" max="3842" width="19.6640625" style="79" customWidth="1"/>
    <col min="3843" max="3843" width="44.33203125" style="79" bestFit="1" customWidth="1"/>
    <col min="3844" max="3844" width="19.1640625" style="79" bestFit="1" customWidth="1"/>
    <col min="3845" max="3845" width="32.83203125" style="79" bestFit="1" customWidth="1"/>
    <col min="3846" max="3846" width="15.6640625" style="79" customWidth="1"/>
    <col min="3847" max="3847" width="19.6640625" style="79" customWidth="1"/>
    <col min="3848" max="3848" width="44.33203125" style="79" bestFit="1" customWidth="1"/>
    <col min="3849" max="3849" width="19.1640625" style="79" bestFit="1" customWidth="1"/>
    <col min="3850" max="3850" width="32.83203125" style="79" bestFit="1" customWidth="1"/>
    <col min="3851" max="3851" width="15.6640625" style="79" customWidth="1"/>
    <col min="3852" max="3852" width="19.6640625" style="79" customWidth="1"/>
    <col min="3853" max="3853" width="44.33203125" style="79" bestFit="1" customWidth="1"/>
    <col min="3854" max="3854" width="19.1640625" style="79" bestFit="1" customWidth="1"/>
    <col min="3855" max="3855" width="32.83203125" style="79" bestFit="1" customWidth="1"/>
    <col min="3856" max="4091" width="9.33203125" style="79"/>
    <col min="4092" max="4092" width="15.6640625" style="79" customWidth="1"/>
    <col min="4093" max="4093" width="19.6640625" style="79" customWidth="1"/>
    <col min="4094" max="4094" width="44.33203125" style="79" bestFit="1" customWidth="1"/>
    <col min="4095" max="4095" width="19.33203125" style="79" bestFit="1" customWidth="1"/>
    <col min="4096" max="4096" width="32.83203125" style="79" bestFit="1" customWidth="1"/>
    <col min="4097" max="4097" width="15.6640625" style="79" customWidth="1"/>
    <col min="4098" max="4098" width="19.6640625" style="79" customWidth="1"/>
    <col min="4099" max="4099" width="44.33203125" style="79" bestFit="1" customWidth="1"/>
    <col min="4100" max="4100" width="19.1640625" style="79" bestFit="1" customWidth="1"/>
    <col min="4101" max="4101" width="32.83203125" style="79" bestFit="1" customWidth="1"/>
    <col min="4102" max="4102" width="15.6640625" style="79" customWidth="1"/>
    <col min="4103" max="4103" width="19.6640625" style="79" customWidth="1"/>
    <col min="4104" max="4104" width="44.33203125" style="79" bestFit="1" customWidth="1"/>
    <col min="4105" max="4105" width="19.1640625" style="79" bestFit="1" customWidth="1"/>
    <col min="4106" max="4106" width="32.83203125" style="79" bestFit="1" customWidth="1"/>
    <col min="4107" max="4107" width="15.6640625" style="79" customWidth="1"/>
    <col min="4108" max="4108" width="19.6640625" style="79" customWidth="1"/>
    <col min="4109" max="4109" width="44.33203125" style="79" bestFit="1" customWidth="1"/>
    <col min="4110" max="4110" width="19.1640625" style="79" bestFit="1" customWidth="1"/>
    <col min="4111" max="4111" width="32.83203125" style="79" bestFit="1" customWidth="1"/>
    <col min="4112" max="4347" width="9.33203125" style="79"/>
    <col min="4348" max="4348" width="15.6640625" style="79" customWidth="1"/>
    <col min="4349" max="4349" width="19.6640625" style="79" customWidth="1"/>
    <col min="4350" max="4350" width="44.33203125" style="79" bestFit="1" customWidth="1"/>
    <col min="4351" max="4351" width="19.33203125" style="79" bestFit="1" customWidth="1"/>
    <col min="4352" max="4352" width="32.83203125" style="79" bestFit="1" customWidth="1"/>
    <col min="4353" max="4353" width="15.6640625" style="79" customWidth="1"/>
    <col min="4354" max="4354" width="19.6640625" style="79" customWidth="1"/>
    <col min="4355" max="4355" width="44.33203125" style="79" bestFit="1" customWidth="1"/>
    <col min="4356" max="4356" width="19.1640625" style="79" bestFit="1" customWidth="1"/>
    <col min="4357" max="4357" width="32.83203125" style="79" bestFit="1" customWidth="1"/>
    <col min="4358" max="4358" width="15.6640625" style="79" customWidth="1"/>
    <col min="4359" max="4359" width="19.6640625" style="79" customWidth="1"/>
    <col min="4360" max="4360" width="44.33203125" style="79" bestFit="1" customWidth="1"/>
    <col min="4361" max="4361" width="19.1640625" style="79" bestFit="1" customWidth="1"/>
    <col min="4362" max="4362" width="32.83203125" style="79" bestFit="1" customWidth="1"/>
    <col min="4363" max="4363" width="15.6640625" style="79" customWidth="1"/>
    <col min="4364" max="4364" width="19.6640625" style="79" customWidth="1"/>
    <col min="4365" max="4365" width="44.33203125" style="79" bestFit="1" customWidth="1"/>
    <col min="4366" max="4366" width="19.1640625" style="79" bestFit="1" customWidth="1"/>
    <col min="4367" max="4367" width="32.83203125" style="79" bestFit="1" customWidth="1"/>
    <col min="4368" max="4603" width="9.33203125" style="79"/>
    <col min="4604" max="4604" width="15.6640625" style="79" customWidth="1"/>
    <col min="4605" max="4605" width="19.6640625" style="79" customWidth="1"/>
    <col min="4606" max="4606" width="44.33203125" style="79" bestFit="1" customWidth="1"/>
    <col min="4607" max="4607" width="19.33203125" style="79" bestFit="1" customWidth="1"/>
    <col min="4608" max="4608" width="32.83203125" style="79" bestFit="1" customWidth="1"/>
    <col min="4609" max="4609" width="15.6640625" style="79" customWidth="1"/>
    <col min="4610" max="4610" width="19.6640625" style="79" customWidth="1"/>
    <col min="4611" max="4611" width="44.33203125" style="79" bestFit="1" customWidth="1"/>
    <col min="4612" max="4612" width="19.1640625" style="79" bestFit="1" customWidth="1"/>
    <col min="4613" max="4613" width="32.83203125" style="79" bestFit="1" customWidth="1"/>
    <col min="4614" max="4614" width="15.6640625" style="79" customWidth="1"/>
    <col min="4615" max="4615" width="19.6640625" style="79" customWidth="1"/>
    <col min="4616" max="4616" width="44.33203125" style="79" bestFit="1" customWidth="1"/>
    <col min="4617" max="4617" width="19.1640625" style="79" bestFit="1" customWidth="1"/>
    <col min="4618" max="4618" width="32.83203125" style="79" bestFit="1" customWidth="1"/>
    <col min="4619" max="4619" width="15.6640625" style="79" customWidth="1"/>
    <col min="4620" max="4620" width="19.6640625" style="79" customWidth="1"/>
    <col min="4621" max="4621" width="44.33203125" style="79" bestFit="1" customWidth="1"/>
    <col min="4622" max="4622" width="19.1640625" style="79" bestFit="1" customWidth="1"/>
    <col min="4623" max="4623" width="32.83203125" style="79" bestFit="1" customWidth="1"/>
    <col min="4624" max="4859" width="9.33203125" style="79"/>
    <col min="4860" max="4860" width="15.6640625" style="79" customWidth="1"/>
    <col min="4861" max="4861" width="19.6640625" style="79" customWidth="1"/>
    <col min="4862" max="4862" width="44.33203125" style="79" bestFit="1" customWidth="1"/>
    <col min="4863" max="4863" width="19.33203125" style="79" bestFit="1" customWidth="1"/>
    <col min="4864" max="4864" width="32.83203125" style="79" bestFit="1" customWidth="1"/>
    <col min="4865" max="4865" width="15.6640625" style="79" customWidth="1"/>
    <col min="4866" max="4866" width="19.6640625" style="79" customWidth="1"/>
    <col min="4867" max="4867" width="44.33203125" style="79" bestFit="1" customWidth="1"/>
    <col min="4868" max="4868" width="19.1640625" style="79" bestFit="1" customWidth="1"/>
    <col min="4869" max="4869" width="32.83203125" style="79" bestFit="1" customWidth="1"/>
    <col min="4870" max="4870" width="15.6640625" style="79" customWidth="1"/>
    <col min="4871" max="4871" width="19.6640625" style="79" customWidth="1"/>
    <col min="4872" max="4872" width="44.33203125" style="79" bestFit="1" customWidth="1"/>
    <col min="4873" max="4873" width="19.1640625" style="79" bestFit="1" customWidth="1"/>
    <col min="4874" max="4874" width="32.83203125" style="79" bestFit="1" customWidth="1"/>
    <col min="4875" max="4875" width="15.6640625" style="79" customWidth="1"/>
    <col min="4876" max="4876" width="19.6640625" style="79" customWidth="1"/>
    <col min="4877" max="4877" width="44.33203125" style="79" bestFit="1" customWidth="1"/>
    <col min="4878" max="4878" width="19.1640625" style="79" bestFit="1" customWidth="1"/>
    <col min="4879" max="4879" width="32.83203125" style="79" bestFit="1" customWidth="1"/>
    <col min="4880" max="5115" width="9.33203125" style="79"/>
    <col min="5116" max="5116" width="15.6640625" style="79" customWidth="1"/>
    <col min="5117" max="5117" width="19.6640625" style="79" customWidth="1"/>
    <col min="5118" max="5118" width="44.33203125" style="79" bestFit="1" customWidth="1"/>
    <col min="5119" max="5119" width="19.33203125" style="79" bestFit="1" customWidth="1"/>
    <col min="5120" max="5120" width="32.83203125" style="79" bestFit="1" customWidth="1"/>
    <col min="5121" max="5121" width="15.6640625" style="79" customWidth="1"/>
    <col min="5122" max="5122" width="19.6640625" style="79" customWidth="1"/>
    <col min="5123" max="5123" width="44.33203125" style="79" bestFit="1" customWidth="1"/>
    <col min="5124" max="5124" width="19.1640625" style="79" bestFit="1" customWidth="1"/>
    <col min="5125" max="5125" width="32.83203125" style="79" bestFit="1" customWidth="1"/>
    <col min="5126" max="5126" width="15.6640625" style="79" customWidth="1"/>
    <col min="5127" max="5127" width="19.6640625" style="79" customWidth="1"/>
    <col min="5128" max="5128" width="44.33203125" style="79" bestFit="1" customWidth="1"/>
    <col min="5129" max="5129" width="19.1640625" style="79" bestFit="1" customWidth="1"/>
    <col min="5130" max="5130" width="32.83203125" style="79" bestFit="1" customWidth="1"/>
    <col min="5131" max="5131" width="15.6640625" style="79" customWidth="1"/>
    <col min="5132" max="5132" width="19.6640625" style="79" customWidth="1"/>
    <col min="5133" max="5133" width="44.33203125" style="79" bestFit="1" customWidth="1"/>
    <col min="5134" max="5134" width="19.1640625" style="79" bestFit="1" customWidth="1"/>
    <col min="5135" max="5135" width="32.83203125" style="79" bestFit="1" customWidth="1"/>
    <col min="5136" max="5371" width="9.33203125" style="79"/>
    <col min="5372" max="5372" width="15.6640625" style="79" customWidth="1"/>
    <col min="5373" max="5373" width="19.6640625" style="79" customWidth="1"/>
    <col min="5374" max="5374" width="44.33203125" style="79" bestFit="1" customWidth="1"/>
    <col min="5375" max="5375" width="19.33203125" style="79" bestFit="1" customWidth="1"/>
    <col min="5376" max="5376" width="32.83203125" style="79" bestFit="1" customWidth="1"/>
    <col min="5377" max="5377" width="15.6640625" style="79" customWidth="1"/>
    <col min="5378" max="5378" width="19.6640625" style="79" customWidth="1"/>
    <col min="5379" max="5379" width="44.33203125" style="79" bestFit="1" customWidth="1"/>
    <col min="5380" max="5380" width="19.1640625" style="79" bestFit="1" customWidth="1"/>
    <col min="5381" max="5381" width="32.83203125" style="79" bestFit="1" customWidth="1"/>
    <col min="5382" max="5382" width="15.6640625" style="79" customWidth="1"/>
    <col min="5383" max="5383" width="19.6640625" style="79" customWidth="1"/>
    <col min="5384" max="5384" width="44.33203125" style="79" bestFit="1" customWidth="1"/>
    <col min="5385" max="5385" width="19.1640625" style="79" bestFit="1" customWidth="1"/>
    <col min="5386" max="5386" width="32.83203125" style="79" bestFit="1" customWidth="1"/>
    <col min="5387" max="5387" width="15.6640625" style="79" customWidth="1"/>
    <col min="5388" max="5388" width="19.6640625" style="79" customWidth="1"/>
    <col min="5389" max="5389" width="44.33203125" style="79" bestFit="1" customWidth="1"/>
    <col min="5390" max="5390" width="19.1640625" style="79" bestFit="1" customWidth="1"/>
    <col min="5391" max="5391" width="32.83203125" style="79" bestFit="1" customWidth="1"/>
    <col min="5392" max="5627" width="9.33203125" style="79"/>
    <col min="5628" max="5628" width="15.6640625" style="79" customWidth="1"/>
    <col min="5629" max="5629" width="19.6640625" style="79" customWidth="1"/>
    <col min="5630" max="5630" width="44.33203125" style="79" bestFit="1" customWidth="1"/>
    <col min="5631" max="5631" width="19.33203125" style="79" bestFit="1" customWidth="1"/>
    <col min="5632" max="5632" width="32.83203125" style="79" bestFit="1" customWidth="1"/>
    <col min="5633" max="5633" width="15.6640625" style="79" customWidth="1"/>
    <col min="5634" max="5634" width="19.6640625" style="79" customWidth="1"/>
    <col min="5635" max="5635" width="44.33203125" style="79" bestFit="1" customWidth="1"/>
    <col min="5636" max="5636" width="19.1640625" style="79" bestFit="1" customWidth="1"/>
    <col min="5637" max="5637" width="32.83203125" style="79" bestFit="1" customWidth="1"/>
    <col min="5638" max="5638" width="15.6640625" style="79" customWidth="1"/>
    <col min="5639" max="5639" width="19.6640625" style="79" customWidth="1"/>
    <col min="5640" max="5640" width="44.33203125" style="79" bestFit="1" customWidth="1"/>
    <col min="5641" max="5641" width="19.1640625" style="79" bestFit="1" customWidth="1"/>
    <col min="5642" max="5642" width="32.83203125" style="79" bestFit="1" customWidth="1"/>
    <col min="5643" max="5643" width="15.6640625" style="79" customWidth="1"/>
    <col min="5644" max="5644" width="19.6640625" style="79" customWidth="1"/>
    <col min="5645" max="5645" width="44.33203125" style="79" bestFit="1" customWidth="1"/>
    <col min="5646" max="5646" width="19.1640625" style="79" bestFit="1" customWidth="1"/>
    <col min="5647" max="5647" width="32.83203125" style="79" bestFit="1" customWidth="1"/>
    <col min="5648" max="5883" width="9.33203125" style="79"/>
    <col min="5884" max="5884" width="15.6640625" style="79" customWidth="1"/>
    <col min="5885" max="5885" width="19.6640625" style="79" customWidth="1"/>
    <col min="5886" max="5886" width="44.33203125" style="79" bestFit="1" customWidth="1"/>
    <col min="5887" max="5887" width="19.33203125" style="79" bestFit="1" customWidth="1"/>
    <col min="5888" max="5888" width="32.83203125" style="79" bestFit="1" customWidth="1"/>
    <col min="5889" max="5889" width="15.6640625" style="79" customWidth="1"/>
    <col min="5890" max="5890" width="19.6640625" style="79" customWidth="1"/>
    <col min="5891" max="5891" width="44.33203125" style="79" bestFit="1" customWidth="1"/>
    <col min="5892" max="5892" width="19.1640625" style="79" bestFit="1" customWidth="1"/>
    <col min="5893" max="5893" width="32.83203125" style="79" bestFit="1" customWidth="1"/>
    <col min="5894" max="5894" width="15.6640625" style="79" customWidth="1"/>
    <col min="5895" max="5895" width="19.6640625" style="79" customWidth="1"/>
    <col min="5896" max="5896" width="44.33203125" style="79" bestFit="1" customWidth="1"/>
    <col min="5897" max="5897" width="19.1640625" style="79" bestFit="1" customWidth="1"/>
    <col min="5898" max="5898" width="32.83203125" style="79" bestFit="1" customWidth="1"/>
    <col min="5899" max="5899" width="15.6640625" style="79" customWidth="1"/>
    <col min="5900" max="5900" width="19.6640625" style="79" customWidth="1"/>
    <col min="5901" max="5901" width="44.33203125" style="79" bestFit="1" customWidth="1"/>
    <col min="5902" max="5902" width="19.1640625" style="79" bestFit="1" customWidth="1"/>
    <col min="5903" max="5903" width="32.83203125" style="79" bestFit="1" customWidth="1"/>
    <col min="5904" max="6139" width="9.33203125" style="79"/>
    <col min="6140" max="6140" width="15.6640625" style="79" customWidth="1"/>
    <col min="6141" max="6141" width="19.6640625" style="79" customWidth="1"/>
    <col min="6142" max="6142" width="44.33203125" style="79" bestFit="1" customWidth="1"/>
    <col min="6143" max="6143" width="19.33203125" style="79" bestFit="1" customWidth="1"/>
    <col min="6144" max="6144" width="32.83203125" style="79" bestFit="1" customWidth="1"/>
    <col min="6145" max="6145" width="15.6640625" style="79" customWidth="1"/>
    <col min="6146" max="6146" width="19.6640625" style="79" customWidth="1"/>
    <col min="6147" max="6147" width="44.33203125" style="79" bestFit="1" customWidth="1"/>
    <col min="6148" max="6148" width="19.1640625" style="79" bestFit="1" customWidth="1"/>
    <col min="6149" max="6149" width="32.83203125" style="79" bestFit="1" customWidth="1"/>
    <col min="6150" max="6150" width="15.6640625" style="79" customWidth="1"/>
    <col min="6151" max="6151" width="19.6640625" style="79" customWidth="1"/>
    <col min="6152" max="6152" width="44.33203125" style="79" bestFit="1" customWidth="1"/>
    <col min="6153" max="6153" width="19.1640625" style="79" bestFit="1" customWidth="1"/>
    <col min="6154" max="6154" width="32.83203125" style="79" bestFit="1" customWidth="1"/>
    <col min="6155" max="6155" width="15.6640625" style="79" customWidth="1"/>
    <col min="6156" max="6156" width="19.6640625" style="79" customWidth="1"/>
    <col min="6157" max="6157" width="44.33203125" style="79" bestFit="1" customWidth="1"/>
    <col min="6158" max="6158" width="19.1640625" style="79" bestFit="1" customWidth="1"/>
    <col min="6159" max="6159" width="32.83203125" style="79" bestFit="1" customWidth="1"/>
    <col min="6160" max="6395" width="9.33203125" style="79"/>
    <col min="6396" max="6396" width="15.6640625" style="79" customWidth="1"/>
    <col min="6397" max="6397" width="19.6640625" style="79" customWidth="1"/>
    <col min="6398" max="6398" width="44.33203125" style="79" bestFit="1" customWidth="1"/>
    <col min="6399" max="6399" width="19.33203125" style="79" bestFit="1" customWidth="1"/>
    <col min="6400" max="6400" width="32.83203125" style="79" bestFit="1" customWidth="1"/>
    <col min="6401" max="6401" width="15.6640625" style="79" customWidth="1"/>
    <col min="6402" max="6402" width="19.6640625" style="79" customWidth="1"/>
    <col min="6403" max="6403" width="44.33203125" style="79" bestFit="1" customWidth="1"/>
    <col min="6404" max="6404" width="19.1640625" style="79" bestFit="1" customWidth="1"/>
    <col min="6405" max="6405" width="32.83203125" style="79" bestFit="1" customWidth="1"/>
    <col min="6406" max="6406" width="15.6640625" style="79" customWidth="1"/>
    <col min="6407" max="6407" width="19.6640625" style="79" customWidth="1"/>
    <col min="6408" max="6408" width="44.33203125" style="79" bestFit="1" customWidth="1"/>
    <col min="6409" max="6409" width="19.1640625" style="79" bestFit="1" customWidth="1"/>
    <col min="6410" max="6410" width="32.83203125" style="79" bestFit="1" customWidth="1"/>
    <col min="6411" max="6411" width="15.6640625" style="79" customWidth="1"/>
    <col min="6412" max="6412" width="19.6640625" style="79" customWidth="1"/>
    <col min="6413" max="6413" width="44.33203125" style="79" bestFit="1" customWidth="1"/>
    <col min="6414" max="6414" width="19.1640625" style="79" bestFit="1" customWidth="1"/>
    <col min="6415" max="6415" width="32.83203125" style="79" bestFit="1" customWidth="1"/>
    <col min="6416" max="6651" width="9.33203125" style="79"/>
    <col min="6652" max="6652" width="15.6640625" style="79" customWidth="1"/>
    <col min="6653" max="6653" width="19.6640625" style="79" customWidth="1"/>
    <col min="6654" max="6654" width="44.33203125" style="79" bestFit="1" customWidth="1"/>
    <col min="6655" max="6655" width="19.33203125" style="79" bestFit="1" customWidth="1"/>
    <col min="6656" max="6656" width="32.83203125" style="79" bestFit="1" customWidth="1"/>
    <col min="6657" max="6657" width="15.6640625" style="79" customWidth="1"/>
    <col min="6658" max="6658" width="19.6640625" style="79" customWidth="1"/>
    <col min="6659" max="6659" width="44.33203125" style="79" bestFit="1" customWidth="1"/>
    <col min="6660" max="6660" width="19.1640625" style="79" bestFit="1" customWidth="1"/>
    <col min="6661" max="6661" width="32.83203125" style="79" bestFit="1" customWidth="1"/>
    <col min="6662" max="6662" width="15.6640625" style="79" customWidth="1"/>
    <col min="6663" max="6663" width="19.6640625" style="79" customWidth="1"/>
    <col min="6664" max="6664" width="44.33203125" style="79" bestFit="1" customWidth="1"/>
    <col min="6665" max="6665" width="19.1640625" style="79" bestFit="1" customWidth="1"/>
    <col min="6666" max="6666" width="32.83203125" style="79" bestFit="1" customWidth="1"/>
    <col min="6667" max="6667" width="15.6640625" style="79" customWidth="1"/>
    <col min="6668" max="6668" width="19.6640625" style="79" customWidth="1"/>
    <col min="6669" max="6669" width="44.33203125" style="79" bestFit="1" customWidth="1"/>
    <col min="6670" max="6670" width="19.1640625" style="79" bestFit="1" customWidth="1"/>
    <col min="6671" max="6671" width="32.83203125" style="79" bestFit="1" customWidth="1"/>
    <col min="6672" max="6907" width="9.33203125" style="79"/>
    <col min="6908" max="6908" width="15.6640625" style="79" customWidth="1"/>
    <col min="6909" max="6909" width="19.6640625" style="79" customWidth="1"/>
    <col min="6910" max="6910" width="44.33203125" style="79" bestFit="1" customWidth="1"/>
    <col min="6911" max="6911" width="19.33203125" style="79" bestFit="1" customWidth="1"/>
    <col min="6912" max="6912" width="32.83203125" style="79" bestFit="1" customWidth="1"/>
    <col min="6913" max="6913" width="15.6640625" style="79" customWidth="1"/>
    <col min="6914" max="6914" width="19.6640625" style="79" customWidth="1"/>
    <col min="6915" max="6915" width="44.33203125" style="79" bestFit="1" customWidth="1"/>
    <col min="6916" max="6916" width="19.1640625" style="79" bestFit="1" customWidth="1"/>
    <col min="6917" max="6917" width="32.83203125" style="79" bestFit="1" customWidth="1"/>
    <col min="6918" max="6918" width="15.6640625" style="79" customWidth="1"/>
    <col min="6919" max="6919" width="19.6640625" style="79" customWidth="1"/>
    <col min="6920" max="6920" width="44.33203125" style="79" bestFit="1" customWidth="1"/>
    <col min="6921" max="6921" width="19.1640625" style="79" bestFit="1" customWidth="1"/>
    <col min="6922" max="6922" width="32.83203125" style="79" bestFit="1" customWidth="1"/>
    <col min="6923" max="6923" width="15.6640625" style="79" customWidth="1"/>
    <col min="6924" max="6924" width="19.6640625" style="79" customWidth="1"/>
    <col min="6925" max="6925" width="44.33203125" style="79" bestFit="1" customWidth="1"/>
    <col min="6926" max="6926" width="19.1640625" style="79" bestFit="1" customWidth="1"/>
    <col min="6927" max="6927" width="32.83203125" style="79" bestFit="1" customWidth="1"/>
    <col min="6928" max="7163" width="9.33203125" style="79"/>
    <col min="7164" max="7164" width="15.6640625" style="79" customWidth="1"/>
    <col min="7165" max="7165" width="19.6640625" style="79" customWidth="1"/>
    <col min="7166" max="7166" width="44.33203125" style="79" bestFit="1" customWidth="1"/>
    <col min="7167" max="7167" width="19.33203125" style="79" bestFit="1" customWidth="1"/>
    <col min="7168" max="7168" width="32.83203125" style="79" bestFit="1" customWidth="1"/>
    <col min="7169" max="7169" width="15.6640625" style="79" customWidth="1"/>
    <col min="7170" max="7170" width="19.6640625" style="79" customWidth="1"/>
    <col min="7171" max="7171" width="44.33203125" style="79" bestFit="1" customWidth="1"/>
    <col min="7172" max="7172" width="19.1640625" style="79" bestFit="1" customWidth="1"/>
    <col min="7173" max="7173" width="32.83203125" style="79" bestFit="1" customWidth="1"/>
    <col min="7174" max="7174" width="15.6640625" style="79" customWidth="1"/>
    <col min="7175" max="7175" width="19.6640625" style="79" customWidth="1"/>
    <col min="7176" max="7176" width="44.33203125" style="79" bestFit="1" customWidth="1"/>
    <col min="7177" max="7177" width="19.1640625" style="79" bestFit="1" customWidth="1"/>
    <col min="7178" max="7178" width="32.83203125" style="79" bestFit="1" customWidth="1"/>
    <col min="7179" max="7179" width="15.6640625" style="79" customWidth="1"/>
    <col min="7180" max="7180" width="19.6640625" style="79" customWidth="1"/>
    <col min="7181" max="7181" width="44.33203125" style="79" bestFit="1" customWidth="1"/>
    <col min="7182" max="7182" width="19.1640625" style="79" bestFit="1" customWidth="1"/>
    <col min="7183" max="7183" width="32.83203125" style="79" bestFit="1" customWidth="1"/>
    <col min="7184" max="7419" width="9.33203125" style="79"/>
    <col min="7420" max="7420" width="15.6640625" style="79" customWidth="1"/>
    <col min="7421" max="7421" width="19.6640625" style="79" customWidth="1"/>
    <col min="7422" max="7422" width="44.33203125" style="79" bestFit="1" customWidth="1"/>
    <col min="7423" max="7423" width="19.33203125" style="79" bestFit="1" customWidth="1"/>
    <col min="7424" max="7424" width="32.83203125" style="79" bestFit="1" customWidth="1"/>
    <col min="7425" max="7425" width="15.6640625" style="79" customWidth="1"/>
    <col min="7426" max="7426" width="19.6640625" style="79" customWidth="1"/>
    <col min="7427" max="7427" width="44.33203125" style="79" bestFit="1" customWidth="1"/>
    <col min="7428" max="7428" width="19.1640625" style="79" bestFit="1" customWidth="1"/>
    <col min="7429" max="7429" width="32.83203125" style="79" bestFit="1" customWidth="1"/>
    <col min="7430" max="7430" width="15.6640625" style="79" customWidth="1"/>
    <col min="7431" max="7431" width="19.6640625" style="79" customWidth="1"/>
    <col min="7432" max="7432" width="44.33203125" style="79" bestFit="1" customWidth="1"/>
    <col min="7433" max="7433" width="19.1640625" style="79" bestFit="1" customWidth="1"/>
    <col min="7434" max="7434" width="32.83203125" style="79" bestFit="1" customWidth="1"/>
    <col min="7435" max="7435" width="15.6640625" style="79" customWidth="1"/>
    <col min="7436" max="7436" width="19.6640625" style="79" customWidth="1"/>
    <col min="7437" max="7437" width="44.33203125" style="79" bestFit="1" customWidth="1"/>
    <col min="7438" max="7438" width="19.1640625" style="79" bestFit="1" customWidth="1"/>
    <col min="7439" max="7439" width="32.83203125" style="79" bestFit="1" customWidth="1"/>
    <col min="7440" max="7675" width="9.33203125" style="79"/>
    <col min="7676" max="7676" width="15.6640625" style="79" customWidth="1"/>
    <col min="7677" max="7677" width="19.6640625" style="79" customWidth="1"/>
    <col min="7678" max="7678" width="44.33203125" style="79" bestFit="1" customWidth="1"/>
    <col min="7679" max="7679" width="19.33203125" style="79" bestFit="1" customWidth="1"/>
    <col min="7680" max="7680" width="32.83203125" style="79" bestFit="1" customWidth="1"/>
    <col min="7681" max="7681" width="15.6640625" style="79" customWidth="1"/>
    <col min="7682" max="7682" width="19.6640625" style="79" customWidth="1"/>
    <col min="7683" max="7683" width="44.33203125" style="79" bestFit="1" customWidth="1"/>
    <col min="7684" max="7684" width="19.1640625" style="79" bestFit="1" customWidth="1"/>
    <col min="7685" max="7685" width="32.83203125" style="79" bestFit="1" customWidth="1"/>
    <col min="7686" max="7686" width="15.6640625" style="79" customWidth="1"/>
    <col min="7687" max="7687" width="19.6640625" style="79" customWidth="1"/>
    <col min="7688" max="7688" width="44.33203125" style="79" bestFit="1" customWidth="1"/>
    <col min="7689" max="7689" width="19.1640625" style="79" bestFit="1" customWidth="1"/>
    <col min="7690" max="7690" width="32.83203125" style="79" bestFit="1" customWidth="1"/>
    <col min="7691" max="7691" width="15.6640625" style="79" customWidth="1"/>
    <col min="7692" max="7692" width="19.6640625" style="79" customWidth="1"/>
    <col min="7693" max="7693" width="44.33203125" style="79" bestFit="1" customWidth="1"/>
    <col min="7694" max="7694" width="19.1640625" style="79" bestFit="1" customWidth="1"/>
    <col min="7695" max="7695" width="32.83203125" style="79" bestFit="1" customWidth="1"/>
    <col min="7696" max="7931" width="9.33203125" style="79"/>
    <col min="7932" max="7932" width="15.6640625" style="79" customWidth="1"/>
    <col min="7933" max="7933" width="19.6640625" style="79" customWidth="1"/>
    <col min="7934" max="7934" width="44.33203125" style="79" bestFit="1" customWidth="1"/>
    <col min="7935" max="7935" width="19.33203125" style="79" bestFit="1" customWidth="1"/>
    <col min="7936" max="7936" width="32.83203125" style="79" bestFit="1" customWidth="1"/>
    <col min="7937" max="7937" width="15.6640625" style="79" customWidth="1"/>
    <col min="7938" max="7938" width="19.6640625" style="79" customWidth="1"/>
    <col min="7939" max="7939" width="44.33203125" style="79" bestFit="1" customWidth="1"/>
    <col min="7940" max="7940" width="19.1640625" style="79" bestFit="1" customWidth="1"/>
    <col min="7941" max="7941" width="32.83203125" style="79" bestFit="1" customWidth="1"/>
    <col min="7942" max="7942" width="15.6640625" style="79" customWidth="1"/>
    <col min="7943" max="7943" width="19.6640625" style="79" customWidth="1"/>
    <col min="7944" max="7944" width="44.33203125" style="79" bestFit="1" customWidth="1"/>
    <col min="7945" max="7945" width="19.1640625" style="79" bestFit="1" customWidth="1"/>
    <col min="7946" max="7946" width="32.83203125" style="79" bestFit="1" customWidth="1"/>
    <col min="7947" max="7947" width="15.6640625" style="79" customWidth="1"/>
    <col min="7948" max="7948" width="19.6640625" style="79" customWidth="1"/>
    <col min="7949" max="7949" width="44.33203125" style="79" bestFit="1" customWidth="1"/>
    <col min="7950" max="7950" width="19.1640625" style="79" bestFit="1" customWidth="1"/>
    <col min="7951" max="7951" width="32.83203125" style="79" bestFit="1" customWidth="1"/>
    <col min="7952" max="8187" width="9.33203125" style="79"/>
    <col min="8188" max="8188" width="15.6640625" style="79" customWidth="1"/>
    <col min="8189" max="8189" width="19.6640625" style="79" customWidth="1"/>
    <col min="8190" max="8190" width="44.33203125" style="79" bestFit="1" customWidth="1"/>
    <col min="8191" max="8191" width="19.33203125" style="79" bestFit="1" customWidth="1"/>
    <col min="8192" max="8192" width="32.83203125" style="79" bestFit="1" customWidth="1"/>
    <col min="8193" max="8193" width="15.6640625" style="79" customWidth="1"/>
    <col min="8194" max="8194" width="19.6640625" style="79" customWidth="1"/>
    <col min="8195" max="8195" width="44.33203125" style="79" bestFit="1" customWidth="1"/>
    <col min="8196" max="8196" width="19.1640625" style="79" bestFit="1" customWidth="1"/>
    <col min="8197" max="8197" width="32.83203125" style="79" bestFit="1" customWidth="1"/>
    <col min="8198" max="8198" width="15.6640625" style="79" customWidth="1"/>
    <col min="8199" max="8199" width="19.6640625" style="79" customWidth="1"/>
    <col min="8200" max="8200" width="44.33203125" style="79" bestFit="1" customWidth="1"/>
    <col min="8201" max="8201" width="19.1640625" style="79" bestFit="1" customWidth="1"/>
    <col min="8202" max="8202" width="32.83203125" style="79" bestFit="1" customWidth="1"/>
    <col min="8203" max="8203" width="15.6640625" style="79" customWidth="1"/>
    <col min="8204" max="8204" width="19.6640625" style="79" customWidth="1"/>
    <col min="8205" max="8205" width="44.33203125" style="79" bestFit="1" customWidth="1"/>
    <col min="8206" max="8206" width="19.1640625" style="79" bestFit="1" customWidth="1"/>
    <col min="8207" max="8207" width="32.83203125" style="79" bestFit="1" customWidth="1"/>
    <col min="8208" max="8443" width="9.33203125" style="79"/>
    <col min="8444" max="8444" width="15.6640625" style="79" customWidth="1"/>
    <col min="8445" max="8445" width="19.6640625" style="79" customWidth="1"/>
    <col min="8446" max="8446" width="44.33203125" style="79" bestFit="1" customWidth="1"/>
    <col min="8447" max="8447" width="19.33203125" style="79" bestFit="1" customWidth="1"/>
    <col min="8448" max="8448" width="32.83203125" style="79" bestFit="1" customWidth="1"/>
    <col min="8449" max="8449" width="15.6640625" style="79" customWidth="1"/>
    <col min="8450" max="8450" width="19.6640625" style="79" customWidth="1"/>
    <col min="8451" max="8451" width="44.33203125" style="79" bestFit="1" customWidth="1"/>
    <col min="8452" max="8452" width="19.1640625" style="79" bestFit="1" customWidth="1"/>
    <col min="8453" max="8453" width="32.83203125" style="79" bestFit="1" customWidth="1"/>
    <col min="8454" max="8454" width="15.6640625" style="79" customWidth="1"/>
    <col min="8455" max="8455" width="19.6640625" style="79" customWidth="1"/>
    <col min="8456" max="8456" width="44.33203125" style="79" bestFit="1" customWidth="1"/>
    <col min="8457" max="8457" width="19.1640625" style="79" bestFit="1" customWidth="1"/>
    <col min="8458" max="8458" width="32.83203125" style="79" bestFit="1" customWidth="1"/>
    <col min="8459" max="8459" width="15.6640625" style="79" customWidth="1"/>
    <col min="8460" max="8460" width="19.6640625" style="79" customWidth="1"/>
    <col min="8461" max="8461" width="44.33203125" style="79" bestFit="1" customWidth="1"/>
    <col min="8462" max="8462" width="19.1640625" style="79" bestFit="1" customWidth="1"/>
    <col min="8463" max="8463" width="32.83203125" style="79" bestFit="1" customWidth="1"/>
    <col min="8464" max="8699" width="9.33203125" style="79"/>
    <col min="8700" max="8700" width="15.6640625" style="79" customWidth="1"/>
    <col min="8701" max="8701" width="19.6640625" style="79" customWidth="1"/>
    <col min="8702" max="8702" width="44.33203125" style="79" bestFit="1" customWidth="1"/>
    <col min="8703" max="8703" width="19.33203125" style="79" bestFit="1" customWidth="1"/>
    <col min="8704" max="8704" width="32.83203125" style="79" bestFit="1" customWidth="1"/>
    <col min="8705" max="8705" width="15.6640625" style="79" customWidth="1"/>
    <col min="8706" max="8706" width="19.6640625" style="79" customWidth="1"/>
    <col min="8707" max="8707" width="44.33203125" style="79" bestFit="1" customWidth="1"/>
    <col min="8708" max="8708" width="19.1640625" style="79" bestFit="1" customWidth="1"/>
    <col min="8709" max="8709" width="32.83203125" style="79" bestFit="1" customWidth="1"/>
    <col min="8710" max="8710" width="15.6640625" style="79" customWidth="1"/>
    <col min="8711" max="8711" width="19.6640625" style="79" customWidth="1"/>
    <col min="8712" max="8712" width="44.33203125" style="79" bestFit="1" customWidth="1"/>
    <col min="8713" max="8713" width="19.1640625" style="79" bestFit="1" customWidth="1"/>
    <col min="8714" max="8714" width="32.83203125" style="79" bestFit="1" customWidth="1"/>
    <col min="8715" max="8715" width="15.6640625" style="79" customWidth="1"/>
    <col min="8716" max="8716" width="19.6640625" style="79" customWidth="1"/>
    <col min="8717" max="8717" width="44.33203125" style="79" bestFit="1" customWidth="1"/>
    <col min="8718" max="8718" width="19.1640625" style="79" bestFit="1" customWidth="1"/>
    <col min="8719" max="8719" width="32.83203125" style="79" bestFit="1" customWidth="1"/>
    <col min="8720" max="8955" width="9.33203125" style="79"/>
    <col min="8956" max="8956" width="15.6640625" style="79" customWidth="1"/>
    <col min="8957" max="8957" width="19.6640625" style="79" customWidth="1"/>
    <col min="8958" max="8958" width="44.33203125" style="79" bestFit="1" customWidth="1"/>
    <col min="8959" max="8959" width="19.33203125" style="79" bestFit="1" customWidth="1"/>
    <col min="8960" max="8960" width="32.83203125" style="79" bestFit="1" customWidth="1"/>
    <col min="8961" max="8961" width="15.6640625" style="79" customWidth="1"/>
    <col min="8962" max="8962" width="19.6640625" style="79" customWidth="1"/>
    <col min="8963" max="8963" width="44.33203125" style="79" bestFit="1" customWidth="1"/>
    <col min="8964" max="8964" width="19.1640625" style="79" bestFit="1" customWidth="1"/>
    <col min="8965" max="8965" width="32.83203125" style="79" bestFit="1" customWidth="1"/>
    <col min="8966" max="8966" width="15.6640625" style="79" customWidth="1"/>
    <col min="8967" max="8967" width="19.6640625" style="79" customWidth="1"/>
    <col min="8968" max="8968" width="44.33203125" style="79" bestFit="1" customWidth="1"/>
    <col min="8969" max="8969" width="19.1640625" style="79" bestFit="1" customWidth="1"/>
    <col min="8970" max="8970" width="32.83203125" style="79" bestFit="1" customWidth="1"/>
    <col min="8971" max="8971" width="15.6640625" style="79" customWidth="1"/>
    <col min="8972" max="8972" width="19.6640625" style="79" customWidth="1"/>
    <col min="8973" max="8973" width="44.33203125" style="79" bestFit="1" customWidth="1"/>
    <col min="8974" max="8974" width="19.1640625" style="79" bestFit="1" customWidth="1"/>
    <col min="8975" max="8975" width="32.83203125" style="79" bestFit="1" customWidth="1"/>
    <col min="8976" max="9211" width="9.33203125" style="79"/>
    <col min="9212" max="9212" width="15.6640625" style="79" customWidth="1"/>
    <col min="9213" max="9213" width="19.6640625" style="79" customWidth="1"/>
    <col min="9214" max="9214" width="44.33203125" style="79" bestFit="1" customWidth="1"/>
    <col min="9215" max="9215" width="19.33203125" style="79" bestFit="1" customWidth="1"/>
    <col min="9216" max="9216" width="32.83203125" style="79" bestFit="1" customWidth="1"/>
    <col min="9217" max="9217" width="15.6640625" style="79" customWidth="1"/>
    <col min="9218" max="9218" width="19.6640625" style="79" customWidth="1"/>
    <col min="9219" max="9219" width="44.33203125" style="79" bestFit="1" customWidth="1"/>
    <col min="9220" max="9220" width="19.1640625" style="79" bestFit="1" customWidth="1"/>
    <col min="9221" max="9221" width="32.83203125" style="79" bestFit="1" customWidth="1"/>
    <col min="9222" max="9222" width="15.6640625" style="79" customWidth="1"/>
    <col min="9223" max="9223" width="19.6640625" style="79" customWidth="1"/>
    <col min="9224" max="9224" width="44.33203125" style="79" bestFit="1" customWidth="1"/>
    <col min="9225" max="9225" width="19.1640625" style="79" bestFit="1" customWidth="1"/>
    <col min="9226" max="9226" width="32.83203125" style="79" bestFit="1" customWidth="1"/>
    <col min="9227" max="9227" width="15.6640625" style="79" customWidth="1"/>
    <col min="9228" max="9228" width="19.6640625" style="79" customWidth="1"/>
    <col min="9229" max="9229" width="44.33203125" style="79" bestFit="1" customWidth="1"/>
    <col min="9230" max="9230" width="19.1640625" style="79" bestFit="1" customWidth="1"/>
    <col min="9231" max="9231" width="32.83203125" style="79" bestFit="1" customWidth="1"/>
    <col min="9232" max="9467" width="9.33203125" style="79"/>
    <col min="9468" max="9468" width="15.6640625" style="79" customWidth="1"/>
    <col min="9469" max="9469" width="19.6640625" style="79" customWidth="1"/>
    <col min="9470" max="9470" width="44.33203125" style="79" bestFit="1" customWidth="1"/>
    <col min="9471" max="9471" width="19.33203125" style="79" bestFit="1" customWidth="1"/>
    <col min="9472" max="9472" width="32.83203125" style="79" bestFit="1" customWidth="1"/>
    <col min="9473" max="9473" width="15.6640625" style="79" customWidth="1"/>
    <col min="9474" max="9474" width="19.6640625" style="79" customWidth="1"/>
    <col min="9475" max="9475" width="44.33203125" style="79" bestFit="1" customWidth="1"/>
    <col min="9476" max="9476" width="19.1640625" style="79" bestFit="1" customWidth="1"/>
    <col min="9477" max="9477" width="32.83203125" style="79" bestFit="1" customWidth="1"/>
    <col min="9478" max="9478" width="15.6640625" style="79" customWidth="1"/>
    <col min="9479" max="9479" width="19.6640625" style="79" customWidth="1"/>
    <col min="9480" max="9480" width="44.33203125" style="79" bestFit="1" customWidth="1"/>
    <col min="9481" max="9481" width="19.1640625" style="79" bestFit="1" customWidth="1"/>
    <col min="9482" max="9482" width="32.83203125" style="79" bestFit="1" customWidth="1"/>
    <col min="9483" max="9483" width="15.6640625" style="79" customWidth="1"/>
    <col min="9484" max="9484" width="19.6640625" style="79" customWidth="1"/>
    <col min="9485" max="9485" width="44.33203125" style="79" bestFit="1" customWidth="1"/>
    <col min="9486" max="9486" width="19.1640625" style="79" bestFit="1" customWidth="1"/>
    <col min="9487" max="9487" width="32.83203125" style="79" bestFit="1" customWidth="1"/>
    <col min="9488" max="9723" width="9.33203125" style="79"/>
    <col min="9724" max="9724" width="15.6640625" style="79" customWidth="1"/>
    <col min="9725" max="9725" width="19.6640625" style="79" customWidth="1"/>
    <col min="9726" max="9726" width="44.33203125" style="79" bestFit="1" customWidth="1"/>
    <col min="9727" max="9727" width="19.33203125" style="79" bestFit="1" customWidth="1"/>
    <col min="9728" max="9728" width="32.83203125" style="79" bestFit="1" customWidth="1"/>
    <col min="9729" max="9729" width="15.6640625" style="79" customWidth="1"/>
    <col min="9730" max="9730" width="19.6640625" style="79" customWidth="1"/>
    <col min="9731" max="9731" width="44.33203125" style="79" bestFit="1" customWidth="1"/>
    <col min="9732" max="9732" width="19.1640625" style="79" bestFit="1" customWidth="1"/>
    <col min="9733" max="9733" width="32.83203125" style="79" bestFit="1" customWidth="1"/>
    <col min="9734" max="9734" width="15.6640625" style="79" customWidth="1"/>
    <col min="9735" max="9735" width="19.6640625" style="79" customWidth="1"/>
    <col min="9736" max="9736" width="44.33203125" style="79" bestFit="1" customWidth="1"/>
    <col min="9737" max="9737" width="19.1640625" style="79" bestFit="1" customWidth="1"/>
    <col min="9738" max="9738" width="32.83203125" style="79" bestFit="1" customWidth="1"/>
    <col min="9739" max="9739" width="15.6640625" style="79" customWidth="1"/>
    <col min="9740" max="9740" width="19.6640625" style="79" customWidth="1"/>
    <col min="9741" max="9741" width="44.33203125" style="79" bestFit="1" customWidth="1"/>
    <col min="9742" max="9742" width="19.1640625" style="79" bestFit="1" customWidth="1"/>
    <col min="9743" max="9743" width="32.83203125" style="79" bestFit="1" customWidth="1"/>
    <col min="9744" max="9979" width="9.33203125" style="79"/>
    <col min="9980" max="9980" width="15.6640625" style="79" customWidth="1"/>
    <col min="9981" max="9981" width="19.6640625" style="79" customWidth="1"/>
    <col min="9982" max="9982" width="44.33203125" style="79" bestFit="1" customWidth="1"/>
    <col min="9983" max="9983" width="19.33203125" style="79" bestFit="1" customWidth="1"/>
    <col min="9984" max="9984" width="32.83203125" style="79" bestFit="1" customWidth="1"/>
    <col min="9985" max="9985" width="15.6640625" style="79" customWidth="1"/>
    <col min="9986" max="9986" width="19.6640625" style="79" customWidth="1"/>
    <col min="9987" max="9987" width="44.33203125" style="79" bestFit="1" customWidth="1"/>
    <col min="9988" max="9988" width="19.1640625" style="79" bestFit="1" customWidth="1"/>
    <col min="9989" max="9989" width="32.83203125" style="79" bestFit="1" customWidth="1"/>
    <col min="9990" max="9990" width="15.6640625" style="79" customWidth="1"/>
    <col min="9991" max="9991" width="19.6640625" style="79" customWidth="1"/>
    <col min="9992" max="9992" width="44.33203125" style="79" bestFit="1" customWidth="1"/>
    <col min="9993" max="9993" width="19.1640625" style="79" bestFit="1" customWidth="1"/>
    <col min="9994" max="9994" width="32.83203125" style="79" bestFit="1" customWidth="1"/>
    <col min="9995" max="9995" width="15.6640625" style="79" customWidth="1"/>
    <col min="9996" max="9996" width="19.6640625" style="79" customWidth="1"/>
    <col min="9997" max="9997" width="44.33203125" style="79" bestFit="1" customWidth="1"/>
    <col min="9998" max="9998" width="19.1640625" style="79" bestFit="1" customWidth="1"/>
    <col min="9999" max="9999" width="32.83203125" style="79" bestFit="1" customWidth="1"/>
    <col min="10000" max="10235" width="9.33203125" style="79"/>
    <col min="10236" max="10236" width="15.6640625" style="79" customWidth="1"/>
    <col min="10237" max="10237" width="19.6640625" style="79" customWidth="1"/>
    <col min="10238" max="10238" width="44.33203125" style="79" bestFit="1" customWidth="1"/>
    <col min="10239" max="10239" width="19.33203125" style="79" bestFit="1" customWidth="1"/>
    <col min="10240" max="10240" width="32.83203125" style="79" bestFit="1" customWidth="1"/>
    <col min="10241" max="10241" width="15.6640625" style="79" customWidth="1"/>
    <col min="10242" max="10242" width="19.6640625" style="79" customWidth="1"/>
    <col min="10243" max="10243" width="44.33203125" style="79" bestFit="1" customWidth="1"/>
    <col min="10244" max="10244" width="19.1640625" style="79" bestFit="1" customWidth="1"/>
    <col min="10245" max="10245" width="32.83203125" style="79" bestFit="1" customWidth="1"/>
    <col min="10246" max="10246" width="15.6640625" style="79" customWidth="1"/>
    <col min="10247" max="10247" width="19.6640625" style="79" customWidth="1"/>
    <col min="10248" max="10248" width="44.33203125" style="79" bestFit="1" customWidth="1"/>
    <col min="10249" max="10249" width="19.1640625" style="79" bestFit="1" customWidth="1"/>
    <col min="10250" max="10250" width="32.83203125" style="79" bestFit="1" customWidth="1"/>
    <col min="10251" max="10251" width="15.6640625" style="79" customWidth="1"/>
    <col min="10252" max="10252" width="19.6640625" style="79" customWidth="1"/>
    <col min="10253" max="10253" width="44.33203125" style="79" bestFit="1" customWidth="1"/>
    <col min="10254" max="10254" width="19.1640625" style="79" bestFit="1" customWidth="1"/>
    <col min="10255" max="10255" width="32.83203125" style="79" bestFit="1" customWidth="1"/>
    <col min="10256" max="10491" width="9.33203125" style="79"/>
    <col min="10492" max="10492" width="15.6640625" style="79" customWidth="1"/>
    <col min="10493" max="10493" width="19.6640625" style="79" customWidth="1"/>
    <col min="10494" max="10494" width="44.33203125" style="79" bestFit="1" customWidth="1"/>
    <col min="10495" max="10495" width="19.33203125" style="79" bestFit="1" customWidth="1"/>
    <col min="10496" max="10496" width="32.83203125" style="79" bestFit="1" customWidth="1"/>
    <col min="10497" max="10497" width="15.6640625" style="79" customWidth="1"/>
    <col min="10498" max="10498" width="19.6640625" style="79" customWidth="1"/>
    <col min="10499" max="10499" width="44.33203125" style="79" bestFit="1" customWidth="1"/>
    <col min="10500" max="10500" width="19.1640625" style="79" bestFit="1" customWidth="1"/>
    <col min="10501" max="10501" width="32.83203125" style="79" bestFit="1" customWidth="1"/>
    <col min="10502" max="10502" width="15.6640625" style="79" customWidth="1"/>
    <col min="10503" max="10503" width="19.6640625" style="79" customWidth="1"/>
    <col min="10504" max="10504" width="44.33203125" style="79" bestFit="1" customWidth="1"/>
    <col min="10505" max="10505" width="19.1640625" style="79" bestFit="1" customWidth="1"/>
    <col min="10506" max="10506" width="32.83203125" style="79" bestFit="1" customWidth="1"/>
    <col min="10507" max="10507" width="15.6640625" style="79" customWidth="1"/>
    <col min="10508" max="10508" width="19.6640625" style="79" customWidth="1"/>
    <col min="10509" max="10509" width="44.33203125" style="79" bestFit="1" customWidth="1"/>
    <col min="10510" max="10510" width="19.1640625" style="79" bestFit="1" customWidth="1"/>
    <col min="10511" max="10511" width="32.83203125" style="79" bestFit="1" customWidth="1"/>
    <col min="10512" max="10747" width="9.33203125" style="79"/>
    <col min="10748" max="10748" width="15.6640625" style="79" customWidth="1"/>
    <col min="10749" max="10749" width="19.6640625" style="79" customWidth="1"/>
    <col min="10750" max="10750" width="44.33203125" style="79" bestFit="1" customWidth="1"/>
    <col min="10751" max="10751" width="19.33203125" style="79" bestFit="1" customWidth="1"/>
    <col min="10752" max="10752" width="32.83203125" style="79" bestFit="1" customWidth="1"/>
    <col min="10753" max="10753" width="15.6640625" style="79" customWidth="1"/>
    <col min="10754" max="10754" width="19.6640625" style="79" customWidth="1"/>
    <col min="10755" max="10755" width="44.33203125" style="79" bestFit="1" customWidth="1"/>
    <col min="10756" max="10756" width="19.1640625" style="79" bestFit="1" customWidth="1"/>
    <col min="10757" max="10757" width="32.83203125" style="79" bestFit="1" customWidth="1"/>
    <col min="10758" max="10758" width="15.6640625" style="79" customWidth="1"/>
    <col min="10759" max="10759" width="19.6640625" style="79" customWidth="1"/>
    <col min="10760" max="10760" width="44.33203125" style="79" bestFit="1" customWidth="1"/>
    <col min="10761" max="10761" width="19.1640625" style="79" bestFit="1" customWidth="1"/>
    <col min="10762" max="10762" width="32.83203125" style="79" bestFit="1" customWidth="1"/>
    <col min="10763" max="10763" width="15.6640625" style="79" customWidth="1"/>
    <col min="10764" max="10764" width="19.6640625" style="79" customWidth="1"/>
    <col min="10765" max="10765" width="44.33203125" style="79" bestFit="1" customWidth="1"/>
    <col min="10766" max="10766" width="19.1640625" style="79" bestFit="1" customWidth="1"/>
    <col min="10767" max="10767" width="32.83203125" style="79" bestFit="1" customWidth="1"/>
    <col min="10768" max="11003" width="9.33203125" style="79"/>
    <col min="11004" max="11004" width="15.6640625" style="79" customWidth="1"/>
    <col min="11005" max="11005" width="19.6640625" style="79" customWidth="1"/>
    <col min="11006" max="11006" width="44.33203125" style="79" bestFit="1" customWidth="1"/>
    <col min="11007" max="11007" width="19.33203125" style="79" bestFit="1" customWidth="1"/>
    <col min="11008" max="11008" width="32.83203125" style="79" bestFit="1" customWidth="1"/>
    <col min="11009" max="11009" width="15.6640625" style="79" customWidth="1"/>
    <col min="11010" max="11010" width="19.6640625" style="79" customWidth="1"/>
    <col min="11011" max="11011" width="44.33203125" style="79" bestFit="1" customWidth="1"/>
    <col min="11012" max="11012" width="19.1640625" style="79" bestFit="1" customWidth="1"/>
    <col min="11013" max="11013" width="32.83203125" style="79" bestFit="1" customWidth="1"/>
    <col min="11014" max="11014" width="15.6640625" style="79" customWidth="1"/>
    <col min="11015" max="11015" width="19.6640625" style="79" customWidth="1"/>
    <col min="11016" max="11016" width="44.33203125" style="79" bestFit="1" customWidth="1"/>
    <col min="11017" max="11017" width="19.1640625" style="79" bestFit="1" customWidth="1"/>
    <col min="11018" max="11018" width="32.83203125" style="79" bestFit="1" customWidth="1"/>
    <col min="11019" max="11019" width="15.6640625" style="79" customWidth="1"/>
    <col min="11020" max="11020" width="19.6640625" style="79" customWidth="1"/>
    <col min="11021" max="11021" width="44.33203125" style="79" bestFit="1" customWidth="1"/>
    <col min="11022" max="11022" width="19.1640625" style="79" bestFit="1" customWidth="1"/>
    <col min="11023" max="11023" width="32.83203125" style="79" bestFit="1" customWidth="1"/>
    <col min="11024" max="11259" width="9.33203125" style="79"/>
    <col min="11260" max="11260" width="15.6640625" style="79" customWidth="1"/>
    <col min="11261" max="11261" width="19.6640625" style="79" customWidth="1"/>
    <col min="11262" max="11262" width="44.33203125" style="79" bestFit="1" customWidth="1"/>
    <col min="11263" max="11263" width="19.33203125" style="79" bestFit="1" customWidth="1"/>
    <col min="11264" max="11264" width="32.83203125" style="79" bestFit="1" customWidth="1"/>
    <col min="11265" max="11265" width="15.6640625" style="79" customWidth="1"/>
    <col min="11266" max="11266" width="19.6640625" style="79" customWidth="1"/>
    <col min="11267" max="11267" width="44.33203125" style="79" bestFit="1" customWidth="1"/>
    <col min="11268" max="11268" width="19.1640625" style="79" bestFit="1" customWidth="1"/>
    <col min="11269" max="11269" width="32.83203125" style="79" bestFit="1" customWidth="1"/>
    <col min="11270" max="11270" width="15.6640625" style="79" customWidth="1"/>
    <col min="11271" max="11271" width="19.6640625" style="79" customWidth="1"/>
    <col min="11272" max="11272" width="44.33203125" style="79" bestFit="1" customWidth="1"/>
    <col min="11273" max="11273" width="19.1640625" style="79" bestFit="1" customWidth="1"/>
    <col min="11274" max="11274" width="32.83203125" style="79" bestFit="1" customWidth="1"/>
    <col min="11275" max="11275" width="15.6640625" style="79" customWidth="1"/>
    <col min="11276" max="11276" width="19.6640625" style="79" customWidth="1"/>
    <col min="11277" max="11277" width="44.33203125" style="79" bestFit="1" customWidth="1"/>
    <col min="11278" max="11278" width="19.1640625" style="79" bestFit="1" customWidth="1"/>
    <col min="11279" max="11279" width="32.83203125" style="79" bestFit="1" customWidth="1"/>
    <col min="11280" max="11515" width="9.33203125" style="79"/>
    <col min="11516" max="11516" width="15.6640625" style="79" customWidth="1"/>
    <col min="11517" max="11517" width="19.6640625" style="79" customWidth="1"/>
    <col min="11518" max="11518" width="44.33203125" style="79" bestFit="1" customWidth="1"/>
    <col min="11519" max="11519" width="19.33203125" style="79" bestFit="1" customWidth="1"/>
    <col min="11520" max="11520" width="32.83203125" style="79" bestFit="1" customWidth="1"/>
    <col min="11521" max="11521" width="15.6640625" style="79" customWidth="1"/>
    <col min="11522" max="11522" width="19.6640625" style="79" customWidth="1"/>
    <col min="11523" max="11523" width="44.33203125" style="79" bestFit="1" customWidth="1"/>
    <col min="11524" max="11524" width="19.1640625" style="79" bestFit="1" customWidth="1"/>
    <col min="11525" max="11525" width="32.83203125" style="79" bestFit="1" customWidth="1"/>
    <col min="11526" max="11526" width="15.6640625" style="79" customWidth="1"/>
    <col min="11527" max="11527" width="19.6640625" style="79" customWidth="1"/>
    <col min="11528" max="11528" width="44.33203125" style="79" bestFit="1" customWidth="1"/>
    <col min="11529" max="11529" width="19.1640625" style="79" bestFit="1" customWidth="1"/>
    <col min="11530" max="11530" width="32.83203125" style="79" bestFit="1" customWidth="1"/>
    <col min="11531" max="11531" width="15.6640625" style="79" customWidth="1"/>
    <col min="11532" max="11532" width="19.6640625" style="79" customWidth="1"/>
    <col min="11533" max="11533" width="44.33203125" style="79" bestFit="1" customWidth="1"/>
    <col min="11534" max="11534" width="19.1640625" style="79" bestFit="1" customWidth="1"/>
    <col min="11535" max="11535" width="32.83203125" style="79" bestFit="1" customWidth="1"/>
    <col min="11536" max="11771" width="9.33203125" style="79"/>
    <col min="11772" max="11772" width="15.6640625" style="79" customWidth="1"/>
    <col min="11773" max="11773" width="19.6640625" style="79" customWidth="1"/>
    <col min="11774" max="11774" width="44.33203125" style="79" bestFit="1" customWidth="1"/>
    <col min="11775" max="11775" width="19.33203125" style="79" bestFit="1" customWidth="1"/>
    <col min="11776" max="11776" width="32.83203125" style="79" bestFit="1" customWidth="1"/>
    <col min="11777" max="11777" width="15.6640625" style="79" customWidth="1"/>
    <col min="11778" max="11778" width="19.6640625" style="79" customWidth="1"/>
    <col min="11779" max="11779" width="44.33203125" style="79" bestFit="1" customWidth="1"/>
    <col min="11780" max="11780" width="19.1640625" style="79" bestFit="1" customWidth="1"/>
    <col min="11781" max="11781" width="32.83203125" style="79" bestFit="1" customWidth="1"/>
    <col min="11782" max="11782" width="15.6640625" style="79" customWidth="1"/>
    <col min="11783" max="11783" width="19.6640625" style="79" customWidth="1"/>
    <col min="11784" max="11784" width="44.33203125" style="79" bestFit="1" customWidth="1"/>
    <col min="11785" max="11785" width="19.1640625" style="79" bestFit="1" customWidth="1"/>
    <col min="11786" max="11786" width="32.83203125" style="79" bestFit="1" customWidth="1"/>
    <col min="11787" max="11787" width="15.6640625" style="79" customWidth="1"/>
    <col min="11788" max="11788" width="19.6640625" style="79" customWidth="1"/>
    <col min="11789" max="11789" width="44.33203125" style="79" bestFit="1" customWidth="1"/>
    <col min="11790" max="11790" width="19.1640625" style="79" bestFit="1" customWidth="1"/>
    <col min="11791" max="11791" width="32.83203125" style="79" bestFit="1" customWidth="1"/>
    <col min="11792" max="12027" width="9.33203125" style="79"/>
    <col min="12028" max="12028" width="15.6640625" style="79" customWidth="1"/>
    <col min="12029" max="12029" width="19.6640625" style="79" customWidth="1"/>
    <col min="12030" max="12030" width="44.33203125" style="79" bestFit="1" customWidth="1"/>
    <col min="12031" max="12031" width="19.33203125" style="79" bestFit="1" customWidth="1"/>
    <col min="12032" max="12032" width="32.83203125" style="79" bestFit="1" customWidth="1"/>
    <col min="12033" max="12033" width="15.6640625" style="79" customWidth="1"/>
    <col min="12034" max="12034" width="19.6640625" style="79" customWidth="1"/>
    <col min="12035" max="12035" width="44.33203125" style="79" bestFit="1" customWidth="1"/>
    <col min="12036" max="12036" width="19.1640625" style="79" bestFit="1" customWidth="1"/>
    <col min="12037" max="12037" width="32.83203125" style="79" bestFit="1" customWidth="1"/>
    <col min="12038" max="12038" width="15.6640625" style="79" customWidth="1"/>
    <col min="12039" max="12039" width="19.6640625" style="79" customWidth="1"/>
    <col min="12040" max="12040" width="44.33203125" style="79" bestFit="1" customWidth="1"/>
    <col min="12041" max="12041" width="19.1640625" style="79" bestFit="1" customWidth="1"/>
    <col min="12042" max="12042" width="32.83203125" style="79" bestFit="1" customWidth="1"/>
    <col min="12043" max="12043" width="15.6640625" style="79" customWidth="1"/>
    <col min="12044" max="12044" width="19.6640625" style="79" customWidth="1"/>
    <col min="12045" max="12045" width="44.33203125" style="79" bestFit="1" customWidth="1"/>
    <col min="12046" max="12046" width="19.1640625" style="79" bestFit="1" customWidth="1"/>
    <col min="12047" max="12047" width="32.83203125" style="79" bestFit="1" customWidth="1"/>
    <col min="12048" max="12283" width="9.33203125" style="79"/>
    <col min="12284" max="12284" width="15.6640625" style="79" customWidth="1"/>
    <col min="12285" max="12285" width="19.6640625" style="79" customWidth="1"/>
    <col min="12286" max="12286" width="44.33203125" style="79" bestFit="1" customWidth="1"/>
    <col min="12287" max="12287" width="19.33203125" style="79" bestFit="1" customWidth="1"/>
    <col min="12288" max="12288" width="32.83203125" style="79" bestFit="1" customWidth="1"/>
    <col min="12289" max="12289" width="15.6640625" style="79" customWidth="1"/>
    <col min="12290" max="12290" width="19.6640625" style="79" customWidth="1"/>
    <col min="12291" max="12291" width="44.33203125" style="79" bestFit="1" customWidth="1"/>
    <col min="12292" max="12292" width="19.1640625" style="79" bestFit="1" customWidth="1"/>
    <col min="12293" max="12293" width="32.83203125" style="79" bestFit="1" customWidth="1"/>
    <col min="12294" max="12294" width="15.6640625" style="79" customWidth="1"/>
    <col min="12295" max="12295" width="19.6640625" style="79" customWidth="1"/>
    <col min="12296" max="12296" width="44.33203125" style="79" bestFit="1" customWidth="1"/>
    <col min="12297" max="12297" width="19.1640625" style="79" bestFit="1" customWidth="1"/>
    <col min="12298" max="12298" width="32.83203125" style="79" bestFit="1" customWidth="1"/>
    <col min="12299" max="12299" width="15.6640625" style="79" customWidth="1"/>
    <col min="12300" max="12300" width="19.6640625" style="79" customWidth="1"/>
    <col min="12301" max="12301" width="44.33203125" style="79" bestFit="1" customWidth="1"/>
    <col min="12302" max="12302" width="19.1640625" style="79" bestFit="1" customWidth="1"/>
    <col min="12303" max="12303" width="32.83203125" style="79" bestFit="1" customWidth="1"/>
    <col min="12304" max="12539" width="9.33203125" style="79"/>
    <col min="12540" max="12540" width="15.6640625" style="79" customWidth="1"/>
    <col min="12541" max="12541" width="19.6640625" style="79" customWidth="1"/>
    <col min="12542" max="12542" width="44.33203125" style="79" bestFit="1" customWidth="1"/>
    <col min="12543" max="12543" width="19.33203125" style="79" bestFit="1" customWidth="1"/>
    <col min="12544" max="12544" width="32.83203125" style="79" bestFit="1" customWidth="1"/>
    <col min="12545" max="12545" width="15.6640625" style="79" customWidth="1"/>
    <col min="12546" max="12546" width="19.6640625" style="79" customWidth="1"/>
    <col min="12547" max="12547" width="44.33203125" style="79" bestFit="1" customWidth="1"/>
    <col min="12548" max="12548" width="19.1640625" style="79" bestFit="1" customWidth="1"/>
    <col min="12549" max="12549" width="32.83203125" style="79" bestFit="1" customWidth="1"/>
    <col min="12550" max="12550" width="15.6640625" style="79" customWidth="1"/>
    <col min="12551" max="12551" width="19.6640625" style="79" customWidth="1"/>
    <col min="12552" max="12552" width="44.33203125" style="79" bestFit="1" customWidth="1"/>
    <col min="12553" max="12553" width="19.1640625" style="79" bestFit="1" customWidth="1"/>
    <col min="12554" max="12554" width="32.83203125" style="79" bestFit="1" customWidth="1"/>
    <col min="12555" max="12555" width="15.6640625" style="79" customWidth="1"/>
    <col min="12556" max="12556" width="19.6640625" style="79" customWidth="1"/>
    <col min="12557" max="12557" width="44.33203125" style="79" bestFit="1" customWidth="1"/>
    <col min="12558" max="12558" width="19.1640625" style="79" bestFit="1" customWidth="1"/>
    <col min="12559" max="12559" width="32.83203125" style="79" bestFit="1" customWidth="1"/>
    <col min="12560" max="12795" width="9.33203125" style="79"/>
    <col min="12796" max="12796" width="15.6640625" style="79" customWidth="1"/>
    <col min="12797" max="12797" width="19.6640625" style="79" customWidth="1"/>
    <col min="12798" max="12798" width="44.33203125" style="79" bestFit="1" customWidth="1"/>
    <col min="12799" max="12799" width="19.33203125" style="79" bestFit="1" customWidth="1"/>
    <col min="12800" max="12800" width="32.83203125" style="79" bestFit="1" customWidth="1"/>
    <col min="12801" max="12801" width="15.6640625" style="79" customWidth="1"/>
    <col min="12802" max="12802" width="19.6640625" style="79" customWidth="1"/>
    <col min="12803" max="12803" width="44.33203125" style="79" bestFit="1" customWidth="1"/>
    <col min="12804" max="12804" width="19.1640625" style="79" bestFit="1" customWidth="1"/>
    <col min="12805" max="12805" width="32.83203125" style="79" bestFit="1" customWidth="1"/>
    <col min="12806" max="12806" width="15.6640625" style="79" customWidth="1"/>
    <col min="12807" max="12807" width="19.6640625" style="79" customWidth="1"/>
    <col min="12808" max="12808" width="44.33203125" style="79" bestFit="1" customWidth="1"/>
    <col min="12809" max="12809" width="19.1640625" style="79" bestFit="1" customWidth="1"/>
    <col min="12810" max="12810" width="32.83203125" style="79" bestFit="1" customWidth="1"/>
    <col min="12811" max="12811" width="15.6640625" style="79" customWidth="1"/>
    <col min="12812" max="12812" width="19.6640625" style="79" customWidth="1"/>
    <col min="12813" max="12813" width="44.33203125" style="79" bestFit="1" customWidth="1"/>
    <col min="12814" max="12814" width="19.1640625" style="79" bestFit="1" customWidth="1"/>
    <col min="12815" max="12815" width="32.83203125" style="79" bestFit="1" customWidth="1"/>
    <col min="12816" max="13051" width="9.33203125" style="79"/>
    <col min="13052" max="13052" width="15.6640625" style="79" customWidth="1"/>
    <col min="13053" max="13053" width="19.6640625" style="79" customWidth="1"/>
    <col min="13054" max="13054" width="44.33203125" style="79" bestFit="1" customWidth="1"/>
    <col min="13055" max="13055" width="19.33203125" style="79" bestFit="1" customWidth="1"/>
    <col min="13056" max="13056" width="32.83203125" style="79" bestFit="1" customWidth="1"/>
    <col min="13057" max="13057" width="15.6640625" style="79" customWidth="1"/>
    <col min="13058" max="13058" width="19.6640625" style="79" customWidth="1"/>
    <col min="13059" max="13059" width="44.33203125" style="79" bestFit="1" customWidth="1"/>
    <col min="13060" max="13060" width="19.1640625" style="79" bestFit="1" customWidth="1"/>
    <col min="13061" max="13061" width="32.83203125" style="79" bestFit="1" customWidth="1"/>
    <col min="13062" max="13062" width="15.6640625" style="79" customWidth="1"/>
    <col min="13063" max="13063" width="19.6640625" style="79" customWidth="1"/>
    <col min="13064" max="13064" width="44.33203125" style="79" bestFit="1" customWidth="1"/>
    <col min="13065" max="13065" width="19.1640625" style="79" bestFit="1" customWidth="1"/>
    <col min="13066" max="13066" width="32.83203125" style="79" bestFit="1" customWidth="1"/>
    <col min="13067" max="13067" width="15.6640625" style="79" customWidth="1"/>
    <col min="13068" max="13068" width="19.6640625" style="79" customWidth="1"/>
    <col min="13069" max="13069" width="44.33203125" style="79" bestFit="1" customWidth="1"/>
    <col min="13070" max="13070" width="19.1640625" style="79" bestFit="1" customWidth="1"/>
    <col min="13071" max="13071" width="32.83203125" style="79" bestFit="1" customWidth="1"/>
    <col min="13072" max="13307" width="9.33203125" style="79"/>
    <col min="13308" max="13308" width="15.6640625" style="79" customWidth="1"/>
    <col min="13309" max="13309" width="19.6640625" style="79" customWidth="1"/>
    <col min="13310" max="13310" width="44.33203125" style="79" bestFit="1" customWidth="1"/>
    <col min="13311" max="13311" width="19.33203125" style="79" bestFit="1" customWidth="1"/>
    <col min="13312" max="13312" width="32.83203125" style="79" bestFit="1" customWidth="1"/>
    <col min="13313" max="13313" width="15.6640625" style="79" customWidth="1"/>
    <col min="13314" max="13314" width="19.6640625" style="79" customWidth="1"/>
    <col min="13315" max="13315" width="44.33203125" style="79" bestFit="1" customWidth="1"/>
    <col min="13316" max="13316" width="19.1640625" style="79" bestFit="1" customWidth="1"/>
    <col min="13317" max="13317" width="32.83203125" style="79" bestFit="1" customWidth="1"/>
    <col min="13318" max="13318" width="15.6640625" style="79" customWidth="1"/>
    <col min="13319" max="13319" width="19.6640625" style="79" customWidth="1"/>
    <col min="13320" max="13320" width="44.33203125" style="79" bestFit="1" customWidth="1"/>
    <col min="13321" max="13321" width="19.1640625" style="79" bestFit="1" customWidth="1"/>
    <col min="13322" max="13322" width="32.83203125" style="79" bestFit="1" customWidth="1"/>
    <col min="13323" max="13323" width="15.6640625" style="79" customWidth="1"/>
    <col min="13324" max="13324" width="19.6640625" style="79" customWidth="1"/>
    <col min="13325" max="13325" width="44.33203125" style="79" bestFit="1" customWidth="1"/>
    <col min="13326" max="13326" width="19.1640625" style="79" bestFit="1" customWidth="1"/>
    <col min="13327" max="13327" width="32.83203125" style="79" bestFit="1" customWidth="1"/>
    <col min="13328" max="13563" width="9.33203125" style="79"/>
    <col min="13564" max="13564" width="15.6640625" style="79" customWidth="1"/>
    <col min="13565" max="13565" width="19.6640625" style="79" customWidth="1"/>
    <col min="13566" max="13566" width="44.33203125" style="79" bestFit="1" customWidth="1"/>
    <col min="13567" max="13567" width="19.33203125" style="79" bestFit="1" customWidth="1"/>
    <col min="13568" max="13568" width="32.83203125" style="79" bestFit="1" customWidth="1"/>
    <col min="13569" max="13569" width="15.6640625" style="79" customWidth="1"/>
    <col min="13570" max="13570" width="19.6640625" style="79" customWidth="1"/>
    <col min="13571" max="13571" width="44.33203125" style="79" bestFit="1" customWidth="1"/>
    <col min="13572" max="13572" width="19.1640625" style="79" bestFit="1" customWidth="1"/>
    <col min="13573" max="13573" width="32.83203125" style="79" bestFit="1" customWidth="1"/>
    <col min="13574" max="13574" width="15.6640625" style="79" customWidth="1"/>
    <col min="13575" max="13575" width="19.6640625" style="79" customWidth="1"/>
    <col min="13576" max="13576" width="44.33203125" style="79" bestFit="1" customWidth="1"/>
    <col min="13577" max="13577" width="19.1640625" style="79" bestFit="1" customWidth="1"/>
    <col min="13578" max="13578" width="32.83203125" style="79" bestFit="1" customWidth="1"/>
    <col min="13579" max="13579" width="15.6640625" style="79" customWidth="1"/>
    <col min="13580" max="13580" width="19.6640625" style="79" customWidth="1"/>
    <col min="13581" max="13581" width="44.33203125" style="79" bestFit="1" customWidth="1"/>
    <col min="13582" max="13582" width="19.1640625" style="79" bestFit="1" customWidth="1"/>
    <col min="13583" max="13583" width="32.83203125" style="79" bestFit="1" customWidth="1"/>
    <col min="13584" max="13819" width="9.33203125" style="79"/>
    <col min="13820" max="13820" width="15.6640625" style="79" customWidth="1"/>
    <col min="13821" max="13821" width="19.6640625" style="79" customWidth="1"/>
    <col min="13822" max="13822" width="44.33203125" style="79" bestFit="1" customWidth="1"/>
    <col min="13823" max="13823" width="19.33203125" style="79" bestFit="1" customWidth="1"/>
    <col min="13824" max="13824" width="32.83203125" style="79" bestFit="1" customWidth="1"/>
    <col min="13825" max="13825" width="15.6640625" style="79" customWidth="1"/>
    <col min="13826" max="13826" width="19.6640625" style="79" customWidth="1"/>
    <col min="13827" max="13827" width="44.33203125" style="79" bestFit="1" customWidth="1"/>
    <col min="13828" max="13828" width="19.1640625" style="79" bestFit="1" customWidth="1"/>
    <col min="13829" max="13829" width="32.83203125" style="79" bestFit="1" customWidth="1"/>
    <col min="13830" max="13830" width="15.6640625" style="79" customWidth="1"/>
    <col min="13831" max="13831" width="19.6640625" style="79" customWidth="1"/>
    <col min="13832" max="13832" width="44.33203125" style="79" bestFit="1" customWidth="1"/>
    <col min="13833" max="13833" width="19.1640625" style="79" bestFit="1" customWidth="1"/>
    <col min="13834" max="13834" width="32.83203125" style="79" bestFit="1" customWidth="1"/>
    <col min="13835" max="13835" width="15.6640625" style="79" customWidth="1"/>
    <col min="13836" max="13836" width="19.6640625" style="79" customWidth="1"/>
    <col min="13837" max="13837" width="44.33203125" style="79" bestFit="1" customWidth="1"/>
    <col min="13838" max="13838" width="19.1640625" style="79" bestFit="1" customWidth="1"/>
    <col min="13839" max="13839" width="32.83203125" style="79" bestFit="1" customWidth="1"/>
    <col min="13840" max="14075" width="9.33203125" style="79"/>
    <col min="14076" max="14076" width="15.6640625" style="79" customWidth="1"/>
    <col min="14077" max="14077" width="19.6640625" style="79" customWidth="1"/>
    <col min="14078" max="14078" width="44.33203125" style="79" bestFit="1" customWidth="1"/>
    <col min="14079" max="14079" width="19.33203125" style="79" bestFit="1" customWidth="1"/>
    <col min="14080" max="14080" width="32.83203125" style="79" bestFit="1" customWidth="1"/>
    <col min="14081" max="14081" width="15.6640625" style="79" customWidth="1"/>
    <col min="14082" max="14082" width="19.6640625" style="79" customWidth="1"/>
    <col min="14083" max="14083" width="44.33203125" style="79" bestFit="1" customWidth="1"/>
    <col min="14084" max="14084" width="19.1640625" style="79" bestFit="1" customWidth="1"/>
    <col min="14085" max="14085" width="32.83203125" style="79" bestFit="1" customWidth="1"/>
    <col min="14086" max="14086" width="15.6640625" style="79" customWidth="1"/>
    <col min="14087" max="14087" width="19.6640625" style="79" customWidth="1"/>
    <col min="14088" max="14088" width="44.33203125" style="79" bestFit="1" customWidth="1"/>
    <col min="14089" max="14089" width="19.1640625" style="79" bestFit="1" customWidth="1"/>
    <col min="14090" max="14090" width="32.83203125" style="79" bestFit="1" customWidth="1"/>
    <col min="14091" max="14091" width="15.6640625" style="79" customWidth="1"/>
    <col min="14092" max="14092" width="19.6640625" style="79" customWidth="1"/>
    <col min="14093" max="14093" width="44.33203125" style="79" bestFit="1" customWidth="1"/>
    <col min="14094" max="14094" width="19.1640625" style="79" bestFit="1" customWidth="1"/>
    <col min="14095" max="14095" width="32.83203125" style="79" bestFit="1" customWidth="1"/>
    <col min="14096" max="14331" width="9.33203125" style="79"/>
    <col min="14332" max="14332" width="15.6640625" style="79" customWidth="1"/>
    <col min="14333" max="14333" width="19.6640625" style="79" customWidth="1"/>
    <col min="14334" max="14334" width="44.33203125" style="79" bestFit="1" customWidth="1"/>
    <col min="14335" max="14335" width="19.33203125" style="79" bestFit="1" customWidth="1"/>
    <col min="14336" max="14336" width="32.83203125" style="79" bestFit="1" customWidth="1"/>
    <col min="14337" max="14337" width="15.6640625" style="79" customWidth="1"/>
    <col min="14338" max="14338" width="19.6640625" style="79" customWidth="1"/>
    <col min="14339" max="14339" width="44.33203125" style="79" bestFit="1" customWidth="1"/>
    <col min="14340" max="14340" width="19.1640625" style="79" bestFit="1" customWidth="1"/>
    <col min="14341" max="14341" width="32.83203125" style="79" bestFit="1" customWidth="1"/>
    <col min="14342" max="14342" width="15.6640625" style="79" customWidth="1"/>
    <col min="14343" max="14343" width="19.6640625" style="79" customWidth="1"/>
    <col min="14344" max="14344" width="44.33203125" style="79" bestFit="1" customWidth="1"/>
    <col min="14345" max="14345" width="19.1640625" style="79" bestFit="1" customWidth="1"/>
    <col min="14346" max="14346" width="32.83203125" style="79" bestFit="1" customWidth="1"/>
    <col min="14347" max="14347" width="15.6640625" style="79" customWidth="1"/>
    <col min="14348" max="14348" width="19.6640625" style="79" customWidth="1"/>
    <col min="14349" max="14349" width="44.33203125" style="79" bestFit="1" customWidth="1"/>
    <col min="14350" max="14350" width="19.1640625" style="79" bestFit="1" customWidth="1"/>
    <col min="14351" max="14351" width="32.83203125" style="79" bestFit="1" customWidth="1"/>
    <col min="14352" max="14587" width="9.33203125" style="79"/>
    <col min="14588" max="14588" width="15.6640625" style="79" customWidth="1"/>
    <col min="14589" max="14589" width="19.6640625" style="79" customWidth="1"/>
    <col min="14590" max="14590" width="44.33203125" style="79" bestFit="1" customWidth="1"/>
    <col min="14591" max="14591" width="19.33203125" style="79" bestFit="1" customWidth="1"/>
    <col min="14592" max="14592" width="32.83203125" style="79" bestFit="1" customWidth="1"/>
    <col min="14593" max="14593" width="15.6640625" style="79" customWidth="1"/>
    <col min="14594" max="14594" width="19.6640625" style="79" customWidth="1"/>
    <col min="14595" max="14595" width="44.33203125" style="79" bestFit="1" customWidth="1"/>
    <col min="14596" max="14596" width="19.1640625" style="79" bestFit="1" customWidth="1"/>
    <col min="14597" max="14597" width="32.83203125" style="79" bestFit="1" customWidth="1"/>
    <col min="14598" max="14598" width="15.6640625" style="79" customWidth="1"/>
    <col min="14599" max="14599" width="19.6640625" style="79" customWidth="1"/>
    <col min="14600" max="14600" width="44.33203125" style="79" bestFit="1" customWidth="1"/>
    <col min="14601" max="14601" width="19.1640625" style="79" bestFit="1" customWidth="1"/>
    <col min="14602" max="14602" width="32.83203125" style="79" bestFit="1" customWidth="1"/>
    <col min="14603" max="14603" width="15.6640625" style="79" customWidth="1"/>
    <col min="14604" max="14604" width="19.6640625" style="79" customWidth="1"/>
    <col min="14605" max="14605" width="44.33203125" style="79" bestFit="1" customWidth="1"/>
    <col min="14606" max="14606" width="19.1640625" style="79" bestFit="1" customWidth="1"/>
    <col min="14607" max="14607" width="32.83203125" style="79" bestFit="1" customWidth="1"/>
    <col min="14608" max="14843" width="9.33203125" style="79"/>
    <col min="14844" max="14844" width="15.6640625" style="79" customWidth="1"/>
    <col min="14845" max="14845" width="19.6640625" style="79" customWidth="1"/>
    <col min="14846" max="14846" width="44.33203125" style="79" bestFit="1" customWidth="1"/>
    <col min="14847" max="14847" width="19.33203125" style="79" bestFit="1" customWidth="1"/>
    <col min="14848" max="14848" width="32.83203125" style="79" bestFit="1" customWidth="1"/>
    <col min="14849" max="14849" width="15.6640625" style="79" customWidth="1"/>
    <col min="14850" max="14850" width="19.6640625" style="79" customWidth="1"/>
    <col min="14851" max="14851" width="44.33203125" style="79" bestFit="1" customWidth="1"/>
    <col min="14852" max="14852" width="19.1640625" style="79" bestFit="1" customWidth="1"/>
    <col min="14853" max="14853" width="32.83203125" style="79" bestFit="1" customWidth="1"/>
    <col min="14854" max="14854" width="15.6640625" style="79" customWidth="1"/>
    <col min="14855" max="14855" width="19.6640625" style="79" customWidth="1"/>
    <col min="14856" max="14856" width="44.33203125" style="79" bestFit="1" customWidth="1"/>
    <col min="14857" max="14857" width="19.1640625" style="79" bestFit="1" customWidth="1"/>
    <col min="14858" max="14858" width="32.83203125" style="79" bestFit="1" customWidth="1"/>
    <col min="14859" max="14859" width="15.6640625" style="79" customWidth="1"/>
    <col min="14860" max="14860" width="19.6640625" style="79" customWidth="1"/>
    <col min="14861" max="14861" width="44.33203125" style="79" bestFit="1" customWidth="1"/>
    <col min="14862" max="14862" width="19.1640625" style="79" bestFit="1" customWidth="1"/>
    <col min="14863" max="14863" width="32.83203125" style="79" bestFit="1" customWidth="1"/>
    <col min="14864" max="15099" width="9.33203125" style="79"/>
    <col min="15100" max="15100" width="15.6640625" style="79" customWidth="1"/>
    <col min="15101" max="15101" width="19.6640625" style="79" customWidth="1"/>
    <col min="15102" max="15102" width="44.33203125" style="79" bestFit="1" customWidth="1"/>
    <col min="15103" max="15103" width="19.33203125" style="79" bestFit="1" customWidth="1"/>
    <col min="15104" max="15104" width="32.83203125" style="79" bestFit="1" customWidth="1"/>
    <col min="15105" max="15105" width="15.6640625" style="79" customWidth="1"/>
    <col min="15106" max="15106" width="19.6640625" style="79" customWidth="1"/>
    <col min="15107" max="15107" width="44.33203125" style="79" bestFit="1" customWidth="1"/>
    <col min="15108" max="15108" width="19.1640625" style="79" bestFit="1" customWidth="1"/>
    <col min="15109" max="15109" width="32.83203125" style="79" bestFit="1" customWidth="1"/>
    <col min="15110" max="15110" width="15.6640625" style="79" customWidth="1"/>
    <col min="15111" max="15111" width="19.6640625" style="79" customWidth="1"/>
    <col min="15112" max="15112" width="44.33203125" style="79" bestFit="1" customWidth="1"/>
    <col min="15113" max="15113" width="19.1640625" style="79" bestFit="1" customWidth="1"/>
    <col min="15114" max="15114" width="32.83203125" style="79" bestFit="1" customWidth="1"/>
    <col min="15115" max="15115" width="15.6640625" style="79" customWidth="1"/>
    <col min="15116" max="15116" width="19.6640625" style="79" customWidth="1"/>
    <col min="15117" max="15117" width="44.33203125" style="79" bestFit="1" customWidth="1"/>
    <col min="15118" max="15118" width="19.1640625" style="79" bestFit="1" customWidth="1"/>
    <col min="15119" max="15119" width="32.83203125" style="79" bestFit="1" customWidth="1"/>
    <col min="15120" max="15355" width="9.33203125" style="79"/>
    <col min="15356" max="15356" width="15.6640625" style="79" customWidth="1"/>
    <col min="15357" max="15357" width="19.6640625" style="79" customWidth="1"/>
    <col min="15358" max="15358" width="44.33203125" style="79" bestFit="1" customWidth="1"/>
    <col min="15359" max="15359" width="19.33203125" style="79" bestFit="1" customWidth="1"/>
    <col min="15360" max="15360" width="32.83203125" style="79" bestFit="1" customWidth="1"/>
    <col min="15361" max="15361" width="15.6640625" style="79" customWidth="1"/>
    <col min="15362" max="15362" width="19.6640625" style="79" customWidth="1"/>
    <col min="15363" max="15363" width="44.33203125" style="79" bestFit="1" customWidth="1"/>
    <col min="15364" max="15364" width="19.1640625" style="79" bestFit="1" customWidth="1"/>
    <col min="15365" max="15365" width="32.83203125" style="79" bestFit="1" customWidth="1"/>
    <col min="15366" max="15366" width="15.6640625" style="79" customWidth="1"/>
    <col min="15367" max="15367" width="19.6640625" style="79" customWidth="1"/>
    <col min="15368" max="15368" width="44.33203125" style="79" bestFit="1" customWidth="1"/>
    <col min="15369" max="15369" width="19.1640625" style="79" bestFit="1" customWidth="1"/>
    <col min="15370" max="15370" width="32.83203125" style="79" bestFit="1" customWidth="1"/>
    <col min="15371" max="15371" width="15.6640625" style="79" customWidth="1"/>
    <col min="15372" max="15372" width="19.6640625" style="79" customWidth="1"/>
    <col min="15373" max="15373" width="44.33203125" style="79" bestFit="1" customWidth="1"/>
    <col min="15374" max="15374" width="19.1640625" style="79" bestFit="1" customWidth="1"/>
    <col min="15375" max="15375" width="32.83203125" style="79" bestFit="1" customWidth="1"/>
    <col min="15376" max="15611" width="9.33203125" style="79"/>
    <col min="15612" max="15612" width="15.6640625" style="79" customWidth="1"/>
    <col min="15613" max="15613" width="19.6640625" style="79" customWidth="1"/>
    <col min="15614" max="15614" width="44.33203125" style="79" bestFit="1" customWidth="1"/>
    <col min="15615" max="15615" width="19.33203125" style="79" bestFit="1" customWidth="1"/>
    <col min="15616" max="15616" width="32.83203125" style="79" bestFit="1" customWidth="1"/>
    <col min="15617" max="15617" width="15.6640625" style="79" customWidth="1"/>
    <col min="15618" max="15618" width="19.6640625" style="79" customWidth="1"/>
    <col min="15619" max="15619" width="44.33203125" style="79" bestFit="1" customWidth="1"/>
    <col min="15620" max="15620" width="19.1640625" style="79" bestFit="1" customWidth="1"/>
    <col min="15621" max="15621" width="32.83203125" style="79" bestFit="1" customWidth="1"/>
    <col min="15622" max="15622" width="15.6640625" style="79" customWidth="1"/>
    <col min="15623" max="15623" width="19.6640625" style="79" customWidth="1"/>
    <col min="15624" max="15624" width="44.33203125" style="79" bestFit="1" customWidth="1"/>
    <col min="15625" max="15625" width="19.1640625" style="79" bestFit="1" customWidth="1"/>
    <col min="15626" max="15626" width="32.83203125" style="79" bestFit="1" customWidth="1"/>
    <col min="15627" max="15627" width="15.6640625" style="79" customWidth="1"/>
    <col min="15628" max="15628" width="19.6640625" style="79" customWidth="1"/>
    <col min="15629" max="15629" width="44.33203125" style="79" bestFit="1" customWidth="1"/>
    <col min="15630" max="15630" width="19.1640625" style="79" bestFit="1" customWidth="1"/>
    <col min="15631" max="15631" width="32.83203125" style="79" bestFit="1" customWidth="1"/>
    <col min="15632" max="15867" width="9.33203125" style="79"/>
    <col min="15868" max="15868" width="15.6640625" style="79" customWidth="1"/>
    <col min="15869" max="15869" width="19.6640625" style="79" customWidth="1"/>
    <col min="15870" max="15870" width="44.33203125" style="79" bestFit="1" customWidth="1"/>
    <col min="15871" max="15871" width="19.33203125" style="79" bestFit="1" customWidth="1"/>
    <col min="15872" max="15872" width="32.83203125" style="79" bestFit="1" customWidth="1"/>
    <col min="15873" max="15873" width="15.6640625" style="79" customWidth="1"/>
    <col min="15874" max="15874" width="19.6640625" style="79" customWidth="1"/>
    <col min="15875" max="15875" width="44.33203125" style="79" bestFit="1" customWidth="1"/>
    <col min="15876" max="15876" width="19.1640625" style="79" bestFit="1" customWidth="1"/>
    <col min="15877" max="15877" width="32.83203125" style="79" bestFit="1" customWidth="1"/>
    <col min="15878" max="15878" width="15.6640625" style="79" customWidth="1"/>
    <col min="15879" max="15879" width="19.6640625" style="79" customWidth="1"/>
    <col min="15880" max="15880" width="44.33203125" style="79" bestFit="1" customWidth="1"/>
    <col min="15881" max="15881" width="19.1640625" style="79" bestFit="1" customWidth="1"/>
    <col min="15882" max="15882" width="32.83203125" style="79" bestFit="1" customWidth="1"/>
    <col min="15883" max="15883" width="15.6640625" style="79" customWidth="1"/>
    <col min="15884" max="15884" width="19.6640625" style="79" customWidth="1"/>
    <col min="15885" max="15885" width="44.33203125" style="79" bestFit="1" customWidth="1"/>
    <col min="15886" max="15886" width="19.1640625" style="79" bestFit="1" customWidth="1"/>
    <col min="15887" max="15887" width="32.83203125" style="79" bestFit="1" customWidth="1"/>
    <col min="15888" max="16123" width="9.33203125" style="79"/>
    <col min="16124" max="16124" width="15.6640625" style="79" customWidth="1"/>
    <col min="16125" max="16125" width="19.6640625" style="79" customWidth="1"/>
    <col min="16126" max="16126" width="44.33203125" style="79" bestFit="1" customWidth="1"/>
    <col min="16127" max="16127" width="19.33203125" style="79" bestFit="1" customWidth="1"/>
    <col min="16128" max="16128" width="32.83203125" style="79" bestFit="1" customWidth="1"/>
    <col min="16129" max="16129" width="15.6640625" style="79" customWidth="1"/>
    <col min="16130" max="16130" width="19.6640625" style="79" customWidth="1"/>
    <col min="16131" max="16131" width="44.33203125" style="79" bestFit="1" customWidth="1"/>
    <col min="16132" max="16132" width="19.1640625" style="79" bestFit="1" customWidth="1"/>
    <col min="16133" max="16133" width="32.83203125" style="79" bestFit="1" customWidth="1"/>
    <col min="16134" max="16134" width="15.6640625" style="79" customWidth="1"/>
    <col min="16135" max="16135" width="19.6640625" style="79" customWidth="1"/>
    <col min="16136" max="16136" width="44.33203125" style="79" bestFit="1" customWidth="1"/>
    <col min="16137" max="16137" width="19.1640625" style="79" bestFit="1" customWidth="1"/>
    <col min="16138" max="16138" width="32.83203125" style="79" bestFit="1" customWidth="1"/>
    <col min="16139" max="16139" width="15.6640625" style="79" customWidth="1"/>
    <col min="16140" max="16140" width="19.6640625" style="79" customWidth="1"/>
    <col min="16141" max="16141" width="44.33203125" style="79" bestFit="1" customWidth="1"/>
    <col min="16142" max="16142" width="19.1640625" style="79" bestFit="1" customWidth="1"/>
    <col min="16143" max="16143" width="32.83203125" style="79" bestFit="1" customWidth="1"/>
    <col min="16144" max="16384" width="9.33203125" style="79"/>
  </cols>
  <sheetData>
    <row r="1" spans="1:18" ht="24.95" customHeight="1">
      <c r="A1" s="376" t="s">
        <v>6234</v>
      </c>
      <c r="B1" s="377"/>
      <c r="C1" s="377"/>
      <c r="D1" s="377"/>
      <c r="E1" s="377"/>
      <c r="F1" s="376" t="s">
        <v>6234</v>
      </c>
      <c r="G1" s="377"/>
      <c r="H1" s="377"/>
      <c r="I1" s="377"/>
      <c r="J1" s="377"/>
      <c r="K1" s="376" t="s">
        <v>6234</v>
      </c>
      <c r="L1" s="377"/>
      <c r="M1" s="377"/>
      <c r="N1" s="377"/>
      <c r="O1" s="377"/>
    </row>
    <row r="2" spans="1:18" ht="30" customHeight="1">
      <c r="A2" s="378" t="s">
        <v>6510</v>
      </c>
      <c r="B2" s="378"/>
      <c r="C2" s="378"/>
      <c r="D2" s="378"/>
      <c r="E2" s="378"/>
      <c r="F2" s="378" t="s">
        <v>6511</v>
      </c>
      <c r="G2" s="378"/>
      <c r="H2" s="378"/>
      <c r="I2" s="378"/>
      <c r="J2" s="378"/>
      <c r="K2" s="378" t="s">
        <v>6512</v>
      </c>
      <c r="L2" s="378"/>
      <c r="M2" s="378"/>
      <c r="N2" s="378"/>
      <c r="O2" s="378"/>
    </row>
    <row r="3" spans="1:18" ht="15.2" customHeight="1">
      <c r="A3" s="380"/>
      <c r="B3" s="381"/>
      <c r="C3" s="381"/>
      <c r="D3" s="56"/>
      <c r="E3" s="80" t="s">
        <v>6236</v>
      </c>
      <c r="F3" s="380"/>
      <c r="G3" s="381"/>
      <c r="H3" s="381"/>
      <c r="I3" s="56"/>
      <c r="J3" s="80" t="s">
        <v>6236</v>
      </c>
      <c r="K3" s="380"/>
      <c r="L3" s="381"/>
      <c r="M3" s="381"/>
      <c r="N3" s="56"/>
      <c r="O3" s="80" t="s">
        <v>6236</v>
      </c>
    </row>
    <row r="4" spans="1:18" ht="22.5" customHeight="1">
      <c r="A4" s="382" t="s">
        <v>6237</v>
      </c>
      <c r="B4" s="379"/>
      <c r="C4" s="379"/>
      <c r="D4" s="383" t="s">
        <v>6238</v>
      </c>
      <c r="E4" s="379" t="s">
        <v>6239</v>
      </c>
      <c r="F4" s="382" t="s">
        <v>6237</v>
      </c>
      <c r="G4" s="379"/>
      <c r="H4" s="379"/>
      <c r="I4" s="383" t="s">
        <v>6238</v>
      </c>
      <c r="J4" s="379" t="s">
        <v>6239</v>
      </c>
      <c r="K4" s="382" t="s">
        <v>6237</v>
      </c>
      <c r="L4" s="379"/>
      <c r="M4" s="379"/>
      <c r="N4" s="383" t="s">
        <v>6238</v>
      </c>
      <c r="O4" s="379" t="s">
        <v>6239</v>
      </c>
    </row>
    <row r="5" spans="1:18" ht="22.5" customHeight="1">
      <c r="A5" s="379"/>
      <c r="B5" s="379"/>
      <c r="C5" s="379"/>
      <c r="D5" s="384"/>
      <c r="E5" s="379"/>
      <c r="F5" s="379"/>
      <c r="G5" s="379"/>
      <c r="H5" s="379"/>
      <c r="I5" s="384"/>
      <c r="J5" s="379"/>
      <c r="K5" s="379"/>
      <c r="L5" s="379"/>
      <c r="M5" s="379"/>
      <c r="N5" s="384"/>
      <c r="O5" s="379"/>
    </row>
    <row r="6" spans="1:18" ht="22.5" customHeight="1">
      <c r="A6" s="387" t="s">
        <v>6240</v>
      </c>
      <c r="B6" s="390" t="s">
        <v>6241</v>
      </c>
      <c r="C6" s="81" t="s">
        <v>6242</v>
      </c>
      <c r="D6" s="82">
        <f>I6+N6</f>
        <v>395567740</v>
      </c>
      <c r="E6" s="83"/>
      <c r="F6" s="387" t="s">
        <v>6240</v>
      </c>
      <c r="G6" s="390" t="s">
        <v>6241</v>
      </c>
      <c r="H6" s="81" t="s">
        <v>6242</v>
      </c>
      <c r="I6" s="213">
        <f>'내역서(서부지사)-1차'!F6</f>
        <v>395567740</v>
      </c>
      <c r="J6" s="59"/>
      <c r="K6" s="387" t="s">
        <v>6240</v>
      </c>
      <c r="L6" s="390" t="s">
        <v>6241</v>
      </c>
      <c r="M6" s="81" t="s">
        <v>6242</v>
      </c>
      <c r="N6" s="213">
        <f>'내역서(서부지사)-2차'!F6</f>
        <v>0</v>
      </c>
      <c r="O6" s="59"/>
      <c r="P6" s="335"/>
    </row>
    <row r="7" spans="1:18" ht="22.5" customHeight="1">
      <c r="A7" s="388"/>
      <c r="B7" s="391"/>
      <c r="C7" s="60" t="s">
        <v>6243</v>
      </c>
      <c r="D7" s="84">
        <f t="shared" ref="D7:D31" si="0">I7+N7</f>
        <v>0</v>
      </c>
      <c r="E7" s="61"/>
      <c r="F7" s="388"/>
      <c r="G7" s="391"/>
      <c r="H7" s="60" t="s">
        <v>6243</v>
      </c>
      <c r="I7" s="214">
        <v>0</v>
      </c>
      <c r="J7" s="61"/>
      <c r="K7" s="388"/>
      <c r="L7" s="391"/>
      <c r="M7" s="60" t="s">
        <v>6243</v>
      </c>
      <c r="N7" s="214">
        <v>0</v>
      </c>
      <c r="O7" s="61"/>
      <c r="P7" s="335"/>
    </row>
    <row r="8" spans="1:18" ht="22.5" customHeight="1">
      <c r="A8" s="388"/>
      <c r="B8" s="392"/>
      <c r="C8" s="77" t="s">
        <v>6244</v>
      </c>
      <c r="D8" s="84">
        <f t="shared" si="0"/>
        <v>395567740</v>
      </c>
      <c r="E8" s="85"/>
      <c r="F8" s="388"/>
      <c r="G8" s="392"/>
      <c r="H8" s="77" t="s">
        <v>6244</v>
      </c>
      <c r="I8" s="215">
        <f>I6+I7</f>
        <v>395567740</v>
      </c>
      <c r="J8" s="61"/>
      <c r="K8" s="388"/>
      <c r="L8" s="392"/>
      <c r="M8" s="77" t="s">
        <v>6244</v>
      </c>
      <c r="N8" s="215">
        <f>N6+N7</f>
        <v>0</v>
      </c>
      <c r="O8" s="61"/>
      <c r="P8" s="335"/>
    </row>
    <row r="9" spans="1:18" ht="22.5" customHeight="1">
      <c r="A9" s="388"/>
      <c r="B9" s="394" t="s">
        <v>6245</v>
      </c>
      <c r="C9" s="60" t="s">
        <v>6246</v>
      </c>
      <c r="D9" s="84">
        <f t="shared" si="0"/>
        <v>47809404</v>
      </c>
      <c r="E9" s="85"/>
      <c r="F9" s="388"/>
      <c r="G9" s="394" t="s">
        <v>6245</v>
      </c>
      <c r="H9" s="60" t="s">
        <v>6246</v>
      </c>
      <c r="I9" s="214">
        <f>'내역서(서부지사)-1차'!H6</f>
        <v>47809404</v>
      </c>
      <c r="J9" s="61"/>
      <c r="K9" s="388"/>
      <c r="L9" s="394" t="s">
        <v>6245</v>
      </c>
      <c r="M9" s="60" t="s">
        <v>6246</v>
      </c>
      <c r="N9" s="214">
        <f>'내역서(서부지사)-2차'!H6</f>
        <v>0</v>
      </c>
      <c r="O9" s="61"/>
      <c r="P9" s="335"/>
    </row>
    <row r="10" spans="1:18" ht="22.5" customHeight="1">
      <c r="A10" s="388"/>
      <c r="B10" s="395"/>
      <c r="C10" s="60" t="s">
        <v>6247</v>
      </c>
      <c r="D10" s="84">
        <f t="shared" si="0"/>
        <v>7219220</v>
      </c>
      <c r="E10" s="85" t="str">
        <f>'원가계산서(양지사)'!E10</f>
        <v>나 1)의 15.1%</v>
      </c>
      <c r="F10" s="388"/>
      <c r="G10" s="395"/>
      <c r="H10" s="60" t="s">
        <v>6247</v>
      </c>
      <c r="I10" s="215">
        <f>INT(I9*15.1%)</f>
        <v>7219220</v>
      </c>
      <c r="J10" s="61" t="str">
        <f>'원가계산서(양지사)'!J10</f>
        <v>나 1)의 15.1%</v>
      </c>
      <c r="K10" s="388"/>
      <c r="L10" s="395"/>
      <c r="M10" s="60" t="s">
        <v>6247</v>
      </c>
      <c r="N10" s="215">
        <f>INT(N9*15.1%)</f>
        <v>0</v>
      </c>
      <c r="O10" s="61" t="str">
        <f>'원가계산서(양지사)'!O10</f>
        <v>나 1)의 15.1%</v>
      </c>
      <c r="P10" s="336">
        <v>0.151</v>
      </c>
      <c r="Q10" s="261"/>
    </row>
    <row r="11" spans="1:18" ht="22.5" customHeight="1">
      <c r="A11" s="388"/>
      <c r="B11" s="396"/>
      <c r="C11" s="77" t="s">
        <v>6248</v>
      </c>
      <c r="D11" s="84">
        <f t="shared" si="0"/>
        <v>55028624</v>
      </c>
      <c r="E11" s="85"/>
      <c r="F11" s="388"/>
      <c r="G11" s="396"/>
      <c r="H11" s="77" t="s">
        <v>6248</v>
      </c>
      <c r="I11" s="215">
        <f>SUM(I9:I10)</f>
        <v>55028624</v>
      </c>
      <c r="J11" s="61"/>
      <c r="K11" s="388"/>
      <c r="L11" s="396"/>
      <c r="M11" s="77" t="s">
        <v>6248</v>
      </c>
      <c r="N11" s="215">
        <f>SUM(N9:N10)</f>
        <v>0</v>
      </c>
      <c r="O11" s="61"/>
      <c r="P11" s="335"/>
    </row>
    <row r="12" spans="1:18" ht="22.5" customHeight="1">
      <c r="A12" s="388"/>
      <c r="B12" s="397" t="s">
        <v>6249</v>
      </c>
      <c r="C12" s="60" t="s">
        <v>6250</v>
      </c>
      <c r="D12" s="84">
        <f t="shared" si="0"/>
        <v>9537940</v>
      </c>
      <c r="E12" s="85"/>
      <c r="F12" s="388"/>
      <c r="G12" s="397" t="s">
        <v>6249</v>
      </c>
      <c r="H12" s="60" t="s">
        <v>6250</v>
      </c>
      <c r="I12" s="303">
        <f>'내역서(서부지사)-1차'!J6</f>
        <v>9537940</v>
      </c>
      <c r="J12" s="61"/>
      <c r="K12" s="388"/>
      <c r="L12" s="397" t="s">
        <v>6249</v>
      </c>
      <c r="M12" s="60" t="s">
        <v>6250</v>
      </c>
      <c r="N12" s="214">
        <f>'내역서(서부지사)-2차'!J6</f>
        <v>0</v>
      </c>
      <c r="O12" s="61"/>
      <c r="P12" s="335"/>
    </row>
    <row r="13" spans="1:18" ht="22.5" customHeight="1">
      <c r="A13" s="388"/>
      <c r="B13" s="391"/>
      <c r="C13" s="60" t="s">
        <v>6251</v>
      </c>
      <c r="D13" s="84">
        <f t="shared" si="0"/>
        <v>1959019</v>
      </c>
      <c r="E13" s="86" t="str">
        <f>'원가계산서(양지사)'!E13</f>
        <v>나 ) 의 3.56%</v>
      </c>
      <c r="F13" s="388"/>
      <c r="G13" s="391"/>
      <c r="H13" s="60" t="s">
        <v>6251</v>
      </c>
      <c r="I13" s="214">
        <f>INT(I11*3.56%)</f>
        <v>1959019</v>
      </c>
      <c r="J13" s="61" t="str">
        <f>'원가계산서(양지사)'!J13</f>
        <v>나 ) 의 3.56%</v>
      </c>
      <c r="K13" s="388"/>
      <c r="L13" s="391"/>
      <c r="M13" s="60" t="s">
        <v>6251</v>
      </c>
      <c r="N13" s="214">
        <f>INT(N11*3.56%)</f>
        <v>0</v>
      </c>
      <c r="O13" s="61" t="str">
        <f>'원가계산서(양지사)'!O13</f>
        <v>나 ) 의 3.56%</v>
      </c>
      <c r="P13" s="337">
        <f>3.56*0.01</f>
        <v>3.56E-2</v>
      </c>
      <c r="Q13" s="261"/>
    </row>
    <row r="14" spans="1:18" ht="22.5" customHeight="1">
      <c r="A14" s="388"/>
      <c r="B14" s="391"/>
      <c r="C14" s="60" t="s">
        <v>6252</v>
      </c>
      <c r="D14" s="84">
        <f t="shared" si="0"/>
        <v>555789</v>
      </c>
      <c r="E14" s="86" t="str">
        <f>'원가계산서(양지사)'!E14</f>
        <v>나 ) 의 1.01%</v>
      </c>
      <c r="F14" s="388"/>
      <c r="G14" s="391"/>
      <c r="H14" s="60" t="s">
        <v>6252</v>
      </c>
      <c r="I14" s="214">
        <f>INT(I11*1.01%)</f>
        <v>555789</v>
      </c>
      <c r="J14" s="61" t="str">
        <f>'원가계산서(양지사)'!J14</f>
        <v>나 ) 의 1.01%</v>
      </c>
      <c r="K14" s="388"/>
      <c r="L14" s="391"/>
      <c r="M14" s="60" t="s">
        <v>6252</v>
      </c>
      <c r="N14" s="214">
        <f>INT(N11*1.01%)</f>
        <v>0</v>
      </c>
      <c r="O14" s="61" t="str">
        <f>'원가계산서(양지사)'!O14</f>
        <v>나 ) 의 1.01%</v>
      </c>
      <c r="P14" s="337">
        <f>1.01*0.01</f>
        <v>1.01E-2</v>
      </c>
    </row>
    <row r="15" spans="1:18" ht="22.5" customHeight="1">
      <c r="A15" s="388"/>
      <c r="B15" s="391"/>
      <c r="C15" s="349" t="s">
        <v>6253</v>
      </c>
      <c r="D15" s="84">
        <f t="shared" si="0"/>
        <v>1946511</v>
      </c>
      <c r="E15" s="85" t="str">
        <f>'원가계산서(양지사)'!E15</f>
        <v>나 1)의 3.595%</v>
      </c>
      <c r="F15" s="388"/>
      <c r="G15" s="391"/>
      <c r="H15" s="349" t="s">
        <v>6253</v>
      </c>
      <c r="I15" s="214">
        <v>1946511</v>
      </c>
      <c r="J15" s="61" t="str">
        <f>'원가계산서(양지사)'!J15</f>
        <v>나 1)의 3.595%</v>
      </c>
      <c r="K15" s="388"/>
      <c r="L15" s="391"/>
      <c r="M15" s="349" t="s">
        <v>6253</v>
      </c>
      <c r="N15" s="214">
        <f>INT(N9*3.595%)</f>
        <v>0</v>
      </c>
      <c r="O15" s="61" t="str">
        <f>'원가계산서(양지사)'!O15</f>
        <v>나 1)의 3.595%</v>
      </c>
      <c r="P15" s="338">
        <f>3.595*0.01</f>
        <v>3.5950000000000003E-2</v>
      </c>
      <c r="R15" s="261" t="s">
        <v>6556</v>
      </c>
    </row>
    <row r="16" spans="1:18" ht="22.5" customHeight="1">
      <c r="A16" s="388"/>
      <c r="B16" s="391"/>
      <c r="C16" s="350" t="s">
        <v>6280</v>
      </c>
      <c r="D16" s="84">
        <f t="shared" si="0"/>
        <v>255771</v>
      </c>
      <c r="E16" s="85" t="str">
        <f>'원가계산서(양지사)'!E16</f>
        <v>다 4)의 13.14%</v>
      </c>
      <c r="F16" s="388"/>
      <c r="G16" s="391"/>
      <c r="H16" s="350" t="s">
        <v>6280</v>
      </c>
      <c r="I16" s="214">
        <v>255771</v>
      </c>
      <c r="J16" s="61" t="str">
        <f>'원가계산서(양지사)'!J16</f>
        <v>다 4)의 13.14%</v>
      </c>
      <c r="K16" s="388"/>
      <c r="L16" s="391"/>
      <c r="M16" s="350" t="s">
        <v>6280</v>
      </c>
      <c r="N16" s="214">
        <f>INT(N15*13.14%)</f>
        <v>0</v>
      </c>
      <c r="O16" s="61" t="str">
        <f>'원가계산서(양지사)'!O16</f>
        <v>다 4)의 13.14%</v>
      </c>
      <c r="P16" s="337">
        <f>13.14*0.01</f>
        <v>0.13140000000000002</v>
      </c>
      <c r="Q16" s="261"/>
      <c r="R16" s="261" t="s">
        <v>6557</v>
      </c>
    </row>
    <row r="17" spans="1:18" ht="22.5" customHeight="1">
      <c r="A17" s="388"/>
      <c r="B17" s="391"/>
      <c r="C17" s="349" t="s">
        <v>6255</v>
      </c>
      <c r="D17" s="84">
        <f t="shared" si="0"/>
        <v>2571886</v>
      </c>
      <c r="E17" s="85" t="str">
        <f>'원가계산서(양지사)'!E17</f>
        <v>나 1)의 4.75%</v>
      </c>
      <c r="F17" s="388"/>
      <c r="G17" s="391"/>
      <c r="H17" s="349" t="s">
        <v>6255</v>
      </c>
      <c r="I17" s="214">
        <v>2571886</v>
      </c>
      <c r="J17" s="61" t="str">
        <f>'원가계산서(양지사)'!J17</f>
        <v>나 1)의 4.75%</v>
      </c>
      <c r="K17" s="388"/>
      <c r="L17" s="391"/>
      <c r="M17" s="349" t="s">
        <v>6255</v>
      </c>
      <c r="N17" s="214">
        <f>INT(N9*4.75%)</f>
        <v>0</v>
      </c>
      <c r="O17" s="61" t="str">
        <f>'원가계산서(양지사)'!O17</f>
        <v>나 1)의 4.75%</v>
      </c>
      <c r="P17" s="337">
        <f>4.75*0.01</f>
        <v>4.7500000000000001E-2</v>
      </c>
      <c r="R17" s="261" t="s">
        <v>6558</v>
      </c>
    </row>
    <row r="18" spans="1:18" ht="22.5" customHeight="1">
      <c r="A18" s="388"/>
      <c r="B18" s="391"/>
      <c r="C18" s="353" t="s">
        <v>6256</v>
      </c>
      <c r="D18" s="84">
        <f t="shared" si="0"/>
        <v>1358745</v>
      </c>
      <c r="E18" s="85" t="str">
        <f>'원가계산서(양지사)'!E18</f>
        <v>(재+직노+기경)*0.3%</v>
      </c>
      <c r="F18" s="388"/>
      <c r="G18" s="391"/>
      <c r="H18" s="353" t="s">
        <v>6256</v>
      </c>
      <c r="I18" s="214">
        <f>INT((I6+I9+I12)*0.3%)</f>
        <v>1358745</v>
      </c>
      <c r="J18" s="61" t="str">
        <f>'원가계산서(양지사)'!J18</f>
        <v>(재+직노+기경)*0.3%</v>
      </c>
      <c r="K18" s="388"/>
      <c r="L18" s="391"/>
      <c r="M18" s="353" t="s">
        <v>6256</v>
      </c>
      <c r="N18" s="214">
        <f>INT((N6+N9+N12)*0.3%)</f>
        <v>0</v>
      </c>
      <c r="O18" s="61" t="str">
        <f>'원가계산서(양지사)'!O18</f>
        <v>(재+직노+기경)*0.3%</v>
      </c>
      <c r="P18" s="336">
        <f>0.3*0.01</f>
        <v>3.0000000000000001E-3</v>
      </c>
    </row>
    <row r="19" spans="1:18" ht="22.5" customHeight="1">
      <c r="A19" s="388"/>
      <c r="B19" s="391"/>
      <c r="C19" s="349" t="s">
        <v>6282</v>
      </c>
      <c r="D19" s="84">
        <f t="shared" si="0"/>
        <v>13344186</v>
      </c>
      <c r="E19" s="85" t="str">
        <f>'원가계산서(양지사)'!E19</f>
        <v>가+나1)의 2.28%+4,325천원</v>
      </c>
      <c r="F19" s="388"/>
      <c r="G19" s="391"/>
      <c r="H19" s="349" t="s">
        <v>6282</v>
      </c>
      <c r="I19" s="303">
        <v>13344186</v>
      </c>
      <c r="J19" s="61" t="str">
        <f>'원가계산서(양지사)'!J19</f>
        <v>가+나1)의 2.28%+4,325천원</v>
      </c>
      <c r="K19" s="388"/>
      <c r="L19" s="391"/>
      <c r="M19" s="349" t="s">
        <v>6282</v>
      </c>
      <c r="N19" s="214">
        <f>INT((N6+N9)*2.28%)+K37</f>
        <v>0</v>
      </c>
      <c r="O19" s="61" t="str">
        <f>'원가계산서(양지사)'!O19</f>
        <v>가+나1)의 2.28%+4,325천원</v>
      </c>
      <c r="P19" s="335"/>
      <c r="R19" s="339"/>
    </row>
    <row r="20" spans="1:18" ht="22.5" customHeight="1">
      <c r="A20" s="388"/>
      <c r="B20" s="391"/>
      <c r="C20" s="350" t="s">
        <v>6261</v>
      </c>
      <c r="D20" s="84">
        <f t="shared" si="0"/>
        <v>1245334</v>
      </c>
      <c r="E20" s="85" t="str">
        <f>'원가계산서(양지사)'!E20</f>
        <v>나 1)의 2.3%</v>
      </c>
      <c r="F20" s="388"/>
      <c r="G20" s="391"/>
      <c r="H20" s="350" t="s">
        <v>6261</v>
      </c>
      <c r="I20" s="214">
        <v>1245334</v>
      </c>
      <c r="J20" s="61" t="str">
        <f>'원가계산서(양지사)'!J20</f>
        <v>나 1)의 2.3%</v>
      </c>
      <c r="K20" s="388"/>
      <c r="L20" s="391"/>
      <c r="M20" s="350" t="s">
        <v>6261</v>
      </c>
      <c r="N20" s="214">
        <f>INT(N9*2.3%)</f>
        <v>0</v>
      </c>
      <c r="O20" s="61" t="str">
        <f>'원가계산서(양지사)'!O20</f>
        <v>나 1)의 2.3%</v>
      </c>
      <c r="P20" s="336">
        <f>2.3*0.01</f>
        <v>2.3E-2</v>
      </c>
    </row>
    <row r="21" spans="1:18" ht="22.5" customHeight="1">
      <c r="A21" s="388"/>
      <c r="B21" s="391"/>
      <c r="C21" s="60" t="s">
        <v>6264</v>
      </c>
      <c r="D21" s="84">
        <f t="shared" si="0"/>
        <v>22980414</v>
      </c>
      <c r="E21" s="86" t="str">
        <f>'원가계산서(양지사)'!E21</f>
        <v>(가+나)의 5.1%</v>
      </c>
      <c r="F21" s="388"/>
      <c r="G21" s="391"/>
      <c r="H21" s="60" t="s">
        <v>6264</v>
      </c>
      <c r="I21" s="214">
        <f>INT((I6+I11)*5.1%)</f>
        <v>22980414</v>
      </c>
      <c r="J21" s="61" t="str">
        <f>'원가계산서(양지사)'!J21</f>
        <v>(가+나)의 5.1%</v>
      </c>
      <c r="K21" s="388"/>
      <c r="L21" s="391"/>
      <c r="M21" s="60" t="s">
        <v>6264</v>
      </c>
      <c r="N21" s="214">
        <f>INT((N6+N11)*5.1%)</f>
        <v>0</v>
      </c>
      <c r="O21" s="61" t="str">
        <f>'원가계산서(양지사)'!O21</f>
        <v>(가+나)의 5.1%</v>
      </c>
      <c r="P21" s="336">
        <f>5.1*0.01</f>
        <v>5.0999999999999997E-2</v>
      </c>
      <c r="Q21" s="261"/>
    </row>
    <row r="22" spans="1:18" ht="22.5" customHeight="1">
      <c r="A22" s="388"/>
      <c r="B22" s="391"/>
      <c r="C22" s="87" t="s">
        <v>6286</v>
      </c>
      <c r="D22" s="84">
        <f t="shared" si="0"/>
        <v>452915</v>
      </c>
      <c r="E22" s="86" t="str">
        <f>'원가계산서(양지사)'!E22</f>
        <v>가1)+나1)+다1)의 0.1%</v>
      </c>
      <c r="F22" s="388"/>
      <c r="G22" s="391"/>
      <c r="H22" s="87" t="s">
        <v>6286</v>
      </c>
      <c r="I22" s="214">
        <f>INT((I6+I9+I12)*0.1%)</f>
        <v>452915</v>
      </c>
      <c r="J22" s="61" t="str">
        <f>'원가계산서(양지사)'!J22</f>
        <v>가1)+나1)+다1)의 0.1%</v>
      </c>
      <c r="K22" s="388"/>
      <c r="L22" s="391"/>
      <c r="M22" s="87" t="s">
        <v>6286</v>
      </c>
      <c r="N22" s="214">
        <f>INT((N6+N9+N12)*0.1%)</f>
        <v>0</v>
      </c>
      <c r="O22" s="61" t="str">
        <f>'원가계산서(양지사)'!O22</f>
        <v>가1)+나1)+다1)의 0.1%</v>
      </c>
      <c r="P22" s="336">
        <f>0.1*0.01</f>
        <v>1E-3</v>
      </c>
    </row>
    <row r="23" spans="1:18" ht="22.5" customHeight="1">
      <c r="A23" s="388"/>
      <c r="B23" s="391"/>
      <c r="C23" s="351" t="s">
        <v>6288</v>
      </c>
      <c r="D23" s="84">
        <f t="shared" si="0"/>
        <v>1412680</v>
      </c>
      <c r="E23" s="86"/>
      <c r="F23" s="388"/>
      <c r="G23" s="391"/>
      <c r="H23" s="351" t="s">
        <v>6288</v>
      </c>
      <c r="I23" s="212">
        <v>1412680</v>
      </c>
      <c r="J23" s="61"/>
      <c r="K23" s="388"/>
      <c r="L23" s="391"/>
      <c r="M23" s="351" t="s">
        <v>6288</v>
      </c>
      <c r="N23" s="212">
        <f>0</f>
        <v>0</v>
      </c>
      <c r="O23" s="61"/>
      <c r="P23" s="335"/>
    </row>
    <row r="24" spans="1:18" ht="22.5" customHeight="1">
      <c r="A24" s="388"/>
      <c r="B24" s="392"/>
      <c r="C24" s="77" t="s">
        <v>6248</v>
      </c>
      <c r="D24" s="84">
        <f t="shared" si="0"/>
        <v>57621190</v>
      </c>
      <c r="E24" s="88"/>
      <c r="F24" s="388"/>
      <c r="G24" s="392"/>
      <c r="H24" s="77" t="s">
        <v>6248</v>
      </c>
      <c r="I24" s="215">
        <f>SUM(I12:I23)</f>
        <v>57621190</v>
      </c>
      <c r="J24" s="72"/>
      <c r="K24" s="388"/>
      <c r="L24" s="392"/>
      <c r="M24" s="77" t="s">
        <v>6248</v>
      </c>
      <c r="N24" s="215">
        <f>SUM(N12:N23)</f>
        <v>0</v>
      </c>
      <c r="O24" s="61"/>
      <c r="P24" s="335"/>
    </row>
    <row r="25" spans="1:18" ht="22.5" customHeight="1">
      <c r="A25" s="389"/>
      <c r="B25" s="385" t="s">
        <v>6267</v>
      </c>
      <c r="C25" s="386"/>
      <c r="D25" s="84">
        <f t="shared" si="0"/>
        <v>508217554</v>
      </c>
      <c r="E25" s="89"/>
      <c r="F25" s="389"/>
      <c r="G25" s="385" t="s">
        <v>6267</v>
      </c>
      <c r="H25" s="386"/>
      <c r="I25" s="215">
        <f>I8+I11+I24</f>
        <v>508217554</v>
      </c>
      <c r="J25" s="73"/>
      <c r="K25" s="389"/>
      <c r="L25" s="385" t="s">
        <v>6267</v>
      </c>
      <c r="M25" s="386"/>
      <c r="N25" s="215">
        <f>N8+N11+N24</f>
        <v>0</v>
      </c>
      <c r="O25" s="73"/>
      <c r="P25" s="335"/>
    </row>
    <row r="26" spans="1:18" ht="22.5" customHeight="1">
      <c r="A26" s="90">
        <v>2</v>
      </c>
      <c r="B26" s="393" t="s">
        <v>6268</v>
      </c>
      <c r="C26" s="393"/>
      <c r="D26" s="84">
        <f t="shared" si="0"/>
        <v>33034141</v>
      </c>
      <c r="E26" s="86" t="str">
        <f>'원가계산서(양지사)'!E26</f>
        <v>1 의 6.5%</v>
      </c>
      <c r="F26" s="90">
        <v>2</v>
      </c>
      <c r="G26" s="393" t="s">
        <v>6268</v>
      </c>
      <c r="H26" s="393"/>
      <c r="I26" s="212">
        <f>INT(I25*6.5%)</f>
        <v>33034141</v>
      </c>
      <c r="J26" s="68" t="str">
        <f>E26</f>
        <v>1 의 6.5%</v>
      </c>
      <c r="K26" s="90">
        <v>2</v>
      </c>
      <c r="L26" s="393" t="s">
        <v>6268</v>
      </c>
      <c r="M26" s="393"/>
      <c r="N26" s="212">
        <f>INT(N25*6.5%)</f>
        <v>0</v>
      </c>
      <c r="O26" s="68" t="str">
        <f>E26</f>
        <v>1 의 6.5%</v>
      </c>
      <c r="P26" s="341">
        <f>6.5*0.01</f>
        <v>6.5000000000000002E-2</v>
      </c>
      <c r="Q26" s="261"/>
    </row>
    <row r="27" spans="1:18" ht="22.5" customHeight="1">
      <c r="A27" s="90">
        <v>3</v>
      </c>
      <c r="B27" s="393" t="s">
        <v>6269</v>
      </c>
      <c r="C27" s="393"/>
      <c r="D27" s="84">
        <f t="shared" si="0"/>
        <v>21852547</v>
      </c>
      <c r="E27" s="86" t="str">
        <f>'원가계산서(양지사)'!E27</f>
        <v>나+다+2의 15%</v>
      </c>
      <c r="F27" s="90">
        <v>3</v>
      </c>
      <c r="G27" s="393" t="s">
        <v>6269</v>
      </c>
      <c r="H27" s="393"/>
      <c r="I27" s="215">
        <f>INT((I11+I24+I26)*15%)-46</f>
        <v>21852547</v>
      </c>
      <c r="J27" s="68" t="s">
        <v>6289</v>
      </c>
      <c r="K27" s="90">
        <v>3</v>
      </c>
      <c r="L27" s="393" t="s">
        <v>6269</v>
      </c>
      <c r="M27" s="393"/>
      <c r="N27" s="215">
        <f>INT((N11+N24+N26)*15%)</f>
        <v>0</v>
      </c>
      <c r="O27" s="68" t="s">
        <v>6289</v>
      </c>
      <c r="P27" s="336">
        <f>15*0.01</f>
        <v>0.15</v>
      </c>
    </row>
    <row r="28" spans="1:18" ht="22.5" customHeight="1">
      <c r="A28" s="90">
        <v>4</v>
      </c>
      <c r="B28" s="398" t="s">
        <v>6290</v>
      </c>
      <c r="C28" s="386"/>
      <c r="D28" s="84">
        <f t="shared" si="0"/>
        <v>6759458</v>
      </c>
      <c r="E28" s="86"/>
      <c r="F28" s="90">
        <v>4</v>
      </c>
      <c r="G28" s="398" t="s">
        <v>6290</v>
      </c>
      <c r="H28" s="386"/>
      <c r="I28" s="215">
        <v>6759458</v>
      </c>
      <c r="J28" s="68"/>
      <c r="K28" s="90">
        <v>4</v>
      </c>
      <c r="L28" s="398" t="s">
        <v>6290</v>
      </c>
      <c r="M28" s="386"/>
      <c r="N28" s="215">
        <v>0</v>
      </c>
      <c r="O28" s="68"/>
      <c r="P28" s="335"/>
      <c r="R28" s="261" t="s">
        <v>6559</v>
      </c>
    </row>
    <row r="29" spans="1:18" ht="22.5" customHeight="1">
      <c r="A29" s="90">
        <v>5</v>
      </c>
      <c r="B29" s="393" t="s">
        <v>6270</v>
      </c>
      <c r="C29" s="393"/>
      <c r="D29" s="84">
        <f t="shared" si="0"/>
        <v>569863700</v>
      </c>
      <c r="E29" s="61"/>
      <c r="F29" s="90">
        <v>5</v>
      </c>
      <c r="G29" s="393" t="s">
        <v>6270</v>
      </c>
      <c r="H29" s="393"/>
      <c r="I29" s="215">
        <f>SUM(I25:I28)</f>
        <v>569863700</v>
      </c>
      <c r="J29" s="61"/>
      <c r="K29" s="90">
        <v>5</v>
      </c>
      <c r="L29" s="393" t="s">
        <v>6270</v>
      </c>
      <c r="M29" s="393"/>
      <c r="N29" s="215">
        <f>SUM(N25:N28)</f>
        <v>0</v>
      </c>
      <c r="O29" s="61"/>
      <c r="P29" s="335"/>
    </row>
    <row r="30" spans="1:18" ht="22.5" customHeight="1">
      <c r="A30" s="90">
        <v>6</v>
      </c>
      <c r="B30" s="393" t="s">
        <v>6271</v>
      </c>
      <c r="C30" s="393"/>
      <c r="D30" s="84">
        <f t="shared" si="0"/>
        <v>56986370</v>
      </c>
      <c r="E30" s="68" t="str">
        <f>'원가계산서(양지사)'!E30</f>
        <v>5의 10%</v>
      </c>
      <c r="F30" s="90">
        <v>6</v>
      </c>
      <c r="G30" s="393" t="s">
        <v>6271</v>
      </c>
      <c r="H30" s="393"/>
      <c r="I30" s="215">
        <f>INT(I29*10%)</f>
        <v>56986370</v>
      </c>
      <c r="J30" s="68" t="s">
        <v>6272</v>
      </c>
      <c r="K30" s="90">
        <v>6</v>
      </c>
      <c r="L30" s="393" t="s">
        <v>6271</v>
      </c>
      <c r="M30" s="393"/>
      <c r="N30" s="215">
        <f>INT(N29*10%)</f>
        <v>0</v>
      </c>
      <c r="O30" s="68" t="s">
        <v>6272</v>
      </c>
      <c r="P30" s="335"/>
    </row>
    <row r="31" spans="1:18" ht="22.5" customHeight="1">
      <c r="A31" s="75">
        <v>7</v>
      </c>
      <c r="B31" s="401" t="s">
        <v>6273</v>
      </c>
      <c r="C31" s="402"/>
      <c r="D31" s="78">
        <f t="shared" si="0"/>
        <v>626850070</v>
      </c>
      <c r="E31" s="76"/>
      <c r="F31" s="75">
        <v>7</v>
      </c>
      <c r="G31" s="401" t="s">
        <v>6273</v>
      </c>
      <c r="H31" s="402"/>
      <c r="I31" s="216">
        <f>I29+I30</f>
        <v>626850070</v>
      </c>
      <c r="J31" s="76"/>
      <c r="K31" s="75">
        <v>7</v>
      </c>
      <c r="L31" s="401" t="s">
        <v>6273</v>
      </c>
      <c r="M31" s="402"/>
      <c r="N31" s="216">
        <f>N29+N30</f>
        <v>0</v>
      </c>
      <c r="O31" s="76"/>
      <c r="P31" s="335"/>
    </row>
    <row r="32" spans="1:18" ht="22.5" customHeight="1">
      <c r="A32" s="399" t="s">
        <v>6577</v>
      </c>
      <c r="B32" s="400"/>
      <c r="C32" s="400"/>
      <c r="D32" s="400"/>
      <c r="E32" s="400"/>
      <c r="F32" s="399"/>
      <c r="G32" s="400"/>
      <c r="H32" s="400"/>
      <c r="I32" s="400"/>
      <c r="J32" s="400"/>
      <c r="K32" s="399"/>
      <c r="L32" s="400"/>
      <c r="M32" s="400"/>
      <c r="N32" s="400"/>
      <c r="O32" s="400"/>
    </row>
    <row r="34" spans="6:11">
      <c r="F34" s="92"/>
    </row>
    <row r="35" spans="6:11">
      <c r="I35" s="79" t="s">
        <v>6601</v>
      </c>
      <c r="J35" s="304" t="s">
        <v>6602</v>
      </c>
      <c r="K35" s="304" t="s">
        <v>6603</v>
      </c>
    </row>
    <row r="36" spans="6:11">
      <c r="H36" s="304" t="s">
        <v>6563</v>
      </c>
      <c r="I36" s="203">
        <f>'내역서(서부지사)-1차'!$F$6+'내역서(서부지사)-1차'!$H$6</f>
        <v>443377144</v>
      </c>
      <c r="J36" s="258">
        <f>I36/SUM($I$36:$I$39)</f>
        <v>0.4382825320690581</v>
      </c>
      <c r="K36" s="203">
        <f>ROUND(4325000*$J$36,0)</f>
        <v>1895572</v>
      </c>
    </row>
    <row r="37" spans="6:11">
      <c r="H37" s="304" t="s">
        <v>6564</v>
      </c>
      <c r="I37" s="203">
        <f>'내역서(서부지사)-2차'!$F$6+'내역서(서부지사)-2차'!$H$6</f>
        <v>0</v>
      </c>
      <c r="J37" s="258">
        <f t="shared" ref="J37:J39" si="1">I37/SUM($I$36:$I$39)</f>
        <v>0</v>
      </c>
      <c r="K37" s="203">
        <f>ROUND(4325000*$J$37,0)</f>
        <v>0</v>
      </c>
    </row>
    <row r="38" spans="6:11">
      <c r="H38" s="304" t="s">
        <v>6565</v>
      </c>
      <c r="I38" s="203">
        <f>'내역서(동부지사)-1차'!$F$6+'내역서(동부지사)-1차'!$H$6</f>
        <v>421960372</v>
      </c>
      <c r="J38" s="258">
        <f t="shared" si="1"/>
        <v>0.41711184885290725</v>
      </c>
      <c r="K38" s="203">
        <f>ROUND(4325000*$J$38,0)</f>
        <v>1804009</v>
      </c>
    </row>
    <row r="39" spans="6:11">
      <c r="H39" s="304" t="s">
        <v>6566</v>
      </c>
      <c r="I39" s="203">
        <f>'내역서(동부지사)-2차'!$F$6+'내역서(동부지사)-2차'!$H$6</f>
        <v>146286520</v>
      </c>
      <c r="J39" s="258">
        <f t="shared" si="1"/>
        <v>0.14460561907803463</v>
      </c>
      <c r="K39" s="203">
        <f>ROUND(4325000*$J$39,0)</f>
        <v>625419</v>
      </c>
    </row>
    <row r="41" spans="6:11">
      <c r="J41" s="304" t="s">
        <v>6567</v>
      </c>
      <c r="K41" s="91">
        <f>SUM(K36:K39)</f>
        <v>4325000</v>
      </c>
    </row>
    <row r="43" spans="6:11">
      <c r="I43" s="203"/>
    </row>
  </sheetData>
  <mergeCells count="54">
    <mergeCell ref="A32:E32"/>
    <mergeCell ref="F32:J32"/>
    <mergeCell ref="K32:O32"/>
    <mergeCell ref="B30:C30"/>
    <mergeCell ref="G30:H30"/>
    <mergeCell ref="L30:M30"/>
    <mergeCell ref="B31:C31"/>
    <mergeCell ref="G31:H31"/>
    <mergeCell ref="L31:M31"/>
    <mergeCell ref="B28:C28"/>
    <mergeCell ref="G28:H28"/>
    <mergeCell ref="L28:M28"/>
    <mergeCell ref="B29:C29"/>
    <mergeCell ref="G29:H29"/>
    <mergeCell ref="L29:M29"/>
    <mergeCell ref="L25:M25"/>
    <mergeCell ref="B26:C26"/>
    <mergeCell ref="G26:H26"/>
    <mergeCell ref="L26:M26"/>
    <mergeCell ref="B27:C27"/>
    <mergeCell ref="G27:H27"/>
    <mergeCell ref="L27:M27"/>
    <mergeCell ref="K6:K25"/>
    <mergeCell ref="L6:L8"/>
    <mergeCell ref="B9:B11"/>
    <mergeCell ref="G9:G11"/>
    <mergeCell ref="L9:L11"/>
    <mergeCell ref="B12:B24"/>
    <mergeCell ref="G12:G24"/>
    <mergeCell ref="L12:L24"/>
    <mergeCell ref="G6:G8"/>
    <mergeCell ref="G25:H25"/>
    <mergeCell ref="A6:A25"/>
    <mergeCell ref="B6:B8"/>
    <mergeCell ref="F6:F25"/>
    <mergeCell ref="B25:C25"/>
    <mergeCell ref="O4:O5"/>
    <mergeCell ref="A3:C3"/>
    <mergeCell ref="F3:H3"/>
    <mergeCell ref="K3:M3"/>
    <mergeCell ref="A4:C5"/>
    <mergeCell ref="D4:D5"/>
    <mergeCell ref="E4:E5"/>
    <mergeCell ref="F4:H5"/>
    <mergeCell ref="I4:I5"/>
    <mergeCell ref="J4:J5"/>
    <mergeCell ref="K4:M5"/>
    <mergeCell ref="N4:N5"/>
    <mergeCell ref="A1:E1"/>
    <mergeCell ref="F1:J1"/>
    <mergeCell ref="K1:O1"/>
    <mergeCell ref="A2:E2"/>
    <mergeCell ref="F2:J2"/>
    <mergeCell ref="K2:O2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BI32"/>
  <sheetViews>
    <sheetView view="pageBreakPreview" zoomScaleNormal="100" zoomScaleSheetLayoutView="100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H30" sqref="H30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F4" s="98" t="e">
        <f>TRUNC(F5,0)</f>
        <v>#REF!</v>
      </c>
      <c r="H4" s="98" t="e">
        <f>TRUNC(H5,0)</f>
        <v>#REF!</v>
      </c>
      <c r="J4" s="98" t="e">
        <f>TRUNC(J5,0)</f>
        <v>#REF!</v>
      </c>
      <c r="L4" s="98" t="e">
        <f>F4+H4+J4</f>
        <v>#REF!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98" t="e">
        <f>F9</f>
        <v>#REF!</v>
      </c>
      <c r="F5" s="98" t="e">
        <f>TRUNC(E5*C5,0)</f>
        <v>#REF!</v>
      </c>
      <c r="G5" s="98" t="e">
        <f>H9</f>
        <v>#REF!</v>
      </c>
      <c r="H5" s="98" t="e">
        <f>TRUNC(G5*C5,0)</f>
        <v>#REF!</v>
      </c>
      <c r="I5" s="98" t="e">
        <f>J9</f>
        <v>#REF!</v>
      </c>
      <c r="J5" s="98" t="e">
        <f>TRUNC(I5*C5,0)</f>
        <v>#REF!</v>
      </c>
      <c r="K5" s="98" t="e">
        <f>E5+G5+I5</f>
        <v>#REF!</v>
      </c>
      <c r="L5" s="98" t="e">
        <f>F5+H5+J5</f>
        <v>#REF!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95"/>
      <c r="F6" s="98" t="e">
        <f>TRUNC(F5,0)</f>
        <v>#REF!</v>
      </c>
      <c r="G6" s="95"/>
      <c r="H6" s="98" t="e">
        <f>TRUNC(H5,0)</f>
        <v>#REF!</v>
      </c>
      <c r="I6" s="95"/>
      <c r="J6" s="98" t="e">
        <f>TRUNC(J5,0)</f>
        <v>#REF!</v>
      </c>
      <c r="K6" s="98">
        <f>E6+G6+I6</f>
        <v>0</v>
      </c>
      <c r="L6" s="98" t="e">
        <f>F6+H6+J6</f>
        <v>#REF!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95"/>
      <c r="F7" s="98">
        <v>0</v>
      </c>
      <c r="G7" s="95"/>
      <c r="H7" s="98">
        <v>0</v>
      </c>
      <c r="I7" s="95"/>
      <c r="J7" s="98">
        <v>0</v>
      </c>
      <c r="K7" s="98">
        <f>E7+G7+I7</f>
        <v>0</v>
      </c>
      <c r="L7" s="98">
        <f>F7+H7+J7</f>
        <v>0</v>
      </c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</row>
    <row r="9" spans="1:61" ht="18.399999999999999" customHeight="1">
      <c r="A9" s="96" t="s">
        <v>5088</v>
      </c>
      <c r="B9" s="103" t="s">
        <v>6232</v>
      </c>
      <c r="C9" s="95">
        <v>1</v>
      </c>
      <c r="D9" s="97" t="s">
        <v>5012</v>
      </c>
      <c r="F9" s="98" t="e">
        <f>F26</f>
        <v>#REF!</v>
      </c>
      <c r="H9" s="98" t="e">
        <f>H26</f>
        <v>#REF!</v>
      </c>
      <c r="J9" s="98" t="e">
        <f>J26</f>
        <v>#REF!</v>
      </c>
      <c r="L9" s="98" t="e">
        <f>F9+H9+J9</f>
        <v>#REF!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95"/>
      <c r="F10" s="98">
        <v>0</v>
      </c>
      <c r="G10" s="95"/>
      <c r="H10" s="98">
        <v>0</v>
      </c>
      <c r="I10" s="95"/>
      <c r="J10" s="98">
        <v>0</v>
      </c>
      <c r="K10" s="98">
        <f t="shared" ref="K10:L27" si="0">E10+G10+I10</f>
        <v>0</v>
      </c>
      <c r="L10" s="98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1570</v>
      </c>
      <c r="C11" s="104" t="e">
        <f>수량집계!#REF!</f>
        <v>#REF!</v>
      </c>
      <c r="D11" s="95" t="s">
        <v>6293</v>
      </c>
      <c r="E11" s="98" t="e">
        <f>일위대가목록!#REF!</f>
        <v>#REF!</v>
      </c>
      <c r="F11" s="98" t="e">
        <f t="shared" ref="F11:F25" si="1">TRUNC(E11*C11,0)</f>
        <v>#REF!</v>
      </c>
      <c r="G11" s="98" t="e">
        <f>일위대가목록!#REF!</f>
        <v>#REF!</v>
      </c>
      <c r="H11" s="98" t="e">
        <f t="shared" ref="H11:H25" si="2">TRUNC(G11*C11,0)</f>
        <v>#REF!</v>
      </c>
      <c r="I11" s="98" t="e">
        <f>일위대가목록!#REF!</f>
        <v>#REF!</v>
      </c>
      <c r="J11" s="98" t="e">
        <f t="shared" ref="J11:J25" si="3">TRUNC(I11*C11,0)</f>
        <v>#REF!</v>
      </c>
      <c r="K11" s="98" t="e">
        <f t="shared" si="0"/>
        <v>#REF!</v>
      </c>
      <c r="L11" s="98" t="e">
        <f t="shared" si="0"/>
        <v>#REF!</v>
      </c>
      <c r="M11" s="99" t="s">
        <v>6304</v>
      </c>
      <c r="N11" s="55" t="s">
        <v>6232</v>
      </c>
      <c r="P11" s="55" t="s">
        <v>687</v>
      </c>
      <c r="Q11" s="55" t="s">
        <v>6232</v>
      </c>
      <c r="R11" s="55" t="s">
        <v>456</v>
      </c>
      <c r="T11" s="55" t="s">
        <v>3860</v>
      </c>
      <c r="BI11" s="100" t="str">
        <f>HYPERLINK("#일위대가목록!A608","SZD0001-100 →")</f>
        <v>SZD0001-100 →</v>
      </c>
    </row>
    <row r="12" spans="1:61" ht="18.399999999999999" customHeight="1">
      <c r="A12" s="96" t="s">
        <v>3784</v>
      </c>
      <c r="B12" s="103" t="s">
        <v>2531</v>
      </c>
      <c r="C12" s="104" t="e">
        <f>수량집계!#REF!</f>
        <v>#REF!</v>
      </c>
      <c r="D12" s="95" t="s">
        <v>6293</v>
      </c>
      <c r="E12" s="98" t="e">
        <f>일위대가목록!#REF!</f>
        <v>#REF!</v>
      </c>
      <c r="F12" s="98" t="e">
        <f t="shared" si="1"/>
        <v>#REF!</v>
      </c>
      <c r="G12" s="98" t="e">
        <f>일위대가목록!#REF!</f>
        <v>#REF!</v>
      </c>
      <c r="H12" s="98" t="e">
        <f t="shared" si="2"/>
        <v>#REF!</v>
      </c>
      <c r="I12" s="98" t="e">
        <f>일위대가목록!#REF!</f>
        <v>#REF!</v>
      </c>
      <c r="J12" s="98" t="e">
        <f t="shared" si="3"/>
        <v>#REF!</v>
      </c>
      <c r="K12" s="98" t="e">
        <f t="shared" si="0"/>
        <v>#REF!</v>
      </c>
      <c r="L12" s="98" t="e">
        <f t="shared" si="0"/>
        <v>#REF!</v>
      </c>
      <c r="M12" s="99" t="s">
        <v>6305</v>
      </c>
      <c r="N12" s="55" t="s">
        <v>6232</v>
      </c>
      <c r="P12" s="55" t="s">
        <v>272</v>
      </c>
      <c r="Q12" s="55" t="s">
        <v>6232</v>
      </c>
      <c r="R12" s="55" t="s">
        <v>739</v>
      </c>
      <c r="T12" s="55" t="s">
        <v>3860</v>
      </c>
      <c r="BI12" s="100" t="str">
        <f>HYPERLINK("#일위대가목록!A609","SZD0001-125 →")</f>
        <v>SZD0001-125 →</v>
      </c>
    </row>
    <row r="13" spans="1:61" ht="18.399999999999999" customHeight="1">
      <c r="A13" s="96" t="s">
        <v>3784</v>
      </c>
      <c r="B13" s="103" t="s">
        <v>4102</v>
      </c>
      <c r="C13" s="104" t="e">
        <f>수량집계!#REF!</f>
        <v>#REF!</v>
      </c>
      <c r="D13" s="95" t="s">
        <v>6293</v>
      </c>
      <c r="E13" s="98" t="e">
        <f>일위대가목록!#REF!</f>
        <v>#REF!</v>
      </c>
      <c r="F13" s="98" t="e">
        <f t="shared" si="1"/>
        <v>#REF!</v>
      </c>
      <c r="G13" s="98" t="e">
        <f>일위대가목록!#REF!</f>
        <v>#REF!</v>
      </c>
      <c r="H13" s="98" t="e">
        <f t="shared" si="2"/>
        <v>#REF!</v>
      </c>
      <c r="I13" s="98" t="e">
        <f>일위대가목록!#REF!</f>
        <v>#REF!</v>
      </c>
      <c r="J13" s="98" t="e">
        <f t="shared" si="3"/>
        <v>#REF!</v>
      </c>
      <c r="K13" s="98" t="e">
        <f t="shared" si="0"/>
        <v>#REF!</v>
      </c>
      <c r="L13" s="98" t="e">
        <f t="shared" si="0"/>
        <v>#REF!</v>
      </c>
      <c r="M13" s="99" t="s">
        <v>6306</v>
      </c>
      <c r="N13" s="55" t="s">
        <v>6232</v>
      </c>
      <c r="P13" s="55" t="s">
        <v>1856</v>
      </c>
      <c r="Q13" s="55" t="s">
        <v>6232</v>
      </c>
      <c r="R13" s="55" t="s">
        <v>2083</v>
      </c>
      <c r="T13" s="55" t="s">
        <v>3860</v>
      </c>
      <c r="BI13" s="100" t="str">
        <f>HYPERLINK("#일위대가목록!A610","SZD0001-150 →")</f>
        <v>SZD0001-150 →</v>
      </c>
    </row>
    <row r="14" spans="1:61" ht="18.399999999999999" customHeight="1">
      <c r="A14" s="96" t="s">
        <v>3784</v>
      </c>
      <c r="B14" s="103" t="s">
        <v>4184</v>
      </c>
      <c r="C14" s="104" t="e">
        <f>수량집계!#REF!</f>
        <v>#REF!</v>
      </c>
      <c r="D14" s="95" t="s">
        <v>6293</v>
      </c>
      <c r="E14" s="98" t="e">
        <f>일위대가목록!#REF!</f>
        <v>#REF!</v>
      </c>
      <c r="F14" s="98" t="e">
        <f t="shared" si="1"/>
        <v>#REF!</v>
      </c>
      <c r="G14" s="98" t="e">
        <f>일위대가목록!#REF!</f>
        <v>#REF!</v>
      </c>
      <c r="H14" s="98" t="e">
        <f t="shared" si="2"/>
        <v>#REF!</v>
      </c>
      <c r="I14" s="98" t="e">
        <f>일위대가목록!#REF!</f>
        <v>#REF!</v>
      </c>
      <c r="J14" s="98" t="e">
        <f t="shared" si="3"/>
        <v>#REF!</v>
      </c>
      <c r="K14" s="98" t="e">
        <f t="shared" si="0"/>
        <v>#REF!</v>
      </c>
      <c r="L14" s="98" t="e">
        <f t="shared" si="0"/>
        <v>#REF!</v>
      </c>
      <c r="M14" s="99" t="s">
        <v>6307</v>
      </c>
      <c r="N14" s="55" t="s">
        <v>6232</v>
      </c>
      <c r="P14" s="55" t="s">
        <v>3438</v>
      </c>
      <c r="Q14" s="55" t="s">
        <v>6232</v>
      </c>
      <c r="R14" s="55" t="s">
        <v>1776</v>
      </c>
      <c r="T14" s="55" t="s">
        <v>3860</v>
      </c>
      <c r="BI14" s="100" t="str">
        <f>HYPERLINK("#일위대가목록!A611","SZD0001-200 →")</f>
        <v>SZD0001-200 →</v>
      </c>
    </row>
    <row r="15" spans="1:61" ht="18.399999999999999" customHeight="1">
      <c r="A15" s="96" t="s">
        <v>3784</v>
      </c>
      <c r="B15" s="103" t="s">
        <v>1695</v>
      </c>
      <c r="C15" s="104" t="e">
        <f>수량집계!#REF!</f>
        <v>#REF!</v>
      </c>
      <c r="D15" s="95" t="s">
        <v>6293</v>
      </c>
      <c r="E15" s="98" t="e">
        <f>일위대가목록!#REF!</f>
        <v>#REF!</v>
      </c>
      <c r="F15" s="98" t="e">
        <f t="shared" si="1"/>
        <v>#REF!</v>
      </c>
      <c r="G15" s="98" t="e">
        <f>일위대가목록!#REF!</f>
        <v>#REF!</v>
      </c>
      <c r="H15" s="98" t="e">
        <f t="shared" si="2"/>
        <v>#REF!</v>
      </c>
      <c r="I15" s="98" t="e">
        <f>일위대가목록!#REF!</f>
        <v>#REF!</v>
      </c>
      <c r="J15" s="98" t="e">
        <f t="shared" si="3"/>
        <v>#REF!</v>
      </c>
      <c r="K15" s="98" t="e">
        <f t="shared" si="0"/>
        <v>#REF!</v>
      </c>
      <c r="L15" s="98" t="e">
        <f t="shared" si="0"/>
        <v>#REF!</v>
      </c>
      <c r="M15" s="99" t="s">
        <v>6308</v>
      </c>
      <c r="N15" s="55" t="s">
        <v>6232</v>
      </c>
      <c r="P15" s="55" t="s">
        <v>5024</v>
      </c>
      <c r="Q15" s="55" t="s">
        <v>6232</v>
      </c>
      <c r="R15" s="55" t="s">
        <v>343</v>
      </c>
      <c r="T15" s="55" t="s">
        <v>3860</v>
      </c>
      <c r="BI15" s="100" t="str">
        <f>HYPERLINK("#일위대가목록!A612","SZD0001-250 →")</f>
        <v>SZD0001-250 →</v>
      </c>
    </row>
    <row r="16" spans="1:61" ht="18.399999999999999" customHeight="1">
      <c r="A16" s="96" t="s">
        <v>3784</v>
      </c>
      <c r="B16" s="103" t="s">
        <v>4869</v>
      </c>
      <c r="C16" s="104" t="e">
        <f>수량집계!#REF!</f>
        <v>#REF!</v>
      </c>
      <c r="D16" s="95" t="s">
        <v>6293</v>
      </c>
      <c r="E16" s="98">
        <f>일위대가목록!F3</f>
        <v>10581357</v>
      </c>
      <c r="F16" s="98" t="e">
        <f t="shared" si="1"/>
        <v>#REF!</v>
      </c>
      <c r="G16" s="98">
        <f>일위대가목록!G3</f>
        <v>2096589</v>
      </c>
      <c r="H16" s="98" t="e">
        <f t="shared" si="2"/>
        <v>#REF!</v>
      </c>
      <c r="I16" s="98">
        <f>일위대가목록!H3</f>
        <v>699695</v>
      </c>
      <c r="J16" s="98" t="e">
        <f t="shared" si="3"/>
        <v>#REF!</v>
      </c>
      <c r="K16" s="98">
        <f t="shared" si="0"/>
        <v>13377641</v>
      </c>
      <c r="L16" s="98" t="e">
        <f t="shared" si="0"/>
        <v>#REF!</v>
      </c>
      <c r="M16" s="99" t="s">
        <v>6309</v>
      </c>
      <c r="N16" s="55" t="s">
        <v>6232</v>
      </c>
      <c r="P16" s="55" t="s">
        <v>180</v>
      </c>
      <c r="Q16" s="55" t="s">
        <v>6232</v>
      </c>
      <c r="R16" s="55" t="s">
        <v>3028</v>
      </c>
      <c r="T16" s="55" t="s">
        <v>3860</v>
      </c>
      <c r="BI16" s="100" t="str">
        <f>HYPERLINK("#일위대가목록!A613","SZD0001-300 →")</f>
        <v>SZD0001-300 →</v>
      </c>
    </row>
    <row r="17" spans="1:61" ht="18.399999999999999" customHeight="1">
      <c r="A17" s="96" t="s">
        <v>3784</v>
      </c>
      <c r="B17" s="103" t="s">
        <v>808</v>
      </c>
      <c r="C17" s="104" t="e">
        <f>수량집계!#REF!</f>
        <v>#REF!</v>
      </c>
      <c r="D17" s="95" t="s">
        <v>6293</v>
      </c>
      <c r="E17" s="98" t="e">
        <f>일위대가목록!#REF!</f>
        <v>#REF!</v>
      </c>
      <c r="F17" s="98" t="e">
        <f t="shared" si="1"/>
        <v>#REF!</v>
      </c>
      <c r="G17" s="98" t="e">
        <f>일위대가목록!#REF!</f>
        <v>#REF!</v>
      </c>
      <c r="H17" s="98" t="e">
        <f t="shared" si="2"/>
        <v>#REF!</v>
      </c>
      <c r="I17" s="98" t="e">
        <f>일위대가목록!#REF!</f>
        <v>#REF!</v>
      </c>
      <c r="J17" s="98" t="e">
        <f t="shared" si="3"/>
        <v>#REF!</v>
      </c>
      <c r="K17" s="98" t="e">
        <f t="shared" si="0"/>
        <v>#REF!</v>
      </c>
      <c r="L17" s="98" t="e">
        <f t="shared" si="0"/>
        <v>#REF!</v>
      </c>
      <c r="M17" s="99" t="s">
        <v>6311</v>
      </c>
      <c r="N17" s="55" t="s">
        <v>6232</v>
      </c>
      <c r="P17" s="55" t="s">
        <v>1743</v>
      </c>
      <c r="Q17" s="55" t="s">
        <v>6232</v>
      </c>
      <c r="R17" s="55" t="s">
        <v>1336</v>
      </c>
      <c r="T17" s="55" t="s">
        <v>3860</v>
      </c>
      <c r="BI17" s="100" t="str">
        <f>HYPERLINK("#일위대가목록!A614","SZD0001-350 →")</f>
        <v>SZD0001-350 →</v>
      </c>
    </row>
    <row r="18" spans="1:61" ht="18.399999999999999" customHeight="1">
      <c r="A18" s="96" t="s">
        <v>3784</v>
      </c>
      <c r="B18" s="103" t="s">
        <v>2695</v>
      </c>
      <c r="C18" s="104" t="e">
        <f>수량집계!#REF!</f>
        <v>#REF!</v>
      </c>
      <c r="D18" s="95" t="s">
        <v>6293</v>
      </c>
      <c r="E18" s="98" t="e">
        <f>일위대가목록!#REF!</f>
        <v>#REF!</v>
      </c>
      <c r="F18" s="98" t="e">
        <f t="shared" si="1"/>
        <v>#REF!</v>
      </c>
      <c r="G18" s="98" t="e">
        <f>일위대가목록!#REF!</f>
        <v>#REF!</v>
      </c>
      <c r="H18" s="98" t="e">
        <f t="shared" si="2"/>
        <v>#REF!</v>
      </c>
      <c r="I18" s="98" t="e">
        <f>일위대가목록!#REF!</f>
        <v>#REF!</v>
      </c>
      <c r="J18" s="98" t="e">
        <f t="shared" si="3"/>
        <v>#REF!</v>
      </c>
      <c r="K18" s="98" t="e">
        <f t="shared" si="0"/>
        <v>#REF!</v>
      </c>
      <c r="L18" s="98" t="e">
        <f t="shared" si="0"/>
        <v>#REF!</v>
      </c>
      <c r="M18" s="99" t="s">
        <v>6312</v>
      </c>
      <c r="N18" s="55" t="s">
        <v>6232</v>
      </c>
      <c r="P18" s="55" t="s">
        <v>3344</v>
      </c>
      <c r="Q18" s="55" t="s">
        <v>6232</v>
      </c>
      <c r="R18" s="55" t="s">
        <v>6043</v>
      </c>
      <c r="T18" s="55" t="s">
        <v>3860</v>
      </c>
      <c r="BI18" s="100" t="str">
        <f>HYPERLINK("#일위대가목록!A615","SZD0001-400 →")</f>
        <v>SZD0001-400 →</v>
      </c>
    </row>
    <row r="19" spans="1:61" ht="18.399999999999999" customHeight="1">
      <c r="A19" s="96" t="s">
        <v>3784</v>
      </c>
      <c r="B19" s="103" t="s">
        <v>3762</v>
      </c>
      <c r="C19" s="104" t="e">
        <f>수량집계!#REF!</f>
        <v>#REF!</v>
      </c>
      <c r="D19" s="95" t="s">
        <v>6293</v>
      </c>
      <c r="E19" s="98">
        <f>일위대가목록!F4</f>
        <v>20995856</v>
      </c>
      <c r="F19" s="98" t="e">
        <f t="shared" si="1"/>
        <v>#REF!</v>
      </c>
      <c r="G19" s="98">
        <f>일위대가목록!G4</f>
        <v>2897828</v>
      </c>
      <c r="H19" s="98" t="e">
        <f t="shared" si="2"/>
        <v>#REF!</v>
      </c>
      <c r="I19" s="98">
        <f>일위대가목록!H4</f>
        <v>783296</v>
      </c>
      <c r="J19" s="98" t="e">
        <f t="shared" si="3"/>
        <v>#REF!</v>
      </c>
      <c r="K19" s="98">
        <f t="shared" si="0"/>
        <v>24676980</v>
      </c>
      <c r="L19" s="98" t="e">
        <f t="shared" si="0"/>
        <v>#REF!</v>
      </c>
      <c r="M19" s="99" t="s">
        <v>6313</v>
      </c>
      <c r="N19" s="55" t="s">
        <v>6232</v>
      </c>
      <c r="P19" s="55" t="s">
        <v>4925</v>
      </c>
      <c r="Q19" s="55" t="s">
        <v>6232</v>
      </c>
      <c r="R19" s="55" t="s">
        <v>4570</v>
      </c>
      <c r="T19" s="55" t="s">
        <v>3860</v>
      </c>
      <c r="BI19" s="100" t="str">
        <f>HYPERLINK("#일위대가목록!A616","SZD0001-450 →")</f>
        <v>SZD0001-450 →</v>
      </c>
    </row>
    <row r="20" spans="1:61" ht="18.399999999999999" customHeight="1">
      <c r="A20" s="96" t="s">
        <v>3784</v>
      </c>
      <c r="B20" s="103" t="s">
        <v>512</v>
      </c>
      <c r="C20" s="104" t="e">
        <f>수량집계!#REF!</f>
        <v>#REF!</v>
      </c>
      <c r="D20" s="95" t="s">
        <v>6293</v>
      </c>
      <c r="E20" s="98" t="e">
        <f>일위대가목록!#REF!</f>
        <v>#REF!</v>
      </c>
      <c r="F20" s="98" t="e">
        <f t="shared" si="1"/>
        <v>#REF!</v>
      </c>
      <c r="G20" s="98" t="e">
        <f>일위대가목록!#REF!</f>
        <v>#REF!</v>
      </c>
      <c r="H20" s="98" t="e">
        <f t="shared" si="2"/>
        <v>#REF!</v>
      </c>
      <c r="I20" s="98" t="e">
        <f>일위대가목록!#REF!</f>
        <v>#REF!</v>
      </c>
      <c r="J20" s="98" t="e">
        <f t="shared" si="3"/>
        <v>#REF!</v>
      </c>
      <c r="K20" s="98" t="e">
        <f t="shared" si="0"/>
        <v>#REF!</v>
      </c>
      <c r="L20" s="98" t="e">
        <f t="shared" si="0"/>
        <v>#REF!</v>
      </c>
      <c r="M20" s="99" t="s">
        <v>6315</v>
      </c>
      <c r="N20" s="55" t="s">
        <v>6232</v>
      </c>
      <c r="P20" s="55" t="s">
        <v>91</v>
      </c>
      <c r="Q20" s="55" t="s">
        <v>6232</v>
      </c>
      <c r="R20" s="55" t="s">
        <v>5023</v>
      </c>
      <c r="T20" s="55" t="s">
        <v>3860</v>
      </c>
      <c r="BI20" s="100" t="str">
        <f>HYPERLINK("#일위대가목록!A617","SZD0001-500 →")</f>
        <v>SZD0001-500 →</v>
      </c>
    </row>
    <row r="21" spans="1:61" ht="18.399999999999999" customHeight="1">
      <c r="A21" s="96" t="s">
        <v>3784</v>
      </c>
      <c r="B21" s="103" t="s">
        <v>6186</v>
      </c>
      <c r="C21" s="104" t="e">
        <f>수량집계!#REF!</f>
        <v>#REF!</v>
      </c>
      <c r="D21" s="95" t="s">
        <v>6293</v>
      </c>
      <c r="E21" s="98" t="e">
        <f>일위대가목록!#REF!</f>
        <v>#REF!</v>
      </c>
      <c r="F21" s="98" t="e">
        <f t="shared" si="1"/>
        <v>#REF!</v>
      </c>
      <c r="G21" s="98" t="e">
        <f>일위대가목록!#REF!</f>
        <v>#REF!</v>
      </c>
      <c r="H21" s="98" t="e">
        <f t="shared" si="2"/>
        <v>#REF!</v>
      </c>
      <c r="I21" s="98" t="e">
        <f>일위대가목록!#REF!</f>
        <v>#REF!</v>
      </c>
      <c r="J21" s="98" t="e">
        <f t="shared" si="3"/>
        <v>#REF!</v>
      </c>
      <c r="K21" s="98" t="e">
        <f t="shared" si="0"/>
        <v>#REF!</v>
      </c>
      <c r="L21" s="98" t="e">
        <f t="shared" si="0"/>
        <v>#REF!</v>
      </c>
      <c r="M21" s="99" t="s">
        <v>6316</v>
      </c>
      <c r="N21" s="55" t="s">
        <v>6232</v>
      </c>
      <c r="P21" s="55" t="s">
        <v>1649</v>
      </c>
      <c r="Q21" s="55" t="s">
        <v>6232</v>
      </c>
      <c r="R21" s="55" t="s">
        <v>3346</v>
      </c>
      <c r="T21" s="55" t="s">
        <v>3860</v>
      </c>
      <c r="BI21" s="100" t="str">
        <f>HYPERLINK("#일위대가목록!A618","SZD0001-550 →")</f>
        <v>SZD0001-550 →</v>
      </c>
    </row>
    <row r="22" spans="1:61" ht="18.399999999999999" customHeight="1">
      <c r="A22" s="96" t="s">
        <v>3784</v>
      </c>
      <c r="B22" s="103" t="s">
        <v>6103</v>
      </c>
      <c r="C22" s="104" t="e">
        <f>수량집계!#REF!</f>
        <v>#REF!</v>
      </c>
      <c r="D22" s="95" t="s">
        <v>6293</v>
      </c>
      <c r="E22" s="98">
        <f>일위대가목록!F5</f>
        <v>32245254</v>
      </c>
      <c r="F22" s="98" t="e">
        <f t="shared" si="1"/>
        <v>#REF!</v>
      </c>
      <c r="G22" s="98">
        <f>일위대가목록!G5</f>
        <v>3903873</v>
      </c>
      <c r="H22" s="98" t="e">
        <f t="shared" si="2"/>
        <v>#REF!</v>
      </c>
      <c r="I22" s="98">
        <f>일위대가목록!H5</f>
        <v>794083</v>
      </c>
      <c r="J22" s="98" t="e">
        <f t="shared" si="3"/>
        <v>#REF!</v>
      </c>
      <c r="K22" s="98">
        <f t="shared" si="0"/>
        <v>36943210</v>
      </c>
      <c r="L22" s="98" t="e">
        <f t="shared" si="0"/>
        <v>#REF!</v>
      </c>
      <c r="M22" s="99" t="s">
        <v>6317</v>
      </c>
      <c r="N22" s="55" t="s">
        <v>6232</v>
      </c>
      <c r="P22" s="55" t="s">
        <v>1430</v>
      </c>
      <c r="Q22" s="55" t="s">
        <v>6232</v>
      </c>
      <c r="R22" s="55" t="s">
        <v>3643</v>
      </c>
      <c r="T22" s="55" t="s">
        <v>3860</v>
      </c>
      <c r="BI22" s="100" t="str">
        <f>HYPERLINK("#일위대가목록!A619","SZD0001-600 →")</f>
        <v>SZD0001-600 →</v>
      </c>
    </row>
    <row r="23" spans="1:61" ht="18.399999999999999" customHeight="1">
      <c r="A23" s="96" t="s">
        <v>3784</v>
      </c>
      <c r="B23" s="103" t="s">
        <v>369</v>
      </c>
      <c r="C23" s="104" t="e">
        <f>수량집계!#REF!</f>
        <v>#REF!</v>
      </c>
      <c r="D23" s="95" t="s">
        <v>6293</v>
      </c>
      <c r="E23" s="98">
        <f>일위대가목록!F6</f>
        <v>34401427</v>
      </c>
      <c r="F23" s="98" t="e">
        <f t="shared" si="1"/>
        <v>#REF!</v>
      </c>
      <c r="G23" s="98">
        <f>일위대가목록!G6</f>
        <v>4144605</v>
      </c>
      <c r="H23" s="98" t="e">
        <f t="shared" si="2"/>
        <v>#REF!</v>
      </c>
      <c r="I23" s="98">
        <f>일위대가목록!H6</f>
        <v>796319</v>
      </c>
      <c r="J23" s="98" t="e">
        <f t="shared" si="3"/>
        <v>#REF!</v>
      </c>
      <c r="K23" s="98">
        <f t="shared" si="0"/>
        <v>39342351</v>
      </c>
      <c r="L23" s="98" t="e">
        <f t="shared" si="0"/>
        <v>#REF!</v>
      </c>
      <c r="M23" s="99" t="s">
        <v>6319</v>
      </c>
      <c r="N23" s="55" t="s">
        <v>6232</v>
      </c>
      <c r="P23" s="55" t="s">
        <v>2941</v>
      </c>
      <c r="Q23" s="55" t="s">
        <v>6232</v>
      </c>
      <c r="R23" s="55" t="s">
        <v>5128</v>
      </c>
      <c r="T23" s="55" t="s">
        <v>3860</v>
      </c>
      <c r="BI23" s="100" t="str">
        <f>HYPERLINK("#일위대가목록!A620","SZD0001-650 →")</f>
        <v>SZD0001-650 →</v>
      </c>
    </row>
    <row r="24" spans="1:61" ht="18.399999999999999" customHeight="1">
      <c r="A24" s="96" t="s">
        <v>3784</v>
      </c>
      <c r="B24" s="103" t="s">
        <v>3821</v>
      </c>
      <c r="C24" s="104" t="e">
        <f>수량집계!#REF!</f>
        <v>#REF!</v>
      </c>
      <c r="D24" s="95" t="s">
        <v>6293</v>
      </c>
      <c r="E24" s="98">
        <f>일위대가목록!F7</f>
        <v>38234376</v>
      </c>
      <c r="F24" s="98" t="e">
        <f t="shared" si="1"/>
        <v>#REF!</v>
      </c>
      <c r="G24" s="98">
        <f>일위대가목록!G7</f>
        <v>4376697</v>
      </c>
      <c r="H24" s="98" t="e">
        <f t="shared" si="2"/>
        <v>#REF!</v>
      </c>
      <c r="I24" s="98">
        <f>일위대가목록!H7</f>
        <v>841347</v>
      </c>
      <c r="J24" s="98" t="e">
        <f t="shared" si="3"/>
        <v>#REF!</v>
      </c>
      <c r="K24" s="98">
        <f t="shared" si="0"/>
        <v>43452420</v>
      </c>
      <c r="L24" s="98" t="e">
        <f t="shared" si="0"/>
        <v>#REF!</v>
      </c>
      <c r="M24" s="99" t="s">
        <v>6321</v>
      </c>
      <c r="N24" s="55" t="s">
        <v>6232</v>
      </c>
      <c r="P24" s="55" t="s">
        <v>4497</v>
      </c>
      <c r="Q24" s="55" t="s">
        <v>6232</v>
      </c>
      <c r="R24" s="55" t="s">
        <v>3911</v>
      </c>
      <c r="T24" s="55" t="s">
        <v>3860</v>
      </c>
      <c r="BI24" s="100" t="str">
        <f>HYPERLINK("#일위대가목록!A621","SZD0001-700 →")</f>
        <v>SZD0001-700 →</v>
      </c>
    </row>
    <row r="25" spans="1:61" ht="18.399999999999999" customHeight="1">
      <c r="A25" s="96" t="s">
        <v>3784</v>
      </c>
      <c r="B25" s="103" t="s">
        <v>2812</v>
      </c>
      <c r="C25" s="104" t="e">
        <f>수량집계!#REF!</f>
        <v>#REF!</v>
      </c>
      <c r="D25" s="95" t="s">
        <v>6293</v>
      </c>
      <c r="E25" s="98">
        <f>일위대가목록!F8</f>
        <v>44056471</v>
      </c>
      <c r="F25" s="98" t="e">
        <f t="shared" si="1"/>
        <v>#REF!</v>
      </c>
      <c r="G25" s="98">
        <f>일위대가목록!G8</f>
        <v>4609505</v>
      </c>
      <c r="H25" s="98" t="e">
        <f t="shared" si="2"/>
        <v>#REF!</v>
      </c>
      <c r="I25" s="98">
        <f>일위대가목록!H8</f>
        <v>843446</v>
      </c>
      <c r="J25" s="98" t="e">
        <f t="shared" si="3"/>
        <v>#REF!</v>
      </c>
      <c r="K25" s="98">
        <f t="shared" si="0"/>
        <v>49509422</v>
      </c>
      <c r="L25" s="98" t="e">
        <f t="shared" si="0"/>
        <v>#REF!</v>
      </c>
      <c r="M25" s="99" t="s">
        <v>6323</v>
      </c>
      <c r="N25" s="55" t="s">
        <v>6232</v>
      </c>
      <c r="P25" s="55" t="s">
        <v>6047</v>
      </c>
      <c r="Q25" s="55" t="s">
        <v>6232</v>
      </c>
      <c r="R25" s="55" t="s">
        <v>5550</v>
      </c>
      <c r="T25" s="55" t="s">
        <v>3860</v>
      </c>
      <c r="BI25" s="100" t="str">
        <f>HYPERLINK("#일위대가목록!A622","SZD0001-750 →")</f>
        <v>SZD0001-750 →</v>
      </c>
    </row>
    <row r="26" spans="1:61" ht="18.399999999999999" customHeight="1">
      <c r="A26" s="96" t="s">
        <v>6294</v>
      </c>
      <c r="B26" s="103" t="s">
        <v>6232</v>
      </c>
      <c r="C26" s="104"/>
      <c r="D26" s="97" t="s">
        <v>6232</v>
      </c>
      <c r="E26" s="95"/>
      <c r="F26" s="98" t="e">
        <f>TRUNC(F25+F24+F23+F22+F21+F20+F19+F18+F17+F16+F15+F14+F13+F12+F11,0)</f>
        <v>#REF!</v>
      </c>
      <c r="G26" s="95"/>
      <c r="H26" s="98" t="e">
        <f>TRUNC(H25+H24+H23+H22+H21+H20+H19+H18+H17+H16+H15+H14+H13+H12+H11,0)</f>
        <v>#REF!</v>
      </c>
      <c r="I26" s="95"/>
      <c r="J26" s="98" t="e">
        <f>TRUNC(J25+J24+J23+J22+J21+J20+J19+J18+J17+J16+J15+J14+J13+J12+J11,0)</f>
        <v>#REF!</v>
      </c>
      <c r="K26" s="98">
        <f t="shared" si="0"/>
        <v>0</v>
      </c>
      <c r="L26" s="98" t="e">
        <f t="shared" si="0"/>
        <v>#REF!</v>
      </c>
      <c r="M26" s="99" t="s">
        <v>6232</v>
      </c>
      <c r="N26" s="55" t="s">
        <v>6232</v>
      </c>
      <c r="P26" s="55" t="s">
        <v>1505</v>
      </c>
      <c r="Q26" s="55" t="s">
        <v>6232</v>
      </c>
      <c r="R26" s="55" t="s">
        <v>6232</v>
      </c>
    </row>
    <row r="27" spans="1:61" ht="18.399999999999999" customHeight="1">
      <c r="A27" s="96" t="s">
        <v>2495</v>
      </c>
      <c r="B27" s="105" t="s">
        <v>6232</v>
      </c>
      <c r="C27" s="104"/>
      <c r="D27" s="97" t="s">
        <v>6232</v>
      </c>
      <c r="E27" s="95"/>
      <c r="F27" s="98">
        <v>0</v>
      </c>
      <c r="G27" s="95"/>
      <c r="H27" s="98">
        <v>0</v>
      </c>
      <c r="I27" s="95"/>
      <c r="J27" s="98">
        <v>0</v>
      </c>
      <c r="K27" s="98">
        <f t="shared" si="0"/>
        <v>0</v>
      </c>
      <c r="L27" s="98">
        <f t="shared" si="0"/>
        <v>0</v>
      </c>
      <c r="M27" s="99" t="s">
        <v>6232</v>
      </c>
      <c r="N27" s="55" t="s">
        <v>6232</v>
      </c>
      <c r="P27" s="55" t="s">
        <v>3038</v>
      </c>
      <c r="Q27" s="55" t="s">
        <v>6232</v>
      </c>
      <c r="R27" s="55" t="s">
        <v>6232</v>
      </c>
    </row>
    <row r="28" spans="1:61" ht="18.399999999999999" customHeight="1">
      <c r="A28" s="96" t="s">
        <v>2495</v>
      </c>
      <c r="B28" s="105" t="s">
        <v>6232</v>
      </c>
      <c r="C28" s="104"/>
      <c r="D28" s="97" t="s">
        <v>6232</v>
      </c>
      <c r="E28" s="95"/>
      <c r="F28" s="98">
        <v>0</v>
      </c>
      <c r="G28" s="95"/>
      <c r="H28" s="98">
        <v>0</v>
      </c>
      <c r="I28" s="95"/>
      <c r="J28" s="98">
        <v>0</v>
      </c>
      <c r="K28" s="98">
        <f>E28+G28+I28</f>
        <v>0</v>
      </c>
      <c r="L28" s="98">
        <f>F28+H28+J28</f>
        <v>0</v>
      </c>
      <c r="M28" s="99" t="s">
        <v>6232</v>
      </c>
      <c r="N28" s="55" t="s">
        <v>6232</v>
      </c>
      <c r="P28" s="55" t="s">
        <v>696</v>
      </c>
      <c r="Q28" s="55" t="s">
        <v>6232</v>
      </c>
      <c r="R28" s="55" t="s">
        <v>6232</v>
      </c>
    </row>
    <row r="29" spans="1:61" ht="18.399999999999999" customHeight="1">
      <c r="A29" s="96" t="s">
        <v>5674</v>
      </c>
      <c r="B29" s="105"/>
      <c r="C29" s="104"/>
      <c r="D29" s="97"/>
      <c r="E29" s="95"/>
      <c r="F29" s="98"/>
      <c r="G29" s="95"/>
      <c r="H29" s="98"/>
      <c r="I29" s="95"/>
      <c r="J29" s="98"/>
      <c r="K29" s="98"/>
      <c r="L29" s="98"/>
      <c r="M29" s="99"/>
    </row>
    <row r="30" spans="1:61" ht="18.399999999999999" customHeight="1">
      <c r="A30" s="96" t="s">
        <v>5289</v>
      </c>
      <c r="B30" s="106"/>
      <c r="C30" s="104">
        <f>5</f>
        <v>5</v>
      </c>
      <c r="D30" s="95" t="s">
        <v>6295</v>
      </c>
      <c r="E30" s="98"/>
      <c r="F30" s="98">
        <f>TRUNC(E30*C30,0)</f>
        <v>0</v>
      </c>
      <c r="G30" s="98">
        <f>[2]노임!D5</f>
        <v>262551</v>
      </c>
      <c r="H30" s="98">
        <f>TRUNC(G30*C30,0)</f>
        <v>1312755</v>
      </c>
      <c r="I30" s="98"/>
      <c r="J30" s="98">
        <f>TRUNC(I30*C30,0)</f>
        <v>0</v>
      </c>
      <c r="K30" s="98">
        <f>E30+G30+I30</f>
        <v>262551</v>
      </c>
      <c r="L30" s="98">
        <f>F30+H30+J30</f>
        <v>1312755</v>
      </c>
      <c r="M30" s="99" t="s">
        <v>6232</v>
      </c>
      <c r="N30" s="55" t="s">
        <v>6232</v>
      </c>
      <c r="P30" s="55" t="s">
        <v>2367</v>
      </c>
      <c r="Q30" s="55" t="s">
        <v>6232</v>
      </c>
      <c r="R30" s="55" t="s">
        <v>6232</v>
      </c>
    </row>
    <row r="31" spans="1:61" ht="18.399999999999999" customHeight="1" thickBot="1">
      <c r="A31" s="107"/>
      <c r="B31" s="108"/>
      <c r="C31" s="108"/>
      <c r="D31" s="109"/>
      <c r="E31" s="109"/>
      <c r="F31" s="109"/>
      <c r="G31" s="109"/>
      <c r="H31" s="109"/>
      <c r="I31" s="109"/>
      <c r="J31" s="109"/>
      <c r="K31" s="109"/>
      <c r="L31" s="109"/>
      <c r="M31" s="110"/>
    </row>
    <row r="32" spans="1:61" ht="18.399999999999999" customHeight="1">
      <c r="B32" s="111"/>
      <c r="C3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1" bottom="0.59055118110236215" header="0.5" footer="0.5"/>
  <pageSetup paperSize="9" scale="86" orientation="landscape" r:id="rId1"/>
  <headerFooter alignWithMargins="0">
    <oddHeader>&amp;RPage : &amp;P/&amp;N</oddHeader>
  </headerFooter>
  <colBreaks count="2" manualBreakCount="2">
    <brk id="13" max="46" man="1"/>
    <brk id="59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BI22"/>
  <sheetViews>
    <sheetView view="pageBreakPreview" zoomScale="115" zoomScaleNormal="100" zoomScaleSheetLayoutView="115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L19" sqref="L19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F4" s="98">
        <f>TRUNC(F5,0)</f>
        <v>395567740</v>
      </c>
      <c r="H4" s="98">
        <f>TRUNC(H5,0)</f>
        <v>47809404</v>
      </c>
      <c r="J4" s="98">
        <f>TRUNC(J5,0)</f>
        <v>9537940</v>
      </c>
      <c r="L4" s="98">
        <f>F4+H4+J4</f>
        <v>452915084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98">
        <f>F9</f>
        <v>395567740</v>
      </c>
      <c r="F5" s="98">
        <f>TRUNC(E5*C5,0)</f>
        <v>395567740</v>
      </c>
      <c r="G5" s="98">
        <f>H9</f>
        <v>47809404</v>
      </c>
      <c r="H5" s="98">
        <f>TRUNC(G5*C5,0)</f>
        <v>47809404</v>
      </c>
      <c r="I5" s="98">
        <f>J9</f>
        <v>9537940</v>
      </c>
      <c r="J5" s="98">
        <f>TRUNC(I5*C5,0)</f>
        <v>9537940</v>
      </c>
      <c r="K5" s="98">
        <f>E5+G5+I5</f>
        <v>452915084</v>
      </c>
      <c r="L5" s="98">
        <f>F5+H5+J5</f>
        <v>452915084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95"/>
      <c r="F6" s="98">
        <f>TRUNC(F5,0)</f>
        <v>395567740</v>
      </c>
      <c r="G6" s="95"/>
      <c r="H6" s="98">
        <f>TRUNC(H5,0)</f>
        <v>47809404</v>
      </c>
      <c r="I6" s="95"/>
      <c r="J6" s="98">
        <f>TRUNC(J5,0)</f>
        <v>9537940</v>
      </c>
      <c r="K6" s="98">
        <f>E6+G6+I6</f>
        <v>0</v>
      </c>
      <c r="L6" s="98">
        <f>F6+H6+J6</f>
        <v>452915084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95"/>
      <c r="F7" s="98">
        <v>0</v>
      </c>
      <c r="G7" s="95"/>
      <c r="H7" s="98">
        <v>0</v>
      </c>
      <c r="I7" s="95"/>
      <c r="J7" s="98">
        <v>0</v>
      </c>
      <c r="K7" s="98">
        <f>E7+G7+I7</f>
        <v>0</v>
      </c>
      <c r="L7" s="98">
        <f>F7+H7+J7</f>
        <v>0</v>
      </c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</row>
    <row r="9" spans="1:61" ht="18.399999999999999" customHeight="1">
      <c r="A9" s="96" t="s">
        <v>5088</v>
      </c>
      <c r="B9" s="97" t="s">
        <v>6232</v>
      </c>
      <c r="C9" s="95">
        <v>1</v>
      </c>
      <c r="D9" s="97" t="s">
        <v>5012</v>
      </c>
      <c r="F9" s="98">
        <f>F17</f>
        <v>395567740</v>
      </c>
      <c r="H9" s="98">
        <f>H17</f>
        <v>47809404</v>
      </c>
      <c r="J9" s="98">
        <f>J17</f>
        <v>9537940</v>
      </c>
      <c r="L9" s="98">
        <f>F9+H9+J9</f>
        <v>452915084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95"/>
      <c r="F10" s="98">
        <v>0</v>
      </c>
      <c r="G10" s="95"/>
      <c r="H10" s="98">
        <v>0</v>
      </c>
      <c r="I10" s="95"/>
      <c r="J10" s="98">
        <v>0</v>
      </c>
      <c r="K10" s="98">
        <f t="shared" ref="K10:L18" si="0">E10+G10+I10</f>
        <v>0</v>
      </c>
      <c r="L10" s="98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4869</v>
      </c>
      <c r="C11" s="113">
        <f>수량집계!C6</f>
        <v>0</v>
      </c>
      <c r="D11" s="95" t="s">
        <v>6293</v>
      </c>
      <c r="E11" s="98">
        <f>일위대가목록!F3</f>
        <v>10581357</v>
      </c>
      <c r="F11" s="98">
        <f t="shared" ref="F11:F16" si="1">TRUNC(E11*C11,0)</f>
        <v>0</v>
      </c>
      <c r="G11" s="98">
        <f>일위대가목록!G3</f>
        <v>2096589</v>
      </c>
      <c r="H11" s="98">
        <f t="shared" ref="H11:H16" si="2">TRUNC(G11*C11,0)</f>
        <v>0</v>
      </c>
      <c r="I11" s="98">
        <f>일위대가목록!H3</f>
        <v>699695</v>
      </c>
      <c r="J11" s="98">
        <f t="shared" ref="J11:J16" si="3">TRUNC(I11*C11,0)</f>
        <v>0</v>
      </c>
      <c r="K11" s="98">
        <f t="shared" si="0"/>
        <v>13377641</v>
      </c>
      <c r="L11" s="98">
        <f t="shared" si="0"/>
        <v>0</v>
      </c>
      <c r="M11" s="99" t="s">
        <v>6309</v>
      </c>
      <c r="N11" s="55" t="s">
        <v>6232</v>
      </c>
      <c r="P11" s="55" t="s">
        <v>180</v>
      </c>
      <c r="Q11" s="55" t="s">
        <v>6232</v>
      </c>
      <c r="R11" s="55" t="s">
        <v>3028</v>
      </c>
      <c r="T11" s="55" t="s">
        <v>3860</v>
      </c>
      <c r="BI11" s="100" t="str">
        <f>HYPERLINK("#일위대가목록!A613","SZD0001-300 →")</f>
        <v>SZD0001-300 →</v>
      </c>
    </row>
    <row r="12" spans="1:61" ht="18.399999999999999" customHeight="1">
      <c r="A12" s="96" t="s">
        <v>3784</v>
      </c>
      <c r="B12" s="103" t="s">
        <v>3762</v>
      </c>
      <c r="C12" s="113">
        <f>수량집계!C7</f>
        <v>0</v>
      </c>
      <c r="D12" s="95" t="s">
        <v>6293</v>
      </c>
      <c r="E12" s="98">
        <f>일위대가목록!F4</f>
        <v>20995856</v>
      </c>
      <c r="F12" s="98">
        <f t="shared" si="1"/>
        <v>0</v>
      </c>
      <c r="G12" s="98">
        <f>일위대가목록!G4</f>
        <v>2897828</v>
      </c>
      <c r="H12" s="98">
        <f t="shared" si="2"/>
        <v>0</v>
      </c>
      <c r="I12" s="98">
        <f>일위대가목록!H4</f>
        <v>783296</v>
      </c>
      <c r="J12" s="98">
        <f t="shared" si="3"/>
        <v>0</v>
      </c>
      <c r="K12" s="98">
        <f t="shared" si="0"/>
        <v>24676980</v>
      </c>
      <c r="L12" s="98">
        <f t="shared" si="0"/>
        <v>0</v>
      </c>
      <c r="M12" s="99" t="s">
        <v>6313</v>
      </c>
      <c r="N12" s="55" t="s">
        <v>6232</v>
      </c>
      <c r="P12" s="55" t="s">
        <v>4925</v>
      </c>
      <c r="Q12" s="55" t="s">
        <v>6232</v>
      </c>
      <c r="R12" s="55" t="s">
        <v>4570</v>
      </c>
      <c r="T12" s="55" t="s">
        <v>3860</v>
      </c>
      <c r="BI12" s="100" t="str">
        <f>HYPERLINK("#일위대가목록!A616","SZD0001-450 →")</f>
        <v>SZD0001-450 →</v>
      </c>
    </row>
    <row r="13" spans="1:61" ht="18.399999999999999" customHeight="1">
      <c r="A13" s="96" t="s">
        <v>3784</v>
      </c>
      <c r="B13" s="103" t="s">
        <v>6103</v>
      </c>
      <c r="C13" s="113">
        <f>수량집계!C8</f>
        <v>8</v>
      </c>
      <c r="D13" s="95" t="s">
        <v>6293</v>
      </c>
      <c r="E13" s="98">
        <f>일위대가목록!F5</f>
        <v>32245254</v>
      </c>
      <c r="F13" s="98">
        <f t="shared" si="1"/>
        <v>257962032</v>
      </c>
      <c r="G13" s="98">
        <f>일위대가목록!G5</f>
        <v>3903873</v>
      </c>
      <c r="H13" s="98">
        <f t="shared" si="2"/>
        <v>31230984</v>
      </c>
      <c r="I13" s="98">
        <f>일위대가목록!H5</f>
        <v>794083</v>
      </c>
      <c r="J13" s="98">
        <f t="shared" si="3"/>
        <v>6352664</v>
      </c>
      <c r="K13" s="98">
        <f t="shared" si="0"/>
        <v>36943210</v>
      </c>
      <c r="L13" s="98">
        <f>F13+H13+J13</f>
        <v>295545680</v>
      </c>
      <c r="M13" s="99" t="s">
        <v>6317</v>
      </c>
      <c r="N13" s="55" t="s">
        <v>6232</v>
      </c>
      <c r="P13" s="55" t="s">
        <v>1430</v>
      </c>
      <c r="Q13" s="55" t="s">
        <v>6232</v>
      </c>
      <c r="R13" s="55" t="s">
        <v>3643</v>
      </c>
      <c r="T13" s="55" t="s">
        <v>3860</v>
      </c>
      <c r="BI13" s="100" t="str">
        <f>HYPERLINK("#일위대가목록!A619","SZD0001-600 →")</f>
        <v>SZD0001-600 →</v>
      </c>
    </row>
    <row r="14" spans="1:61" ht="18.399999999999999" customHeight="1">
      <c r="A14" s="96" t="s">
        <v>3784</v>
      </c>
      <c r="B14" s="103" t="s">
        <v>369</v>
      </c>
      <c r="C14" s="113">
        <f>수량집계!C9</f>
        <v>4</v>
      </c>
      <c r="D14" s="95" t="s">
        <v>6293</v>
      </c>
      <c r="E14" s="98">
        <f>일위대가목록!F6</f>
        <v>34401427</v>
      </c>
      <c r="F14" s="98">
        <f t="shared" si="1"/>
        <v>137605708</v>
      </c>
      <c r="G14" s="98">
        <f>일위대가목록!G6</f>
        <v>4144605</v>
      </c>
      <c r="H14" s="98">
        <f t="shared" si="2"/>
        <v>16578420</v>
      </c>
      <c r="I14" s="98">
        <f>일위대가목록!H6</f>
        <v>796319</v>
      </c>
      <c r="J14" s="98">
        <f t="shared" si="3"/>
        <v>3185276</v>
      </c>
      <c r="K14" s="98">
        <f t="shared" si="0"/>
        <v>39342351</v>
      </c>
      <c r="L14" s="98">
        <f>F14+H14+J14</f>
        <v>157369404</v>
      </c>
      <c r="M14" s="99" t="s">
        <v>6319</v>
      </c>
      <c r="N14" s="55" t="s">
        <v>6232</v>
      </c>
      <c r="P14" s="55" t="s">
        <v>2941</v>
      </c>
      <c r="Q14" s="55" t="s">
        <v>6232</v>
      </c>
      <c r="R14" s="55" t="s">
        <v>5128</v>
      </c>
      <c r="T14" s="55" t="s">
        <v>3860</v>
      </c>
      <c r="BI14" s="100" t="str">
        <f>HYPERLINK("#일위대가목록!A620","SZD0001-650 →")</f>
        <v>SZD0001-650 →</v>
      </c>
    </row>
    <row r="15" spans="1:61" ht="18.399999999999999" customHeight="1">
      <c r="A15" s="96" t="s">
        <v>3784</v>
      </c>
      <c r="B15" s="103" t="s">
        <v>3821</v>
      </c>
      <c r="C15" s="113">
        <f>수량집계!C10</f>
        <v>0</v>
      </c>
      <c r="D15" s="95" t="s">
        <v>6293</v>
      </c>
      <c r="E15" s="98">
        <f>일위대가목록!F7</f>
        <v>38234376</v>
      </c>
      <c r="F15" s="98">
        <f t="shared" si="1"/>
        <v>0</v>
      </c>
      <c r="G15" s="98">
        <f>일위대가목록!G7</f>
        <v>4376697</v>
      </c>
      <c r="H15" s="98">
        <f t="shared" si="2"/>
        <v>0</v>
      </c>
      <c r="I15" s="98">
        <f>일위대가목록!H7</f>
        <v>841347</v>
      </c>
      <c r="J15" s="98">
        <f t="shared" si="3"/>
        <v>0</v>
      </c>
      <c r="K15" s="98">
        <f t="shared" si="0"/>
        <v>43452420</v>
      </c>
      <c r="L15" s="98">
        <f t="shared" si="0"/>
        <v>0</v>
      </c>
      <c r="M15" s="99" t="s">
        <v>6321</v>
      </c>
      <c r="N15" s="55" t="s">
        <v>6232</v>
      </c>
      <c r="P15" s="55" t="s">
        <v>4497</v>
      </c>
      <c r="Q15" s="55" t="s">
        <v>6232</v>
      </c>
      <c r="R15" s="55" t="s">
        <v>3911</v>
      </c>
      <c r="T15" s="55" t="s">
        <v>3860</v>
      </c>
      <c r="BI15" s="100" t="str">
        <f>HYPERLINK("#일위대가목록!A621","SZD0001-700 →")</f>
        <v>SZD0001-700 →</v>
      </c>
    </row>
    <row r="16" spans="1:61" ht="18.399999999999999" customHeight="1">
      <c r="A16" s="96" t="s">
        <v>3784</v>
      </c>
      <c r="B16" s="103" t="s">
        <v>2812</v>
      </c>
      <c r="C16" s="113">
        <f>수량집계!C11</f>
        <v>0</v>
      </c>
      <c r="D16" s="95" t="s">
        <v>6293</v>
      </c>
      <c r="E16" s="98">
        <f>일위대가목록!F8</f>
        <v>44056471</v>
      </c>
      <c r="F16" s="98">
        <f t="shared" si="1"/>
        <v>0</v>
      </c>
      <c r="G16" s="98">
        <f>일위대가목록!G8</f>
        <v>4609505</v>
      </c>
      <c r="H16" s="98">
        <f t="shared" si="2"/>
        <v>0</v>
      </c>
      <c r="I16" s="98">
        <f>일위대가목록!H8</f>
        <v>843446</v>
      </c>
      <c r="J16" s="98">
        <f t="shared" si="3"/>
        <v>0</v>
      </c>
      <c r="K16" s="98">
        <f t="shared" si="0"/>
        <v>49509422</v>
      </c>
      <c r="L16" s="98">
        <f t="shared" si="0"/>
        <v>0</v>
      </c>
      <c r="M16" s="99" t="s">
        <v>6323</v>
      </c>
      <c r="N16" s="55" t="s">
        <v>6232</v>
      </c>
      <c r="P16" s="55" t="s">
        <v>6047</v>
      </c>
      <c r="Q16" s="55" t="s">
        <v>6232</v>
      </c>
      <c r="R16" s="55" t="s">
        <v>5550</v>
      </c>
      <c r="T16" s="55" t="s">
        <v>3860</v>
      </c>
      <c r="BI16" s="100" t="str">
        <f>HYPERLINK("#일위대가목록!A622","SZD0001-750 →")</f>
        <v>SZD0001-750 →</v>
      </c>
    </row>
    <row r="17" spans="1:18" ht="18.399999999999999" customHeight="1">
      <c r="A17" s="96" t="s">
        <v>6294</v>
      </c>
      <c r="B17" s="103" t="s">
        <v>6232</v>
      </c>
      <c r="C17" s="104"/>
      <c r="D17" s="97" t="s">
        <v>6232</v>
      </c>
      <c r="E17" s="95"/>
      <c r="F17" s="98">
        <f>TRUNC(F16+F15+F14+F13+F12+F11,0)</f>
        <v>395567740</v>
      </c>
      <c r="G17" s="95"/>
      <c r="H17" s="98">
        <f>TRUNC(H16+H15+H14+H13+H12+H11,0)</f>
        <v>47809404</v>
      </c>
      <c r="I17" s="95"/>
      <c r="J17" s="98">
        <f>TRUNC(J16+J15+J14+J13+J12+J11,0)</f>
        <v>9537940</v>
      </c>
      <c r="K17" s="98"/>
      <c r="L17" s="98">
        <f>TRUNC(L16+L15+L14+L13+L12+L11,0)</f>
        <v>452915084</v>
      </c>
      <c r="M17" s="99" t="s">
        <v>6232</v>
      </c>
      <c r="N17" s="55" t="s">
        <v>6232</v>
      </c>
      <c r="P17" s="55" t="s">
        <v>1505</v>
      </c>
      <c r="Q17" s="55" t="s">
        <v>6232</v>
      </c>
      <c r="R17" s="55" t="s">
        <v>6232</v>
      </c>
    </row>
    <row r="18" spans="1:18" ht="18.399999999999999" customHeight="1">
      <c r="A18" s="96" t="s">
        <v>2495</v>
      </c>
      <c r="B18" s="105" t="s">
        <v>6232</v>
      </c>
      <c r="C18" s="104"/>
      <c r="D18" s="97" t="s">
        <v>6232</v>
      </c>
      <c r="E18" s="95"/>
      <c r="F18" s="98">
        <v>0</v>
      </c>
      <c r="G18" s="95"/>
      <c r="H18" s="98">
        <v>0</v>
      </c>
      <c r="I18" s="95"/>
      <c r="J18" s="98">
        <v>0</v>
      </c>
      <c r="K18" s="98">
        <f t="shared" si="0"/>
        <v>0</v>
      </c>
      <c r="L18" s="98">
        <f t="shared" si="0"/>
        <v>0</v>
      </c>
      <c r="M18" s="99" t="s">
        <v>6232</v>
      </c>
      <c r="N18" s="55" t="s">
        <v>6232</v>
      </c>
      <c r="P18" s="55" t="s">
        <v>3038</v>
      </c>
      <c r="Q18" s="55" t="s">
        <v>6232</v>
      </c>
      <c r="R18" s="55" t="s">
        <v>6232</v>
      </c>
    </row>
    <row r="19" spans="1:18" ht="18.399999999999999" customHeight="1">
      <c r="A19" s="96" t="s">
        <v>5674</v>
      </c>
      <c r="B19" s="105"/>
      <c r="C19" s="104"/>
      <c r="D19" s="97"/>
      <c r="E19" s="95"/>
      <c r="F19" s="98">
        <v>0</v>
      </c>
      <c r="G19" s="95"/>
      <c r="H19" s="98">
        <v>0</v>
      </c>
      <c r="I19" s="95"/>
      <c r="J19" s="98">
        <v>0</v>
      </c>
      <c r="K19" s="98">
        <f>E19+G19+I19</f>
        <v>0</v>
      </c>
      <c r="L19" s="98">
        <f>F19+H19+J19</f>
        <v>0</v>
      </c>
      <c r="M19" s="99" t="s">
        <v>6232</v>
      </c>
      <c r="N19" s="55" t="s">
        <v>6232</v>
      </c>
      <c r="P19" s="55" t="s">
        <v>696</v>
      </c>
      <c r="Q19" s="55" t="s">
        <v>6232</v>
      </c>
      <c r="R19" s="55" t="s">
        <v>6232</v>
      </c>
    </row>
    <row r="20" spans="1:18" ht="18.399999999999999" customHeight="1">
      <c r="A20" s="96" t="s">
        <v>5289</v>
      </c>
      <c r="B20" s="106"/>
      <c r="C20" s="104">
        <f>5</f>
        <v>5</v>
      </c>
      <c r="D20" s="95" t="s">
        <v>6295</v>
      </c>
      <c r="E20" s="201">
        <f>일위대가목록!F9</f>
        <v>0</v>
      </c>
      <c r="F20" s="202">
        <f>C20*E20</f>
        <v>0</v>
      </c>
      <c r="G20" s="201">
        <f>일위대가목록!G9</f>
        <v>249476</v>
      </c>
      <c r="H20" s="202">
        <f>C20*G20</f>
        <v>1247380</v>
      </c>
      <c r="I20" s="201">
        <f>일위대가목록!H9</f>
        <v>0</v>
      </c>
      <c r="J20" s="202">
        <f>C20*I20</f>
        <v>0</v>
      </c>
      <c r="K20" s="98">
        <f>E20+G20+I20</f>
        <v>249476</v>
      </c>
      <c r="L20" s="98">
        <f>F20+H20+J20</f>
        <v>1247380</v>
      </c>
      <c r="M20" s="99" t="s">
        <v>6505</v>
      </c>
      <c r="N20" s="55" t="s">
        <v>6232</v>
      </c>
      <c r="P20" s="55" t="s">
        <v>2367</v>
      </c>
      <c r="Q20" s="55" t="s">
        <v>6232</v>
      </c>
      <c r="R20" s="55" t="s">
        <v>6232</v>
      </c>
    </row>
    <row r="21" spans="1:18" ht="18.399999999999999" customHeight="1" thickBot="1">
      <c r="A21" s="107"/>
      <c r="B21" s="114"/>
      <c r="C21" s="108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8" ht="18.399999999999999" customHeight="1">
      <c r="B22" s="111"/>
      <c r="C2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0.98425196850393704" bottom="0.59055118110236227" header="0.51181102362204722" footer="0.51181102362204722"/>
  <pageSetup paperSize="9" scale="86" orientation="landscape" r:id="rId1"/>
  <headerFooter alignWithMargins="0"/>
  <colBreaks count="2" manualBreakCount="2">
    <brk id="13" max="46" man="1"/>
    <brk id="59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BI22"/>
  <sheetViews>
    <sheetView view="pageBreakPreview" zoomScaleNormal="100" zoomScaleSheetLayoutView="100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G13" sqref="G13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E4" s="203"/>
      <c r="F4" s="202">
        <f>TRUNC(F5,0)</f>
        <v>0</v>
      </c>
      <c r="G4" s="203"/>
      <c r="H4" s="202">
        <f>TRUNC(H5,0)</f>
        <v>0</v>
      </c>
      <c r="I4" s="203"/>
      <c r="J4" s="202">
        <f>TRUNC(J5,0)</f>
        <v>0</v>
      </c>
      <c r="K4" s="203"/>
      <c r="L4" s="202">
        <f>F4+H4+J4</f>
        <v>0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202">
        <f>F9</f>
        <v>0</v>
      </c>
      <c r="F5" s="202">
        <f>TRUNC(E5*C5,0)</f>
        <v>0</v>
      </c>
      <c r="G5" s="202">
        <f>H9</f>
        <v>0</v>
      </c>
      <c r="H5" s="202">
        <f>TRUNC(G5*C5,0)</f>
        <v>0</v>
      </c>
      <c r="I5" s="202">
        <f>J9</f>
        <v>0</v>
      </c>
      <c r="J5" s="202">
        <f>TRUNC(I5*C5,0)</f>
        <v>0</v>
      </c>
      <c r="K5" s="202">
        <f>E5+G5+I5</f>
        <v>0</v>
      </c>
      <c r="L5" s="202">
        <f>F5+H5+J5</f>
        <v>0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201"/>
      <c r="F6" s="202">
        <f>TRUNC(F5,0)</f>
        <v>0</v>
      </c>
      <c r="G6" s="201"/>
      <c r="H6" s="202">
        <f>TRUNC(H5,0)</f>
        <v>0</v>
      </c>
      <c r="I6" s="201"/>
      <c r="J6" s="202">
        <f>TRUNC(J5,0)</f>
        <v>0</v>
      </c>
      <c r="K6" s="202">
        <f>E6+G6+I6</f>
        <v>0</v>
      </c>
      <c r="L6" s="202">
        <f>F6+H6+J6</f>
        <v>0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201"/>
      <c r="F7" s="202"/>
      <c r="G7" s="201"/>
      <c r="H7" s="202"/>
      <c r="I7" s="201"/>
      <c r="J7" s="202"/>
      <c r="K7" s="202"/>
      <c r="L7" s="202"/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201"/>
      <c r="F8" s="201"/>
      <c r="G8" s="201"/>
      <c r="H8" s="201"/>
      <c r="I8" s="201"/>
      <c r="J8" s="201"/>
      <c r="K8" s="201"/>
      <c r="L8" s="201"/>
      <c r="M8" s="102"/>
    </row>
    <row r="9" spans="1:61" ht="18.399999999999999" customHeight="1">
      <c r="A9" s="96" t="s">
        <v>5088</v>
      </c>
      <c r="B9" s="97" t="s">
        <v>6232</v>
      </c>
      <c r="C9" s="95">
        <v>1</v>
      </c>
      <c r="D9" s="97" t="s">
        <v>5012</v>
      </c>
      <c r="E9" s="203"/>
      <c r="F9" s="202">
        <f>F17</f>
        <v>0</v>
      </c>
      <c r="G9" s="203"/>
      <c r="H9" s="202">
        <f>H17</f>
        <v>0</v>
      </c>
      <c r="I9" s="203"/>
      <c r="J9" s="202">
        <f>J17</f>
        <v>0</v>
      </c>
      <c r="K9" s="203"/>
      <c r="L9" s="202">
        <f>F9+H9+J9</f>
        <v>0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201"/>
      <c r="F10" s="202">
        <v>0</v>
      </c>
      <c r="G10" s="201"/>
      <c r="H10" s="202">
        <v>0</v>
      </c>
      <c r="I10" s="201"/>
      <c r="J10" s="202">
        <v>0</v>
      </c>
      <c r="K10" s="202">
        <f t="shared" ref="K10:L18" si="0">E10+G10+I10</f>
        <v>0</v>
      </c>
      <c r="L10" s="202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4869</v>
      </c>
      <c r="C11" s="113">
        <f>수량집계!D6</f>
        <v>0</v>
      </c>
      <c r="D11" s="95" t="s">
        <v>6293</v>
      </c>
      <c r="E11" s="98">
        <f>일위대가목록!F3</f>
        <v>10581357</v>
      </c>
      <c r="F11" s="202">
        <f t="shared" ref="F11:F16" si="1">TRUNC(E11*C11,0)</f>
        <v>0</v>
      </c>
      <c r="G11" s="98">
        <f>일위대가목록!G3</f>
        <v>2096589</v>
      </c>
      <c r="H11" s="202">
        <f t="shared" ref="H11:H16" si="2">TRUNC(G11*C11,0)</f>
        <v>0</v>
      </c>
      <c r="I11" s="98">
        <f>일위대가목록!H3</f>
        <v>699695</v>
      </c>
      <c r="J11" s="202">
        <f t="shared" ref="J11:J16" si="3">TRUNC(I11*C11,0)</f>
        <v>0</v>
      </c>
      <c r="K11" s="98">
        <f t="shared" si="0"/>
        <v>13377641</v>
      </c>
      <c r="L11" s="202">
        <f t="shared" si="0"/>
        <v>0</v>
      </c>
      <c r="M11" s="99" t="s">
        <v>6309</v>
      </c>
      <c r="N11" s="55" t="s">
        <v>6232</v>
      </c>
      <c r="P11" s="55" t="s">
        <v>180</v>
      </c>
      <c r="Q11" s="55" t="s">
        <v>6232</v>
      </c>
      <c r="R11" s="55" t="s">
        <v>3028</v>
      </c>
      <c r="T11" s="55" t="s">
        <v>3860</v>
      </c>
      <c r="BI11" s="100" t="str">
        <f>HYPERLINK("#일위대가목록!A613","SZD0001-300 →")</f>
        <v>SZD0001-300 →</v>
      </c>
    </row>
    <row r="12" spans="1:61" ht="18.399999999999999" customHeight="1">
      <c r="A12" s="96" t="s">
        <v>3784</v>
      </c>
      <c r="B12" s="103" t="s">
        <v>3762</v>
      </c>
      <c r="C12" s="113">
        <f>수량집계!D7</f>
        <v>0</v>
      </c>
      <c r="D12" s="95" t="s">
        <v>6293</v>
      </c>
      <c r="E12" s="98">
        <f>일위대가목록!F4</f>
        <v>20995856</v>
      </c>
      <c r="F12" s="202">
        <f t="shared" si="1"/>
        <v>0</v>
      </c>
      <c r="G12" s="98">
        <f>일위대가목록!G4</f>
        <v>2897828</v>
      </c>
      <c r="H12" s="202">
        <f t="shared" si="2"/>
        <v>0</v>
      </c>
      <c r="I12" s="98">
        <f>일위대가목록!H4</f>
        <v>783296</v>
      </c>
      <c r="J12" s="202">
        <f t="shared" si="3"/>
        <v>0</v>
      </c>
      <c r="K12" s="98">
        <f t="shared" si="0"/>
        <v>24676980</v>
      </c>
      <c r="L12" s="202">
        <f t="shared" si="0"/>
        <v>0</v>
      </c>
      <c r="M12" s="99" t="s">
        <v>6313</v>
      </c>
      <c r="N12" s="55" t="s">
        <v>6232</v>
      </c>
      <c r="P12" s="55" t="s">
        <v>4925</v>
      </c>
      <c r="Q12" s="55" t="s">
        <v>6232</v>
      </c>
      <c r="R12" s="55" t="s">
        <v>4570</v>
      </c>
      <c r="T12" s="55" t="s">
        <v>3860</v>
      </c>
      <c r="BI12" s="100" t="str">
        <f>HYPERLINK("#일위대가목록!A616","SZD0001-450 →")</f>
        <v>SZD0001-450 →</v>
      </c>
    </row>
    <row r="13" spans="1:61" ht="18.399999999999999" customHeight="1">
      <c r="A13" s="96" t="s">
        <v>3784</v>
      </c>
      <c r="B13" s="103" t="s">
        <v>6103</v>
      </c>
      <c r="C13" s="113">
        <f>수량집계!D8</f>
        <v>0</v>
      </c>
      <c r="D13" s="95" t="s">
        <v>6293</v>
      </c>
      <c r="E13" s="98">
        <f>일위대가목록!F5</f>
        <v>32245254</v>
      </c>
      <c r="F13" s="202">
        <f t="shared" si="1"/>
        <v>0</v>
      </c>
      <c r="G13" s="98">
        <f>일위대가목록!G5</f>
        <v>3903873</v>
      </c>
      <c r="H13" s="202">
        <f t="shared" si="2"/>
        <v>0</v>
      </c>
      <c r="I13" s="98">
        <f>일위대가목록!H5</f>
        <v>794083</v>
      </c>
      <c r="J13" s="202">
        <f t="shared" si="3"/>
        <v>0</v>
      </c>
      <c r="K13" s="98">
        <f t="shared" si="0"/>
        <v>36943210</v>
      </c>
      <c r="L13" s="202">
        <f t="shared" si="0"/>
        <v>0</v>
      </c>
      <c r="M13" s="99" t="s">
        <v>6317</v>
      </c>
      <c r="N13" s="55" t="s">
        <v>6232</v>
      </c>
      <c r="P13" s="55" t="s">
        <v>1430</v>
      </c>
      <c r="Q13" s="55" t="s">
        <v>6232</v>
      </c>
      <c r="R13" s="55" t="s">
        <v>3643</v>
      </c>
      <c r="T13" s="55" t="s">
        <v>3860</v>
      </c>
      <c r="BI13" s="100" t="str">
        <f>HYPERLINK("#일위대가목록!A619","SZD0001-600 →")</f>
        <v>SZD0001-600 →</v>
      </c>
    </row>
    <row r="14" spans="1:61" ht="18.399999999999999" customHeight="1">
      <c r="A14" s="96" t="s">
        <v>3784</v>
      </c>
      <c r="B14" s="103" t="s">
        <v>369</v>
      </c>
      <c r="C14" s="113">
        <f>수량집계!D9</f>
        <v>0</v>
      </c>
      <c r="D14" s="95" t="s">
        <v>6293</v>
      </c>
      <c r="E14" s="98">
        <f>일위대가목록!F6</f>
        <v>34401427</v>
      </c>
      <c r="F14" s="202">
        <f t="shared" si="1"/>
        <v>0</v>
      </c>
      <c r="G14" s="98">
        <f>일위대가목록!G6</f>
        <v>4144605</v>
      </c>
      <c r="H14" s="202">
        <f t="shared" si="2"/>
        <v>0</v>
      </c>
      <c r="I14" s="98">
        <f>일위대가목록!H6</f>
        <v>796319</v>
      </c>
      <c r="J14" s="202">
        <f t="shared" si="3"/>
        <v>0</v>
      </c>
      <c r="K14" s="98">
        <f t="shared" si="0"/>
        <v>39342351</v>
      </c>
      <c r="L14" s="202">
        <f t="shared" si="0"/>
        <v>0</v>
      </c>
      <c r="M14" s="99" t="s">
        <v>6319</v>
      </c>
      <c r="N14" s="55" t="s">
        <v>6232</v>
      </c>
      <c r="P14" s="55" t="s">
        <v>2941</v>
      </c>
      <c r="Q14" s="55" t="s">
        <v>6232</v>
      </c>
      <c r="R14" s="55" t="s">
        <v>5128</v>
      </c>
      <c r="T14" s="55" t="s">
        <v>3860</v>
      </c>
      <c r="BI14" s="100" t="str">
        <f>HYPERLINK("#일위대가목록!A620","SZD0001-650 →")</f>
        <v>SZD0001-650 →</v>
      </c>
    </row>
    <row r="15" spans="1:61" ht="18.399999999999999" customHeight="1">
      <c r="A15" s="96" t="s">
        <v>3784</v>
      </c>
      <c r="B15" s="103" t="s">
        <v>3821</v>
      </c>
      <c r="C15" s="113">
        <f>수량집계!D10</f>
        <v>0</v>
      </c>
      <c r="D15" s="95" t="s">
        <v>6293</v>
      </c>
      <c r="E15" s="98">
        <f>일위대가목록!F7</f>
        <v>38234376</v>
      </c>
      <c r="F15" s="202">
        <f t="shared" si="1"/>
        <v>0</v>
      </c>
      <c r="G15" s="98">
        <f>일위대가목록!G7</f>
        <v>4376697</v>
      </c>
      <c r="H15" s="202">
        <f t="shared" si="2"/>
        <v>0</v>
      </c>
      <c r="I15" s="98">
        <f>일위대가목록!H7</f>
        <v>841347</v>
      </c>
      <c r="J15" s="202">
        <f t="shared" si="3"/>
        <v>0</v>
      </c>
      <c r="K15" s="98">
        <f t="shared" si="0"/>
        <v>43452420</v>
      </c>
      <c r="L15" s="202">
        <f t="shared" si="0"/>
        <v>0</v>
      </c>
      <c r="M15" s="99" t="s">
        <v>6321</v>
      </c>
      <c r="N15" s="55" t="s">
        <v>6232</v>
      </c>
      <c r="P15" s="55" t="s">
        <v>4497</v>
      </c>
      <c r="Q15" s="55" t="s">
        <v>6232</v>
      </c>
      <c r="R15" s="55" t="s">
        <v>3911</v>
      </c>
      <c r="T15" s="55" t="s">
        <v>3860</v>
      </c>
      <c r="BI15" s="100" t="str">
        <f>HYPERLINK("#일위대가목록!A621","SZD0001-700 →")</f>
        <v>SZD0001-700 →</v>
      </c>
    </row>
    <row r="16" spans="1:61" ht="18.399999999999999" customHeight="1">
      <c r="A16" s="96" t="s">
        <v>3784</v>
      </c>
      <c r="B16" s="103" t="s">
        <v>2812</v>
      </c>
      <c r="C16" s="113">
        <f>수량집계!D11</f>
        <v>0</v>
      </c>
      <c r="D16" s="95" t="s">
        <v>6293</v>
      </c>
      <c r="E16" s="98">
        <f>일위대가목록!F8</f>
        <v>44056471</v>
      </c>
      <c r="F16" s="202">
        <f t="shared" si="1"/>
        <v>0</v>
      </c>
      <c r="G16" s="98">
        <f>일위대가목록!G8</f>
        <v>4609505</v>
      </c>
      <c r="H16" s="202">
        <f t="shared" si="2"/>
        <v>0</v>
      </c>
      <c r="I16" s="98">
        <f>일위대가목록!H8</f>
        <v>843446</v>
      </c>
      <c r="J16" s="202">
        <f t="shared" si="3"/>
        <v>0</v>
      </c>
      <c r="K16" s="98">
        <f t="shared" si="0"/>
        <v>49509422</v>
      </c>
      <c r="L16" s="202">
        <f t="shared" si="0"/>
        <v>0</v>
      </c>
      <c r="M16" s="99" t="s">
        <v>6323</v>
      </c>
      <c r="N16" s="55" t="s">
        <v>6232</v>
      </c>
      <c r="P16" s="55" t="s">
        <v>6047</v>
      </c>
      <c r="Q16" s="55" t="s">
        <v>6232</v>
      </c>
      <c r="R16" s="55" t="s">
        <v>5550</v>
      </c>
      <c r="T16" s="55" t="s">
        <v>3860</v>
      </c>
      <c r="BI16" s="100" t="str">
        <f>HYPERLINK("#일위대가목록!A622","SZD0001-750 →")</f>
        <v>SZD0001-750 →</v>
      </c>
    </row>
    <row r="17" spans="1:18" ht="18.399999999999999" customHeight="1">
      <c r="A17" s="96" t="s">
        <v>6294</v>
      </c>
      <c r="B17" s="103" t="s">
        <v>6232</v>
      </c>
      <c r="C17" s="104"/>
      <c r="D17" s="97" t="s">
        <v>6232</v>
      </c>
      <c r="E17" s="201"/>
      <c r="F17" s="202">
        <f>TRUNC(F16+F15+F14+F13+F12+F11,0)</f>
        <v>0</v>
      </c>
      <c r="G17" s="201"/>
      <c r="H17" s="202">
        <f t="shared" ref="H17:J17" si="4">TRUNC(H16+H15+H14+H13+H12+H11,0)</f>
        <v>0</v>
      </c>
      <c r="I17" s="201"/>
      <c r="J17" s="202">
        <f t="shared" si="4"/>
        <v>0</v>
      </c>
      <c r="K17" s="202"/>
      <c r="L17" s="202">
        <f t="shared" si="0"/>
        <v>0</v>
      </c>
      <c r="M17" s="99" t="s">
        <v>6232</v>
      </c>
      <c r="N17" s="55" t="s">
        <v>6232</v>
      </c>
      <c r="P17" s="55" t="s">
        <v>1505</v>
      </c>
      <c r="Q17" s="55" t="s">
        <v>6232</v>
      </c>
      <c r="R17" s="55" t="s">
        <v>6232</v>
      </c>
    </row>
    <row r="18" spans="1:18" ht="18.399999999999999" customHeight="1">
      <c r="A18" s="96" t="s">
        <v>2495</v>
      </c>
      <c r="B18" s="105" t="s">
        <v>6232</v>
      </c>
      <c r="C18" s="104"/>
      <c r="D18" s="97" t="s">
        <v>6232</v>
      </c>
      <c r="E18" s="95"/>
      <c r="F18" s="98">
        <v>0</v>
      </c>
      <c r="G18" s="95"/>
      <c r="H18" s="98">
        <v>0</v>
      </c>
      <c r="I18" s="95"/>
      <c r="J18" s="98">
        <v>0</v>
      </c>
      <c r="K18" s="98">
        <f t="shared" si="0"/>
        <v>0</v>
      </c>
      <c r="L18" s="98">
        <f t="shared" si="0"/>
        <v>0</v>
      </c>
      <c r="M18" s="99" t="s">
        <v>6232</v>
      </c>
      <c r="N18" s="55" t="s">
        <v>6232</v>
      </c>
      <c r="P18" s="55" t="s">
        <v>3038</v>
      </c>
      <c r="Q18" s="55" t="s">
        <v>6232</v>
      </c>
      <c r="R18" s="55" t="s">
        <v>6232</v>
      </c>
    </row>
    <row r="19" spans="1:18" ht="18.399999999999999" customHeight="1">
      <c r="A19" s="96" t="s">
        <v>2495</v>
      </c>
      <c r="B19" s="105" t="s">
        <v>6232</v>
      </c>
      <c r="C19" s="104"/>
      <c r="D19" s="97" t="s">
        <v>6232</v>
      </c>
      <c r="E19" s="95"/>
      <c r="F19" s="98">
        <v>0</v>
      </c>
      <c r="G19" s="95"/>
      <c r="H19" s="98">
        <v>0</v>
      </c>
      <c r="I19" s="95"/>
      <c r="J19" s="98">
        <v>0</v>
      </c>
      <c r="K19" s="98">
        <f>E19+G19+I19</f>
        <v>0</v>
      </c>
      <c r="L19" s="98">
        <f>F19+H19+J19</f>
        <v>0</v>
      </c>
      <c r="M19" s="99" t="s">
        <v>6232</v>
      </c>
      <c r="N19" s="55" t="s">
        <v>6232</v>
      </c>
      <c r="P19" s="55" t="s">
        <v>696</v>
      </c>
      <c r="Q19" s="55" t="s">
        <v>6232</v>
      </c>
      <c r="R19" s="55" t="s">
        <v>6232</v>
      </c>
    </row>
    <row r="20" spans="1:18" ht="18.399999999999999" customHeight="1">
      <c r="A20" s="96" t="s">
        <v>2495</v>
      </c>
      <c r="B20" s="105"/>
      <c r="C20" s="104"/>
      <c r="D20" s="97" t="s">
        <v>6232</v>
      </c>
      <c r="E20" s="95"/>
      <c r="F20" s="98">
        <v>0</v>
      </c>
      <c r="G20" s="95"/>
      <c r="H20" s="98">
        <v>0</v>
      </c>
      <c r="I20" s="95"/>
      <c r="J20" s="98">
        <v>0</v>
      </c>
      <c r="K20" s="98">
        <f>E20+G20+I20</f>
        <v>0</v>
      </c>
      <c r="L20" s="98">
        <f>F20+H20+J20</f>
        <v>0</v>
      </c>
      <c r="M20" s="99" t="s">
        <v>6232</v>
      </c>
      <c r="N20" s="55" t="s">
        <v>6232</v>
      </c>
      <c r="P20" s="55" t="s">
        <v>2367</v>
      </c>
      <c r="Q20" s="55" t="s">
        <v>6232</v>
      </c>
      <c r="R20" s="55" t="s">
        <v>6232</v>
      </c>
    </row>
    <row r="21" spans="1:18" ht="18.399999999999999" customHeight="1" thickBot="1">
      <c r="A21" s="107"/>
      <c r="B21" s="114"/>
      <c r="C21" s="108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8" ht="18.399999999999999" customHeight="1">
      <c r="B22" s="111"/>
      <c r="C2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0.98425196850393704" bottom="0.59055118110236227" header="0.51181102362204722" footer="0.51181102362204722"/>
  <pageSetup paperSize="9" scale="86" orientation="landscape" r:id="rId1"/>
  <headerFooter alignWithMargins="0"/>
  <colBreaks count="2" manualBreakCount="2">
    <brk id="13" max="46" man="1"/>
    <brk id="59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1"/>
  <sheetViews>
    <sheetView view="pageBreakPreview" topLeftCell="A13" zoomScaleNormal="100" zoomScaleSheetLayoutView="100" workbookViewId="0">
      <selection activeCell="I28" sqref="I28"/>
    </sheetView>
  </sheetViews>
  <sheetFormatPr defaultRowHeight="12"/>
  <cols>
    <col min="1" max="1" width="15.6640625" style="79" customWidth="1"/>
    <col min="2" max="2" width="19.6640625" style="79" customWidth="1"/>
    <col min="3" max="3" width="44.33203125" style="79" bestFit="1" customWidth="1"/>
    <col min="4" max="4" width="19.33203125" style="79" bestFit="1" customWidth="1"/>
    <col min="5" max="5" width="32.83203125" style="79" bestFit="1" customWidth="1"/>
    <col min="6" max="6" width="15.6640625" style="79" customWidth="1"/>
    <col min="7" max="7" width="19.6640625" style="79" customWidth="1"/>
    <col min="8" max="8" width="44.33203125" style="79" bestFit="1" customWidth="1"/>
    <col min="9" max="9" width="19.1640625" style="79" bestFit="1" customWidth="1"/>
    <col min="10" max="10" width="32.83203125" style="79" bestFit="1" customWidth="1"/>
    <col min="11" max="11" width="15.6640625" style="79" customWidth="1"/>
    <col min="12" max="12" width="19.6640625" style="79" customWidth="1"/>
    <col min="13" max="13" width="44.33203125" style="79" bestFit="1" customWidth="1"/>
    <col min="14" max="14" width="19.1640625" style="79" bestFit="1" customWidth="1"/>
    <col min="15" max="15" width="32.83203125" style="79" bestFit="1" customWidth="1"/>
    <col min="16" max="16" width="9.33203125" style="334"/>
    <col min="17" max="17" width="9.33203125" style="79"/>
    <col min="18" max="18" width="9.33203125" style="340"/>
    <col min="19" max="19" width="9.33203125" style="79"/>
    <col min="21" max="251" width="9.33203125" style="79"/>
    <col min="252" max="252" width="15.6640625" style="79" customWidth="1"/>
    <col min="253" max="253" width="19.6640625" style="79" customWidth="1"/>
    <col min="254" max="254" width="44.33203125" style="79" bestFit="1" customWidth="1"/>
    <col min="255" max="255" width="19.33203125" style="79" bestFit="1" customWidth="1"/>
    <col min="256" max="256" width="32.83203125" style="79" bestFit="1" customWidth="1"/>
    <col min="257" max="257" width="15.6640625" style="79" customWidth="1"/>
    <col min="258" max="258" width="19.6640625" style="79" customWidth="1"/>
    <col min="259" max="259" width="44.33203125" style="79" bestFit="1" customWidth="1"/>
    <col min="260" max="260" width="19.33203125" style="79" bestFit="1" customWidth="1"/>
    <col min="261" max="261" width="32.83203125" style="79" bestFit="1" customWidth="1"/>
    <col min="262" max="262" width="15.6640625" style="79" customWidth="1"/>
    <col min="263" max="263" width="19.6640625" style="79" customWidth="1"/>
    <col min="264" max="264" width="44.33203125" style="79" bestFit="1" customWidth="1"/>
    <col min="265" max="265" width="19.1640625" style="79" bestFit="1" customWidth="1"/>
    <col min="266" max="266" width="32.83203125" style="79" bestFit="1" customWidth="1"/>
    <col min="267" max="267" width="15.6640625" style="79" customWidth="1"/>
    <col min="268" max="268" width="19.6640625" style="79" customWidth="1"/>
    <col min="269" max="269" width="44.33203125" style="79" bestFit="1" customWidth="1"/>
    <col min="270" max="270" width="19.1640625" style="79" bestFit="1" customWidth="1"/>
    <col min="271" max="271" width="32.83203125" style="79" bestFit="1" customWidth="1"/>
    <col min="272" max="507" width="9.33203125" style="79"/>
    <col min="508" max="508" width="15.6640625" style="79" customWidth="1"/>
    <col min="509" max="509" width="19.6640625" style="79" customWidth="1"/>
    <col min="510" max="510" width="44.33203125" style="79" bestFit="1" customWidth="1"/>
    <col min="511" max="511" width="19.33203125" style="79" bestFit="1" customWidth="1"/>
    <col min="512" max="512" width="32.83203125" style="79" bestFit="1" customWidth="1"/>
    <col min="513" max="513" width="15.6640625" style="79" customWidth="1"/>
    <col min="514" max="514" width="19.6640625" style="79" customWidth="1"/>
    <col min="515" max="515" width="44.33203125" style="79" bestFit="1" customWidth="1"/>
    <col min="516" max="516" width="19.33203125" style="79" bestFit="1" customWidth="1"/>
    <col min="517" max="517" width="32.83203125" style="79" bestFit="1" customWidth="1"/>
    <col min="518" max="518" width="15.6640625" style="79" customWidth="1"/>
    <col min="519" max="519" width="19.6640625" style="79" customWidth="1"/>
    <col min="520" max="520" width="44.33203125" style="79" bestFit="1" customWidth="1"/>
    <col min="521" max="521" width="19.1640625" style="79" bestFit="1" customWidth="1"/>
    <col min="522" max="522" width="32.83203125" style="79" bestFit="1" customWidth="1"/>
    <col min="523" max="523" width="15.6640625" style="79" customWidth="1"/>
    <col min="524" max="524" width="19.6640625" style="79" customWidth="1"/>
    <col min="525" max="525" width="44.33203125" style="79" bestFit="1" customWidth="1"/>
    <col min="526" max="526" width="19.1640625" style="79" bestFit="1" customWidth="1"/>
    <col min="527" max="527" width="32.83203125" style="79" bestFit="1" customWidth="1"/>
    <col min="528" max="763" width="9.33203125" style="79"/>
    <col min="764" max="764" width="15.6640625" style="79" customWidth="1"/>
    <col min="765" max="765" width="19.6640625" style="79" customWidth="1"/>
    <col min="766" max="766" width="44.33203125" style="79" bestFit="1" customWidth="1"/>
    <col min="767" max="767" width="19.33203125" style="79" bestFit="1" customWidth="1"/>
    <col min="768" max="768" width="32.83203125" style="79" bestFit="1" customWidth="1"/>
    <col min="769" max="769" width="15.6640625" style="79" customWidth="1"/>
    <col min="770" max="770" width="19.6640625" style="79" customWidth="1"/>
    <col min="771" max="771" width="44.33203125" style="79" bestFit="1" customWidth="1"/>
    <col min="772" max="772" width="19.33203125" style="79" bestFit="1" customWidth="1"/>
    <col min="773" max="773" width="32.83203125" style="79" bestFit="1" customWidth="1"/>
    <col min="774" max="774" width="15.6640625" style="79" customWidth="1"/>
    <col min="775" max="775" width="19.6640625" style="79" customWidth="1"/>
    <col min="776" max="776" width="44.33203125" style="79" bestFit="1" customWidth="1"/>
    <col min="777" max="777" width="19.1640625" style="79" bestFit="1" customWidth="1"/>
    <col min="778" max="778" width="32.83203125" style="79" bestFit="1" customWidth="1"/>
    <col min="779" max="779" width="15.6640625" style="79" customWidth="1"/>
    <col min="780" max="780" width="19.6640625" style="79" customWidth="1"/>
    <col min="781" max="781" width="44.33203125" style="79" bestFit="1" customWidth="1"/>
    <col min="782" max="782" width="19.1640625" style="79" bestFit="1" customWidth="1"/>
    <col min="783" max="783" width="32.83203125" style="79" bestFit="1" customWidth="1"/>
    <col min="784" max="1019" width="9.33203125" style="79"/>
    <col min="1020" max="1020" width="15.6640625" style="79" customWidth="1"/>
    <col min="1021" max="1021" width="19.6640625" style="79" customWidth="1"/>
    <col min="1022" max="1022" width="44.33203125" style="79" bestFit="1" customWidth="1"/>
    <col min="1023" max="1023" width="19.33203125" style="79" bestFit="1" customWidth="1"/>
    <col min="1024" max="1024" width="32.83203125" style="79" bestFit="1" customWidth="1"/>
    <col min="1025" max="1025" width="15.6640625" style="79" customWidth="1"/>
    <col min="1026" max="1026" width="19.6640625" style="79" customWidth="1"/>
    <col min="1027" max="1027" width="44.33203125" style="79" bestFit="1" customWidth="1"/>
    <col min="1028" max="1028" width="19.33203125" style="79" bestFit="1" customWidth="1"/>
    <col min="1029" max="1029" width="32.83203125" style="79" bestFit="1" customWidth="1"/>
    <col min="1030" max="1030" width="15.6640625" style="79" customWidth="1"/>
    <col min="1031" max="1031" width="19.6640625" style="79" customWidth="1"/>
    <col min="1032" max="1032" width="44.33203125" style="79" bestFit="1" customWidth="1"/>
    <col min="1033" max="1033" width="19.1640625" style="79" bestFit="1" customWidth="1"/>
    <col min="1034" max="1034" width="32.83203125" style="79" bestFit="1" customWidth="1"/>
    <col min="1035" max="1035" width="15.6640625" style="79" customWidth="1"/>
    <col min="1036" max="1036" width="19.6640625" style="79" customWidth="1"/>
    <col min="1037" max="1037" width="44.33203125" style="79" bestFit="1" customWidth="1"/>
    <col min="1038" max="1038" width="19.1640625" style="79" bestFit="1" customWidth="1"/>
    <col min="1039" max="1039" width="32.83203125" style="79" bestFit="1" customWidth="1"/>
    <col min="1040" max="1275" width="9.33203125" style="79"/>
    <col min="1276" max="1276" width="15.6640625" style="79" customWidth="1"/>
    <col min="1277" max="1277" width="19.6640625" style="79" customWidth="1"/>
    <col min="1278" max="1278" width="44.33203125" style="79" bestFit="1" customWidth="1"/>
    <col min="1279" max="1279" width="19.33203125" style="79" bestFit="1" customWidth="1"/>
    <col min="1280" max="1280" width="32.83203125" style="79" bestFit="1" customWidth="1"/>
    <col min="1281" max="1281" width="15.6640625" style="79" customWidth="1"/>
    <col min="1282" max="1282" width="19.6640625" style="79" customWidth="1"/>
    <col min="1283" max="1283" width="44.33203125" style="79" bestFit="1" customWidth="1"/>
    <col min="1284" max="1284" width="19.33203125" style="79" bestFit="1" customWidth="1"/>
    <col min="1285" max="1285" width="32.83203125" style="79" bestFit="1" customWidth="1"/>
    <col min="1286" max="1286" width="15.6640625" style="79" customWidth="1"/>
    <col min="1287" max="1287" width="19.6640625" style="79" customWidth="1"/>
    <col min="1288" max="1288" width="44.33203125" style="79" bestFit="1" customWidth="1"/>
    <col min="1289" max="1289" width="19.1640625" style="79" bestFit="1" customWidth="1"/>
    <col min="1290" max="1290" width="32.83203125" style="79" bestFit="1" customWidth="1"/>
    <col min="1291" max="1291" width="15.6640625" style="79" customWidth="1"/>
    <col min="1292" max="1292" width="19.6640625" style="79" customWidth="1"/>
    <col min="1293" max="1293" width="44.33203125" style="79" bestFit="1" customWidth="1"/>
    <col min="1294" max="1294" width="19.1640625" style="79" bestFit="1" customWidth="1"/>
    <col min="1295" max="1295" width="32.83203125" style="79" bestFit="1" customWidth="1"/>
    <col min="1296" max="1531" width="9.33203125" style="79"/>
    <col min="1532" max="1532" width="15.6640625" style="79" customWidth="1"/>
    <col min="1533" max="1533" width="19.6640625" style="79" customWidth="1"/>
    <col min="1534" max="1534" width="44.33203125" style="79" bestFit="1" customWidth="1"/>
    <col min="1535" max="1535" width="19.33203125" style="79" bestFit="1" customWidth="1"/>
    <col min="1536" max="1536" width="32.83203125" style="79" bestFit="1" customWidth="1"/>
    <col min="1537" max="1537" width="15.6640625" style="79" customWidth="1"/>
    <col min="1538" max="1538" width="19.6640625" style="79" customWidth="1"/>
    <col min="1539" max="1539" width="44.33203125" style="79" bestFit="1" customWidth="1"/>
    <col min="1540" max="1540" width="19.33203125" style="79" bestFit="1" customWidth="1"/>
    <col min="1541" max="1541" width="32.83203125" style="79" bestFit="1" customWidth="1"/>
    <col min="1542" max="1542" width="15.6640625" style="79" customWidth="1"/>
    <col min="1543" max="1543" width="19.6640625" style="79" customWidth="1"/>
    <col min="1544" max="1544" width="44.33203125" style="79" bestFit="1" customWidth="1"/>
    <col min="1545" max="1545" width="19.1640625" style="79" bestFit="1" customWidth="1"/>
    <col min="1546" max="1546" width="32.83203125" style="79" bestFit="1" customWidth="1"/>
    <col min="1547" max="1547" width="15.6640625" style="79" customWidth="1"/>
    <col min="1548" max="1548" width="19.6640625" style="79" customWidth="1"/>
    <col min="1549" max="1549" width="44.33203125" style="79" bestFit="1" customWidth="1"/>
    <col min="1550" max="1550" width="19.1640625" style="79" bestFit="1" customWidth="1"/>
    <col min="1551" max="1551" width="32.83203125" style="79" bestFit="1" customWidth="1"/>
    <col min="1552" max="1787" width="9.33203125" style="79"/>
    <col min="1788" max="1788" width="15.6640625" style="79" customWidth="1"/>
    <col min="1789" max="1789" width="19.6640625" style="79" customWidth="1"/>
    <col min="1790" max="1790" width="44.33203125" style="79" bestFit="1" customWidth="1"/>
    <col min="1791" max="1791" width="19.33203125" style="79" bestFit="1" customWidth="1"/>
    <col min="1792" max="1792" width="32.83203125" style="79" bestFit="1" customWidth="1"/>
    <col min="1793" max="1793" width="15.6640625" style="79" customWidth="1"/>
    <col min="1794" max="1794" width="19.6640625" style="79" customWidth="1"/>
    <col min="1795" max="1795" width="44.33203125" style="79" bestFit="1" customWidth="1"/>
    <col min="1796" max="1796" width="19.33203125" style="79" bestFit="1" customWidth="1"/>
    <col min="1797" max="1797" width="32.83203125" style="79" bestFit="1" customWidth="1"/>
    <col min="1798" max="1798" width="15.6640625" style="79" customWidth="1"/>
    <col min="1799" max="1799" width="19.6640625" style="79" customWidth="1"/>
    <col min="1800" max="1800" width="44.33203125" style="79" bestFit="1" customWidth="1"/>
    <col min="1801" max="1801" width="19.1640625" style="79" bestFit="1" customWidth="1"/>
    <col min="1802" max="1802" width="32.83203125" style="79" bestFit="1" customWidth="1"/>
    <col min="1803" max="1803" width="15.6640625" style="79" customWidth="1"/>
    <col min="1804" max="1804" width="19.6640625" style="79" customWidth="1"/>
    <col min="1805" max="1805" width="44.33203125" style="79" bestFit="1" customWidth="1"/>
    <col min="1806" max="1806" width="19.1640625" style="79" bestFit="1" customWidth="1"/>
    <col min="1807" max="1807" width="32.83203125" style="79" bestFit="1" customWidth="1"/>
    <col min="1808" max="2043" width="9.33203125" style="79"/>
    <col min="2044" max="2044" width="15.6640625" style="79" customWidth="1"/>
    <col min="2045" max="2045" width="19.6640625" style="79" customWidth="1"/>
    <col min="2046" max="2046" width="44.33203125" style="79" bestFit="1" customWidth="1"/>
    <col min="2047" max="2047" width="19.33203125" style="79" bestFit="1" customWidth="1"/>
    <col min="2048" max="2048" width="32.83203125" style="79" bestFit="1" customWidth="1"/>
    <col min="2049" max="2049" width="15.6640625" style="79" customWidth="1"/>
    <col min="2050" max="2050" width="19.6640625" style="79" customWidth="1"/>
    <col min="2051" max="2051" width="44.33203125" style="79" bestFit="1" customWidth="1"/>
    <col min="2052" max="2052" width="19.33203125" style="79" bestFit="1" customWidth="1"/>
    <col min="2053" max="2053" width="32.83203125" style="79" bestFit="1" customWidth="1"/>
    <col min="2054" max="2054" width="15.6640625" style="79" customWidth="1"/>
    <col min="2055" max="2055" width="19.6640625" style="79" customWidth="1"/>
    <col min="2056" max="2056" width="44.33203125" style="79" bestFit="1" customWidth="1"/>
    <col min="2057" max="2057" width="19.1640625" style="79" bestFit="1" customWidth="1"/>
    <col min="2058" max="2058" width="32.83203125" style="79" bestFit="1" customWidth="1"/>
    <col min="2059" max="2059" width="15.6640625" style="79" customWidth="1"/>
    <col min="2060" max="2060" width="19.6640625" style="79" customWidth="1"/>
    <col min="2061" max="2061" width="44.33203125" style="79" bestFit="1" customWidth="1"/>
    <col min="2062" max="2062" width="19.1640625" style="79" bestFit="1" customWidth="1"/>
    <col min="2063" max="2063" width="32.83203125" style="79" bestFit="1" customWidth="1"/>
    <col min="2064" max="2299" width="9.33203125" style="79"/>
    <col min="2300" max="2300" width="15.6640625" style="79" customWidth="1"/>
    <col min="2301" max="2301" width="19.6640625" style="79" customWidth="1"/>
    <col min="2302" max="2302" width="44.33203125" style="79" bestFit="1" customWidth="1"/>
    <col min="2303" max="2303" width="19.33203125" style="79" bestFit="1" customWidth="1"/>
    <col min="2304" max="2304" width="32.83203125" style="79" bestFit="1" customWidth="1"/>
    <col min="2305" max="2305" width="15.6640625" style="79" customWidth="1"/>
    <col min="2306" max="2306" width="19.6640625" style="79" customWidth="1"/>
    <col min="2307" max="2307" width="44.33203125" style="79" bestFit="1" customWidth="1"/>
    <col min="2308" max="2308" width="19.33203125" style="79" bestFit="1" customWidth="1"/>
    <col min="2309" max="2309" width="32.83203125" style="79" bestFit="1" customWidth="1"/>
    <col min="2310" max="2310" width="15.6640625" style="79" customWidth="1"/>
    <col min="2311" max="2311" width="19.6640625" style="79" customWidth="1"/>
    <col min="2312" max="2312" width="44.33203125" style="79" bestFit="1" customWidth="1"/>
    <col min="2313" max="2313" width="19.1640625" style="79" bestFit="1" customWidth="1"/>
    <col min="2314" max="2314" width="32.83203125" style="79" bestFit="1" customWidth="1"/>
    <col min="2315" max="2315" width="15.6640625" style="79" customWidth="1"/>
    <col min="2316" max="2316" width="19.6640625" style="79" customWidth="1"/>
    <col min="2317" max="2317" width="44.33203125" style="79" bestFit="1" customWidth="1"/>
    <col min="2318" max="2318" width="19.1640625" style="79" bestFit="1" customWidth="1"/>
    <col min="2319" max="2319" width="32.83203125" style="79" bestFit="1" customWidth="1"/>
    <col min="2320" max="2555" width="9.33203125" style="79"/>
    <col min="2556" max="2556" width="15.6640625" style="79" customWidth="1"/>
    <col min="2557" max="2557" width="19.6640625" style="79" customWidth="1"/>
    <col min="2558" max="2558" width="44.33203125" style="79" bestFit="1" customWidth="1"/>
    <col min="2559" max="2559" width="19.33203125" style="79" bestFit="1" customWidth="1"/>
    <col min="2560" max="2560" width="32.83203125" style="79" bestFit="1" customWidth="1"/>
    <col min="2561" max="2561" width="15.6640625" style="79" customWidth="1"/>
    <col min="2562" max="2562" width="19.6640625" style="79" customWidth="1"/>
    <col min="2563" max="2563" width="44.33203125" style="79" bestFit="1" customWidth="1"/>
    <col min="2564" max="2564" width="19.33203125" style="79" bestFit="1" customWidth="1"/>
    <col min="2565" max="2565" width="32.83203125" style="79" bestFit="1" customWidth="1"/>
    <col min="2566" max="2566" width="15.6640625" style="79" customWidth="1"/>
    <col min="2567" max="2567" width="19.6640625" style="79" customWidth="1"/>
    <col min="2568" max="2568" width="44.33203125" style="79" bestFit="1" customWidth="1"/>
    <col min="2569" max="2569" width="19.1640625" style="79" bestFit="1" customWidth="1"/>
    <col min="2570" max="2570" width="32.83203125" style="79" bestFit="1" customWidth="1"/>
    <col min="2571" max="2571" width="15.6640625" style="79" customWidth="1"/>
    <col min="2572" max="2572" width="19.6640625" style="79" customWidth="1"/>
    <col min="2573" max="2573" width="44.33203125" style="79" bestFit="1" customWidth="1"/>
    <col min="2574" max="2574" width="19.1640625" style="79" bestFit="1" customWidth="1"/>
    <col min="2575" max="2575" width="32.83203125" style="79" bestFit="1" customWidth="1"/>
    <col min="2576" max="2811" width="9.33203125" style="79"/>
    <col min="2812" max="2812" width="15.6640625" style="79" customWidth="1"/>
    <col min="2813" max="2813" width="19.6640625" style="79" customWidth="1"/>
    <col min="2814" max="2814" width="44.33203125" style="79" bestFit="1" customWidth="1"/>
    <col min="2815" max="2815" width="19.33203125" style="79" bestFit="1" customWidth="1"/>
    <col min="2816" max="2816" width="32.83203125" style="79" bestFit="1" customWidth="1"/>
    <col min="2817" max="2817" width="15.6640625" style="79" customWidth="1"/>
    <col min="2818" max="2818" width="19.6640625" style="79" customWidth="1"/>
    <col min="2819" max="2819" width="44.33203125" style="79" bestFit="1" customWidth="1"/>
    <col min="2820" max="2820" width="19.33203125" style="79" bestFit="1" customWidth="1"/>
    <col min="2821" max="2821" width="32.83203125" style="79" bestFit="1" customWidth="1"/>
    <col min="2822" max="2822" width="15.6640625" style="79" customWidth="1"/>
    <col min="2823" max="2823" width="19.6640625" style="79" customWidth="1"/>
    <col min="2824" max="2824" width="44.33203125" style="79" bestFit="1" customWidth="1"/>
    <col min="2825" max="2825" width="19.1640625" style="79" bestFit="1" customWidth="1"/>
    <col min="2826" max="2826" width="32.83203125" style="79" bestFit="1" customWidth="1"/>
    <col min="2827" max="2827" width="15.6640625" style="79" customWidth="1"/>
    <col min="2828" max="2828" width="19.6640625" style="79" customWidth="1"/>
    <col min="2829" max="2829" width="44.33203125" style="79" bestFit="1" customWidth="1"/>
    <col min="2830" max="2830" width="19.1640625" style="79" bestFit="1" customWidth="1"/>
    <col min="2831" max="2831" width="32.83203125" style="79" bestFit="1" customWidth="1"/>
    <col min="2832" max="3067" width="9.33203125" style="79"/>
    <col min="3068" max="3068" width="15.6640625" style="79" customWidth="1"/>
    <col min="3069" max="3069" width="19.6640625" style="79" customWidth="1"/>
    <col min="3070" max="3070" width="44.33203125" style="79" bestFit="1" customWidth="1"/>
    <col min="3071" max="3071" width="19.33203125" style="79" bestFit="1" customWidth="1"/>
    <col min="3072" max="3072" width="32.83203125" style="79" bestFit="1" customWidth="1"/>
    <col min="3073" max="3073" width="15.6640625" style="79" customWidth="1"/>
    <col min="3074" max="3074" width="19.6640625" style="79" customWidth="1"/>
    <col min="3075" max="3075" width="44.33203125" style="79" bestFit="1" customWidth="1"/>
    <col min="3076" max="3076" width="19.33203125" style="79" bestFit="1" customWidth="1"/>
    <col min="3077" max="3077" width="32.83203125" style="79" bestFit="1" customWidth="1"/>
    <col min="3078" max="3078" width="15.6640625" style="79" customWidth="1"/>
    <col min="3079" max="3079" width="19.6640625" style="79" customWidth="1"/>
    <col min="3080" max="3080" width="44.33203125" style="79" bestFit="1" customWidth="1"/>
    <col min="3081" max="3081" width="19.1640625" style="79" bestFit="1" customWidth="1"/>
    <col min="3082" max="3082" width="32.83203125" style="79" bestFit="1" customWidth="1"/>
    <col min="3083" max="3083" width="15.6640625" style="79" customWidth="1"/>
    <col min="3084" max="3084" width="19.6640625" style="79" customWidth="1"/>
    <col min="3085" max="3085" width="44.33203125" style="79" bestFit="1" customWidth="1"/>
    <col min="3086" max="3086" width="19.1640625" style="79" bestFit="1" customWidth="1"/>
    <col min="3087" max="3087" width="32.83203125" style="79" bestFit="1" customWidth="1"/>
    <col min="3088" max="3323" width="9.33203125" style="79"/>
    <col min="3324" max="3324" width="15.6640625" style="79" customWidth="1"/>
    <col min="3325" max="3325" width="19.6640625" style="79" customWidth="1"/>
    <col min="3326" max="3326" width="44.33203125" style="79" bestFit="1" customWidth="1"/>
    <col min="3327" max="3327" width="19.33203125" style="79" bestFit="1" customWidth="1"/>
    <col min="3328" max="3328" width="32.83203125" style="79" bestFit="1" customWidth="1"/>
    <col min="3329" max="3329" width="15.6640625" style="79" customWidth="1"/>
    <col min="3330" max="3330" width="19.6640625" style="79" customWidth="1"/>
    <col min="3331" max="3331" width="44.33203125" style="79" bestFit="1" customWidth="1"/>
    <col min="3332" max="3332" width="19.33203125" style="79" bestFit="1" customWidth="1"/>
    <col min="3333" max="3333" width="32.83203125" style="79" bestFit="1" customWidth="1"/>
    <col min="3334" max="3334" width="15.6640625" style="79" customWidth="1"/>
    <col min="3335" max="3335" width="19.6640625" style="79" customWidth="1"/>
    <col min="3336" max="3336" width="44.33203125" style="79" bestFit="1" customWidth="1"/>
    <col min="3337" max="3337" width="19.1640625" style="79" bestFit="1" customWidth="1"/>
    <col min="3338" max="3338" width="32.83203125" style="79" bestFit="1" customWidth="1"/>
    <col min="3339" max="3339" width="15.6640625" style="79" customWidth="1"/>
    <col min="3340" max="3340" width="19.6640625" style="79" customWidth="1"/>
    <col min="3341" max="3341" width="44.33203125" style="79" bestFit="1" customWidth="1"/>
    <col min="3342" max="3342" width="19.1640625" style="79" bestFit="1" customWidth="1"/>
    <col min="3343" max="3343" width="32.83203125" style="79" bestFit="1" customWidth="1"/>
    <col min="3344" max="3579" width="9.33203125" style="79"/>
    <col min="3580" max="3580" width="15.6640625" style="79" customWidth="1"/>
    <col min="3581" max="3581" width="19.6640625" style="79" customWidth="1"/>
    <col min="3582" max="3582" width="44.33203125" style="79" bestFit="1" customWidth="1"/>
    <col min="3583" max="3583" width="19.33203125" style="79" bestFit="1" customWidth="1"/>
    <col min="3584" max="3584" width="32.83203125" style="79" bestFit="1" customWidth="1"/>
    <col min="3585" max="3585" width="15.6640625" style="79" customWidth="1"/>
    <col min="3586" max="3586" width="19.6640625" style="79" customWidth="1"/>
    <col min="3587" max="3587" width="44.33203125" style="79" bestFit="1" customWidth="1"/>
    <col min="3588" max="3588" width="19.33203125" style="79" bestFit="1" customWidth="1"/>
    <col min="3589" max="3589" width="32.83203125" style="79" bestFit="1" customWidth="1"/>
    <col min="3590" max="3590" width="15.6640625" style="79" customWidth="1"/>
    <col min="3591" max="3591" width="19.6640625" style="79" customWidth="1"/>
    <col min="3592" max="3592" width="44.33203125" style="79" bestFit="1" customWidth="1"/>
    <col min="3593" max="3593" width="19.1640625" style="79" bestFit="1" customWidth="1"/>
    <col min="3594" max="3594" width="32.83203125" style="79" bestFit="1" customWidth="1"/>
    <col min="3595" max="3595" width="15.6640625" style="79" customWidth="1"/>
    <col min="3596" max="3596" width="19.6640625" style="79" customWidth="1"/>
    <col min="3597" max="3597" width="44.33203125" style="79" bestFit="1" customWidth="1"/>
    <col min="3598" max="3598" width="19.1640625" style="79" bestFit="1" customWidth="1"/>
    <col min="3599" max="3599" width="32.83203125" style="79" bestFit="1" customWidth="1"/>
    <col min="3600" max="3835" width="9.33203125" style="79"/>
    <col min="3836" max="3836" width="15.6640625" style="79" customWidth="1"/>
    <col min="3837" max="3837" width="19.6640625" style="79" customWidth="1"/>
    <col min="3838" max="3838" width="44.33203125" style="79" bestFit="1" customWidth="1"/>
    <col min="3839" max="3839" width="19.33203125" style="79" bestFit="1" customWidth="1"/>
    <col min="3840" max="3840" width="32.83203125" style="79" bestFit="1" customWidth="1"/>
    <col min="3841" max="3841" width="15.6640625" style="79" customWidth="1"/>
    <col min="3842" max="3842" width="19.6640625" style="79" customWidth="1"/>
    <col min="3843" max="3843" width="44.33203125" style="79" bestFit="1" customWidth="1"/>
    <col min="3844" max="3844" width="19.33203125" style="79" bestFit="1" customWidth="1"/>
    <col min="3845" max="3845" width="32.83203125" style="79" bestFit="1" customWidth="1"/>
    <col min="3846" max="3846" width="15.6640625" style="79" customWidth="1"/>
    <col min="3847" max="3847" width="19.6640625" style="79" customWidth="1"/>
    <col min="3848" max="3848" width="44.33203125" style="79" bestFit="1" customWidth="1"/>
    <col min="3849" max="3849" width="19.1640625" style="79" bestFit="1" customWidth="1"/>
    <col min="3850" max="3850" width="32.83203125" style="79" bestFit="1" customWidth="1"/>
    <col min="3851" max="3851" width="15.6640625" style="79" customWidth="1"/>
    <col min="3852" max="3852" width="19.6640625" style="79" customWidth="1"/>
    <col min="3853" max="3853" width="44.33203125" style="79" bestFit="1" customWidth="1"/>
    <col min="3854" max="3854" width="19.1640625" style="79" bestFit="1" customWidth="1"/>
    <col min="3855" max="3855" width="32.83203125" style="79" bestFit="1" customWidth="1"/>
    <col min="3856" max="4091" width="9.33203125" style="79"/>
    <col min="4092" max="4092" width="15.6640625" style="79" customWidth="1"/>
    <col min="4093" max="4093" width="19.6640625" style="79" customWidth="1"/>
    <col min="4094" max="4094" width="44.33203125" style="79" bestFit="1" customWidth="1"/>
    <col min="4095" max="4095" width="19.33203125" style="79" bestFit="1" customWidth="1"/>
    <col min="4096" max="4096" width="32.83203125" style="79" bestFit="1" customWidth="1"/>
    <col min="4097" max="4097" width="15.6640625" style="79" customWidth="1"/>
    <col min="4098" max="4098" width="19.6640625" style="79" customWidth="1"/>
    <col min="4099" max="4099" width="44.33203125" style="79" bestFit="1" customWidth="1"/>
    <col min="4100" max="4100" width="19.33203125" style="79" bestFit="1" customWidth="1"/>
    <col min="4101" max="4101" width="32.83203125" style="79" bestFit="1" customWidth="1"/>
    <col min="4102" max="4102" width="15.6640625" style="79" customWidth="1"/>
    <col min="4103" max="4103" width="19.6640625" style="79" customWidth="1"/>
    <col min="4104" max="4104" width="44.33203125" style="79" bestFit="1" customWidth="1"/>
    <col min="4105" max="4105" width="19.1640625" style="79" bestFit="1" customWidth="1"/>
    <col min="4106" max="4106" width="32.83203125" style="79" bestFit="1" customWidth="1"/>
    <col min="4107" max="4107" width="15.6640625" style="79" customWidth="1"/>
    <col min="4108" max="4108" width="19.6640625" style="79" customWidth="1"/>
    <col min="4109" max="4109" width="44.33203125" style="79" bestFit="1" customWidth="1"/>
    <col min="4110" max="4110" width="19.1640625" style="79" bestFit="1" customWidth="1"/>
    <col min="4111" max="4111" width="32.83203125" style="79" bestFit="1" customWidth="1"/>
    <col min="4112" max="4347" width="9.33203125" style="79"/>
    <col min="4348" max="4348" width="15.6640625" style="79" customWidth="1"/>
    <col min="4349" max="4349" width="19.6640625" style="79" customWidth="1"/>
    <col min="4350" max="4350" width="44.33203125" style="79" bestFit="1" customWidth="1"/>
    <col min="4351" max="4351" width="19.33203125" style="79" bestFit="1" customWidth="1"/>
    <col min="4352" max="4352" width="32.83203125" style="79" bestFit="1" customWidth="1"/>
    <col min="4353" max="4353" width="15.6640625" style="79" customWidth="1"/>
    <col min="4354" max="4354" width="19.6640625" style="79" customWidth="1"/>
    <col min="4355" max="4355" width="44.33203125" style="79" bestFit="1" customWidth="1"/>
    <col min="4356" max="4356" width="19.33203125" style="79" bestFit="1" customWidth="1"/>
    <col min="4357" max="4357" width="32.83203125" style="79" bestFit="1" customWidth="1"/>
    <col min="4358" max="4358" width="15.6640625" style="79" customWidth="1"/>
    <col min="4359" max="4359" width="19.6640625" style="79" customWidth="1"/>
    <col min="4360" max="4360" width="44.33203125" style="79" bestFit="1" customWidth="1"/>
    <col min="4361" max="4361" width="19.1640625" style="79" bestFit="1" customWidth="1"/>
    <col min="4362" max="4362" width="32.83203125" style="79" bestFit="1" customWidth="1"/>
    <col min="4363" max="4363" width="15.6640625" style="79" customWidth="1"/>
    <col min="4364" max="4364" width="19.6640625" style="79" customWidth="1"/>
    <col min="4365" max="4365" width="44.33203125" style="79" bestFit="1" customWidth="1"/>
    <col min="4366" max="4366" width="19.1640625" style="79" bestFit="1" customWidth="1"/>
    <col min="4367" max="4367" width="32.83203125" style="79" bestFit="1" customWidth="1"/>
    <col min="4368" max="4603" width="9.33203125" style="79"/>
    <col min="4604" max="4604" width="15.6640625" style="79" customWidth="1"/>
    <col min="4605" max="4605" width="19.6640625" style="79" customWidth="1"/>
    <col min="4606" max="4606" width="44.33203125" style="79" bestFit="1" customWidth="1"/>
    <col min="4607" max="4607" width="19.33203125" style="79" bestFit="1" customWidth="1"/>
    <col min="4608" max="4608" width="32.83203125" style="79" bestFit="1" customWidth="1"/>
    <col min="4609" max="4609" width="15.6640625" style="79" customWidth="1"/>
    <col min="4610" max="4610" width="19.6640625" style="79" customWidth="1"/>
    <col min="4611" max="4611" width="44.33203125" style="79" bestFit="1" customWidth="1"/>
    <col min="4612" max="4612" width="19.33203125" style="79" bestFit="1" customWidth="1"/>
    <col min="4613" max="4613" width="32.83203125" style="79" bestFit="1" customWidth="1"/>
    <col min="4614" max="4614" width="15.6640625" style="79" customWidth="1"/>
    <col min="4615" max="4615" width="19.6640625" style="79" customWidth="1"/>
    <col min="4616" max="4616" width="44.33203125" style="79" bestFit="1" customWidth="1"/>
    <col min="4617" max="4617" width="19.1640625" style="79" bestFit="1" customWidth="1"/>
    <col min="4618" max="4618" width="32.83203125" style="79" bestFit="1" customWidth="1"/>
    <col min="4619" max="4619" width="15.6640625" style="79" customWidth="1"/>
    <col min="4620" max="4620" width="19.6640625" style="79" customWidth="1"/>
    <col min="4621" max="4621" width="44.33203125" style="79" bestFit="1" customWidth="1"/>
    <col min="4622" max="4622" width="19.1640625" style="79" bestFit="1" customWidth="1"/>
    <col min="4623" max="4623" width="32.83203125" style="79" bestFit="1" customWidth="1"/>
    <col min="4624" max="4859" width="9.33203125" style="79"/>
    <col min="4860" max="4860" width="15.6640625" style="79" customWidth="1"/>
    <col min="4861" max="4861" width="19.6640625" style="79" customWidth="1"/>
    <col min="4862" max="4862" width="44.33203125" style="79" bestFit="1" customWidth="1"/>
    <col min="4863" max="4863" width="19.33203125" style="79" bestFit="1" customWidth="1"/>
    <col min="4864" max="4864" width="32.83203125" style="79" bestFit="1" customWidth="1"/>
    <col min="4865" max="4865" width="15.6640625" style="79" customWidth="1"/>
    <col min="4866" max="4866" width="19.6640625" style="79" customWidth="1"/>
    <col min="4867" max="4867" width="44.33203125" style="79" bestFit="1" customWidth="1"/>
    <col min="4868" max="4868" width="19.33203125" style="79" bestFit="1" customWidth="1"/>
    <col min="4869" max="4869" width="32.83203125" style="79" bestFit="1" customWidth="1"/>
    <col min="4870" max="4870" width="15.6640625" style="79" customWidth="1"/>
    <col min="4871" max="4871" width="19.6640625" style="79" customWidth="1"/>
    <col min="4872" max="4872" width="44.33203125" style="79" bestFit="1" customWidth="1"/>
    <col min="4873" max="4873" width="19.1640625" style="79" bestFit="1" customWidth="1"/>
    <col min="4874" max="4874" width="32.83203125" style="79" bestFit="1" customWidth="1"/>
    <col min="4875" max="4875" width="15.6640625" style="79" customWidth="1"/>
    <col min="4876" max="4876" width="19.6640625" style="79" customWidth="1"/>
    <col min="4877" max="4877" width="44.33203125" style="79" bestFit="1" customWidth="1"/>
    <col min="4878" max="4878" width="19.1640625" style="79" bestFit="1" customWidth="1"/>
    <col min="4879" max="4879" width="32.83203125" style="79" bestFit="1" customWidth="1"/>
    <col min="4880" max="5115" width="9.33203125" style="79"/>
    <col min="5116" max="5116" width="15.6640625" style="79" customWidth="1"/>
    <col min="5117" max="5117" width="19.6640625" style="79" customWidth="1"/>
    <col min="5118" max="5118" width="44.33203125" style="79" bestFit="1" customWidth="1"/>
    <col min="5119" max="5119" width="19.33203125" style="79" bestFit="1" customWidth="1"/>
    <col min="5120" max="5120" width="32.83203125" style="79" bestFit="1" customWidth="1"/>
    <col min="5121" max="5121" width="15.6640625" style="79" customWidth="1"/>
    <col min="5122" max="5122" width="19.6640625" style="79" customWidth="1"/>
    <col min="5123" max="5123" width="44.33203125" style="79" bestFit="1" customWidth="1"/>
    <col min="5124" max="5124" width="19.33203125" style="79" bestFit="1" customWidth="1"/>
    <col min="5125" max="5125" width="32.83203125" style="79" bestFit="1" customWidth="1"/>
    <col min="5126" max="5126" width="15.6640625" style="79" customWidth="1"/>
    <col min="5127" max="5127" width="19.6640625" style="79" customWidth="1"/>
    <col min="5128" max="5128" width="44.33203125" style="79" bestFit="1" customWidth="1"/>
    <col min="5129" max="5129" width="19.1640625" style="79" bestFit="1" customWidth="1"/>
    <col min="5130" max="5130" width="32.83203125" style="79" bestFit="1" customWidth="1"/>
    <col min="5131" max="5131" width="15.6640625" style="79" customWidth="1"/>
    <col min="5132" max="5132" width="19.6640625" style="79" customWidth="1"/>
    <col min="5133" max="5133" width="44.33203125" style="79" bestFit="1" customWidth="1"/>
    <col min="5134" max="5134" width="19.1640625" style="79" bestFit="1" customWidth="1"/>
    <col min="5135" max="5135" width="32.83203125" style="79" bestFit="1" customWidth="1"/>
    <col min="5136" max="5371" width="9.33203125" style="79"/>
    <col min="5372" max="5372" width="15.6640625" style="79" customWidth="1"/>
    <col min="5373" max="5373" width="19.6640625" style="79" customWidth="1"/>
    <col min="5374" max="5374" width="44.33203125" style="79" bestFit="1" customWidth="1"/>
    <col min="5375" max="5375" width="19.33203125" style="79" bestFit="1" customWidth="1"/>
    <col min="5376" max="5376" width="32.83203125" style="79" bestFit="1" customWidth="1"/>
    <col min="5377" max="5377" width="15.6640625" style="79" customWidth="1"/>
    <col min="5378" max="5378" width="19.6640625" style="79" customWidth="1"/>
    <col min="5379" max="5379" width="44.33203125" style="79" bestFit="1" customWidth="1"/>
    <col min="5380" max="5380" width="19.33203125" style="79" bestFit="1" customWidth="1"/>
    <col min="5381" max="5381" width="32.83203125" style="79" bestFit="1" customWidth="1"/>
    <col min="5382" max="5382" width="15.6640625" style="79" customWidth="1"/>
    <col min="5383" max="5383" width="19.6640625" style="79" customWidth="1"/>
    <col min="5384" max="5384" width="44.33203125" style="79" bestFit="1" customWidth="1"/>
    <col min="5385" max="5385" width="19.1640625" style="79" bestFit="1" customWidth="1"/>
    <col min="5386" max="5386" width="32.83203125" style="79" bestFit="1" customWidth="1"/>
    <col min="5387" max="5387" width="15.6640625" style="79" customWidth="1"/>
    <col min="5388" max="5388" width="19.6640625" style="79" customWidth="1"/>
    <col min="5389" max="5389" width="44.33203125" style="79" bestFit="1" customWidth="1"/>
    <col min="5390" max="5390" width="19.1640625" style="79" bestFit="1" customWidth="1"/>
    <col min="5391" max="5391" width="32.83203125" style="79" bestFit="1" customWidth="1"/>
    <col min="5392" max="5627" width="9.33203125" style="79"/>
    <col min="5628" max="5628" width="15.6640625" style="79" customWidth="1"/>
    <col min="5629" max="5629" width="19.6640625" style="79" customWidth="1"/>
    <col min="5630" max="5630" width="44.33203125" style="79" bestFit="1" customWidth="1"/>
    <col min="5631" max="5631" width="19.33203125" style="79" bestFit="1" customWidth="1"/>
    <col min="5632" max="5632" width="32.83203125" style="79" bestFit="1" customWidth="1"/>
    <col min="5633" max="5633" width="15.6640625" style="79" customWidth="1"/>
    <col min="5634" max="5634" width="19.6640625" style="79" customWidth="1"/>
    <col min="5635" max="5635" width="44.33203125" style="79" bestFit="1" customWidth="1"/>
    <col min="5636" max="5636" width="19.33203125" style="79" bestFit="1" customWidth="1"/>
    <col min="5637" max="5637" width="32.83203125" style="79" bestFit="1" customWidth="1"/>
    <col min="5638" max="5638" width="15.6640625" style="79" customWidth="1"/>
    <col min="5639" max="5639" width="19.6640625" style="79" customWidth="1"/>
    <col min="5640" max="5640" width="44.33203125" style="79" bestFit="1" customWidth="1"/>
    <col min="5641" max="5641" width="19.1640625" style="79" bestFit="1" customWidth="1"/>
    <col min="5642" max="5642" width="32.83203125" style="79" bestFit="1" customWidth="1"/>
    <col min="5643" max="5643" width="15.6640625" style="79" customWidth="1"/>
    <col min="5644" max="5644" width="19.6640625" style="79" customWidth="1"/>
    <col min="5645" max="5645" width="44.33203125" style="79" bestFit="1" customWidth="1"/>
    <col min="5646" max="5646" width="19.1640625" style="79" bestFit="1" customWidth="1"/>
    <col min="5647" max="5647" width="32.83203125" style="79" bestFit="1" customWidth="1"/>
    <col min="5648" max="5883" width="9.33203125" style="79"/>
    <col min="5884" max="5884" width="15.6640625" style="79" customWidth="1"/>
    <col min="5885" max="5885" width="19.6640625" style="79" customWidth="1"/>
    <col min="5886" max="5886" width="44.33203125" style="79" bestFit="1" customWidth="1"/>
    <col min="5887" max="5887" width="19.33203125" style="79" bestFit="1" customWidth="1"/>
    <col min="5888" max="5888" width="32.83203125" style="79" bestFit="1" customWidth="1"/>
    <col min="5889" max="5889" width="15.6640625" style="79" customWidth="1"/>
    <col min="5890" max="5890" width="19.6640625" style="79" customWidth="1"/>
    <col min="5891" max="5891" width="44.33203125" style="79" bestFit="1" customWidth="1"/>
    <col min="5892" max="5892" width="19.33203125" style="79" bestFit="1" customWidth="1"/>
    <col min="5893" max="5893" width="32.83203125" style="79" bestFit="1" customWidth="1"/>
    <col min="5894" max="5894" width="15.6640625" style="79" customWidth="1"/>
    <col min="5895" max="5895" width="19.6640625" style="79" customWidth="1"/>
    <col min="5896" max="5896" width="44.33203125" style="79" bestFit="1" customWidth="1"/>
    <col min="5897" max="5897" width="19.1640625" style="79" bestFit="1" customWidth="1"/>
    <col min="5898" max="5898" width="32.83203125" style="79" bestFit="1" customWidth="1"/>
    <col min="5899" max="5899" width="15.6640625" style="79" customWidth="1"/>
    <col min="5900" max="5900" width="19.6640625" style="79" customWidth="1"/>
    <col min="5901" max="5901" width="44.33203125" style="79" bestFit="1" customWidth="1"/>
    <col min="5902" max="5902" width="19.1640625" style="79" bestFit="1" customWidth="1"/>
    <col min="5903" max="5903" width="32.83203125" style="79" bestFit="1" customWidth="1"/>
    <col min="5904" max="6139" width="9.33203125" style="79"/>
    <col min="6140" max="6140" width="15.6640625" style="79" customWidth="1"/>
    <col min="6141" max="6141" width="19.6640625" style="79" customWidth="1"/>
    <col min="6142" max="6142" width="44.33203125" style="79" bestFit="1" customWidth="1"/>
    <col min="6143" max="6143" width="19.33203125" style="79" bestFit="1" customWidth="1"/>
    <col min="6144" max="6144" width="32.83203125" style="79" bestFit="1" customWidth="1"/>
    <col min="6145" max="6145" width="15.6640625" style="79" customWidth="1"/>
    <col min="6146" max="6146" width="19.6640625" style="79" customWidth="1"/>
    <col min="6147" max="6147" width="44.33203125" style="79" bestFit="1" customWidth="1"/>
    <col min="6148" max="6148" width="19.33203125" style="79" bestFit="1" customWidth="1"/>
    <col min="6149" max="6149" width="32.83203125" style="79" bestFit="1" customWidth="1"/>
    <col min="6150" max="6150" width="15.6640625" style="79" customWidth="1"/>
    <col min="6151" max="6151" width="19.6640625" style="79" customWidth="1"/>
    <col min="6152" max="6152" width="44.33203125" style="79" bestFit="1" customWidth="1"/>
    <col min="6153" max="6153" width="19.1640625" style="79" bestFit="1" customWidth="1"/>
    <col min="6154" max="6154" width="32.83203125" style="79" bestFit="1" customWidth="1"/>
    <col min="6155" max="6155" width="15.6640625" style="79" customWidth="1"/>
    <col min="6156" max="6156" width="19.6640625" style="79" customWidth="1"/>
    <col min="6157" max="6157" width="44.33203125" style="79" bestFit="1" customWidth="1"/>
    <col min="6158" max="6158" width="19.1640625" style="79" bestFit="1" customWidth="1"/>
    <col min="6159" max="6159" width="32.83203125" style="79" bestFit="1" customWidth="1"/>
    <col min="6160" max="6395" width="9.33203125" style="79"/>
    <col min="6396" max="6396" width="15.6640625" style="79" customWidth="1"/>
    <col min="6397" max="6397" width="19.6640625" style="79" customWidth="1"/>
    <col min="6398" max="6398" width="44.33203125" style="79" bestFit="1" customWidth="1"/>
    <col min="6399" max="6399" width="19.33203125" style="79" bestFit="1" customWidth="1"/>
    <col min="6400" max="6400" width="32.83203125" style="79" bestFit="1" customWidth="1"/>
    <col min="6401" max="6401" width="15.6640625" style="79" customWidth="1"/>
    <col min="6402" max="6402" width="19.6640625" style="79" customWidth="1"/>
    <col min="6403" max="6403" width="44.33203125" style="79" bestFit="1" customWidth="1"/>
    <col min="6404" max="6404" width="19.33203125" style="79" bestFit="1" customWidth="1"/>
    <col min="6405" max="6405" width="32.83203125" style="79" bestFit="1" customWidth="1"/>
    <col min="6406" max="6406" width="15.6640625" style="79" customWidth="1"/>
    <col min="6407" max="6407" width="19.6640625" style="79" customWidth="1"/>
    <col min="6408" max="6408" width="44.33203125" style="79" bestFit="1" customWidth="1"/>
    <col min="6409" max="6409" width="19.1640625" style="79" bestFit="1" customWidth="1"/>
    <col min="6410" max="6410" width="32.83203125" style="79" bestFit="1" customWidth="1"/>
    <col min="6411" max="6411" width="15.6640625" style="79" customWidth="1"/>
    <col min="6412" max="6412" width="19.6640625" style="79" customWidth="1"/>
    <col min="6413" max="6413" width="44.33203125" style="79" bestFit="1" customWidth="1"/>
    <col min="6414" max="6414" width="19.1640625" style="79" bestFit="1" customWidth="1"/>
    <col min="6415" max="6415" width="32.83203125" style="79" bestFit="1" customWidth="1"/>
    <col min="6416" max="6651" width="9.33203125" style="79"/>
    <col min="6652" max="6652" width="15.6640625" style="79" customWidth="1"/>
    <col min="6653" max="6653" width="19.6640625" style="79" customWidth="1"/>
    <col min="6654" max="6654" width="44.33203125" style="79" bestFit="1" customWidth="1"/>
    <col min="6655" max="6655" width="19.33203125" style="79" bestFit="1" customWidth="1"/>
    <col min="6656" max="6656" width="32.83203125" style="79" bestFit="1" customWidth="1"/>
    <col min="6657" max="6657" width="15.6640625" style="79" customWidth="1"/>
    <col min="6658" max="6658" width="19.6640625" style="79" customWidth="1"/>
    <col min="6659" max="6659" width="44.33203125" style="79" bestFit="1" customWidth="1"/>
    <col min="6660" max="6660" width="19.33203125" style="79" bestFit="1" customWidth="1"/>
    <col min="6661" max="6661" width="32.83203125" style="79" bestFit="1" customWidth="1"/>
    <col min="6662" max="6662" width="15.6640625" style="79" customWidth="1"/>
    <col min="6663" max="6663" width="19.6640625" style="79" customWidth="1"/>
    <col min="6664" max="6664" width="44.33203125" style="79" bestFit="1" customWidth="1"/>
    <col min="6665" max="6665" width="19.1640625" style="79" bestFit="1" customWidth="1"/>
    <col min="6666" max="6666" width="32.83203125" style="79" bestFit="1" customWidth="1"/>
    <col min="6667" max="6667" width="15.6640625" style="79" customWidth="1"/>
    <col min="6668" max="6668" width="19.6640625" style="79" customWidth="1"/>
    <col min="6669" max="6669" width="44.33203125" style="79" bestFit="1" customWidth="1"/>
    <col min="6670" max="6670" width="19.1640625" style="79" bestFit="1" customWidth="1"/>
    <col min="6671" max="6671" width="32.83203125" style="79" bestFit="1" customWidth="1"/>
    <col min="6672" max="6907" width="9.33203125" style="79"/>
    <col min="6908" max="6908" width="15.6640625" style="79" customWidth="1"/>
    <col min="6909" max="6909" width="19.6640625" style="79" customWidth="1"/>
    <col min="6910" max="6910" width="44.33203125" style="79" bestFit="1" customWidth="1"/>
    <col min="6911" max="6911" width="19.33203125" style="79" bestFit="1" customWidth="1"/>
    <col min="6912" max="6912" width="32.83203125" style="79" bestFit="1" customWidth="1"/>
    <col min="6913" max="6913" width="15.6640625" style="79" customWidth="1"/>
    <col min="6914" max="6914" width="19.6640625" style="79" customWidth="1"/>
    <col min="6915" max="6915" width="44.33203125" style="79" bestFit="1" customWidth="1"/>
    <col min="6916" max="6916" width="19.33203125" style="79" bestFit="1" customWidth="1"/>
    <col min="6917" max="6917" width="32.83203125" style="79" bestFit="1" customWidth="1"/>
    <col min="6918" max="6918" width="15.6640625" style="79" customWidth="1"/>
    <col min="6919" max="6919" width="19.6640625" style="79" customWidth="1"/>
    <col min="6920" max="6920" width="44.33203125" style="79" bestFit="1" customWidth="1"/>
    <col min="6921" max="6921" width="19.1640625" style="79" bestFit="1" customWidth="1"/>
    <col min="6922" max="6922" width="32.83203125" style="79" bestFit="1" customWidth="1"/>
    <col min="6923" max="6923" width="15.6640625" style="79" customWidth="1"/>
    <col min="6924" max="6924" width="19.6640625" style="79" customWidth="1"/>
    <col min="6925" max="6925" width="44.33203125" style="79" bestFit="1" customWidth="1"/>
    <col min="6926" max="6926" width="19.1640625" style="79" bestFit="1" customWidth="1"/>
    <col min="6927" max="6927" width="32.83203125" style="79" bestFit="1" customWidth="1"/>
    <col min="6928" max="7163" width="9.33203125" style="79"/>
    <col min="7164" max="7164" width="15.6640625" style="79" customWidth="1"/>
    <col min="7165" max="7165" width="19.6640625" style="79" customWidth="1"/>
    <col min="7166" max="7166" width="44.33203125" style="79" bestFit="1" customWidth="1"/>
    <col min="7167" max="7167" width="19.33203125" style="79" bestFit="1" customWidth="1"/>
    <col min="7168" max="7168" width="32.83203125" style="79" bestFit="1" customWidth="1"/>
    <col min="7169" max="7169" width="15.6640625" style="79" customWidth="1"/>
    <col min="7170" max="7170" width="19.6640625" style="79" customWidth="1"/>
    <col min="7171" max="7171" width="44.33203125" style="79" bestFit="1" customWidth="1"/>
    <col min="7172" max="7172" width="19.33203125" style="79" bestFit="1" customWidth="1"/>
    <col min="7173" max="7173" width="32.83203125" style="79" bestFit="1" customWidth="1"/>
    <col min="7174" max="7174" width="15.6640625" style="79" customWidth="1"/>
    <col min="7175" max="7175" width="19.6640625" style="79" customWidth="1"/>
    <col min="7176" max="7176" width="44.33203125" style="79" bestFit="1" customWidth="1"/>
    <col min="7177" max="7177" width="19.1640625" style="79" bestFit="1" customWidth="1"/>
    <col min="7178" max="7178" width="32.83203125" style="79" bestFit="1" customWidth="1"/>
    <col min="7179" max="7179" width="15.6640625" style="79" customWidth="1"/>
    <col min="7180" max="7180" width="19.6640625" style="79" customWidth="1"/>
    <col min="7181" max="7181" width="44.33203125" style="79" bestFit="1" customWidth="1"/>
    <col min="7182" max="7182" width="19.1640625" style="79" bestFit="1" customWidth="1"/>
    <col min="7183" max="7183" width="32.83203125" style="79" bestFit="1" customWidth="1"/>
    <col min="7184" max="7419" width="9.33203125" style="79"/>
    <col min="7420" max="7420" width="15.6640625" style="79" customWidth="1"/>
    <col min="7421" max="7421" width="19.6640625" style="79" customWidth="1"/>
    <col min="7422" max="7422" width="44.33203125" style="79" bestFit="1" customWidth="1"/>
    <col min="7423" max="7423" width="19.33203125" style="79" bestFit="1" customWidth="1"/>
    <col min="7424" max="7424" width="32.83203125" style="79" bestFit="1" customWidth="1"/>
    <col min="7425" max="7425" width="15.6640625" style="79" customWidth="1"/>
    <col min="7426" max="7426" width="19.6640625" style="79" customWidth="1"/>
    <col min="7427" max="7427" width="44.33203125" style="79" bestFit="1" customWidth="1"/>
    <col min="7428" max="7428" width="19.33203125" style="79" bestFit="1" customWidth="1"/>
    <col min="7429" max="7429" width="32.83203125" style="79" bestFit="1" customWidth="1"/>
    <col min="7430" max="7430" width="15.6640625" style="79" customWidth="1"/>
    <col min="7431" max="7431" width="19.6640625" style="79" customWidth="1"/>
    <col min="7432" max="7432" width="44.33203125" style="79" bestFit="1" customWidth="1"/>
    <col min="7433" max="7433" width="19.1640625" style="79" bestFit="1" customWidth="1"/>
    <col min="7434" max="7434" width="32.83203125" style="79" bestFit="1" customWidth="1"/>
    <col min="7435" max="7435" width="15.6640625" style="79" customWidth="1"/>
    <col min="7436" max="7436" width="19.6640625" style="79" customWidth="1"/>
    <col min="7437" max="7437" width="44.33203125" style="79" bestFit="1" customWidth="1"/>
    <col min="7438" max="7438" width="19.1640625" style="79" bestFit="1" customWidth="1"/>
    <col min="7439" max="7439" width="32.83203125" style="79" bestFit="1" customWidth="1"/>
    <col min="7440" max="7675" width="9.33203125" style="79"/>
    <col min="7676" max="7676" width="15.6640625" style="79" customWidth="1"/>
    <col min="7677" max="7677" width="19.6640625" style="79" customWidth="1"/>
    <col min="7678" max="7678" width="44.33203125" style="79" bestFit="1" customWidth="1"/>
    <col min="7679" max="7679" width="19.33203125" style="79" bestFit="1" customWidth="1"/>
    <col min="7680" max="7680" width="32.83203125" style="79" bestFit="1" customWidth="1"/>
    <col min="7681" max="7681" width="15.6640625" style="79" customWidth="1"/>
    <col min="7682" max="7682" width="19.6640625" style="79" customWidth="1"/>
    <col min="7683" max="7683" width="44.33203125" style="79" bestFit="1" customWidth="1"/>
    <col min="7684" max="7684" width="19.33203125" style="79" bestFit="1" customWidth="1"/>
    <col min="7685" max="7685" width="32.83203125" style="79" bestFit="1" customWidth="1"/>
    <col min="7686" max="7686" width="15.6640625" style="79" customWidth="1"/>
    <col min="7687" max="7687" width="19.6640625" style="79" customWidth="1"/>
    <col min="7688" max="7688" width="44.33203125" style="79" bestFit="1" customWidth="1"/>
    <col min="7689" max="7689" width="19.1640625" style="79" bestFit="1" customWidth="1"/>
    <col min="7690" max="7690" width="32.83203125" style="79" bestFit="1" customWidth="1"/>
    <col min="7691" max="7691" width="15.6640625" style="79" customWidth="1"/>
    <col min="7692" max="7692" width="19.6640625" style="79" customWidth="1"/>
    <col min="7693" max="7693" width="44.33203125" style="79" bestFit="1" customWidth="1"/>
    <col min="7694" max="7694" width="19.1640625" style="79" bestFit="1" customWidth="1"/>
    <col min="7695" max="7695" width="32.83203125" style="79" bestFit="1" customWidth="1"/>
    <col min="7696" max="7931" width="9.33203125" style="79"/>
    <col min="7932" max="7932" width="15.6640625" style="79" customWidth="1"/>
    <col min="7933" max="7933" width="19.6640625" style="79" customWidth="1"/>
    <col min="7934" max="7934" width="44.33203125" style="79" bestFit="1" customWidth="1"/>
    <col min="7935" max="7935" width="19.33203125" style="79" bestFit="1" customWidth="1"/>
    <col min="7936" max="7936" width="32.83203125" style="79" bestFit="1" customWidth="1"/>
    <col min="7937" max="7937" width="15.6640625" style="79" customWidth="1"/>
    <col min="7938" max="7938" width="19.6640625" style="79" customWidth="1"/>
    <col min="7939" max="7939" width="44.33203125" style="79" bestFit="1" customWidth="1"/>
    <col min="7940" max="7940" width="19.33203125" style="79" bestFit="1" customWidth="1"/>
    <col min="7941" max="7941" width="32.83203125" style="79" bestFit="1" customWidth="1"/>
    <col min="7942" max="7942" width="15.6640625" style="79" customWidth="1"/>
    <col min="7943" max="7943" width="19.6640625" style="79" customWidth="1"/>
    <col min="7944" max="7944" width="44.33203125" style="79" bestFit="1" customWidth="1"/>
    <col min="7945" max="7945" width="19.1640625" style="79" bestFit="1" customWidth="1"/>
    <col min="7946" max="7946" width="32.83203125" style="79" bestFit="1" customWidth="1"/>
    <col min="7947" max="7947" width="15.6640625" style="79" customWidth="1"/>
    <col min="7948" max="7948" width="19.6640625" style="79" customWidth="1"/>
    <col min="7949" max="7949" width="44.33203125" style="79" bestFit="1" customWidth="1"/>
    <col min="7950" max="7950" width="19.1640625" style="79" bestFit="1" customWidth="1"/>
    <col min="7951" max="7951" width="32.83203125" style="79" bestFit="1" customWidth="1"/>
    <col min="7952" max="8187" width="9.33203125" style="79"/>
    <col min="8188" max="8188" width="15.6640625" style="79" customWidth="1"/>
    <col min="8189" max="8189" width="19.6640625" style="79" customWidth="1"/>
    <col min="8190" max="8190" width="44.33203125" style="79" bestFit="1" customWidth="1"/>
    <col min="8191" max="8191" width="19.33203125" style="79" bestFit="1" customWidth="1"/>
    <col min="8192" max="8192" width="32.83203125" style="79" bestFit="1" customWidth="1"/>
    <col min="8193" max="8193" width="15.6640625" style="79" customWidth="1"/>
    <col min="8194" max="8194" width="19.6640625" style="79" customWidth="1"/>
    <col min="8195" max="8195" width="44.33203125" style="79" bestFit="1" customWidth="1"/>
    <col min="8196" max="8196" width="19.33203125" style="79" bestFit="1" customWidth="1"/>
    <col min="8197" max="8197" width="32.83203125" style="79" bestFit="1" customWidth="1"/>
    <col min="8198" max="8198" width="15.6640625" style="79" customWidth="1"/>
    <col min="8199" max="8199" width="19.6640625" style="79" customWidth="1"/>
    <col min="8200" max="8200" width="44.33203125" style="79" bestFit="1" customWidth="1"/>
    <col min="8201" max="8201" width="19.1640625" style="79" bestFit="1" customWidth="1"/>
    <col min="8202" max="8202" width="32.83203125" style="79" bestFit="1" customWidth="1"/>
    <col min="8203" max="8203" width="15.6640625" style="79" customWidth="1"/>
    <col min="8204" max="8204" width="19.6640625" style="79" customWidth="1"/>
    <col min="8205" max="8205" width="44.33203125" style="79" bestFit="1" customWidth="1"/>
    <col min="8206" max="8206" width="19.1640625" style="79" bestFit="1" customWidth="1"/>
    <col min="8207" max="8207" width="32.83203125" style="79" bestFit="1" customWidth="1"/>
    <col min="8208" max="8443" width="9.33203125" style="79"/>
    <col min="8444" max="8444" width="15.6640625" style="79" customWidth="1"/>
    <col min="8445" max="8445" width="19.6640625" style="79" customWidth="1"/>
    <col min="8446" max="8446" width="44.33203125" style="79" bestFit="1" customWidth="1"/>
    <col min="8447" max="8447" width="19.33203125" style="79" bestFit="1" customWidth="1"/>
    <col min="8448" max="8448" width="32.83203125" style="79" bestFit="1" customWidth="1"/>
    <col min="8449" max="8449" width="15.6640625" style="79" customWidth="1"/>
    <col min="8450" max="8450" width="19.6640625" style="79" customWidth="1"/>
    <col min="8451" max="8451" width="44.33203125" style="79" bestFit="1" customWidth="1"/>
    <col min="8452" max="8452" width="19.33203125" style="79" bestFit="1" customWidth="1"/>
    <col min="8453" max="8453" width="32.83203125" style="79" bestFit="1" customWidth="1"/>
    <col min="8454" max="8454" width="15.6640625" style="79" customWidth="1"/>
    <col min="8455" max="8455" width="19.6640625" style="79" customWidth="1"/>
    <col min="8456" max="8456" width="44.33203125" style="79" bestFit="1" customWidth="1"/>
    <col min="8457" max="8457" width="19.1640625" style="79" bestFit="1" customWidth="1"/>
    <col min="8458" max="8458" width="32.83203125" style="79" bestFit="1" customWidth="1"/>
    <col min="8459" max="8459" width="15.6640625" style="79" customWidth="1"/>
    <col min="8460" max="8460" width="19.6640625" style="79" customWidth="1"/>
    <col min="8461" max="8461" width="44.33203125" style="79" bestFit="1" customWidth="1"/>
    <col min="8462" max="8462" width="19.1640625" style="79" bestFit="1" customWidth="1"/>
    <col min="8463" max="8463" width="32.83203125" style="79" bestFit="1" customWidth="1"/>
    <col min="8464" max="8699" width="9.33203125" style="79"/>
    <col min="8700" max="8700" width="15.6640625" style="79" customWidth="1"/>
    <col min="8701" max="8701" width="19.6640625" style="79" customWidth="1"/>
    <col min="8702" max="8702" width="44.33203125" style="79" bestFit="1" customWidth="1"/>
    <col min="8703" max="8703" width="19.33203125" style="79" bestFit="1" customWidth="1"/>
    <col min="8704" max="8704" width="32.83203125" style="79" bestFit="1" customWidth="1"/>
    <col min="8705" max="8705" width="15.6640625" style="79" customWidth="1"/>
    <col min="8706" max="8706" width="19.6640625" style="79" customWidth="1"/>
    <col min="8707" max="8707" width="44.33203125" style="79" bestFit="1" customWidth="1"/>
    <col min="8708" max="8708" width="19.33203125" style="79" bestFit="1" customWidth="1"/>
    <col min="8709" max="8709" width="32.83203125" style="79" bestFit="1" customWidth="1"/>
    <col min="8710" max="8710" width="15.6640625" style="79" customWidth="1"/>
    <col min="8711" max="8711" width="19.6640625" style="79" customWidth="1"/>
    <col min="8712" max="8712" width="44.33203125" style="79" bestFit="1" customWidth="1"/>
    <col min="8713" max="8713" width="19.1640625" style="79" bestFit="1" customWidth="1"/>
    <col min="8714" max="8714" width="32.83203125" style="79" bestFit="1" customWidth="1"/>
    <col min="8715" max="8715" width="15.6640625" style="79" customWidth="1"/>
    <col min="8716" max="8716" width="19.6640625" style="79" customWidth="1"/>
    <col min="8717" max="8717" width="44.33203125" style="79" bestFit="1" customWidth="1"/>
    <col min="8718" max="8718" width="19.1640625" style="79" bestFit="1" customWidth="1"/>
    <col min="8719" max="8719" width="32.83203125" style="79" bestFit="1" customWidth="1"/>
    <col min="8720" max="8955" width="9.33203125" style="79"/>
    <col min="8956" max="8956" width="15.6640625" style="79" customWidth="1"/>
    <col min="8957" max="8957" width="19.6640625" style="79" customWidth="1"/>
    <col min="8958" max="8958" width="44.33203125" style="79" bestFit="1" customWidth="1"/>
    <col min="8959" max="8959" width="19.33203125" style="79" bestFit="1" customWidth="1"/>
    <col min="8960" max="8960" width="32.83203125" style="79" bestFit="1" customWidth="1"/>
    <col min="8961" max="8961" width="15.6640625" style="79" customWidth="1"/>
    <col min="8962" max="8962" width="19.6640625" style="79" customWidth="1"/>
    <col min="8963" max="8963" width="44.33203125" style="79" bestFit="1" customWidth="1"/>
    <col min="8964" max="8964" width="19.33203125" style="79" bestFit="1" customWidth="1"/>
    <col min="8965" max="8965" width="32.83203125" style="79" bestFit="1" customWidth="1"/>
    <col min="8966" max="8966" width="15.6640625" style="79" customWidth="1"/>
    <col min="8967" max="8967" width="19.6640625" style="79" customWidth="1"/>
    <col min="8968" max="8968" width="44.33203125" style="79" bestFit="1" customWidth="1"/>
    <col min="8969" max="8969" width="19.1640625" style="79" bestFit="1" customWidth="1"/>
    <col min="8970" max="8970" width="32.83203125" style="79" bestFit="1" customWidth="1"/>
    <col min="8971" max="8971" width="15.6640625" style="79" customWidth="1"/>
    <col min="8972" max="8972" width="19.6640625" style="79" customWidth="1"/>
    <col min="8973" max="8973" width="44.33203125" style="79" bestFit="1" customWidth="1"/>
    <col min="8974" max="8974" width="19.1640625" style="79" bestFit="1" customWidth="1"/>
    <col min="8975" max="8975" width="32.83203125" style="79" bestFit="1" customWidth="1"/>
    <col min="8976" max="9211" width="9.33203125" style="79"/>
    <col min="9212" max="9212" width="15.6640625" style="79" customWidth="1"/>
    <col min="9213" max="9213" width="19.6640625" style="79" customWidth="1"/>
    <col min="9214" max="9214" width="44.33203125" style="79" bestFit="1" customWidth="1"/>
    <col min="9215" max="9215" width="19.33203125" style="79" bestFit="1" customWidth="1"/>
    <col min="9216" max="9216" width="32.83203125" style="79" bestFit="1" customWidth="1"/>
    <col min="9217" max="9217" width="15.6640625" style="79" customWidth="1"/>
    <col min="9218" max="9218" width="19.6640625" style="79" customWidth="1"/>
    <col min="9219" max="9219" width="44.33203125" style="79" bestFit="1" customWidth="1"/>
    <col min="9220" max="9220" width="19.33203125" style="79" bestFit="1" customWidth="1"/>
    <col min="9221" max="9221" width="32.83203125" style="79" bestFit="1" customWidth="1"/>
    <col min="9222" max="9222" width="15.6640625" style="79" customWidth="1"/>
    <col min="9223" max="9223" width="19.6640625" style="79" customWidth="1"/>
    <col min="9224" max="9224" width="44.33203125" style="79" bestFit="1" customWidth="1"/>
    <col min="9225" max="9225" width="19.1640625" style="79" bestFit="1" customWidth="1"/>
    <col min="9226" max="9226" width="32.83203125" style="79" bestFit="1" customWidth="1"/>
    <col min="9227" max="9227" width="15.6640625" style="79" customWidth="1"/>
    <col min="9228" max="9228" width="19.6640625" style="79" customWidth="1"/>
    <col min="9229" max="9229" width="44.33203125" style="79" bestFit="1" customWidth="1"/>
    <col min="9230" max="9230" width="19.1640625" style="79" bestFit="1" customWidth="1"/>
    <col min="9231" max="9231" width="32.83203125" style="79" bestFit="1" customWidth="1"/>
    <col min="9232" max="9467" width="9.33203125" style="79"/>
    <col min="9468" max="9468" width="15.6640625" style="79" customWidth="1"/>
    <col min="9469" max="9469" width="19.6640625" style="79" customWidth="1"/>
    <col min="9470" max="9470" width="44.33203125" style="79" bestFit="1" customWidth="1"/>
    <col min="9471" max="9471" width="19.33203125" style="79" bestFit="1" customWidth="1"/>
    <col min="9472" max="9472" width="32.83203125" style="79" bestFit="1" customWidth="1"/>
    <col min="9473" max="9473" width="15.6640625" style="79" customWidth="1"/>
    <col min="9474" max="9474" width="19.6640625" style="79" customWidth="1"/>
    <col min="9475" max="9475" width="44.33203125" style="79" bestFit="1" customWidth="1"/>
    <col min="9476" max="9476" width="19.33203125" style="79" bestFit="1" customWidth="1"/>
    <col min="9477" max="9477" width="32.83203125" style="79" bestFit="1" customWidth="1"/>
    <col min="9478" max="9478" width="15.6640625" style="79" customWidth="1"/>
    <col min="9479" max="9479" width="19.6640625" style="79" customWidth="1"/>
    <col min="9480" max="9480" width="44.33203125" style="79" bestFit="1" customWidth="1"/>
    <col min="9481" max="9481" width="19.1640625" style="79" bestFit="1" customWidth="1"/>
    <col min="9482" max="9482" width="32.83203125" style="79" bestFit="1" customWidth="1"/>
    <col min="9483" max="9483" width="15.6640625" style="79" customWidth="1"/>
    <col min="9484" max="9484" width="19.6640625" style="79" customWidth="1"/>
    <col min="9485" max="9485" width="44.33203125" style="79" bestFit="1" customWidth="1"/>
    <col min="9486" max="9486" width="19.1640625" style="79" bestFit="1" customWidth="1"/>
    <col min="9487" max="9487" width="32.83203125" style="79" bestFit="1" customWidth="1"/>
    <col min="9488" max="9723" width="9.33203125" style="79"/>
    <col min="9724" max="9724" width="15.6640625" style="79" customWidth="1"/>
    <col min="9725" max="9725" width="19.6640625" style="79" customWidth="1"/>
    <col min="9726" max="9726" width="44.33203125" style="79" bestFit="1" customWidth="1"/>
    <col min="9727" max="9727" width="19.33203125" style="79" bestFit="1" customWidth="1"/>
    <col min="9728" max="9728" width="32.83203125" style="79" bestFit="1" customWidth="1"/>
    <col min="9729" max="9729" width="15.6640625" style="79" customWidth="1"/>
    <col min="9730" max="9730" width="19.6640625" style="79" customWidth="1"/>
    <col min="9731" max="9731" width="44.33203125" style="79" bestFit="1" customWidth="1"/>
    <col min="9732" max="9732" width="19.33203125" style="79" bestFit="1" customWidth="1"/>
    <col min="9733" max="9733" width="32.83203125" style="79" bestFit="1" customWidth="1"/>
    <col min="9734" max="9734" width="15.6640625" style="79" customWidth="1"/>
    <col min="9735" max="9735" width="19.6640625" style="79" customWidth="1"/>
    <col min="9736" max="9736" width="44.33203125" style="79" bestFit="1" customWidth="1"/>
    <col min="9737" max="9737" width="19.1640625" style="79" bestFit="1" customWidth="1"/>
    <col min="9738" max="9738" width="32.83203125" style="79" bestFit="1" customWidth="1"/>
    <col min="9739" max="9739" width="15.6640625" style="79" customWidth="1"/>
    <col min="9740" max="9740" width="19.6640625" style="79" customWidth="1"/>
    <col min="9741" max="9741" width="44.33203125" style="79" bestFit="1" customWidth="1"/>
    <col min="9742" max="9742" width="19.1640625" style="79" bestFit="1" customWidth="1"/>
    <col min="9743" max="9743" width="32.83203125" style="79" bestFit="1" customWidth="1"/>
    <col min="9744" max="9979" width="9.33203125" style="79"/>
    <col min="9980" max="9980" width="15.6640625" style="79" customWidth="1"/>
    <col min="9981" max="9981" width="19.6640625" style="79" customWidth="1"/>
    <col min="9982" max="9982" width="44.33203125" style="79" bestFit="1" customWidth="1"/>
    <col min="9983" max="9983" width="19.33203125" style="79" bestFit="1" customWidth="1"/>
    <col min="9984" max="9984" width="32.83203125" style="79" bestFit="1" customWidth="1"/>
    <col min="9985" max="9985" width="15.6640625" style="79" customWidth="1"/>
    <col min="9986" max="9986" width="19.6640625" style="79" customWidth="1"/>
    <col min="9987" max="9987" width="44.33203125" style="79" bestFit="1" customWidth="1"/>
    <col min="9988" max="9988" width="19.33203125" style="79" bestFit="1" customWidth="1"/>
    <col min="9989" max="9989" width="32.83203125" style="79" bestFit="1" customWidth="1"/>
    <col min="9990" max="9990" width="15.6640625" style="79" customWidth="1"/>
    <col min="9991" max="9991" width="19.6640625" style="79" customWidth="1"/>
    <col min="9992" max="9992" width="44.33203125" style="79" bestFit="1" customWidth="1"/>
    <col min="9993" max="9993" width="19.1640625" style="79" bestFit="1" customWidth="1"/>
    <col min="9994" max="9994" width="32.83203125" style="79" bestFit="1" customWidth="1"/>
    <col min="9995" max="9995" width="15.6640625" style="79" customWidth="1"/>
    <col min="9996" max="9996" width="19.6640625" style="79" customWidth="1"/>
    <col min="9997" max="9997" width="44.33203125" style="79" bestFit="1" customWidth="1"/>
    <col min="9998" max="9998" width="19.1640625" style="79" bestFit="1" customWidth="1"/>
    <col min="9999" max="9999" width="32.83203125" style="79" bestFit="1" customWidth="1"/>
    <col min="10000" max="10235" width="9.33203125" style="79"/>
    <col min="10236" max="10236" width="15.6640625" style="79" customWidth="1"/>
    <col min="10237" max="10237" width="19.6640625" style="79" customWidth="1"/>
    <col min="10238" max="10238" width="44.33203125" style="79" bestFit="1" customWidth="1"/>
    <col min="10239" max="10239" width="19.33203125" style="79" bestFit="1" customWidth="1"/>
    <col min="10240" max="10240" width="32.83203125" style="79" bestFit="1" customWidth="1"/>
    <col min="10241" max="10241" width="15.6640625" style="79" customWidth="1"/>
    <col min="10242" max="10242" width="19.6640625" style="79" customWidth="1"/>
    <col min="10243" max="10243" width="44.33203125" style="79" bestFit="1" customWidth="1"/>
    <col min="10244" max="10244" width="19.33203125" style="79" bestFit="1" customWidth="1"/>
    <col min="10245" max="10245" width="32.83203125" style="79" bestFit="1" customWidth="1"/>
    <col min="10246" max="10246" width="15.6640625" style="79" customWidth="1"/>
    <col min="10247" max="10247" width="19.6640625" style="79" customWidth="1"/>
    <col min="10248" max="10248" width="44.33203125" style="79" bestFit="1" customWidth="1"/>
    <col min="10249" max="10249" width="19.1640625" style="79" bestFit="1" customWidth="1"/>
    <col min="10250" max="10250" width="32.83203125" style="79" bestFit="1" customWidth="1"/>
    <col min="10251" max="10251" width="15.6640625" style="79" customWidth="1"/>
    <col min="10252" max="10252" width="19.6640625" style="79" customWidth="1"/>
    <col min="10253" max="10253" width="44.33203125" style="79" bestFit="1" customWidth="1"/>
    <col min="10254" max="10254" width="19.1640625" style="79" bestFit="1" customWidth="1"/>
    <col min="10255" max="10255" width="32.83203125" style="79" bestFit="1" customWidth="1"/>
    <col min="10256" max="10491" width="9.33203125" style="79"/>
    <col min="10492" max="10492" width="15.6640625" style="79" customWidth="1"/>
    <col min="10493" max="10493" width="19.6640625" style="79" customWidth="1"/>
    <col min="10494" max="10494" width="44.33203125" style="79" bestFit="1" customWidth="1"/>
    <col min="10495" max="10495" width="19.33203125" style="79" bestFit="1" customWidth="1"/>
    <col min="10496" max="10496" width="32.83203125" style="79" bestFit="1" customWidth="1"/>
    <col min="10497" max="10497" width="15.6640625" style="79" customWidth="1"/>
    <col min="10498" max="10498" width="19.6640625" style="79" customWidth="1"/>
    <col min="10499" max="10499" width="44.33203125" style="79" bestFit="1" customWidth="1"/>
    <col min="10500" max="10500" width="19.33203125" style="79" bestFit="1" customWidth="1"/>
    <col min="10501" max="10501" width="32.83203125" style="79" bestFit="1" customWidth="1"/>
    <col min="10502" max="10502" width="15.6640625" style="79" customWidth="1"/>
    <col min="10503" max="10503" width="19.6640625" style="79" customWidth="1"/>
    <col min="10504" max="10504" width="44.33203125" style="79" bestFit="1" customWidth="1"/>
    <col min="10505" max="10505" width="19.1640625" style="79" bestFit="1" customWidth="1"/>
    <col min="10506" max="10506" width="32.83203125" style="79" bestFit="1" customWidth="1"/>
    <col min="10507" max="10507" width="15.6640625" style="79" customWidth="1"/>
    <col min="10508" max="10508" width="19.6640625" style="79" customWidth="1"/>
    <col min="10509" max="10509" width="44.33203125" style="79" bestFit="1" customWidth="1"/>
    <col min="10510" max="10510" width="19.1640625" style="79" bestFit="1" customWidth="1"/>
    <col min="10511" max="10511" width="32.83203125" style="79" bestFit="1" customWidth="1"/>
    <col min="10512" max="10747" width="9.33203125" style="79"/>
    <col min="10748" max="10748" width="15.6640625" style="79" customWidth="1"/>
    <col min="10749" max="10749" width="19.6640625" style="79" customWidth="1"/>
    <col min="10750" max="10750" width="44.33203125" style="79" bestFit="1" customWidth="1"/>
    <col min="10751" max="10751" width="19.33203125" style="79" bestFit="1" customWidth="1"/>
    <col min="10752" max="10752" width="32.83203125" style="79" bestFit="1" customWidth="1"/>
    <col min="10753" max="10753" width="15.6640625" style="79" customWidth="1"/>
    <col min="10754" max="10754" width="19.6640625" style="79" customWidth="1"/>
    <col min="10755" max="10755" width="44.33203125" style="79" bestFit="1" customWidth="1"/>
    <col min="10756" max="10756" width="19.33203125" style="79" bestFit="1" customWidth="1"/>
    <col min="10757" max="10757" width="32.83203125" style="79" bestFit="1" customWidth="1"/>
    <col min="10758" max="10758" width="15.6640625" style="79" customWidth="1"/>
    <col min="10759" max="10759" width="19.6640625" style="79" customWidth="1"/>
    <col min="10760" max="10760" width="44.33203125" style="79" bestFit="1" customWidth="1"/>
    <col min="10761" max="10761" width="19.1640625" style="79" bestFit="1" customWidth="1"/>
    <col min="10762" max="10762" width="32.83203125" style="79" bestFit="1" customWidth="1"/>
    <col min="10763" max="10763" width="15.6640625" style="79" customWidth="1"/>
    <col min="10764" max="10764" width="19.6640625" style="79" customWidth="1"/>
    <col min="10765" max="10765" width="44.33203125" style="79" bestFit="1" customWidth="1"/>
    <col min="10766" max="10766" width="19.1640625" style="79" bestFit="1" customWidth="1"/>
    <col min="10767" max="10767" width="32.83203125" style="79" bestFit="1" customWidth="1"/>
    <col min="10768" max="11003" width="9.33203125" style="79"/>
    <col min="11004" max="11004" width="15.6640625" style="79" customWidth="1"/>
    <col min="11005" max="11005" width="19.6640625" style="79" customWidth="1"/>
    <col min="11006" max="11006" width="44.33203125" style="79" bestFit="1" customWidth="1"/>
    <col min="11007" max="11007" width="19.33203125" style="79" bestFit="1" customWidth="1"/>
    <col min="11008" max="11008" width="32.83203125" style="79" bestFit="1" customWidth="1"/>
    <col min="11009" max="11009" width="15.6640625" style="79" customWidth="1"/>
    <col min="11010" max="11010" width="19.6640625" style="79" customWidth="1"/>
    <col min="11011" max="11011" width="44.33203125" style="79" bestFit="1" customWidth="1"/>
    <col min="11012" max="11012" width="19.33203125" style="79" bestFit="1" customWidth="1"/>
    <col min="11013" max="11013" width="32.83203125" style="79" bestFit="1" customWidth="1"/>
    <col min="11014" max="11014" width="15.6640625" style="79" customWidth="1"/>
    <col min="11015" max="11015" width="19.6640625" style="79" customWidth="1"/>
    <col min="11016" max="11016" width="44.33203125" style="79" bestFit="1" customWidth="1"/>
    <col min="11017" max="11017" width="19.1640625" style="79" bestFit="1" customWidth="1"/>
    <col min="11018" max="11018" width="32.83203125" style="79" bestFit="1" customWidth="1"/>
    <col min="11019" max="11019" width="15.6640625" style="79" customWidth="1"/>
    <col min="11020" max="11020" width="19.6640625" style="79" customWidth="1"/>
    <col min="11021" max="11021" width="44.33203125" style="79" bestFit="1" customWidth="1"/>
    <col min="11022" max="11022" width="19.1640625" style="79" bestFit="1" customWidth="1"/>
    <col min="11023" max="11023" width="32.83203125" style="79" bestFit="1" customWidth="1"/>
    <col min="11024" max="11259" width="9.33203125" style="79"/>
    <col min="11260" max="11260" width="15.6640625" style="79" customWidth="1"/>
    <col min="11261" max="11261" width="19.6640625" style="79" customWidth="1"/>
    <col min="11262" max="11262" width="44.33203125" style="79" bestFit="1" customWidth="1"/>
    <col min="11263" max="11263" width="19.33203125" style="79" bestFit="1" customWidth="1"/>
    <col min="11264" max="11264" width="32.83203125" style="79" bestFit="1" customWidth="1"/>
    <col min="11265" max="11265" width="15.6640625" style="79" customWidth="1"/>
    <col min="11266" max="11266" width="19.6640625" style="79" customWidth="1"/>
    <col min="11267" max="11267" width="44.33203125" style="79" bestFit="1" customWidth="1"/>
    <col min="11268" max="11268" width="19.33203125" style="79" bestFit="1" customWidth="1"/>
    <col min="11269" max="11269" width="32.83203125" style="79" bestFit="1" customWidth="1"/>
    <col min="11270" max="11270" width="15.6640625" style="79" customWidth="1"/>
    <col min="11271" max="11271" width="19.6640625" style="79" customWidth="1"/>
    <col min="11272" max="11272" width="44.33203125" style="79" bestFit="1" customWidth="1"/>
    <col min="11273" max="11273" width="19.1640625" style="79" bestFit="1" customWidth="1"/>
    <col min="11274" max="11274" width="32.83203125" style="79" bestFit="1" customWidth="1"/>
    <col min="11275" max="11275" width="15.6640625" style="79" customWidth="1"/>
    <col min="11276" max="11276" width="19.6640625" style="79" customWidth="1"/>
    <col min="11277" max="11277" width="44.33203125" style="79" bestFit="1" customWidth="1"/>
    <col min="11278" max="11278" width="19.1640625" style="79" bestFit="1" customWidth="1"/>
    <col min="11279" max="11279" width="32.83203125" style="79" bestFit="1" customWidth="1"/>
    <col min="11280" max="11515" width="9.33203125" style="79"/>
    <col min="11516" max="11516" width="15.6640625" style="79" customWidth="1"/>
    <col min="11517" max="11517" width="19.6640625" style="79" customWidth="1"/>
    <col min="11518" max="11518" width="44.33203125" style="79" bestFit="1" customWidth="1"/>
    <col min="11519" max="11519" width="19.33203125" style="79" bestFit="1" customWidth="1"/>
    <col min="11520" max="11520" width="32.83203125" style="79" bestFit="1" customWidth="1"/>
    <col min="11521" max="11521" width="15.6640625" style="79" customWidth="1"/>
    <col min="11522" max="11522" width="19.6640625" style="79" customWidth="1"/>
    <col min="11523" max="11523" width="44.33203125" style="79" bestFit="1" customWidth="1"/>
    <col min="11524" max="11524" width="19.33203125" style="79" bestFit="1" customWidth="1"/>
    <col min="11525" max="11525" width="32.83203125" style="79" bestFit="1" customWidth="1"/>
    <col min="11526" max="11526" width="15.6640625" style="79" customWidth="1"/>
    <col min="11527" max="11527" width="19.6640625" style="79" customWidth="1"/>
    <col min="11528" max="11528" width="44.33203125" style="79" bestFit="1" customWidth="1"/>
    <col min="11529" max="11529" width="19.1640625" style="79" bestFit="1" customWidth="1"/>
    <col min="11530" max="11530" width="32.83203125" style="79" bestFit="1" customWidth="1"/>
    <col min="11531" max="11531" width="15.6640625" style="79" customWidth="1"/>
    <col min="11532" max="11532" width="19.6640625" style="79" customWidth="1"/>
    <col min="11533" max="11533" width="44.33203125" style="79" bestFit="1" customWidth="1"/>
    <col min="11534" max="11534" width="19.1640625" style="79" bestFit="1" customWidth="1"/>
    <col min="11535" max="11535" width="32.83203125" style="79" bestFit="1" customWidth="1"/>
    <col min="11536" max="11771" width="9.33203125" style="79"/>
    <col min="11772" max="11772" width="15.6640625" style="79" customWidth="1"/>
    <col min="11773" max="11773" width="19.6640625" style="79" customWidth="1"/>
    <col min="11774" max="11774" width="44.33203125" style="79" bestFit="1" customWidth="1"/>
    <col min="11775" max="11775" width="19.33203125" style="79" bestFit="1" customWidth="1"/>
    <col min="11776" max="11776" width="32.83203125" style="79" bestFit="1" customWidth="1"/>
    <col min="11777" max="11777" width="15.6640625" style="79" customWidth="1"/>
    <col min="11778" max="11778" width="19.6640625" style="79" customWidth="1"/>
    <col min="11779" max="11779" width="44.33203125" style="79" bestFit="1" customWidth="1"/>
    <col min="11780" max="11780" width="19.33203125" style="79" bestFit="1" customWidth="1"/>
    <col min="11781" max="11781" width="32.83203125" style="79" bestFit="1" customWidth="1"/>
    <col min="11782" max="11782" width="15.6640625" style="79" customWidth="1"/>
    <col min="11783" max="11783" width="19.6640625" style="79" customWidth="1"/>
    <col min="11784" max="11784" width="44.33203125" style="79" bestFit="1" customWidth="1"/>
    <col min="11785" max="11785" width="19.1640625" style="79" bestFit="1" customWidth="1"/>
    <col min="11786" max="11786" width="32.83203125" style="79" bestFit="1" customWidth="1"/>
    <col min="11787" max="11787" width="15.6640625" style="79" customWidth="1"/>
    <col min="11788" max="11788" width="19.6640625" style="79" customWidth="1"/>
    <col min="11789" max="11789" width="44.33203125" style="79" bestFit="1" customWidth="1"/>
    <col min="11790" max="11790" width="19.1640625" style="79" bestFit="1" customWidth="1"/>
    <col min="11791" max="11791" width="32.83203125" style="79" bestFit="1" customWidth="1"/>
    <col min="11792" max="12027" width="9.33203125" style="79"/>
    <col min="12028" max="12028" width="15.6640625" style="79" customWidth="1"/>
    <col min="12029" max="12029" width="19.6640625" style="79" customWidth="1"/>
    <col min="12030" max="12030" width="44.33203125" style="79" bestFit="1" customWidth="1"/>
    <col min="12031" max="12031" width="19.33203125" style="79" bestFit="1" customWidth="1"/>
    <col min="12032" max="12032" width="32.83203125" style="79" bestFit="1" customWidth="1"/>
    <col min="12033" max="12033" width="15.6640625" style="79" customWidth="1"/>
    <col min="12034" max="12034" width="19.6640625" style="79" customWidth="1"/>
    <col min="12035" max="12035" width="44.33203125" style="79" bestFit="1" customWidth="1"/>
    <col min="12036" max="12036" width="19.33203125" style="79" bestFit="1" customWidth="1"/>
    <col min="12037" max="12037" width="32.83203125" style="79" bestFit="1" customWidth="1"/>
    <col min="12038" max="12038" width="15.6640625" style="79" customWidth="1"/>
    <col min="12039" max="12039" width="19.6640625" style="79" customWidth="1"/>
    <col min="12040" max="12040" width="44.33203125" style="79" bestFit="1" customWidth="1"/>
    <col min="12041" max="12041" width="19.1640625" style="79" bestFit="1" customWidth="1"/>
    <col min="12042" max="12042" width="32.83203125" style="79" bestFit="1" customWidth="1"/>
    <col min="12043" max="12043" width="15.6640625" style="79" customWidth="1"/>
    <col min="12044" max="12044" width="19.6640625" style="79" customWidth="1"/>
    <col min="12045" max="12045" width="44.33203125" style="79" bestFit="1" customWidth="1"/>
    <col min="12046" max="12046" width="19.1640625" style="79" bestFit="1" customWidth="1"/>
    <col min="12047" max="12047" width="32.83203125" style="79" bestFit="1" customWidth="1"/>
    <col min="12048" max="12283" width="9.33203125" style="79"/>
    <col min="12284" max="12284" width="15.6640625" style="79" customWidth="1"/>
    <col min="12285" max="12285" width="19.6640625" style="79" customWidth="1"/>
    <col min="12286" max="12286" width="44.33203125" style="79" bestFit="1" customWidth="1"/>
    <col min="12287" max="12287" width="19.33203125" style="79" bestFit="1" customWidth="1"/>
    <col min="12288" max="12288" width="32.83203125" style="79" bestFit="1" customWidth="1"/>
    <col min="12289" max="12289" width="15.6640625" style="79" customWidth="1"/>
    <col min="12290" max="12290" width="19.6640625" style="79" customWidth="1"/>
    <col min="12291" max="12291" width="44.33203125" style="79" bestFit="1" customWidth="1"/>
    <col min="12292" max="12292" width="19.33203125" style="79" bestFit="1" customWidth="1"/>
    <col min="12293" max="12293" width="32.83203125" style="79" bestFit="1" customWidth="1"/>
    <col min="12294" max="12294" width="15.6640625" style="79" customWidth="1"/>
    <col min="12295" max="12295" width="19.6640625" style="79" customWidth="1"/>
    <col min="12296" max="12296" width="44.33203125" style="79" bestFit="1" customWidth="1"/>
    <col min="12297" max="12297" width="19.1640625" style="79" bestFit="1" customWidth="1"/>
    <col min="12298" max="12298" width="32.83203125" style="79" bestFit="1" customWidth="1"/>
    <col min="12299" max="12299" width="15.6640625" style="79" customWidth="1"/>
    <col min="12300" max="12300" width="19.6640625" style="79" customWidth="1"/>
    <col min="12301" max="12301" width="44.33203125" style="79" bestFit="1" customWidth="1"/>
    <col min="12302" max="12302" width="19.1640625" style="79" bestFit="1" customWidth="1"/>
    <col min="12303" max="12303" width="32.83203125" style="79" bestFit="1" customWidth="1"/>
    <col min="12304" max="12539" width="9.33203125" style="79"/>
    <col min="12540" max="12540" width="15.6640625" style="79" customWidth="1"/>
    <col min="12541" max="12541" width="19.6640625" style="79" customWidth="1"/>
    <col min="12542" max="12542" width="44.33203125" style="79" bestFit="1" customWidth="1"/>
    <col min="12543" max="12543" width="19.33203125" style="79" bestFit="1" customWidth="1"/>
    <col min="12544" max="12544" width="32.83203125" style="79" bestFit="1" customWidth="1"/>
    <col min="12545" max="12545" width="15.6640625" style="79" customWidth="1"/>
    <col min="12546" max="12546" width="19.6640625" style="79" customWidth="1"/>
    <col min="12547" max="12547" width="44.33203125" style="79" bestFit="1" customWidth="1"/>
    <col min="12548" max="12548" width="19.33203125" style="79" bestFit="1" customWidth="1"/>
    <col min="12549" max="12549" width="32.83203125" style="79" bestFit="1" customWidth="1"/>
    <col min="12550" max="12550" width="15.6640625" style="79" customWidth="1"/>
    <col min="12551" max="12551" width="19.6640625" style="79" customWidth="1"/>
    <col min="12552" max="12552" width="44.33203125" style="79" bestFit="1" customWidth="1"/>
    <col min="12553" max="12553" width="19.1640625" style="79" bestFit="1" customWidth="1"/>
    <col min="12554" max="12554" width="32.83203125" style="79" bestFit="1" customWidth="1"/>
    <col min="12555" max="12555" width="15.6640625" style="79" customWidth="1"/>
    <col min="12556" max="12556" width="19.6640625" style="79" customWidth="1"/>
    <col min="12557" max="12557" width="44.33203125" style="79" bestFit="1" customWidth="1"/>
    <col min="12558" max="12558" width="19.1640625" style="79" bestFit="1" customWidth="1"/>
    <col min="12559" max="12559" width="32.83203125" style="79" bestFit="1" customWidth="1"/>
    <col min="12560" max="12795" width="9.33203125" style="79"/>
    <col min="12796" max="12796" width="15.6640625" style="79" customWidth="1"/>
    <col min="12797" max="12797" width="19.6640625" style="79" customWidth="1"/>
    <col min="12798" max="12798" width="44.33203125" style="79" bestFit="1" customWidth="1"/>
    <col min="12799" max="12799" width="19.33203125" style="79" bestFit="1" customWidth="1"/>
    <col min="12800" max="12800" width="32.83203125" style="79" bestFit="1" customWidth="1"/>
    <col min="12801" max="12801" width="15.6640625" style="79" customWidth="1"/>
    <col min="12802" max="12802" width="19.6640625" style="79" customWidth="1"/>
    <col min="12803" max="12803" width="44.33203125" style="79" bestFit="1" customWidth="1"/>
    <col min="12804" max="12804" width="19.33203125" style="79" bestFit="1" customWidth="1"/>
    <col min="12805" max="12805" width="32.83203125" style="79" bestFit="1" customWidth="1"/>
    <col min="12806" max="12806" width="15.6640625" style="79" customWidth="1"/>
    <col min="12807" max="12807" width="19.6640625" style="79" customWidth="1"/>
    <col min="12808" max="12808" width="44.33203125" style="79" bestFit="1" customWidth="1"/>
    <col min="12809" max="12809" width="19.1640625" style="79" bestFit="1" customWidth="1"/>
    <col min="12810" max="12810" width="32.83203125" style="79" bestFit="1" customWidth="1"/>
    <col min="12811" max="12811" width="15.6640625" style="79" customWidth="1"/>
    <col min="12812" max="12812" width="19.6640625" style="79" customWidth="1"/>
    <col min="12813" max="12813" width="44.33203125" style="79" bestFit="1" customWidth="1"/>
    <col min="12814" max="12814" width="19.1640625" style="79" bestFit="1" customWidth="1"/>
    <col min="12815" max="12815" width="32.83203125" style="79" bestFit="1" customWidth="1"/>
    <col min="12816" max="13051" width="9.33203125" style="79"/>
    <col min="13052" max="13052" width="15.6640625" style="79" customWidth="1"/>
    <col min="13053" max="13053" width="19.6640625" style="79" customWidth="1"/>
    <col min="13054" max="13054" width="44.33203125" style="79" bestFit="1" customWidth="1"/>
    <col min="13055" max="13055" width="19.33203125" style="79" bestFit="1" customWidth="1"/>
    <col min="13056" max="13056" width="32.83203125" style="79" bestFit="1" customWidth="1"/>
    <col min="13057" max="13057" width="15.6640625" style="79" customWidth="1"/>
    <col min="13058" max="13058" width="19.6640625" style="79" customWidth="1"/>
    <col min="13059" max="13059" width="44.33203125" style="79" bestFit="1" customWidth="1"/>
    <col min="13060" max="13060" width="19.33203125" style="79" bestFit="1" customWidth="1"/>
    <col min="13061" max="13061" width="32.83203125" style="79" bestFit="1" customWidth="1"/>
    <col min="13062" max="13062" width="15.6640625" style="79" customWidth="1"/>
    <col min="13063" max="13063" width="19.6640625" style="79" customWidth="1"/>
    <col min="13064" max="13064" width="44.33203125" style="79" bestFit="1" customWidth="1"/>
    <col min="13065" max="13065" width="19.1640625" style="79" bestFit="1" customWidth="1"/>
    <col min="13066" max="13066" width="32.83203125" style="79" bestFit="1" customWidth="1"/>
    <col min="13067" max="13067" width="15.6640625" style="79" customWidth="1"/>
    <col min="13068" max="13068" width="19.6640625" style="79" customWidth="1"/>
    <col min="13069" max="13069" width="44.33203125" style="79" bestFit="1" customWidth="1"/>
    <col min="13070" max="13070" width="19.1640625" style="79" bestFit="1" customWidth="1"/>
    <col min="13071" max="13071" width="32.83203125" style="79" bestFit="1" customWidth="1"/>
    <col min="13072" max="13307" width="9.33203125" style="79"/>
    <col min="13308" max="13308" width="15.6640625" style="79" customWidth="1"/>
    <col min="13309" max="13309" width="19.6640625" style="79" customWidth="1"/>
    <col min="13310" max="13310" width="44.33203125" style="79" bestFit="1" customWidth="1"/>
    <col min="13311" max="13311" width="19.33203125" style="79" bestFit="1" customWidth="1"/>
    <col min="13312" max="13312" width="32.83203125" style="79" bestFit="1" customWidth="1"/>
    <col min="13313" max="13313" width="15.6640625" style="79" customWidth="1"/>
    <col min="13314" max="13314" width="19.6640625" style="79" customWidth="1"/>
    <col min="13315" max="13315" width="44.33203125" style="79" bestFit="1" customWidth="1"/>
    <col min="13316" max="13316" width="19.33203125" style="79" bestFit="1" customWidth="1"/>
    <col min="13317" max="13317" width="32.83203125" style="79" bestFit="1" customWidth="1"/>
    <col min="13318" max="13318" width="15.6640625" style="79" customWidth="1"/>
    <col min="13319" max="13319" width="19.6640625" style="79" customWidth="1"/>
    <col min="13320" max="13320" width="44.33203125" style="79" bestFit="1" customWidth="1"/>
    <col min="13321" max="13321" width="19.1640625" style="79" bestFit="1" customWidth="1"/>
    <col min="13322" max="13322" width="32.83203125" style="79" bestFit="1" customWidth="1"/>
    <col min="13323" max="13323" width="15.6640625" style="79" customWidth="1"/>
    <col min="13324" max="13324" width="19.6640625" style="79" customWidth="1"/>
    <col min="13325" max="13325" width="44.33203125" style="79" bestFit="1" customWidth="1"/>
    <col min="13326" max="13326" width="19.1640625" style="79" bestFit="1" customWidth="1"/>
    <col min="13327" max="13327" width="32.83203125" style="79" bestFit="1" customWidth="1"/>
    <col min="13328" max="13563" width="9.33203125" style="79"/>
    <col min="13564" max="13564" width="15.6640625" style="79" customWidth="1"/>
    <col min="13565" max="13565" width="19.6640625" style="79" customWidth="1"/>
    <col min="13566" max="13566" width="44.33203125" style="79" bestFit="1" customWidth="1"/>
    <col min="13567" max="13567" width="19.33203125" style="79" bestFit="1" customWidth="1"/>
    <col min="13568" max="13568" width="32.83203125" style="79" bestFit="1" customWidth="1"/>
    <col min="13569" max="13569" width="15.6640625" style="79" customWidth="1"/>
    <col min="13570" max="13570" width="19.6640625" style="79" customWidth="1"/>
    <col min="13571" max="13571" width="44.33203125" style="79" bestFit="1" customWidth="1"/>
    <col min="13572" max="13572" width="19.33203125" style="79" bestFit="1" customWidth="1"/>
    <col min="13573" max="13573" width="32.83203125" style="79" bestFit="1" customWidth="1"/>
    <col min="13574" max="13574" width="15.6640625" style="79" customWidth="1"/>
    <col min="13575" max="13575" width="19.6640625" style="79" customWidth="1"/>
    <col min="13576" max="13576" width="44.33203125" style="79" bestFit="1" customWidth="1"/>
    <col min="13577" max="13577" width="19.1640625" style="79" bestFit="1" customWidth="1"/>
    <col min="13578" max="13578" width="32.83203125" style="79" bestFit="1" customWidth="1"/>
    <col min="13579" max="13579" width="15.6640625" style="79" customWidth="1"/>
    <col min="13580" max="13580" width="19.6640625" style="79" customWidth="1"/>
    <col min="13581" max="13581" width="44.33203125" style="79" bestFit="1" customWidth="1"/>
    <col min="13582" max="13582" width="19.1640625" style="79" bestFit="1" customWidth="1"/>
    <col min="13583" max="13583" width="32.83203125" style="79" bestFit="1" customWidth="1"/>
    <col min="13584" max="13819" width="9.33203125" style="79"/>
    <col min="13820" max="13820" width="15.6640625" style="79" customWidth="1"/>
    <col min="13821" max="13821" width="19.6640625" style="79" customWidth="1"/>
    <col min="13822" max="13822" width="44.33203125" style="79" bestFit="1" customWidth="1"/>
    <col min="13823" max="13823" width="19.33203125" style="79" bestFit="1" customWidth="1"/>
    <col min="13824" max="13824" width="32.83203125" style="79" bestFit="1" customWidth="1"/>
    <col min="13825" max="13825" width="15.6640625" style="79" customWidth="1"/>
    <col min="13826" max="13826" width="19.6640625" style="79" customWidth="1"/>
    <col min="13827" max="13827" width="44.33203125" style="79" bestFit="1" customWidth="1"/>
    <col min="13828" max="13828" width="19.33203125" style="79" bestFit="1" customWidth="1"/>
    <col min="13829" max="13829" width="32.83203125" style="79" bestFit="1" customWidth="1"/>
    <col min="13830" max="13830" width="15.6640625" style="79" customWidth="1"/>
    <col min="13831" max="13831" width="19.6640625" style="79" customWidth="1"/>
    <col min="13832" max="13832" width="44.33203125" style="79" bestFit="1" customWidth="1"/>
    <col min="13833" max="13833" width="19.1640625" style="79" bestFit="1" customWidth="1"/>
    <col min="13834" max="13834" width="32.83203125" style="79" bestFit="1" customWidth="1"/>
    <col min="13835" max="13835" width="15.6640625" style="79" customWidth="1"/>
    <col min="13836" max="13836" width="19.6640625" style="79" customWidth="1"/>
    <col min="13837" max="13837" width="44.33203125" style="79" bestFit="1" customWidth="1"/>
    <col min="13838" max="13838" width="19.1640625" style="79" bestFit="1" customWidth="1"/>
    <col min="13839" max="13839" width="32.83203125" style="79" bestFit="1" customWidth="1"/>
    <col min="13840" max="14075" width="9.33203125" style="79"/>
    <col min="14076" max="14076" width="15.6640625" style="79" customWidth="1"/>
    <col min="14077" max="14077" width="19.6640625" style="79" customWidth="1"/>
    <col min="14078" max="14078" width="44.33203125" style="79" bestFit="1" customWidth="1"/>
    <col min="14079" max="14079" width="19.33203125" style="79" bestFit="1" customWidth="1"/>
    <col min="14080" max="14080" width="32.83203125" style="79" bestFit="1" customWidth="1"/>
    <col min="14081" max="14081" width="15.6640625" style="79" customWidth="1"/>
    <col min="14082" max="14082" width="19.6640625" style="79" customWidth="1"/>
    <col min="14083" max="14083" width="44.33203125" style="79" bestFit="1" customWidth="1"/>
    <col min="14084" max="14084" width="19.33203125" style="79" bestFit="1" customWidth="1"/>
    <col min="14085" max="14085" width="32.83203125" style="79" bestFit="1" customWidth="1"/>
    <col min="14086" max="14086" width="15.6640625" style="79" customWidth="1"/>
    <col min="14087" max="14087" width="19.6640625" style="79" customWidth="1"/>
    <col min="14088" max="14088" width="44.33203125" style="79" bestFit="1" customWidth="1"/>
    <col min="14089" max="14089" width="19.1640625" style="79" bestFit="1" customWidth="1"/>
    <col min="14090" max="14090" width="32.83203125" style="79" bestFit="1" customWidth="1"/>
    <col min="14091" max="14091" width="15.6640625" style="79" customWidth="1"/>
    <col min="14092" max="14092" width="19.6640625" style="79" customWidth="1"/>
    <col min="14093" max="14093" width="44.33203125" style="79" bestFit="1" customWidth="1"/>
    <col min="14094" max="14094" width="19.1640625" style="79" bestFit="1" customWidth="1"/>
    <col min="14095" max="14095" width="32.83203125" style="79" bestFit="1" customWidth="1"/>
    <col min="14096" max="14331" width="9.33203125" style="79"/>
    <col min="14332" max="14332" width="15.6640625" style="79" customWidth="1"/>
    <col min="14333" max="14333" width="19.6640625" style="79" customWidth="1"/>
    <col min="14334" max="14334" width="44.33203125" style="79" bestFit="1" customWidth="1"/>
    <col min="14335" max="14335" width="19.33203125" style="79" bestFit="1" customWidth="1"/>
    <col min="14336" max="14336" width="32.83203125" style="79" bestFit="1" customWidth="1"/>
    <col min="14337" max="14337" width="15.6640625" style="79" customWidth="1"/>
    <col min="14338" max="14338" width="19.6640625" style="79" customWidth="1"/>
    <col min="14339" max="14339" width="44.33203125" style="79" bestFit="1" customWidth="1"/>
    <col min="14340" max="14340" width="19.33203125" style="79" bestFit="1" customWidth="1"/>
    <col min="14341" max="14341" width="32.83203125" style="79" bestFit="1" customWidth="1"/>
    <col min="14342" max="14342" width="15.6640625" style="79" customWidth="1"/>
    <col min="14343" max="14343" width="19.6640625" style="79" customWidth="1"/>
    <col min="14344" max="14344" width="44.33203125" style="79" bestFit="1" customWidth="1"/>
    <col min="14345" max="14345" width="19.1640625" style="79" bestFit="1" customWidth="1"/>
    <col min="14346" max="14346" width="32.83203125" style="79" bestFit="1" customWidth="1"/>
    <col min="14347" max="14347" width="15.6640625" style="79" customWidth="1"/>
    <col min="14348" max="14348" width="19.6640625" style="79" customWidth="1"/>
    <col min="14349" max="14349" width="44.33203125" style="79" bestFit="1" customWidth="1"/>
    <col min="14350" max="14350" width="19.1640625" style="79" bestFit="1" customWidth="1"/>
    <col min="14351" max="14351" width="32.83203125" style="79" bestFit="1" customWidth="1"/>
    <col min="14352" max="14587" width="9.33203125" style="79"/>
    <col min="14588" max="14588" width="15.6640625" style="79" customWidth="1"/>
    <col min="14589" max="14589" width="19.6640625" style="79" customWidth="1"/>
    <col min="14590" max="14590" width="44.33203125" style="79" bestFit="1" customWidth="1"/>
    <col min="14591" max="14591" width="19.33203125" style="79" bestFit="1" customWidth="1"/>
    <col min="14592" max="14592" width="32.83203125" style="79" bestFit="1" customWidth="1"/>
    <col min="14593" max="14593" width="15.6640625" style="79" customWidth="1"/>
    <col min="14594" max="14594" width="19.6640625" style="79" customWidth="1"/>
    <col min="14595" max="14595" width="44.33203125" style="79" bestFit="1" customWidth="1"/>
    <col min="14596" max="14596" width="19.33203125" style="79" bestFit="1" customWidth="1"/>
    <col min="14597" max="14597" width="32.83203125" style="79" bestFit="1" customWidth="1"/>
    <col min="14598" max="14598" width="15.6640625" style="79" customWidth="1"/>
    <col min="14599" max="14599" width="19.6640625" style="79" customWidth="1"/>
    <col min="14600" max="14600" width="44.33203125" style="79" bestFit="1" customWidth="1"/>
    <col min="14601" max="14601" width="19.1640625" style="79" bestFit="1" customWidth="1"/>
    <col min="14602" max="14602" width="32.83203125" style="79" bestFit="1" customWidth="1"/>
    <col min="14603" max="14603" width="15.6640625" style="79" customWidth="1"/>
    <col min="14604" max="14604" width="19.6640625" style="79" customWidth="1"/>
    <col min="14605" max="14605" width="44.33203125" style="79" bestFit="1" customWidth="1"/>
    <col min="14606" max="14606" width="19.1640625" style="79" bestFit="1" customWidth="1"/>
    <col min="14607" max="14607" width="32.83203125" style="79" bestFit="1" customWidth="1"/>
    <col min="14608" max="14843" width="9.33203125" style="79"/>
    <col min="14844" max="14844" width="15.6640625" style="79" customWidth="1"/>
    <col min="14845" max="14845" width="19.6640625" style="79" customWidth="1"/>
    <col min="14846" max="14846" width="44.33203125" style="79" bestFit="1" customWidth="1"/>
    <col min="14847" max="14847" width="19.33203125" style="79" bestFit="1" customWidth="1"/>
    <col min="14848" max="14848" width="32.83203125" style="79" bestFit="1" customWidth="1"/>
    <col min="14849" max="14849" width="15.6640625" style="79" customWidth="1"/>
    <col min="14850" max="14850" width="19.6640625" style="79" customWidth="1"/>
    <col min="14851" max="14851" width="44.33203125" style="79" bestFit="1" customWidth="1"/>
    <col min="14852" max="14852" width="19.33203125" style="79" bestFit="1" customWidth="1"/>
    <col min="14853" max="14853" width="32.83203125" style="79" bestFit="1" customWidth="1"/>
    <col min="14854" max="14854" width="15.6640625" style="79" customWidth="1"/>
    <col min="14855" max="14855" width="19.6640625" style="79" customWidth="1"/>
    <col min="14856" max="14856" width="44.33203125" style="79" bestFit="1" customWidth="1"/>
    <col min="14857" max="14857" width="19.1640625" style="79" bestFit="1" customWidth="1"/>
    <col min="14858" max="14858" width="32.83203125" style="79" bestFit="1" customWidth="1"/>
    <col min="14859" max="14859" width="15.6640625" style="79" customWidth="1"/>
    <col min="14860" max="14860" width="19.6640625" style="79" customWidth="1"/>
    <col min="14861" max="14861" width="44.33203125" style="79" bestFit="1" customWidth="1"/>
    <col min="14862" max="14862" width="19.1640625" style="79" bestFit="1" customWidth="1"/>
    <col min="14863" max="14863" width="32.83203125" style="79" bestFit="1" customWidth="1"/>
    <col min="14864" max="15099" width="9.33203125" style="79"/>
    <col min="15100" max="15100" width="15.6640625" style="79" customWidth="1"/>
    <col min="15101" max="15101" width="19.6640625" style="79" customWidth="1"/>
    <col min="15102" max="15102" width="44.33203125" style="79" bestFit="1" customWidth="1"/>
    <col min="15103" max="15103" width="19.33203125" style="79" bestFit="1" customWidth="1"/>
    <col min="15104" max="15104" width="32.83203125" style="79" bestFit="1" customWidth="1"/>
    <col min="15105" max="15105" width="15.6640625" style="79" customWidth="1"/>
    <col min="15106" max="15106" width="19.6640625" style="79" customWidth="1"/>
    <col min="15107" max="15107" width="44.33203125" style="79" bestFit="1" customWidth="1"/>
    <col min="15108" max="15108" width="19.33203125" style="79" bestFit="1" customWidth="1"/>
    <col min="15109" max="15109" width="32.83203125" style="79" bestFit="1" customWidth="1"/>
    <col min="15110" max="15110" width="15.6640625" style="79" customWidth="1"/>
    <col min="15111" max="15111" width="19.6640625" style="79" customWidth="1"/>
    <col min="15112" max="15112" width="44.33203125" style="79" bestFit="1" customWidth="1"/>
    <col min="15113" max="15113" width="19.1640625" style="79" bestFit="1" customWidth="1"/>
    <col min="15114" max="15114" width="32.83203125" style="79" bestFit="1" customWidth="1"/>
    <col min="15115" max="15115" width="15.6640625" style="79" customWidth="1"/>
    <col min="15116" max="15116" width="19.6640625" style="79" customWidth="1"/>
    <col min="15117" max="15117" width="44.33203125" style="79" bestFit="1" customWidth="1"/>
    <col min="15118" max="15118" width="19.1640625" style="79" bestFit="1" customWidth="1"/>
    <col min="15119" max="15119" width="32.83203125" style="79" bestFit="1" customWidth="1"/>
    <col min="15120" max="15355" width="9.33203125" style="79"/>
    <col min="15356" max="15356" width="15.6640625" style="79" customWidth="1"/>
    <col min="15357" max="15357" width="19.6640625" style="79" customWidth="1"/>
    <col min="15358" max="15358" width="44.33203125" style="79" bestFit="1" customWidth="1"/>
    <col min="15359" max="15359" width="19.33203125" style="79" bestFit="1" customWidth="1"/>
    <col min="15360" max="15360" width="32.83203125" style="79" bestFit="1" customWidth="1"/>
    <col min="15361" max="15361" width="15.6640625" style="79" customWidth="1"/>
    <col min="15362" max="15362" width="19.6640625" style="79" customWidth="1"/>
    <col min="15363" max="15363" width="44.33203125" style="79" bestFit="1" customWidth="1"/>
    <col min="15364" max="15364" width="19.33203125" style="79" bestFit="1" customWidth="1"/>
    <col min="15365" max="15365" width="32.83203125" style="79" bestFit="1" customWidth="1"/>
    <col min="15366" max="15366" width="15.6640625" style="79" customWidth="1"/>
    <col min="15367" max="15367" width="19.6640625" style="79" customWidth="1"/>
    <col min="15368" max="15368" width="44.33203125" style="79" bestFit="1" customWidth="1"/>
    <col min="15369" max="15369" width="19.1640625" style="79" bestFit="1" customWidth="1"/>
    <col min="15370" max="15370" width="32.83203125" style="79" bestFit="1" customWidth="1"/>
    <col min="15371" max="15371" width="15.6640625" style="79" customWidth="1"/>
    <col min="15372" max="15372" width="19.6640625" style="79" customWidth="1"/>
    <col min="15373" max="15373" width="44.33203125" style="79" bestFit="1" customWidth="1"/>
    <col min="15374" max="15374" width="19.1640625" style="79" bestFit="1" customWidth="1"/>
    <col min="15375" max="15375" width="32.83203125" style="79" bestFit="1" customWidth="1"/>
    <col min="15376" max="15611" width="9.33203125" style="79"/>
    <col min="15612" max="15612" width="15.6640625" style="79" customWidth="1"/>
    <col min="15613" max="15613" width="19.6640625" style="79" customWidth="1"/>
    <col min="15614" max="15614" width="44.33203125" style="79" bestFit="1" customWidth="1"/>
    <col min="15615" max="15615" width="19.33203125" style="79" bestFit="1" customWidth="1"/>
    <col min="15616" max="15616" width="32.83203125" style="79" bestFit="1" customWidth="1"/>
    <col min="15617" max="15617" width="15.6640625" style="79" customWidth="1"/>
    <col min="15618" max="15618" width="19.6640625" style="79" customWidth="1"/>
    <col min="15619" max="15619" width="44.33203125" style="79" bestFit="1" customWidth="1"/>
    <col min="15620" max="15620" width="19.33203125" style="79" bestFit="1" customWidth="1"/>
    <col min="15621" max="15621" width="32.83203125" style="79" bestFit="1" customWidth="1"/>
    <col min="15622" max="15622" width="15.6640625" style="79" customWidth="1"/>
    <col min="15623" max="15623" width="19.6640625" style="79" customWidth="1"/>
    <col min="15624" max="15624" width="44.33203125" style="79" bestFit="1" customWidth="1"/>
    <col min="15625" max="15625" width="19.1640625" style="79" bestFit="1" customWidth="1"/>
    <col min="15626" max="15626" width="32.83203125" style="79" bestFit="1" customWidth="1"/>
    <col min="15627" max="15627" width="15.6640625" style="79" customWidth="1"/>
    <col min="15628" max="15628" width="19.6640625" style="79" customWidth="1"/>
    <col min="15629" max="15629" width="44.33203125" style="79" bestFit="1" customWidth="1"/>
    <col min="15630" max="15630" width="19.1640625" style="79" bestFit="1" customWidth="1"/>
    <col min="15631" max="15631" width="32.83203125" style="79" bestFit="1" customWidth="1"/>
    <col min="15632" max="15867" width="9.33203125" style="79"/>
    <col min="15868" max="15868" width="15.6640625" style="79" customWidth="1"/>
    <col min="15869" max="15869" width="19.6640625" style="79" customWidth="1"/>
    <col min="15870" max="15870" width="44.33203125" style="79" bestFit="1" customWidth="1"/>
    <col min="15871" max="15871" width="19.33203125" style="79" bestFit="1" customWidth="1"/>
    <col min="15872" max="15872" width="32.83203125" style="79" bestFit="1" customWidth="1"/>
    <col min="15873" max="15873" width="15.6640625" style="79" customWidth="1"/>
    <col min="15874" max="15874" width="19.6640625" style="79" customWidth="1"/>
    <col min="15875" max="15875" width="44.33203125" style="79" bestFit="1" customWidth="1"/>
    <col min="15876" max="15876" width="19.33203125" style="79" bestFit="1" customWidth="1"/>
    <col min="15877" max="15877" width="32.83203125" style="79" bestFit="1" customWidth="1"/>
    <col min="15878" max="15878" width="15.6640625" style="79" customWidth="1"/>
    <col min="15879" max="15879" width="19.6640625" style="79" customWidth="1"/>
    <col min="15880" max="15880" width="44.33203125" style="79" bestFit="1" customWidth="1"/>
    <col min="15881" max="15881" width="19.1640625" style="79" bestFit="1" customWidth="1"/>
    <col min="15882" max="15882" width="32.83203125" style="79" bestFit="1" customWidth="1"/>
    <col min="15883" max="15883" width="15.6640625" style="79" customWidth="1"/>
    <col min="15884" max="15884" width="19.6640625" style="79" customWidth="1"/>
    <col min="15885" max="15885" width="44.33203125" style="79" bestFit="1" customWidth="1"/>
    <col min="15886" max="15886" width="19.1640625" style="79" bestFit="1" customWidth="1"/>
    <col min="15887" max="15887" width="32.83203125" style="79" bestFit="1" customWidth="1"/>
    <col min="15888" max="16123" width="9.33203125" style="79"/>
    <col min="16124" max="16124" width="15.6640625" style="79" customWidth="1"/>
    <col min="16125" max="16125" width="19.6640625" style="79" customWidth="1"/>
    <col min="16126" max="16126" width="44.33203125" style="79" bestFit="1" customWidth="1"/>
    <col min="16127" max="16127" width="19.33203125" style="79" bestFit="1" customWidth="1"/>
    <col min="16128" max="16128" width="32.83203125" style="79" bestFit="1" customWidth="1"/>
    <col min="16129" max="16129" width="15.6640625" style="79" customWidth="1"/>
    <col min="16130" max="16130" width="19.6640625" style="79" customWidth="1"/>
    <col min="16131" max="16131" width="44.33203125" style="79" bestFit="1" customWidth="1"/>
    <col min="16132" max="16132" width="19.33203125" style="79" bestFit="1" customWidth="1"/>
    <col min="16133" max="16133" width="32.83203125" style="79" bestFit="1" customWidth="1"/>
    <col min="16134" max="16134" width="15.6640625" style="79" customWidth="1"/>
    <col min="16135" max="16135" width="19.6640625" style="79" customWidth="1"/>
    <col min="16136" max="16136" width="44.33203125" style="79" bestFit="1" customWidth="1"/>
    <col min="16137" max="16137" width="19.1640625" style="79" bestFit="1" customWidth="1"/>
    <col min="16138" max="16138" width="32.83203125" style="79" bestFit="1" customWidth="1"/>
    <col min="16139" max="16139" width="15.6640625" style="79" customWidth="1"/>
    <col min="16140" max="16140" width="19.6640625" style="79" customWidth="1"/>
    <col min="16141" max="16141" width="44.33203125" style="79" bestFit="1" customWidth="1"/>
    <col min="16142" max="16142" width="19.1640625" style="79" bestFit="1" customWidth="1"/>
    <col min="16143" max="16143" width="32.83203125" style="79" bestFit="1" customWidth="1"/>
    <col min="16144" max="16384" width="9.33203125" style="79"/>
  </cols>
  <sheetData>
    <row r="1" spans="1:18" ht="24.95" customHeight="1">
      <c r="A1" s="376" t="s">
        <v>6234</v>
      </c>
      <c r="B1" s="377"/>
      <c r="C1" s="377"/>
      <c r="D1" s="377"/>
      <c r="E1" s="377"/>
      <c r="F1" s="376" t="s">
        <v>6234</v>
      </c>
      <c r="G1" s="377"/>
      <c r="H1" s="377"/>
      <c r="I1" s="377"/>
      <c r="J1" s="377"/>
      <c r="K1" s="376" t="s">
        <v>6234</v>
      </c>
      <c r="L1" s="377"/>
      <c r="M1" s="377"/>
      <c r="N1" s="377"/>
      <c r="O1" s="377"/>
    </row>
    <row r="2" spans="1:18" ht="30" customHeight="1">
      <c r="A2" s="378" t="s">
        <v>6513</v>
      </c>
      <c r="B2" s="378"/>
      <c r="C2" s="378"/>
      <c r="D2" s="378"/>
      <c r="E2" s="378"/>
      <c r="F2" s="378" t="s">
        <v>6514</v>
      </c>
      <c r="G2" s="378"/>
      <c r="H2" s="378"/>
      <c r="I2" s="378"/>
      <c r="J2" s="378"/>
      <c r="K2" s="378" t="s">
        <v>6515</v>
      </c>
      <c r="L2" s="378"/>
      <c r="M2" s="378"/>
      <c r="N2" s="378"/>
      <c r="O2" s="378"/>
    </row>
    <row r="3" spans="1:18" ht="15.2" customHeight="1">
      <c r="A3" s="380"/>
      <c r="B3" s="381"/>
      <c r="C3" s="381"/>
      <c r="D3" s="56"/>
      <c r="E3" s="80" t="s">
        <v>6236</v>
      </c>
      <c r="F3" s="380"/>
      <c r="G3" s="381"/>
      <c r="H3" s="381"/>
      <c r="I3" s="56"/>
      <c r="J3" s="80" t="s">
        <v>6236</v>
      </c>
      <c r="K3" s="380"/>
      <c r="L3" s="381"/>
      <c r="M3" s="381"/>
      <c r="N3" s="56"/>
      <c r="O3" s="80" t="s">
        <v>6236</v>
      </c>
    </row>
    <row r="4" spans="1:18" ht="22.5" customHeight="1">
      <c r="A4" s="382" t="s">
        <v>6237</v>
      </c>
      <c r="B4" s="379"/>
      <c r="C4" s="379"/>
      <c r="D4" s="383" t="s">
        <v>6238</v>
      </c>
      <c r="E4" s="379" t="s">
        <v>6239</v>
      </c>
      <c r="F4" s="382" t="s">
        <v>6237</v>
      </c>
      <c r="G4" s="379"/>
      <c r="H4" s="379"/>
      <c r="I4" s="383" t="s">
        <v>6238</v>
      </c>
      <c r="J4" s="379" t="s">
        <v>6239</v>
      </c>
      <c r="K4" s="382" t="s">
        <v>6237</v>
      </c>
      <c r="L4" s="379"/>
      <c r="M4" s="379"/>
      <c r="N4" s="383" t="s">
        <v>6238</v>
      </c>
      <c r="O4" s="379" t="s">
        <v>6239</v>
      </c>
    </row>
    <row r="5" spans="1:18" ht="22.5" customHeight="1">
      <c r="A5" s="379"/>
      <c r="B5" s="379"/>
      <c r="C5" s="379"/>
      <c r="D5" s="384"/>
      <c r="E5" s="379"/>
      <c r="F5" s="379"/>
      <c r="G5" s="379"/>
      <c r="H5" s="379"/>
      <c r="I5" s="384"/>
      <c r="J5" s="379"/>
      <c r="K5" s="379"/>
      <c r="L5" s="379"/>
      <c r="M5" s="379"/>
      <c r="N5" s="384"/>
      <c r="O5" s="379"/>
    </row>
    <row r="6" spans="1:18" ht="22.5" customHeight="1">
      <c r="A6" s="387" t="s">
        <v>6240</v>
      </c>
      <c r="B6" s="390" t="s">
        <v>6241</v>
      </c>
      <c r="C6" s="81" t="s">
        <v>6242</v>
      </c>
      <c r="D6" s="82">
        <f>I6+N6</f>
        <v>504965006</v>
      </c>
      <c r="E6" s="83"/>
      <c r="F6" s="387" t="s">
        <v>6240</v>
      </c>
      <c r="G6" s="390" t="s">
        <v>6241</v>
      </c>
      <c r="H6" s="58" t="s">
        <v>6242</v>
      </c>
      <c r="I6" s="213">
        <f>'내역서(동부지사)-1차'!F6</f>
        <v>378656154</v>
      </c>
      <c r="J6" s="59"/>
      <c r="K6" s="387" t="s">
        <v>6240</v>
      </c>
      <c r="L6" s="390" t="s">
        <v>6241</v>
      </c>
      <c r="M6" s="58" t="s">
        <v>6242</v>
      </c>
      <c r="N6" s="213">
        <f>'내역서(동부지사)-2차'!F6</f>
        <v>126308852</v>
      </c>
      <c r="O6" s="59"/>
      <c r="P6" s="335"/>
    </row>
    <row r="7" spans="1:18" ht="22.5" customHeight="1">
      <c r="A7" s="388"/>
      <c r="B7" s="391"/>
      <c r="C7" s="60" t="s">
        <v>6243</v>
      </c>
      <c r="D7" s="84">
        <f t="shared" ref="D7:D31" si="0">I7+N7</f>
        <v>0</v>
      </c>
      <c r="E7" s="61"/>
      <c r="F7" s="388"/>
      <c r="G7" s="391"/>
      <c r="H7" s="60" t="s">
        <v>6243</v>
      </c>
      <c r="I7" s="214">
        <v>0</v>
      </c>
      <c r="J7" s="61"/>
      <c r="K7" s="388"/>
      <c r="L7" s="391"/>
      <c r="M7" s="60" t="s">
        <v>6243</v>
      </c>
      <c r="N7" s="214">
        <f>0</f>
        <v>0</v>
      </c>
      <c r="O7" s="61"/>
      <c r="P7" s="335"/>
    </row>
    <row r="8" spans="1:18" ht="22.5" customHeight="1">
      <c r="A8" s="388"/>
      <c r="B8" s="392"/>
      <c r="C8" s="77" t="s">
        <v>6244</v>
      </c>
      <c r="D8" s="84">
        <f t="shared" si="0"/>
        <v>504965006</v>
      </c>
      <c r="E8" s="61"/>
      <c r="F8" s="388"/>
      <c r="G8" s="392"/>
      <c r="H8" s="77" t="s">
        <v>6244</v>
      </c>
      <c r="I8" s="215">
        <f>I6+I7</f>
        <v>378656154</v>
      </c>
      <c r="J8" s="61"/>
      <c r="K8" s="388"/>
      <c r="L8" s="392"/>
      <c r="M8" s="77" t="s">
        <v>6244</v>
      </c>
      <c r="N8" s="215">
        <f>N6+N7</f>
        <v>126308852</v>
      </c>
      <c r="O8" s="61"/>
      <c r="P8" s="335"/>
    </row>
    <row r="9" spans="1:18" ht="22.5" customHeight="1">
      <c r="A9" s="388"/>
      <c r="B9" s="394" t="s">
        <v>6245</v>
      </c>
      <c r="C9" s="60" t="s">
        <v>6246</v>
      </c>
      <c r="D9" s="84">
        <f t="shared" si="0"/>
        <v>63281886</v>
      </c>
      <c r="E9" s="61"/>
      <c r="F9" s="388"/>
      <c r="G9" s="394" t="s">
        <v>6245</v>
      </c>
      <c r="H9" s="60" t="s">
        <v>6246</v>
      </c>
      <c r="I9" s="214">
        <f>'내역서(동부지사)-1차'!H6</f>
        <v>43304218</v>
      </c>
      <c r="J9" s="61"/>
      <c r="K9" s="388"/>
      <c r="L9" s="394" t="s">
        <v>6245</v>
      </c>
      <c r="M9" s="60" t="s">
        <v>6246</v>
      </c>
      <c r="N9" s="214">
        <f>'내역서(동부지사)-2차'!H6</f>
        <v>19977668</v>
      </c>
      <c r="O9" s="61"/>
      <c r="P9" s="335"/>
    </row>
    <row r="10" spans="1:18" ht="22.5" customHeight="1">
      <c r="A10" s="388"/>
      <c r="B10" s="395"/>
      <c r="C10" s="60" t="s">
        <v>6247</v>
      </c>
      <c r="D10" s="84">
        <f t="shared" si="0"/>
        <v>9555563</v>
      </c>
      <c r="E10" s="61" t="str">
        <f>'원가계산서(양지사)'!E10</f>
        <v>나 1)의 15.1%</v>
      </c>
      <c r="F10" s="388"/>
      <c r="G10" s="395"/>
      <c r="H10" s="60" t="s">
        <v>6247</v>
      </c>
      <c r="I10" s="215">
        <f>INT(I9*15.1%)</f>
        <v>6538936</v>
      </c>
      <c r="J10" s="61" t="str">
        <f>E10</f>
        <v>나 1)의 15.1%</v>
      </c>
      <c r="K10" s="388"/>
      <c r="L10" s="395"/>
      <c r="M10" s="60" t="s">
        <v>6247</v>
      </c>
      <c r="N10" s="215">
        <f>INT(N9*15.1%)</f>
        <v>3016627</v>
      </c>
      <c r="O10" s="61" t="str">
        <f>E10</f>
        <v>나 1)의 15.1%</v>
      </c>
      <c r="P10" s="336">
        <v>0.151</v>
      </c>
    </row>
    <row r="11" spans="1:18" ht="22.5" customHeight="1">
      <c r="A11" s="388"/>
      <c r="B11" s="396"/>
      <c r="C11" s="77" t="s">
        <v>6248</v>
      </c>
      <c r="D11" s="84">
        <f t="shared" si="0"/>
        <v>72837449</v>
      </c>
      <c r="E11" s="61"/>
      <c r="F11" s="388"/>
      <c r="G11" s="396"/>
      <c r="H11" s="77" t="s">
        <v>6248</v>
      </c>
      <c r="I11" s="215">
        <f>SUM(I9:I10)</f>
        <v>49843154</v>
      </c>
      <c r="J11" s="61"/>
      <c r="K11" s="388"/>
      <c r="L11" s="396"/>
      <c r="M11" s="77" t="s">
        <v>6248</v>
      </c>
      <c r="N11" s="215">
        <f>SUM(N9:N10)</f>
        <v>22994295</v>
      </c>
      <c r="O11" s="61">
        <f t="shared" ref="O11:O22" si="1">E11</f>
        <v>0</v>
      </c>
      <c r="P11" s="335"/>
    </row>
    <row r="12" spans="1:18" ht="22.5" customHeight="1">
      <c r="A12" s="388"/>
      <c r="B12" s="397" t="s">
        <v>6249</v>
      </c>
      <c r="C12" s="60" t="s">
        <v>6250</v>
      </c>
      <c r="D12" s="84">
        <f t="shared" si="0"/>
        <v>14169520</v>
      </c>
      <c r="E12" s="61"/>
      <c r="F12" s="388"/>
      <c r="G12" s="397" t="s">
        <v>6249</v>
      </c>
      <c r="H12" s="60" t="s">
        <v>6250</v>
      </c>
      <c r="I12" s="214">
        <f>'내역서(동부지사)-1차'!J6</f>
        <v>8237556</v>
      </c>
      <c r="J12" s="61"/>
      <c r="K12" s="388"/>
      <c r="L12" s="397" t="s">
        <v>6249</v>
      </c>
      <c r="M12" s="60" t="s">
        <v>6250</v>
      </c>
      <c r="N12" s="214">
        <f>'내역서(동부지사)-2차'!J6</f>
        <v>5931964</v>
      </c>
      <c r="O12" s="61">
        <f t="shared" si="1"/>
        <v>0</v>
      </c>
      <c r="P12" s="335"/>
    </row>
    <row r="13" spans="1:18" ht="22.5" customHeight="1">
      <c r="A13" s="388"/>
      <c r="B13" s="391"/>
      <c r="C13" s="60" t="s">
        <v>6251</v>
      </c>
      <c r="D13" s="84">
        <f t="shared" si="0"/>
        <v>2593012</v>
      </c>
      <c r="E13" s="61" t="str">
        <f>'원가계산서(양지사)'!E13</f>
        <v>나 ) 의 3.56%</v>
      </c>
      <c r="F13" s="388"/>
      <c r="G13" s="391"/>
      <c r="H13" s="60" t="s">
        <v>6251</v>
      </c>
      <c r="I13" s="214">
        <f>INT(I11*3.56%)</f>
        <v>1774416</v>
      </c>
      <c r="J13" s="61" t="str">
        <f t="shared" ref="J13:J22" si="2">E13</f>
        <v>나 ) 의 3.56%</v>
      </c>
      <c r="K13" s="388"/>
      <c r="L13" s="391"/>
      <c r="M13" s="60" t="s">
        <v>6251</v>
      </c>
      <c r="N13" s="214">
        <f>INT(N11*3.56%)</f>
        <v>818596</v>
      </c>
      <c r="O13" s="61" t="str">
        <f t="shared" si="1"/>
        <v>나 ) 의 3.56%</v>
      </c>
      <c r="P13" s="337">
        <f>3.56*0.01</f>
        <v>3.56E-2</v>
      </c>
    </row>
    <row r="14" spans="1:18" ht="22.5" customHeight="1">
      <c r="A14" s="388"/>
      <c r="B14" s="391"/>
      <c r="C14" s="60" t="s">
        <v>6252</v>
      </c>
      <c r="D14" s="84">
        <f t="shared" si="0"/>
        <v>735657</v>
      </c>
      <c r="E14" s="61" t="str">
        <f>'원가계산서(양지사)'!E14</f>
        <v>나 ) 의 1.01%</v>
      </c>
      <c r="F14" s="388"/>
      <c r="G14" s="391"/>
      <c r="H14" s="60" t="s">
        <v>6252</v>
      </c>
      <c r="I14" s="214">
        <f>INT(I11*1.01%)</f>
        <v>503415</v>
      </c>
      <c r="J14" s="61" t="str">
        <f t="shared" si="2"/>
        <v>나 ) 의 1.01%</v>
      </c>
      <c r="K14" s="388"/>
      <c r="L14" s="391"/>
      <c r="M14" s="60" t="s">
        <v>6252</v>
      </c>
      <c r="N14" s="214">
        <f>INT(N11*1.01%)</f>
        <v>232242</v>
      </c>
      <c r="O14" s="61" t="str">
        <f t="shared" si="1"/>
        <v>나 ) 의 1.01%</v>
      </c>
      <c r="P14" s="337">
        <f>1.01*0.01</f>
        <v>1.01E-2</v>
      </c>
    </row>
    <row r="15" spans="1:18" ht="22.5" customHeight="1">
      <c r="A15" s="388"/>
      <c r="B15" s="391"/>
      <c r="C15" s="349" t="s">
        <v>6253</v>
      </c>
      <c r="D15" s="84">
        <f t="shared" si="0"/>
        <v>2576457</v>
      </c>
      <c r="E15" s="61" t="str">
        <f>'원가계산서(양지사)'!E15</f>
        <v>나 1)의 3.595%</v>
      </c>
      <c r="F15" s="388"/>
      <c r="G15" s="391"/>
      <c r="H15" s="349" t="s">
        <v>6253</v>
      </c>
      <c r="I15" s="214">
        <v>1763087</v>
      </c>
      <c r="J15" s="61" t="str">
        <f t="shared" si="2"/>
        <v>나 1)의 3.595%</v>
      </c>
      <c r="K15" s="388"/>
      <c r="L15" s="391"/>
      <c r="M15" s="349" t="s">
        <v>6253</v>
      </c>
      <c r="N15" s="214">
        <v>813370</v>
      </c>
      <c r="O15" s="61" t="str">
        <f t="shared" si="1"/>
        <v>나 1)의 3.595%</v>
      </c>
      <c r="P15" s="338">
        <f>3.545*0.01</f>
        <v>3.5450000000000002E-2</v>
      </c>
      <c r="R15" s="261" t="s">
        <v>6556</v>
      </c>
    </row>
    <row r="16" spans="1:18" ht="22.5" customHeight="1">
      <c r="A16" s="388"/>
      <c r="B16" s="391"/>
      <c r="C16" s="350" t="s">
        <v>6280</v>
      </c>
      <c r="D16" s="84">
        <f t="shared" si="0"/>
        <v>338545</v>
      </c>
      <c r="E16" s="61" t="str">
        <f>'원가계산서(양지사)'!E16</f>
        <v>다 4)의 13.14%</v>
      </c>
      <c r="F16" s="388"/>
      <c r="G16" s="391"/>
      <c r="H16" s="350" t="s">
        <v>6280</v>
      </c>
      <c r="I16" s="214">
        <v>231669</v>
      </c>
      <c r="J16" s="61" t="str">
        <f t="shared" si="2"/>
        <v>다 4)의 13.14%</v>
      </c>
      <c r="K16" s="388"/>
      <c r="L16" s="391"/>
      <c r="M16" s="350" t="s">
        <v>6280</v>
      </c>
      <c r="N16" s="214">
        <v>106876</v>
      </c>
      <c r="O16" s="61" t="str">
        <f t="shared" si="1"/>
        <v>다 4)의 13.14%</v>
      </c>
      <c r="P16" s="337">
        <f>12.95*0.01</f>
        <v>0.1295</v>
      </c>
      <c r="R16" s="261" t="s">
        <v>6557</v>
      </c>
    </row>
    <row r="17" spans="1:18" ht="22.5" customHeight="1">
      <c r="A17" s="388"/>
      <c r="B17" s="391"/>
      <c r="C17" s="349" t="s">
        <v>6255</v>
      </c>
      <c r="D17" s="84">
        <f t="shared" si="0"/>
        <v>3404220</v>
      </c>
      <c r="E17" s="61" t="str">
        <f>'원가계산서(양지사)'!E17</f>
        <v>나 1)의 4.75%</v>
      </c>
      <c r="F17" s="388"/>
      <c r="G17" s="391"/>
      <c r="H17" s="349" t="s">
        <v>6255</v>
      </c>
      <c r="I17" s="214">
        <v>2329531</v>
      </c>
      <c r="J17" s="61" t="str">
        <f t="shared" si="2"/>
        <v>나 1)의 4.75%</v>
      </c>
      <c r="K17" s="388"/>
      <c r="L17" s="391"/>
      <c r="M17" s="349" t="s">
        <v>6255</v>
      </c>
      <c r="N17" s="214">
        <v>1074689</v>
      </c>
      <c r="O17" s="61" t="str">
        <f t="shared" si="1"/>
        <v>나 1)의 4.75%</v>
      </c>
      <c r="P17" s="336">
        <f>4.5*0.01</f>
        <v>4.4999999999999998E-2</v>
      </c>
      <c r="R17" s="261" t="s">
        <v>6558</v>
      </c>
    </row>
    <row r="18" spans="1:18" ht="22.5" customHeight="1">
      <c r="A18" s="388"/>
      <c r="B18" s="391"/>
      <c r="C18" s="353" t="s">
        <v>6256</v>
      </c>
      <c r="D18" s="84">
        <f t="shared" si="0"/>
        <v>1747248</v>
      </c>
      <c r="E18" s="61" t="str">
        <f>'원가계산서(양지사)'!E18</f>
        <v>(재+직노+기경)*0.3%</v>
      </c>
      <c r="F18" s="388"/>
      <c r="G18" s="391"/>
      <c r="H18" s="353" t="s">
        <v>6256</v>
      </c>
      <c r="I18" s="214">
        <f>INT((I6+I9+I12)*0.3%)</f>
        <v>1290593</v>
      </c>
      <c r="J18" s="61" t="str">
        <f t="shared" si="2"/>
        <v>(재+직노+기경)*0.3%</v>
      </c>
      <c r="K18" s="388"/>
      <c r="L18" s="391"/>
      <c r="M18" s="353" t="s">
        <v>6256</v>
      </c>
      <c r="N18" s="214">
        <f>INT((N6+N9+N12)*0.3%)</f>
        <v>456655</v>
      </c>
      <c r="O18" s="61" t="str">
        <f t="shared" si="1"/>
        <v>(재+직노+기경)*0.3%</v>
      </c>
      <c r="P18" s="336">
        <f>0.3*0.01</f>
        <v>3.0000000000000001E-3</v>
      </c>
    </row>
    <row r="19" spans="1:18" ht="22.5" customHeight="1">
      <c r="A19" s="388"/>
      <c r="B19" s="391"/>
      <c r="C19" s="349" t="s">
        <v>6282</v>
      </c>
      <c r="D19" s="84">
        <f t="shared" si="0"/>
        <v>17102352</v>
      </c>
      <c r="E19" s="61" t="str">
        <f>'원가계산서(양지사)'!E19</f>
        <v>가+나1)의 2.28%+4,325천원</v>
      </c>
      <c r="F19" s="388"/>
      <c r="G19" s="391"/>
      <c r="H19" s="349" t="s">
        <v>6282</v>
      </c>
      <c r="I19" s="214">
        <v>12699612</v>
      </c>
      <c r="J19" s="61" t="str">
        <f t="shared" si="2"/>
        <v>가+나1)의 2.28%+4,325천원</v>
      </c>
      <c r="K19" s="388"/>
      <c r="L19" s="391"/>
      <c r="M19" s="349" t="s">
        <v>6282</v>
      </c>
      <c r="N19" s="214">
        <v>4402740</v>
      </c>
      <c r="O19" s="61" t="str">
        <f t="shared" si="1"/>
        <v>가+나1)의 2.28%+4,325천원</v>
      </c>
      <c r="P19" s="335"/>
    </row>
    <row r="20" spans="1:18" ht="22.5" customHeight="1">
      <c r="A20" s="388"/>
      <c r="B20" s="391"/>
      <c r="C20" s="350" t="s">
        <v>6261</v>
      </c>
      <c r="D20" s="84">
        <f t="shared" si="0"/>
        <v>1648359</v>
      </c>
      <c r="E20" s="61" t="str">
        <f>'원가계산서(양지사)'!E20</f>
        <v>나 1)의 2.3%</v>
      </c>
      <c r="F20" s="388"/>
      <c r="G20" s="391"/>
      <c r="H20" s="350" t="s">
        <v>6261</v>
      </c>
      <c r="I20" s="214">
        <v>1127983</v>
      </c>
      <c r="J20" s="61" t="str">
        <f t="shared" si="2"/>
        <v>나 1)의 2.3%</v>
      </c>
      <c r="K20" s="388"/>
      <c r="L20" s="391"/>
      <c r="M20" s="350" t="s">
        <v>6261</v>
      </c>
      <c r="N20" s="214">
        <v>520376</v>
      </c>
      <c r="O20" s="61" t="str">
        <f t="shared" si="1"/>
        <v>나 1)의 2.3%</v>
      </c>
      <c r="P20" s="336">
        <f>2.3*0.01</f>
        <v>2.3E-2</v>
      </c>
    </row>
    <row r="21" spans="1:18" ht="22.5" customHeight="1">
      <c r="A21" s="388"/>
      <c r="B21" s="391"/>
      <c r="C21" s="60" t="s">
        <v>6264</v>
      </c>
      <c r="D21" s="84">
        <f t="shared" si="0"/>
        <v>29467924</v>
      </c>
      <c r="E21" s="61" t="str">
        <f>'원가계산서(양지사)'!E21</f>
        <v>(가+나)의 5.1%</v>
      </c>
      <c r="F21" s="388"/>
      <c r="G21" s="391"/>
      <c r="H21" s="60" t="s">
        <v>6264</v>
      </c>
      <c r="I21" s="214">
        <f>INT((I6+I11)*5.1%)</f>
        <v>21853464</v>
      </c>
      <c r="J21" s="61" t="str">
        <f t="shared" si="2"/>
        <v>(가+나)의 5.1%</v>
      </c>
      <c r="K21" s="388"/>
      <c r="L21" s="391"/>
      <c r="M21" s="60" t="s">
        <v>6264</v>
      </c>
      <c r="N21" s="214">
        <f>INT((N6+N11)*5.1%)</f>
        <v>7614460</v>
      </c>
      <c r="O21" s="61" t="str">
        <f t="shared" si="1"/>
        <v>(가+나)의 5.1%</v>
      </c>
      <c r="P21" s="336">
        <f>5.1*0.01</f>
        <v>5.0999999999999997E-2</v>
      </c>
    </row>
    <row r="22" spans="1:18" ht="22.5" customHeight="1">
      <c r="A22" s="388"/>
      <c r="B22" s="391"/>
      <c r="C22" s="87" t="s">
        <v>6286</v>
      </c>
      <c r="D22" s="84">
        <f t="shared" si="0"/>
        <v>582415</v>
      </c>
      <c r="E22" s="61" t="str">
        <f>'원가계산서(양지사)'!E22</f>
        <v>가1)+나1)+다1)의 0.1%</v>
      </c>
      <c r="F22" s="388"/>
      <c r="G22" s="391"/>
      <c r="H22" s="87" t="s">
        <v>6286</v>
      </c>
      <c r="I22" s="214">
        <f>INT((I6+I9+I12)*0.1%)</f>
        <v>430197</v>
      </c>
      <c r="J22" s="61" t="str">
        <f t="shared" si="2"/>
        <v>가1)+나1)+다1)의 0.1%</v>
      </c>
      <c r="K22" s="388"/>
      <c r="L22" s="391"/>
      <c r="M22" s="87" t="s">
        <v>6286</v>
      </c>
      <c r="N22" s="214">
        <f>INT((N6+N9+N12)*0.1%)</f>
        <v>152218</v>
      </c>
      <c r="O22" s="61" t="str">
        <f t="shared" si="1"/>
        <v>가1)+나1)+다1)의 0.1%</v>
      </c>
      <c r="P22" s="336">
        <f>0.1*0.01</f>
        <v>1E-3</v>
      </c>
    </row>
    <row r="23" spans="1:18" ht="22.5" customHeight="1">
      <c r="A23" s="388"/>
      <c r="B23" s="391"/>
      <c r="C23" s="351" t="s">
        <v>6288</v>
      </c>
      <c r="D23" s="84">
        <f t="shared" si="0"/>
        <v>1412680</v>
      </c>
      <c r="E23" s="61"/>
      <c r="F23" s="388"/>
      <c r="G23" s="391"/>
      <c r="H23" s="351" t="s">
        <v>6288</v>
      </c>
      <c r="I23" s="212">
        <v>1412680</v>
      </c>
      <c r="J23" s="61"/>
      <c r="K23" s="388"/>
      <c r="L23" s="391"/>
      <c r="M23" s="351" t="s">
        <v>6288</v>
      </c>
      <c r="N23" s="212">
        <v>0</v>
      </c>
      <c r="O23" s="61"/>
      <c r="P23" s="335"/>
    </row>
    <row r="24" spans="1:18" ht="22.5" customHeight="1">
      <c r="A24" s="388"/>
      <c r="B24" s="392"/>
      <c r="C24" s="77" t="s">
        <v>6248</v>
      </c>
      <c r="D24" s="84">
        <f t="shared" si="0"/>
        <v>75778389</v>
      </c>
      <c r="E24" s="61"/>
      <c r="F24" s="388"/>
      <c r="G24" s="392"/>
      <c r="H24" s="77" t="s">
        <v>6248</v>
      </c>
      <c r="I24" s="215">
        <f>SUM(I12:I23)</f>
        <v>53654203</v>
      </c>
      <c r="J24" s="72"/>
      <c r="K24" s="388"/>
      <c r="L24" s="392"/>
      <c r="M24" s="77" t="s">
        <v>6248</v>
      </c>
      <c r="N24" s="215">
        <f>SUM(N12:N23)</f>
        <v>22124186</v>
      </c>
      <c r="O24" s="72"/>
      <c r="P24" s="335"/>
    </row>
    <row r="25" spans="1:18" ht="22.5" customHeight="1">
      <c r="A25" s="389"/>
      <c r="B25" s="385" t="s">
        <v>6267</v>
      </c>
      <c r="C25" s="386"/>
      <c r="D25" s="84">
        <f t="shared" si="0"/>
        <v>653580844</v>
      </c>
      <c r="E25" s="61"/>
      <c r="F25" s="389"/>
      <c r="G25" s="385" t="s">
        <v>6267</v>
      </c>
      <c r="H25" s="386"/>
      <c r="I25" s="215">
        <f>I8+I11+I24</f>
        <v>482153511</v>
      </c>
      <c r="J25" s="73"/>
      <c r="K25" s="389"/>
      <c r="L25" s="385" t="s">
        <v>6267</v>
      </c>
      <c r="M25" s="386"/>
      <c r="N25" s="215">
        <f>N8+N11+N24</f>
        <v>171427333</v>
      </c>
      <c r="O25" s="73"/>
      <c r="P25" s="335"/>
    </row>
    <row r="26" spans="1:18" ht="22.5" customHeight="1">
      <c r="A26" s="90">
        <v>2</v>
      </c>
      <c r="B26" s="393" t="s">
        <v>6268</v>
      </c>
      <c r="C26" s="393"/>
      <c r="D26" s="84">
        <f t="shared" si="0"/>
        <v>42482754</v>
      </c>
      <c r="E26" s="68" t="str">
        <f>'원가계산서(양지사)'!E26</f>
        <v>1 의 6.5%</v>
      </c>
      <c r="F26" s="90">
        <v>2</v>
      </c>
      <c r="G26" s="393" t="s">
        <v>6268</v>
      </c>
      <c r="H26" s="393"/>
      <c r="I26" s="212">
        <f>INT(I25*6.5%)</f>
        <v>31339978</v>
      </c>
      <c r="J26" s="68" t="str">
        <f>E26</f>
        <v>1 의 6.5%</v>
      </c>
      <c r="K26" s="90">
        <v>2</v>
      </c>
      <c r="L26" s="393" t="s">
        <v>6268</v>
      </c>
      <c r="M26" s="393"/>
      <c r="N26" s="212">
        <f>INT(N25*6.5%)</f>
        <v>11142776</v>
      </c>
      <c r="O26" s="68" t="str">
        <f>E26</f>
        <v>1 의 6.5%</v>
      </c>
      <c r="P26" s="336">
        <v>6.5000000000000002E-2</v>
      </c>
      <c r="Q26" s="261"/>
    </row>
    <row r="27" spans="1:18" ht="22.5" customHeight="1">
      <c r="A27" s="90">
        <v>3</v>
      </c>
      <c r="B27" s="393" t="s">
        <v>6269</v>
      </c>
      <c r="C27" s="393"/>
      <c r="D27" s="84">
        <f t="shared" si="0"/>
        <v>28664782</v>
      </c>
      <c r="E27" s="68" t="str">
        <f>'원가계산서(양지사)'!E27</f>
        <v>나+다+2의 15%</v>
      </c>
      <c r="F27" s="90">
        <v>3</v>
      </c>
      <c r="G27" s="393" t="s">
        <v>6269</v>
      </c>
      <c r="H27" s="393"/>
      <c r="I27" s="215">
        <f>INT((I11+I24+I26)*15%)-7</f>
        <v>20225593</v>
      </c>
      <c r="J27" s="68" t="str">
        <f>E27</f>
        <v>나+다+2의 15%</v>
      </c>
      <c r="K27" s="90">
        <v>3</v>
      </c>
      <c r="L27" s="393" t="s">
        <v>6269</v>
      </c>
      <c r="M27" s="393"/>
      <c r="N27" s="215">
        <f>INT((N11+N24+N26)*15%)+1</f>
        <v>8439189</v>
      </c>
      <c r="O27" s="68" t="str">
        <f>E27</f>
        <v>나+다+2의 15%</v>
      </c>
      <c r="P27" s="336">
        <f>15*0.01</f>
        <v>0.15</v>
      </c>
    </row>
    <row r="28" spans="1:18" ht="22.5" customHeight="1">
      <c r="A28" s="90">
        <v>4</v>
      </c>
      <c r="B28" s="398" t="s">
        <v>6290</v>
      </c>
      <c r="C28" s="386"/>
      <c r="D28" s="84">
        <f t="shared" si="0"/>
        <v>8947011</v>
      </c>
      <c r="E28" s="68"/>
      <c r="F28" s="90">
        <v>4</v>
      </c>
      <c r="G28" s="398" t="s">
        <v>6290</v>
      </c>
      <c r="H28" s="386"/>
      <c r="I28" s="215">
        <v>6122500</v>
      </c>
      <c r="J28" s="68"/>
      <c r="K28" s="90">
        <v>4</v>
      </c>
      <c r="L28" s="398" t="s">
        <v>6290</v>
      </c>
      <c r="M28" s="386"/>
      <c r="N28" s="215">
        <v>2824511</v>
      </c>
      <c r="O28" s="68"/>
      <c r="P28" s="335"/>
      <c r="R28" s="261" t="s">
        <v>6559</v>
      </c>
    </row>
    <row r="29" spans="1:18" ht="22.5" customHeight="1">
      <c r="A29" s="90">
        <v>5</v>
      </c>
      <c r="B29" s="393" t="s">
        <v>6270</v>
      </c>
      <c r="C29" s="393"/>
      <c r="D29" s="84">
        <f t="shared" si="0"/>
        <v>733675391</v>
      </c>
      <c r="E29" s="61"/>
      <c r="F29" s="90">
        <v>5</v>
      </c>
      <c r="G29" s="393" t="s">
        <v>6270</v>
      </c>
      <c r="H29" s="393"/>
      <c r="I29" s="215">
        <f>SUM(I25:I28)</f>
        <v>539841582</v>
      </c>
      <c r="J29" s="61"/>
      <c r="K29" s="90">
        <v>5</v>
      </c>
      <c r="L29" s="393" t="s">
        <v>6270</v>
      </c>
      <c r="M29" s="393"/>
      <c r="N29" s="215">
        <f>SUM(N25:N28)</f>
        <v>193833809</v>
      </c>
      <c r="O29" s="61"/>
      <c r="P29" s="335"/>
    </row>
    <row r="30" spans="1:18" ht="22.5" customHeight="1">
      <c r="A30" s="90">
        <v>6</v>
      </c>
      <c r="B30" s="393" t="s">
        <v>6271</v>
      </c>
      <c r="C30" s="393"/>
      <c r="D30" s="84">
        <f t="shared" si="0"/>
        <v>73367539</v>
      </c>
      <c r="E30" s="68" t="str">
        <f>'원가계산서(양지사)'!E30</f>
        <v>5의 10%</v>
      </c>
      <c r="F30" s="90">
        <v>6</v>
      </c>
      <c r="G30" s="393" t="s">
        <v>6271</v>
      </c>
      <c r="H30" s="393"/>
      <c r="I30" s="215">
        <f>INT(I29*10%)</f>
        <v>53984158</v>
      </c>
      <c r="J30" s="68" t="str">
        <f>E30</f>
        <v>5의 10%</v>
      </c>
      <c r="K30" s="90">
        <v>6</v>
      </c>
      <c r="L30" s="393" t="s">
        <v>6271</v>
      </c>
      <c r="M30" s="393"/>
      <c r="N30" s="215">
        <f>INT(N29*10%)+1</f>
        <v>19383381</v>
      </c>
      <c r="O30" s="68" t="str">
        <f>E30</f>
        <v>5의 10%</v>
      </c>
      <c r="P30" s="335"/>
    </row>
    <row r="31" spans="1:18" ht="22.5" customHeight="1">
      <c r="A31" s="75">
        <v>7</v>
      </c>
      <c r="B31" s="401" t="s">
        <v>6273</v>
      </c>
      <c r="C31" s="402"/>
      <c r="D31" s="78">
        <f t="shared" si="0"/>
        <v>807042930</v>
      </c>
      <c r="E31" s="76"/>
      <c r="F31" s="75">
        <v>7</v>
      </c>
      <c r="G31" s="401" t="s">
        <v>6273</v>
      </c>
      <c r="H31" s="402"/>
      <c r="I31" s="216">
        <f>I29+I30</f>
        <v>593825740</v>
      </c>
      <c r="J31" s="76"/>
      <c r="K31" s="75">
        <v>7</v>
      </c>
      <c r="L31" s="401" t="s">
        <v>6273</v>
      </c>
      <c r="M31" s="402"/>
      <c r="N31" s="216">
        <f>N29+N30</f>
        <v>213217190</v>
      </c>
      <c r="O31" s="76"/>
      <c r="P31" s="335"/>
    </row>
    <row r="32" spans="1:18" ht="22.5" customHeight="1">
      <c r="A32" s="399" t="s">
        <v>6577</v>
      </c>
      <c r="B32" s="400"/>
      <c r="C32" s="400"/>
      <c r="D32" s="400"/>
      <c r="E32" s="400"/>
      <c r="F32" s="399"/>
      <c r="G32" s="400"/>
      <c r="H32" s="400"/>
      <c r="I32" s="400"/>
      <c r="J32" s="400"/>
      <c r="K32" s="399"/>
      <c r="L32" s="400"/>
      <c r="M32" s="400"/>
      <c r="N32" s="400"/>
      <c r="O32" s="400"/>
    </row>
    <row r="35" spans="8:11">
      <c r="I35" s="79" t="s">
        <v>6568</v>
      </c>
      <c r="J35" s="304" t="s">
        <v>6569</v>
      </c>
      <c r="K35" s="304" t="s">
        <v>6570</v>
      </c>
    </row>
    <row r="36" spans="8:11">
      <c r="H36" s="304" t="s">
        <v>6563</v>
      </c>
      <c r="I36" s="203">
        <f>'내역서(서부지사)-1차'!$F$6+'내역서(서부지사)-1차'!$H$6</f>
        <v>443377144</v>
      </c>
      <c r="J36" s="258">
        <f>I36/SUM($I$36:$I$39)</f>
        <v>0.4382825320690581</v>
      </c>
      <c r="K36" s="203">
        <f>ROUND(4325000*$J$36,0)</f>
        <v>1895572</v>
      </c>
    </row>
    <row r="37" spans="8:11">
      <c r="H37" s="304" t="s">
        <v>6564</v>
      </c>
      <c r="I37" s="203">
        <f>'내역서(서부지사)-2차'!$F$6+'내역서(서부지사)-2차'!$H$6</f>
        <v>0</v>
      </c>
      <c r="J37" s="258">
        <f t="shared" ref="J37:J39" si="3">I37/SUM($I$36:$I$39)</f>
        <v>0</v>
      </c>
      <c r="K37" s="203">
        <f>ROUND(4325000*$J$37,0)</f>
        <v>0</v>
      </c>
    </row>
    <row r="38" spans="8:11">
      <c r="H38" s="304" t="s">
        <v>6565</v>
      </c>
      <c r="I38" s="203">
        <f>'내역서(동부지사)-1차'!$F$6+'내역서(동부지사)-1차'!$H$6</f>
        <v>421960372</v>
      </c>
      <c r="J38" s="258">
        <f t="shared" si="3"/>
        <v>0.41711184885290725</v>
      </c>
      <c r="K38" s="203">
        <f>ROUND(4325000*$J$38,0)</f>
        <v>1804009</v>
      </c>
    </row>
    <row r="39" spans="8:11">
      <c r="H39" s="304" t="s">
        <v>6566</v>
      </c>
      <c r="I39" s="203">
        <f>'내역서(동부지사)-2차'!$F$6+'내역서(동부지사)-2차'!$H$6</f>
        <v>146286520</v>
      </c>
      <c r="J39" s="258">
        <f t="shared" si="3"/>
        <v>0.14460561907803463</v>
      </c>
      <c r="K39" s="203">
        <f>ROUND(4325000*$J$39,0)</f>
        <v>625419</v>
      </c>
    </row>
    <row r="41" spans="8:11">
      <c r="J41" s="304" t="s">
        <v>6571</v>
      </c>
      <c r="K41" s="91">
        <f>SUM(K36:K39)</f>
        <v>4325000</v>
      </c>
    </row>
  </sheetData>
  <mergeCells count="54">
    <mergeCell ref="A32:E32"/>
    <mergeCell ref="F32:J32"/>
    <mergeCell ref="K32:O32"/>
    <mergeCell ref="B30:C30"/>
    <mergeCell ref="G30:H30"/>
    <mergeCell ref="L30:M30"/>
    <mergeCell ref="B31:C31"/>
    <mergeCell ref="G31:H31"/>
    <mergeCell ref="L31:M31"/>
    <mergeCell ref="B28:C28"/>
    <mergeCell ref="G28:H28"/>
    <mergeCell ref="L28:M28"/>
    <mergeCell ref="B29:C29"/>
    <mergeCell ref="G29:H29"/>
    <mergeCell ref="L29:M29"/>
    <mergeCell ref="L25:M25"/>
    <mergeCell ref="B26:C26"/>
    <mergeCell ref="G26:H26"/>
    <mergeCell ref="L26:M26"/>
    <mergeCell ref="B27:C27"/>
    <mergeCell ref="G27:H27"/>
    <mergeCell ref="L27:M27"/>
    <mergeCell ref="K6:K25"/>
    <mergeCell ref="L6:L8"/>
    <mergeCell ref="B9:B11"/>
    <mergeCell ref="G9:G11"/>
    <mergeCell ref="L9:L11"/>
    <mergeCell ref="B12:B24"/>
    <mergeCell ref="G12:G24"/>
    <mergeCell ref="L12:L24"/>
    <mergeCell ref="G6:G8"/>
    <mergeCell ref="G25:H25"/>
    <mergeCell ref="A6:A25"/>
    <mergeCell ref="B6:B8"/>
    <mergeCell ref="F6:F25"/>
    <mergeCell ref="B25:C25"/>
    <mergeCell ref="O4:O5"/>
    <mergeCell ref="A3:C3"/>
    <mergeCell ref="F3:H3"/>
    <mergeCell ref="K3:M3"/>
    <mergeCell ref="A4:C5"/>
    <mergeCell ref="D4:D5"/>
    <mergeCell ref="E4:E5"/>
    <mergeCell ref="F4:H5"/>
    <mergeCell ref="I4:I5"/>
    <mergeCell ref="J4:J5"/>
    <mergeCell ref="K4:M5"/>
    <mergeCell ref="N4:N5"/>
    <mergeCell ref="A1:E1"/>
    <mergeCell ref="F1:J1"/>
    <mergeCell ref="K1:O1"/>
    <mergeCell ref="A2:E2"/>
    <mergeCell ref="F2:J2"/>
    <mergeCell ref="K2:O2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I32"/>
  <sheetViews>
    <sheetView view="pageBreakPreview" zoomScaleNormal="100" zoomScaleSheetLayoutView="100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C31" sqref="C31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F4" s="98" t="e">
        <f>TRUNC(F5,0)</f>
        <v>#REF!</v>
      </c>
      <c r="H4" s="98" t="e">
        <f>TRUNC(H5,0)</f>
        <v>#REF!</v>
      </c>
      <c r="J4" s="98" t="e">
        <f>TRUNC(J5,0)</f>
        <v>#REF!</v>
      </c>
      <c r="L4" s="98" t="e">
        <f>F4+H4+J4</f>
        <v>#REF!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98" t="e">
        <f>F9</f>
        <v>#REF!</v>
      </c>
      <c r="F5" s="98" t="e">
        <f>TRUNC(E5*C5,0)</f>
        <v>#REF!</v>
      </c>
      <c r="G5" s="98" t="e">
        <f>H9</f>
        <v>#REF!</v>
      </c>
      <c r="H5" s="98" t="e">
        <f>TRUNC(G5*C5,0)</f>
        <v>#REF!</v>
      </c>
      <c r="I5" s="98" t="e">
        <f>J9</f>
        <v>#REF!</v>
      </c>
      <c r="J5" s="98" t="e">
        <f>TRUNC(I5*C5,0)</f>
        <v>#REF!</v>
      </c>
      <c r="K5" s="98" t="e">
        <f>E5+G5+I5</f>
        <v>#REF!</v>
      </c>
      <c r="L5" s="98" t="e">
        <f>F5+H5+J5</f>
        <v>#REF!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95"/>
      <c r="F6" s="98" t="e">
        <f>TRUNC(F5,0)</f>
        <v>#REF!</v>
      </c>
      <c r="G6" s="95"/>
      <c r="H6" s="98" t="e">
        <f>TRUNC(H5,0)</f>
        <v>#REF!</v>
      </c>
      <c r="I6" s="95"/>
      <c r="J6" s="98" t="e">
        <f>TRUNC(J5,0)</f>
        <v>#REF!</v>
      </c>
      <c r="K6" s="98">
        <f>E6+G6+I6</f>
        <v>0</v>
      </c>
      <c r="L6" s="98" t="e">
        <f>F6+H6+J6</f>
        <v>#REF!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95"/>
      <c r="F7" s="98">
        <v>0</v>
      </c>
      <c r="G7" s="95"/>
      <c r="H7" s="98">
        <v>0</v>
      </c>
      <c r="I7" s="95"/>
      <c r="J7" s="98">
        <v>0</v>
      </c>
      <c r="K7" s="98">
        <f>E7+G7+I7</f>
        <v>0</v>
      </c>
      <c r="L7" s="98">
        <f>F7+H7+J7</f>
        <v>0</v>
      </c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</row>
    <row r="9" spans="1:61" ht="18.399999999999999" customHeight="1">
      <c r="A9" s="96" t="s">
        <v>5088</v>
      </c>
      <c r="B9" s="103" t="s">
        <v>6232</v>
      </c>
      <c r="C9" s="95">
        <v>1</v>
      </c>
      <c r="D9" s="97" t="s">
        <v>5012</v>
      </c>
      <c r="F9" s="98" t="e">
        <f>F26</f>
        <v>#REF!</v>
      </c>
      <c r="H9" s="98" t="e">
        <f>H26</f>
        <v>#REF!</v>
      </c>
      <c r="J9" s="98" t="e">
        <f>J26</f>
        <v>#REF!</v>
      </c>
      <c r="L9" s="98" t="e">
        <f>F9+H9+J9</f>
        <v>#REF!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95"/>
      <c r="F10" s="98">
        <v>0</v>
      </c>
      <c r="G10" s="95"/>
      <c r="H10" s="98">
        <v>0</v>
      </c>
      <c r="I10" s="95"/>
      <c r="J10" s="98">
        <v>0</v>
      </c>
      <c r="K10" s="98">
        <f t="shared" ref="K10:L27" si="0">E10+G10+I10</f>
        <v>0</v>
      </c>
      <c r="L10" s="98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1570</v>
      </c>
      <c r="C11" s="104" t="e">
        <f>수량집계!#REF!</f>
        <v>#REF!</v>
      </c>
      <c r="D11" s="95" t="s">
        <v>6293</v>
      </c>
      <c r="E11" s="98" t="e">
        <f>일위대가목록!#REF!</f>
        <v>#REF!</v>
      </c>
      <c r="F11" s="98" t="e">
        <f t="shared" ref="F11:F25" si="1">TRUNC(E11*C11,0)</f>
        <v>#REF!</v>
      </c>
      <c r="G11" s="98" t="e">
        <f>일위대가목록!#REF!</f>
        <v>#REF!</v>
      </c>
      <c r="H11" s="98" t="e">
        <f t="shared" ref="H11:H25" si="2">TRUNC(G11*C11,0)</f>
        <v>#REF!</v>
      </c>
      <c r="I11" s="98" t="e">
        <f>일위대가목록!#REF!</f>
        <v>#REF!</v>
      </c>
      <c r="J11" s="98" t="e">
        <f t="shared" ref="J11:J25" si="3">TRUNC(I11*C11,0)</f>
        <v>#REF!</v>
      </c>
      <c r="K11" s="98" t="e">
        <f t="shared" si="0"/>
        <v>#REF!</v>
      </c>
      <c r="L11" s="98" t="e">
        <f t="shared" si="0"/>
        <v>#REF!</v>
      </c>
      <c r="M11" s="99" t="s">
        <v>6304</v>
      </c>
      <c r="N11" s="55" t="s">
        <v>6232</v>
      </c>
      <c r="P11" s="55" t="s">
        <v>687</v>
      </c>
      <c r="Q11" s="55" t="s">
        <v>6232</v>
      </c>
      <c r="R11" s="55" t="s">
        <v>456</v>
      </c>
      <c r="T11" s="55" t="s">
        <v>3860</v>
      </c>
      <c r="BI11" s="100" t="str">
        <f>HYPERLINK("#일위대가목록!A608","SZD0001-100 →")</f>
        <v>SZD0001-100 →</v>
      </c>
    </row>
    <row r="12" spans="1:61" ht="18.399999999999999" customHeight="1">
      <c r="A12" s="96" t="s">
        <v>3784</v>
      </c>
      <c r="B12" s="103" t="s">
        <v>2531</v>
      </c>
      <c r="C12" s="104" t="e">
        <f>수량집계!#REF!</f>
        <v>#REF!</v>
      </c>
      <c r="D12" s="95" t="s">
        <v>6293</v>
      </c>
      <c r="E12" s="98" t="e">
        <f>일위대가목록!#REF!</f>
        <v>#REF!</v>
      </c>
      <c r="F12" s="98" t="e">
        <f t="shared" si="1"/>
        <v>#REF!</v>
      </c>
      <c r="G12" s="98" t="e">
        <f>일위대가목록!#REF!</f>
        <v>#REF!</v>
      </c>
      <c r="H12" s="98" t="e">
        <f t="shared" si="2"/>
        <v>#REF!</v>
      </c>
      <c r="I12" s="98" t="e">
        <f>일위대가목록!#REF!</f>
        <v>#REF!</v>
      </c>
      <c r="J12" s="98" t="e">
        <f t="shared" si="3"/>
        <v>#REF!</v>
      </c>
      <c r="K12" s="98" t="e">
        <f t="shared" si="0"/>
        <v>#REF!</v>
      </c>
      <c r="L12" s="98" t="e">
        <f t="shared" si="0"/>
        <v>#REF!</v>
      </c>
      <c r="M12" s="99" t="s">
        <v>6305</v>
      </c>
      <c r="N12" s="55" t="s">
        <v>6232</v>
      </c>
      <c r="P12" s="55" t="s">
        <v>272</v>
      </c>
      <c r="Q12" s="55" t="s">
        <v>6232</v>
      </c>
      <c r="R12" s="55" t="s">
        <v>739</v>
      </c>
      <c r="T12" s="55" t="s">
        <v>3860</v>
      </c>
      <c r="BI12" s="100" t="str">
        <f>HYPERLINK("#일위대가목록!A609","SZD0001-125 →")</f>
        <v>SZD0001-125 →</v>
      </c>
    </row>
    <row r="13" spans="1:61" ht="18.399999999999999" customHeight="1">
      <c r="A13" s="96" t="s">
        <v>3784</v>
      </c>
      <c r="B13" s="103" t="s">
        <v>4102</v>
      </c>
      <c r="C13" s="104" t="e">
        <f>수량집계!#REF!</f>
        <v>#REF!</v>
      </c>
      <c r="D13" s="95" t="s">
        <v>6293</v>
      </c>
      <c r="E13" s="98" t="e">
        <f>일위대가목록!#REF!</f>
        <v>#REF!</v>
      </c>
      <c r="F13" s="98" t="e">
        <f t="shared" si="1"/>
        <v>#REF!</v>
      </c>
      <c r="G13" s="98" t="e">
        <f>일위대가목록!#REF!</f>
        <v>#REF!</v>
      </c>
      <c r="H13" s="98" t="e">
        <f t="shared" si="2"/>
        <v>#REF!</v>
      </c>
      <c r="I13" s="98" t="e">
        <f>일위대가목록!#REF!</f>
        <v>#REF!</v>
      </c>
      <c r="J13" s="98" t="e">
        <f t="shared" si="3"/>
        <v>#REF!</v>
      </c>
      <c r="K13" s="98" t="e">
        <f t="shared" si="0"/>
        <v>#REF!</v>
      </c>
      <c r="L13" s="98" t="e">
        <f t="shared" si="0"/>
        <v>#REF!</v>
      </c>
      <c r="M13" s="99" t="s">
        <v>6306</v>
      </c>
      <c r="N13" s="55" t="s">
        <v>6232</v>
      </c>
      <c r="P13" s="55" t="s">
        <v>1856</v>
      </c>
      <c r="Q13" s="55" t="s">
        <v>6232</v>
      </c>
      <c r="R13" s="55" t="s">
        <v>2083</v>
      </c>
      <c r="T13" s="55" t="s">
        <v>3860</v>
      </c>
      <c r="BI13" s="100" t="str">
        <f>HYPERLINK("#일위대가목록!A610","SZD0001-150 →")</f>
        <v>SZD0001-150 →</v>
      </c>
    </row>
    <row r="14" spans="1:61" ht="18.399999999999999" customHeight="1">
      <c r="A14" s="96" t="s">
        <v>3784</v>
      </c>
      <c r="B14" s="103" t="s">
        <v>4184</v>
      </c>
      <c r="C14" s="104" t="e">
        <f>수량집계!#REF!</f>
        <v>#REF!</v>
      </c>
      <c r="D14" s="95" t="s">
        <v>6293</v>
      </c>
      <c r="E14" s="98" t="e">
        <f>일위대가목록!#REF!</f>
        <v>#REF!</v>
      </c>
      <c r="F14" s="98" t="e">
        <f t="shared" si="1"/>
        <v>#REF!</v>
      </c>
      <c r="G14" s="98" t="e">
        <f>일위대가목록!#REF!</f>
        <v>#REF!</v>
      </c>
      <c r="H14" s="98" t="e">
        <f t="shared" si="2"/>
        <v>#REF!</v>
      </c>
      <c r="I14" s="98" t="e">
        <f>일위대가목록!#REF!</f>
        <v>#REF!</v>
      </c>
      <c r="J14" s="98" t="e">
        <f t="shared" si="3"/>
        <v>#REF!</v>
      </c>
      <c r="K14" s="98" t="e">
        <f t="shared" si="0"/>
        <v>#REF!</v>
      </c>
      <c r="L14" s="98" t="e">
        <f t="shared" si="0"/>
        <v>#REF!</v>
      </c>
      <c r="M14" s="99" t="s">
        <v>6307</v>
      </c>
      <c r="N14" s="55" t="s">
        <v>6232</v>
      </c>
      <c r="P14" s="55" t="s">
        <v>3438</v>
      </c>
      <c r="Q14" s="55" t="s">
        <v>6232</v>
      </c>
      <c r="R14" s="55" t="s">
        <v>1776</v>
      </c>
      <c r="T14" s="55" t="s">
        <v>3860</v>
      </c>
      <c r="BI14" s="100" t="str">
        <f>HYPERLINK("#일위대가목록!A611","SZD0001-200 →")</f>
        <v>SZD0001-200 →</v>
      </c>
    </row>
    <row r="15" spans="1:61" ht="18.399999999999999" customHeight="1">
      <c r="A15" s="96" t="s">
        <v>3784</v>
      </c>
      <c r="B15" s="103" t="s">
        <v>1695</v>
      </c>
      <c r="C15" s="104" t="e">
        <f>수량집계!#REF!</f>
        <v>#REF!</v>
      </c>
      <c r="D15" s="95" t="s">
        <v>6293</v>
      </c>
      <c r="E15" s="98" t="e">
        <f>일위대가목록!#REF!</f>
        <v>#REF!</v>
      </c>
      <c r="F15" s="98" t="e">
        <f t="shared" si="1"/>
        <v>#REF!</v>
      </c>
      <c r="G15" s="98" t="e">
        <f>일위대가목록!#REF!</f>
        <v>#REF!</v>
      </c>
      <c r="H15" s="98" t="e">
        <f t="shared" si="2"/>
        <v>#REF!</v>
      </c>
      <c r="I15" s="98" t="e">
        <f>일위대가목록!#REF!</f>
        <v>#REF!</v>
      </c>
      <c r="J15" s="98" t="e">
        <f t="shared" si="3"/>
        <v>#REF!</v>
      </c>
      <c r="K15" s="98" t="e">
        <f t="shared" si="0"/>
        <v>#REF!</v>
      </c>
      <c r="L15" s="98" t="e">
        <f t="shared" si="0"/>
        <v>#REF!</v>
      </c>
      <c r="M15" s="99" t="s">
        <v>6308</v>
      </c>
      <c r="N15" s="55" t="s">
        <v>6232</v>
      </c>
      <c r="P15" s="55" t="s">
        <v>5024</v>
      </c>
      <c r="Q15" s="55" t="s">
        <v>6232</v>
      </c>
      <c r="R15" s="55" t="s">
        <v>343</v>
      </c>
      <c r="T15" s="55" t="s">
        <v>3860</v>
      </c>
      <c r="BI15" s="100" t="str">
        <f>HYPERLINK("#일위대가목록!A612","SZD0001-250 →")</f>
        <v>SZD0001-250 →</v>
      </c>
    </row>
    <row r="16" spans="1:61" ht="18.399999999999999" customHeight="1">
      <c r="A16" s="96" t="s">
        <v>3784</v>
      </c>
      <c r="B16" s="103" t="s">
        <v>4869</v>
      </c>
      <c r="C16" s="104" t="e">
        <f>수량집계!#REF!</f>
        <v>#REF!</v>
      </c>
      <c r="D16" s="95" t="s">
        <v>6293</v>
      </c>
      <c r="E16" s="98">
        <f>일위대가목록!F3</f>
        <v>10581357</v>
      </c>
      <c r="F16" s="98" t="e">
        <f t="shared" si="1"/>
        <v>#REF!</v>
      </c>
      <c r="G16" s="98">
        <f>일위대가목록!G3</f>
        <v>2096589</v>
      </c>
      <c r="H16" s="98" t="e">
        <f t="shared" si="2"/>
        <v>#REF!</v>
      </c>
      <c r="I16" s="98">
        <f>일위대가목록!H3</f>
        <v>699695</v>
      </c>
      <c r="J16" s="98" t="e">
        <f t="shared" si="3"/>
        <v>#REF!</v>
      </c>
      <c r="K16" s="98">
        <f>E16+G16+I16</f>
        <v>13377641</v>
      </c>
      <c r="L16" s="98" t="e">
        <f t="shared" si="0"/>
        <v>#REF!</v>
      </c>
      <c r="M16" s="99" t="s">
        <v>6309</v>
      </c>
      <c r="N16" s="55" t="s">
        <v>6232</v>
      </c>
      <c r="P16" s="55" t="s">
        <v>180</v>
      </c>
      <c r="Q16" s="55" t="s">
        <v>6232</v>
      </c>
      <c r="R16" s="55" t="s">
        <v>3028</v>
      </c>
      <c r="T16" s="55" t="s">
        <v>3860</v>
      </c>
      <c r="BI16" s="100" t="str">
        <f>HYPERLINK("#일위대가목록!A613","SZD0001-300 →")</f>
        <v>SZD0001-300 →</v>
      </c>
    </row>
    <row r="17" spans="1:61" ht="18.399999999999999" customHeight="1">
      <c r="A17" s="96" t="s">
        <v>3784</v>
      </c>
      <c r="B17" s="103" t="s">
        <v>808</v>
      </c>
      <c r="C17" s="104" t="e">
        <f>수량집계!#REF!</f>
        <v>#REF!</v>
      </c>
      <c r="D17" s="95" t="s">
        <v>6293</v>
      </c>
      <c r="E17" s="98" t="e">
        <f>일위대가목록!#REF!</f>
        <v>#REF!</v>
      </c>
      <c r="F17" s="98" t="e">
        <f t="shared" si="1"/>
        <v>#REF!</v>
      </c>
      <c r="G17" s="98" t="e">
        <f>일위대가목록!#REF!</f>
        <v>#REF!</v>
      </c>
      <c r="H17" s="98" t="e">
        <f t="shared" si="2"/>
        <v>#REF!</v>
      </c>
      <c r="I17" s="98" t="e">
        <f>일위대가목록!#REF!</f>
        <v>#REF!</v>
      </c>
      <c r="J17" s="98" t="e">
        <f t="shared" si="3"/>
        <v>#REF!</v>
      </c>
      <c r="K17" s="98" t="e">
        <f t="shared" si="0"/>
        <v>#REF!</v>
      </c>
      <c r="L17" s="98" t="e">
        <f t="shared" si="0"/>
        <v>#REF!</v>
      </c>
      <c r="M17" s="99" t="s">
        <v>6311</v>
      </c>
      <c r="N17" s="55" t="s">
        <v>6232</v>
      </c>
      <c r="P17" s="55" t="s">
        <v>1743</v>
      </c>
      <c r="Q17" s="55" t="s">
        <v>6232</v>
      </c>
      <c r="R17" s="55" t="s">
        <v>1336</v>
      </c>
      <c r="T17" s="55" t="s">
        <v>3860</v>
      </c>
      <c r="BI17" s="100" t="str">
        <f>HYPERLINK("#일위대가목록!A614","SZD0001-350 →")</f>
        <v>SZD0001-350 →</v>
      </c>
    </row>
    <row r="18" spans="1:61" ht="18.399999999999999" customHeight="1">
      <c r="A18" s="96" t="s">
        <v>3784</v>
      </c>
      <c r="B18" s="103" t="s">
        <v>2695</v>
      </c>
      <c r="C18" s="104" t="e">
        <f>수량집계!#REF!</f>
        <v>#REF!</v>
      </c>
      <c r="D18" s="95" t="s">
        <v>6293</v>
      </c>
      <c r="E18" s="98" t="e">
        <f>일위대가목록!#REF!</f>
        <v>#REF!</v>
      </c>
      <c r="F18" s="98" t="e">
        <f t="shared" si="1"/>
        <v>#REF!</v>
      </c>
      <c r="G18" s="98" t="e">
        <f>일위대가목록!#REF!</f>
        <v>#REF!</v>
      </c>
      <c r="H18" s="98" t="e">
        <f t="shared" si="2"/>
        <v>#REF!</v>
      </c>
      <c r="I18" s="98" t="e">
        <f>일위대가목록!#REF!</f>
        <v>#REF!</v>
      </c>
      <c r="J18" s="98" t="e">
        <f t="shared" si="3"/>
        <v>#REF!</v>
      </c>
      <c r="K18" s="98" t="e">
        <f t="shared" si="0"/>
        <v>#REF!</v>
      </c>
      <c r="L18" s="98" t="e">
        <f t="shared" si="0"/>
        <v>#REF!</v>
      </c>
      <c r="M18" s="99" t="s">
        <v>6312</v>
      </c>
      <c r="N18" s="55" t="s">
        <v>6232</v>
      </c>
      <c r="P18" s="55" t="s">
        <v>3344</v>
      </c>
      <c r="Q18" s="55" t="s">
        <v>6232</v>
      </c>
      <c r="R18" s="55" t="s">
        <v>6043</v>
      </c>
      <c r="T18" s="55" t="s">
        <v>3860</v>
      </c>
      <c r="BI18" s="100" t="str">
        <f>HYPERLINK("#일위대가목록!A615","SZD0001-400 →")</f>
        <v>SZD0001-400 →</v>
      </c>
    </row>
    <row r="19" spans="1:61" ht="18.399999999999999" customHeight="1">
      <c r="A19" s="96" t="s">
        <v>3784</v>
      </c>
      <c r="B19" s="103" t="s">
        <v>3762</v>
      </c>
      <c r="C19" s="104" t="e">
        <f>수량집계!#REF!</f>
        <v>#REF!</v>
      </c>
      <c r="D19" s="95" t="s">
        <v>6293</v>
      </c>
      <c r="E19" s="98">
        <f>일위대가목록!F4</f>
        <v>20995856</v>
      </c>
      <c r="F19" s="98" t="e">
        <f t="shared" si="1"/>
        <v>#REF!</v>
      </c>
      <c r="G19" s="98">
        <f>일위대가목록!G4</f>
        <v>2897828</v>
      </c>
      <c r="H19" s="98" t="e">
        <f t="shared" si="2"/>
        <v>#REF!</v>
      </c>
      <c r="I19" s="98">
        <f>일위대가목록!H4</f>
        <v>783296</v>
      </c>
      <c r="J19" s="98" t="e">
        <f t="shared" si="3"/>
        <v>#REF!</v>
      </c>
      <c r="K19" s="98">
        <f t="shared" si="0"/>
        <v>24676980</v>
      </c>
      <c r="L19" s="98" t="e">
        <f t="shared" si="0"/>
        <v>#REF!</v>
      </c>
      <c r="M19" s="99" t="s">
        <v>6313</v>
      </c>
      <c r="N19" s="55" t="s">
        <v>6232</v>
      </c>
      <c r="P19" s="55" t="s">
        <v>4925</v>
      </c>
      <c r="Q19" s="55" t="s">
        <v>6232</v>
      </c>
      <c r="R19" s="55" t="s">
        <v>4570</v>
      </c>
      <c r="T19" s="55" t="s">
        <v>3860</v>
      </c>
      <c r="BI19" s="100" t="str">
        <f>HYPERLINK("#일위대가목록!A616","SZD0001-450 →")</f>
        <v>SZD0001-450 →</v>
      </c>
    </row>
    <row r="20" spans="1:61" ht="18.399999999999999" customHeight="1">
      <c r="A20" s="96" t="s">
        <v>3784</v>
      </c>
      <c r="B20" s="103" t="s">
        <v>512</v>
      </c>
      <c r="C20" s="104" t="e">
        <f>수량집계!#REF!</f>
        <v>#REF!</v>
      </c>
      <c r="D20" s="95" t="s">
        <v>6293</v>
      </c>
      <c r="E20" s="98" t="e">
        <f>일위대가목록!#REF!</f>
        <v>#REF!</v>
      </c>
      <c r="F20" s="98" t="e">
        <f t="shared" si="1"/>
        <v>#REF!</v>
      </c>
      <c r="G20" s="98" t="e">
        <f>일위대가목록!#REF!</f>
        <v>#REF!</v>
      </c>
      <c r="H20" s="98" t="e">
        <f t="shared" si="2"/>
        <v>#REF!</v>
      </c>
      <c r="I20" s="98" t="e">
        <f>일위대가목록!#REF!</f>
        <v>#REF!</v>
      </c>
      <c r="J20" s="98" t="e">
        <f t="shared" si="3"/>
        <v>#REF!</v>
      </c>
      <c r="K20" s="98" t="e">
        <f t="shared" si="0"/>
        <v>#REF!</v>
      </c>
      <c r="L20" s="98" t="e">
        <f t="shared" si="0"/>
        <v>#REF!</v>
      </c>
      <c r="M20" s="99" t="s">
        <v>6315</v>
      </c>
      <c r="N20" s="55" t="s">
        <v>6232</v>
      </c>
      <c r="P20" s="55" t="s">
        <v>91</v>
      </c>
      <c r="Q20" s="55" t="s">
        <v>6232</v>
      </c>
      <c r="R20" s="55" t="s">
        <v>5023</v>
      </c>
      <c r="T20" s="55" t="s">
        <v>3860</v>
      </c>
      <c r="BI20" s="100" t="str">
        <f>HYPERLINK("#일위대가목록!A617","SZD0001-500 →")</f>
        <v>SZD0001-500 →</v>
      </c>
    </row>
    <row r="21" spans="1:61" ht="18.399999999999999" customHeight="1">
      <c r="A21" s="96" t="s">
        <v>3784</v>
      </c>
      <c r="B21" s="103" t="s">
        <v>6186</v>
      </c>
      <c r="C21" s="104" t="e">
        <f>수량집계!#REF!</f>
        <v>#REF!</v>
      </c>
      <c r="D21" s="95" t="s">
        <v>6293</v>
      </c>
      <c r="E21" s="98" t="e">
        <f>일위대가목록!#REF!</f>
        <v>#REF!</v>
      </c>
      <c r="F21" s="98" t="e">
        <f t="shared" si="1"/>
        <v>#REF!</v>
      </c>
      <c r="G21" s="98" t="e">
        <f>일위대가목록!#REF!</f>
        <v>#REF!</v>
      </c>
      <c r="H21" s="98" t="e">
        <f t="shared" si="2"/>
        <v>#REF!</v>
      </c>
      <c r="I21" s="98" t="e">
        <f>일위대가목록!#REF!</f>
        <v>#REF!</v>
      </c>
      <c r="J21" s="98" t="e">
        <f t="shared" si="3"/>
        <v>#REF!</v>
      </c>
      <c r="K21" s="98" t="e">
        <f t="shared" si="0"/>
        <v>#REF!</v>
      </c>
      <c r="L21" s="98" t="e">
        <f t="shared" si="0"/>
        <v>#REF!</v>
      </c>
      <c r="M21" s="99" t="s">
        <v>6316</v>
      </c>
      <c r="N21" s="55" t="s">
        <v>6232</v>
      </c>
      <c r="P21" s="55" t="s">
        <v>1649</v>
      </c>
      <c r="Q21" s="55" t="s">
        <v>6232</v>
      </c>
      <c r="R21" s="55" t="s">
        <v>3346</v>
      </c>
      <c r="T21" s="55" t="s">
        <v>3860</v>
      </c>
      <c r="BI21" s="100" t="str">
        <f>HYPERLINK("#일위대가목록!A618","SZD0001-550 →")</f>
        <v>SZD0001-550 →</v>
      </c>
    </row>
    <row r="22" spans="1:61" ht="18.399999999999999" customHeight="1">
      <c r="A22" s="96" t="s">
        <v>3784</v>
      </c>
      <c r="B22" s="103" t="s">
        <v>6103</v>
      </c>
      <c r="C22" s="104" t="e">
        <f>수량집계!#REF!</f>
        <v>#REF!</v>
      </c>
      <c r="D22" s="95" t="s">
        <v>6293</v>
      </c>
      <c r="E22" s="98">
        <f>일위대가목록!F5</f>
        <v>32245254</v>
      </c>
      <c r="F22" s="98" t="e">
        <f t="shared" si="1"/>
        <v>#REF!</v>
      </c>
      <c r="G22" s="98">
        <f>일위대가목록!G5</f>
        <v>3903873</v>
      </c>
      <c r="H22" s="98" t="e">
        <f t="shared" si="2"/>
        <v>#REF!</v>
      </c>
      <c r="I22" s="98">
        <f>일위대가목록!H5</f>
        <v>794083</v>
      </c>
      <c r="J22" s="98" t="e">
        <f t="shared" si="3"/>
        <v>#REF!</v>
      </c>
      <c r="K22" s="98">
        <f t="shared" si="0"/>
        <v>36943210</v>
      </c>
      <c r="L22" s="98" t="e">
        <f t="shared" si="0"/>
        <v>#REF!</v>
      </c>
      <c r="M22" s="99" t="s">
        <v>6317</v>
      </c>
      <c r="N22" s="55" t="s">
        <v>6232</v>
      </c>
      <c r="P22" s="55" t="s">
        <v>1430</v>
      </c>
      <c r="Q22" s="55" t="s">
        <v>6232</v>
      </c>
      <c r="R22" s="55" t="s">
        <v>3643</v>
      </c>
      <c r="T22" s="55" t="s">
        <v>3860</v>
      </c>
      <c r="BI22" s="100" t="str">
        <f>HYPERLINK("#일위대가목록!A619","SZD0001-600 →")</f>
        <v>SZD0001-600 →</v>
      </c>
    </row>
    <row r="23" spans="1:61" ht="18.399999999999999" customHeight="1">
      <c r="A23" s="96" t="s">
        <v>3784</v>
      </c>
      <c r="B23" s="103" t="s">
        <v>369</v>
      </c>
      <c r="C23" s="104" t="e">
        <f>수량집계!#REF!</f>
        <v>#REF!</v>
      </c>
      <c r="D23" s="95" t="s">
        <v>6293</v>
      </c>
      <c r="E23" s="98">
        <f>일위대가목록!F6</f>
        <v>34401427</v>
      </c>
      <c r="F23" s="98" t="e">
        <f t="shared" si="1"/>
        <v>#REF!</v>
      </c>
      <c r="G23" s="98">
        <f>일위대가목록!G6</f>
        <v>4144605</v>
      </c>
      <c r="H23" s="98" t="e">
        <f t="shared" si="2"/>
        <v>#REF!</v>
      </c>
      <c r="I23" s="98">
        <f>일위대가목록!H6</f>
        <v>796319</v>
      </c>
      <c r="J23" s="98" t="e">
        <f t="shared" si="3"/>
        <v>#REF!</v>
      </c>
      <c r="K23" s="98">
        <f t="shared" si="0"/>
        <v>39342351</v>
      </c>
      <c r="L23" s="98" t="e">
        <f t="shared" si="0"/>
        <v>#REF!</v>
      </c>
      <c r="M23" s="99" t="s">
        <v>6319</v>
      </c>
      <c r="N23" s="55" t="s">
        <v>6232</v>
      </c>
      <c r="P23" s="55" t="s">
        <v>2941</v>
      </c>
      <c r="Q23" s="55" t="s">
        <v>6232</v>
      </c>
      <c r="R23" s="55" t="s">
        <v>5128</v>
      </c>
      <c r="T23" s="55" t="s">
        <v>3860</v>
      </c>
      <c r="BI23" s="100" t="str">
        <f>HYPERLINK("#일위대가목록!A620","SZD0001-650 →")</f>
        <v>SZD0001-650 →</v>
      </c>
    </row>
    <row r="24" spans="1:61" ht="18.399999999999999" customHeight="1">
      <c r="A24" s="96" t="s">
        <v>3784</v>
      </c>
      <c r="B24" s="103" t="s">
        <v>3821</v>
      </c>
      <c r="C24" s="104" t="e">
        <f>수량집계!#REF!</f>
        <v>#REF!</v>
      </c>
      <c r="D24" s="95" t="s">
        <v>6293</v>
      </c>
      <c r="E24" s="98">
        <f>일위대가목록!F7</f>
        <v>38234376</v>
      </c>
      <c r="F24" s="98" t="e">
        <f t="shared" si="1"/>
        <v>#REF!</v>
      </c>
      <c r="G24" s="98">
        <f>일위대가목록!G7</f>
        <v>4376697</v>
      </c>
      <c r="H24" s="98" t="e">
        <f t="shared" si="2"/>
        <v>#REF!</v>
      </c>
      <c r="I24" s="98">
        <f>일위대가목록!H7</f>
        <v>841347</v>
      </c>
      <c r="J24" s="98" t="e">
        <f t="shared" si="3"/>
        <v>#REF!</v>
      </c>
      <c r="K24" s="98">
        <f t="shared" si="0"/>
        <v>43452420</v>
      </c>
      <c r="L24" s="98" t="e">
        <f t="shared" si="0"/>
        <v>#REF!</v>
      </c>
      <c r="M24" s="99" t="s">
        <v>6321</v>
      </c>
      <c r="N24" s="55" t="s">
        <v>6232</v>
      </c>
      <c r="P24" s="55" t="s">
        <v>4497</v>
      </c>
      <c r="Q24" s="55" t="s">
        <v>6232</v>
      </c>
      <c r="R24" s="55" t="s">
        <v>3911</v>
      </c>
      <c r="T24" s="55" t="s">
        <v>3860</v>
      </c>
      <c r="BI24" s="100" t="str">
        <f>HYPERLINK("#일위대가목록!A621","SZD0001-700 →")</f>
        <v>SZD0001-700 →</v>
      </c>
    </row>
    <row r="25" spans="1:61" ht="18.399999999999999" customHeight="1">
      <c r="A25" s="96" t="s">
        <v>3784</v>
      </c>
      <c r="B25" s="103" t="s">
        <v>2812</v>
      </c>
      <c r="C25" s="104" t="e">
        <f>수량집계!#REF!</f>
        <v>#REF!</v>
      </c>
      <c r="D25" s="95" t="s">
        <v>6293</v>
      </c>
      <c r="E25" s="98">
        <f>일위대가목록!F8</f>
        <v>44056471</v>
      </c>
      <c r="F25" s="98" t="e">
        <f t="shared" si="1"/>
        <v>#REF!</v>
      </c>
      <c r="G25" s="98">
        <f>일위대가목록!G8</f>
        <v>4609505</v>
      </c>
      <c r="H25" s="98" t="e">
        <f t="shared" si="2"/>
        <v>#REF!</v>
      </c>
      <c r="I25" s="98">
        <f>일위대가목록!H8</f>
        <v>843446</v>
      </c>
      <c r="J25" s="98" t="e">
        <f t="shared" si="3"/>
        <v>#REF!</v>
      </c>
      <c r="K25" s="98">
        <f t="shared" si="0"/>
        <v>49509422</v>
      </c>
      <c r="L25" s="98" t="e">
        <f t="shared" si="0"/>
        <v>#REF!</v>
      </c>
      <c r="M25" s="99" t="s">
        <v>6323</v>
      </c>
      <c r="N25" s="55" t="s">
        <v>6232</v>
      </c>
      <c r="P25" s="55" t="s">
        <v>6047</v>
      </c>
      <c r="Q25" s="55" t="s">
        <v>6232</v>
      </c>
      <c r="R25" s="55" t="s">
        <v>5550</v>
      </c>
      <c r="T25" s="55" t="s">
        <v>3860</v>
      </c>
      <c r="BI25" s="100" t="str">
        <f>HYPERLINK("#일위대가목록!A622","SZD0001-750 →")</f>
        <v>SZD0001-750 →</v>
      </c>
    </row>
    <row r="26" spans="1:61" ht="18.399999999999999" customHeight="1">
      <c r="A26" s="96" t="s">
        <v>6294</v>
      </c>
      <c r="B26" s="103" t="s">
        <v>6232</v>
      </c>
      <c r="C26" s="104"/>
      <c r="D26" s="97" t="s">
        <v>6232</v>
      </c>
      <c r="E26" s="95"/>
      <c r="F26" s="98" t="e">
        <f>TRUNC(F25+F24+F23+F22+F21+F20+F19+F18+F17+F16+F15+F14+F13+F12+F11,0)</f>
        <v>#REF!</v>
      </c>
      <c r="G26" s="95"/>
      <c r="H26" s="98" t="e">
        <f>TRUNC(H25+H24+H23+H22+H21+H20+H19+H18+H17+H16+H15+H14+H13+H12+H11,0)</f>
        <v>#REF!</v>
      </c>
      <c r="I26" s="95"/>
      <c r="J26" s="98" t="e">
        <f>TRUNC(J25+J24+J23+J22+J21+J20+J19+J18+J17+J16+J15+J14+J13+J12+J11,0)</f>
        <v>#REF!</v>
      </c>
      <c r="K26" s="98">
        <f t="shared" si="0"/>
        <v>0</v>
      </c>
      <c r="L26" s="98" t="e">
        <f t="shared" si="0"/>
        <v>#REF!</v>
      </c>
      <c r="M26" s="99" t="s">
        <v>6232</v>
      </c>
      <c r="N26" s="55" t="s">
        <v>6232</v>
      </c>
      <c r="P26" s="55" t="s">
        <v>1505</v>
      </c>
      <c r="Q26" s="55" t="s">
        <v>6232</v>
      </c>
      <c r="R26" s="55" t="s">
        <v>6232</v>
      </c>
    </row>
    <row r="27" spans="1:61" ht="18.399999999999999" customHeight="1">
      <c r="A27" s="96" t="s">
        <v>2495</v>
      </c>
      <c r="B27" s="105" t="s">
        <v>6232</v>
      </c>
      <c r="C27" s="104"/>
      <c r="D27" s="97" t="s">
        <v>6232</v>
      </c>
      <c r="E27" s="95"/>
      <c r="F27" s="98">
        <v>0</v>
      </c>
      <c r="G27" s="95"/>
      <c r="H27" s="98">
        <v>0</v>
      </c>
      <c r="I27" s="95"/>
      <c r="J27" s="98">
        <v>0</v>
      </c>
      <c r="K27" s="98">
        <f t="shared" si="0"/>
        <v>0</v>
      </c>
      <c r="L27" s="98">
        <f t="shared" si="0"/>
        <v>0</v>
      </c>
      <c r="M27" s="99" t="s">
        <v>6232</v>
      </c>
      <c r="N27" s="55" t="s">
        <v>6232</v>
      </c>
      <c r="P27" s="55" t="s">
        <v>3038</v>
      </c>
      <c r="Q27" s="55" t="s">
        <v>6232</v>
      </c>
      <c r="R27" s="55" t="s">
        <v>6232</v>
      </c>
    </row>
    <row r="28" spans="1:61" ht="18.399999999999999" customHeight="1">
      <c r="A28" s="96" t="s">
        <v>2495</v>
      </c>
      <c r="B28" s="106" t="s">
        <v>6232</v>
      </c>
      <c r="C28" s="104"/>
      <c r="D28" s="97" t="s">
        <v>6232</v>
      </c>
      <c r="E28" s="95"/>
      <c r="F28" s="98">
        <v>0</v>
      </c>
      <c r="G28" s="95"/>
      <c r="H28" s="98">
        <v>0</v>
      </c>
      <c r="I28" s="95"/>
      <c r="J28" s="98">
        <v>0</v>
      </c>
      <c r="K28" s="98">
        <f>E28+G28+I28</f>
        <v>0</v>
      </c>
      <c r="L28" s="98">
        <f>F28+H28+J28</f>
        <v>0</v>
      </c>
      <c r="M28" s="99" t="s">
        <v>6232</v>
      </c>
      <c r="N28" s="55" t="s">
        <v>6232</v>
      </c>
      <c r="P28" s="55" t="s">
        <v>696</v>
      </c>
      <c r="Q28" s="55" t="s">
        <v>6232</v>
      </c>
      <c r="R28" s="55" t="s">
        <v>6232</v>
      </c>
    </row>
    <row r="29" spans="1:61" ht="18.399999999999999" customHeight="1">
      <c r="A29" s="96" t="s">
        <v>5674</v>
      </c>
      <c r="B29" s="105"/>
      <c r="C29" s="104"/>
      <c r="D29" s="97"/>
      <c r="E29" s="95"/>
      <c r="F29" s="98"/>
      <c r="G29" s="95"/>
      <c r="H29" s="98"/>
      <c r="I29" s="95"/>
      <c r="J29" s="98"/>
      <c r="K29" s="98"/>
      <c r="L29" s="98"/>
      <c r="M29" s="99"/>
    </row>
    <row r="30" spans="1:61" ht="18.399999999999999" customHeight="1">
      <c r="A30" s="96" t="s">
        <v>5289</v>
      </c>
      <c r="B30" s="106"/>
      <c r="C30" s="104">
        <f>0</f>
        <v>0</v>
      </c>
      <c r="D30" s="95" t="s">
        <v>6295</v>
      </c>
      <c r="E30" s="98"/>
      <c r="F30" s="98">
        <f>TRUNC(E30*C30,0)</f>
        <v>0</v>
      </c>
      <c r="G30" s="98">
        <f>[2]노임!D5</f>
        <v>262551</v>
      </c>
      <c r="H30" s="98">
        <f>TRUNC(G30*C30,0)</f>
        <v>0</v>
      </c>
      <c r="I30" s="98"/>
      <c r="J30" s="98">
        <f>TRUNC(I30*C30,0)</f>
        <v>0</v>
      </c>
      <c r="K30" s="98">
        <f>E30+G30+I30</f>
        <v>262551</v>
      </c>
      <c r="L30" s="98">
        <f>F30+H30+J30</f>
        <v>0</v>
      </c>
      <c r="M30" s="99" t="s">
        <v>6232</v>
      </c>
      <c r="N30" s="55" t="s">
        <v>6232</v>
      </c>
      <c r="P30" s="55" t="s">
        <v>2367</v>
      </c>
      <c r="Q30" s="55" t="s">
        <v>6232</v>
      </c>
      <c r="R30" s="55" t="s">
        <v>6232</v>
      </c>
    </row>
    <row r="31" spans="1:61" ht="18.399999999999999" customHeight="1" thickBot="1">
      <c r="A31" s="107"/>
      <c r="B31" s="108"/>
      <c r="C31" s="108"/>
      <c r="D31" s="109"/>
      <c r="E31" s="109"/>
      <c r="F31" s="109"/>
      <c r="G31" s="109"/>
      <c r="H31" s="109"/>
      <c r="I31" s="109"/>
      <c r="J31" s="109"/>
      <c r="K31" s="109"/>
      <c r="L31" s="109"/>
      <c r="M31" s="110"/>
    </row>
    <row r="32" spans="1:61" ht="18.399999999999999" customHeight="1">
      <c r="B32" s="111"/>
      <c r="C3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1" bottom="0.59055118110236215" header="0.5" footer="0.5"/>
  <pageSetup paperSize="9" scale="86" orientation="landscape" r:id="rId1"/>
  <headerFooter alignWithMargins="0">
    <oddHeader>&amp;RPage : &amp;P/&amp;N</oddHeader>
  </headerFooter>
  <colBreaks count="2" manualBreakCount="2">
    <brk id="13" max="30" man="1"/>
    <brk id="59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I22"/>
  <sheetViews>
    <sheetView view="pageBreakPreview" zoomScale="115" zoomScaleNormal="100" zoomScaleSheetLayoutView="115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G11" sqref="G11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F4" s="98">
        <f>TRUNC(F5,0)</f>
        <v>378656154</v>
      </c>
      <c r="H4" s="98">
        <f>TRUNC(H5,0)</f>
        <v>43304218</v>
      </c>
      <c r="J4" s="98">
        <f>TRUNC(J5,0)</f>
        <v>8237556</v>
      </c>
      <c r="L4" s="98">
        <f>F4+H4+J4</f>
        <v>430197928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98">
        <f>F9</f>
        <v>378656154</v>
      </c>
      <c r="F5" s="98">
        <f>TRUNC(E5*C5,0)</f>
        <v>378656154</v>
      </c>
      <c r="G5" s="98">
        <f>H9</f>
        <v>43304218</v>
      </c>
      <c r="H5" s="98">
        <f>TRUNC(G5*C5,0)</f>
        <v>43304218</v>
      </c>
      <c r="I5" s="98">
        <f>J9</f>
        <v>8237556</v>
      </c>
      <c r="J5" s="98">
        <f>TRUNC(I5*C5,0)</f>
        <v>8237556</v>
      </c>
      <c r="K5" s="98">
        <f>E5+G5+I5</f>
        <v>430197928</v>
      </c>
      <c r="L5" s="98">
        <f>F5+H5+J5</f>
        <v>430197928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95"/>
      <c r="F6" s="98">
        <f>TRUNC(F5,0)</f>
        <v>378656154</v>
      </c>
      <c r="G6" s="95"/>
      <c r="H6" s="98">
        <f>TRUNC(H5,0)</f>
        <v>43304218</v>
      </c>
      <c r="I6" s="95"/>
      <c r="J6" s="98">
        <f>TRUNC(J5,0)</f>
        <v>8237556</v>
      </c>
      <c r="K6" s="98">
        <f>E6+G6+I6</f>
        <v>0</v>
      </c>
      <c r="L6" s="98">
        <f>F6+H6+J6</f>
        <v>430197928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95"/>
      <c r="F7" s="98">
        <v>0</v>
      </c>
      <c r="G7" s="95"/>
      <c r="H7" s="98">
        <v>0</v>
      </c>
      <c r="I7" s="95"/>
      <c r="J7" s="98">
        <v>0</v>
      </c>
      <c r="K7" s="98">
        <f>E7+G7+I7</f>
        <v>0</v>
      </c>
      <c r="L7" s="98">
        <f>F7+H7+J7</f>
        <v>0</v>
      </c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</row>
    <row r="9" spans="1:61" ht="18.399999999999999" customHeight="1">
      <c r="A9" s="96" t="s">
        <v>5088</v>
      </c>
      <c r="B9" s="103" t="s">
        <v>6232</v>
      </c>
      <c r="C9" s="95">
        <v>1</v>
      </c>
      <c r="D9" s="97" t="s">
        <v>5012</v>
      </c>
      <c r="F9" s="98">
        <f>F17</f>
        <v>378656154</v>
      </c>
      <c r="H9" s="98">
        <f>H17</f>
        <v>43304218</v>
      </c>
      <c r="J9" s="98">
        <f>J17</f>
        <v>8237556</v>
      </c>
      <c r="L9" s="98">
        <f>F9+H9+J9</f>
        <v>430197928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95"/>
      <c r="F10" s="98">
        <v>0</v>
      </c>
      <c r="G10" s="95"/>
      <c r="H10" s="98">
        <v>0</v>
      </c>
      <c r="I10" s="95"/>
      <c r="J10" s="98">
        <v>0</v>
      </c>
      <c r="K10" s="98">
        <f t="shared" ref="K10:L18" si="0">E10+G10+I10</f>
        <v>0</v>
      </c>
      <c r="L10" s="98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4869</v>
      </c>
      <c r="C11" s="104">
        <f>수량집계!F6</f>
        <v>0</v>
      </c>
      <c r="D11" s="95" t="s">
        <v>6293</v>
      </c>
      <c r="E11" s="98">
        <f>일위대가목록!F3</f>
        <v>10581357</v>
      </c>
      <c r="F11" s="98">
        <f t="shared" ref="F11:F16" si="1">TRUNC(E11*C11,0)</f>
        <v>0</v>
      </c>
      <c r="G11" s="98">
        <f>일위대가목록!G3</f>
        <v>2096589</v>
      </c>
      <c r="H11" s="98">
        <f t="shared" ref="H11:H16" si="2">TRUNC(G11*C11,0)</f>
        <v>0</v>
      </c>
      <c r="I11" s="98">
        <f>일위대가목록!H3</f>
        <v>699695</v>
      </c>
      <c r="J11" s="98">
        <f t="shared" ref="J11:J16" si="3">TRUNC(I11*C11,0)</f>
        <v>0</v>
      </c>
      <c r="K11" s="98">
        <f>E11+G11+I11</f>
        <v>13377641</v>
      </c>
      <c r="L11" s="98">
        <f t="shared" si="0"/>
        <v>0</v>
      </c>
      <c r="M11" s="99" t="s">
        <v>6309</v>
      </c>
      <c r="N11" s="55" t="s">
        <v>6232</v>
      </c>
      <c r="P11" s="55" t="s">
        <v>180</v>
      </c>
      <c r="Q11" s="55" t="s">
        <v>6232</v>
      </c>
      <c r="R11" s="55" t="s">
        <v>3028</v>
      </c>
      <c r="T11" s="55" t="s">
        <v>3860</v>
      </c>
      <c r="BI11" s="100" t="str">
        <f>HYPERLINK("#일위대가목록!A613","SZD0001-300 →")</f>
        <v>SZD0001-300 →</v>
      </c>
    </row>
    <row r="12" spans="1:61" ht="18.399999999999999" customHeight="1">
      <c r="A12" s="96" t="s">
        <v>3784</v>
      </c>
      <c r="B12" s="103" t="s">
        <v>3762</v>
      </c>
      <c r="C12" s="104">
        <f>수량집계!F7</f>
        <v>0</v>
      </c>
      <c r="D12" s="95" t="s">
        <v>6293</v>
      </c>
      <c r="E12" s="98">
        <f>일위대가목록!F4</f>
        <v>20995856</v>
      </c>
      <c r="F12" s="98">
        <f t="shared" si="1"/>
        <v>0</v>
      </c>
      <c r="G12" s="98">
        <f>일위대가목록!G4</f>
        <v>2897828</v>
      </c>
      <c r="H12" s="98">
        <f t="shared" si="2"/>
        <v>0</v>
      </c>
      <c r="I12" s="98">
        <f>일위대가목록!H4</f>
        <v>783296</v>
      </c>
      <c r="J12" s="98">
        <f t="shared" si="3"/>
        <v>0</v>
      </c>
      <c r="K12" s="98">
        <f t="shared" si="0"/>
        <v>24676980</v>
      </c>
      <c r="L12" s="98">
        <f t="shared" si="0"/>
        <v>0</v>
      </c>
      <c r="M12" s="99" t="s">
        <v>6313</v>
      </c>
      <c r="N12" s="55" t="s">
        <v>6232</v>
      </c>
      <c r="P12" s="55" t="s">
        <v>4925</v>
      </c>
      <c r="Q12" s="55" t="s">
        <v>6232</v>
      </c>
      <c r="R12" s="55" t="s">
        <v>4570</v>
      </c>
      <c r="T12" s="55" t="s">
        <v>3860</v>
      </c>
      <c r="BI12" s="100" t="str">
        <f>HYPERLINK("#일위대가목록!A616","SZD0001-450 →")</f>
        <v>SZD0001-450 →</v>
      </c>
    </row>
    <row r="13" spans="1:61" ht="18.399999999999999" customHeight="1">
      <c r="A13" s="96" t="s">
        <v>3784</v>
      </c>
      <c r="B13" s="103" t="s">
        <v>6103</v>
      </c>
      <c r="C13" s="104">
        <f>수량집계!F8</f>
        <v>0</v>
      </c>
      <c r="D13" s="95" t="s">
        <v>6293</v>
      </c>
      <c r="E13" s="98">
        <f>일위대가목록!F5</f>
        <v>32245254</v>
      </c>
      <c r="F13" s="98">
        <f t="shared" si="1"/>
        <v>0</v>
      </c>
      <c r="G13" s="98">
        <f>일위대가목록!G5</f>
        <v>3903873</v>
      </c>
      <c r="H13" s="98">
        <f t="shared" si="2"/>
        <v>0</v>
      </c>
      <c r="I13" s="98">
        <f>일위대가목록!H5</f>
        <v>794083</v>
      </c>
      <c r="J13" s="98">
        <f t="shared" si="3"/>
        <v>0</v>
      </c>
      <c r="K13" s="98">
        <f t="shared" si="0"/>
        <v>36943210</v>
      </c>
      <c r="L13" s="98">
        <f t="shared" si="0"/>
        <v>0</v>
      </c>
      <c r="M13" s="99" t="s">
        <v>6317</v>
      </c>
      <c r="N13" s="55" t="s">
        <v>6232</v>
      </c>
      <c r="P13" s="55" t="s">
        <v>1430</v>
      </c>
      <c r="Q13" s="55" t="s">
        <v>6232</v>
      </c>
      <c r="R13" s="55" t="s">
        <v>3643</v>
      </c>
      <c r="T13" s="55" t="s">
        <v>3860</v>
      </c>
      <c r="BI13" s="100" t="str">
        <f>HYPERLINK("#일위대가목록!A619","SZD0001-600 →")</f>
        <v>SZD0001-600 →</v>
      </c>
    </row>
    <row r="14" spans="1:61" ht="18.399999999999999" customHeight="1">
      <c r="A14" s="96" t="s">
        <v>3784</v>
      </c>
      <c r="B14" s="103" t="s">
        <v>369</v>
      </c>
      <c r="C14" s="104">
        <f>수량집계!F9</f>
        <v>4</v>
      </c>
      <c r="D14" s="95" t="s">
        <v>6293</v>
      </c>
      <c r="E14" s="98">
        <f>일위대가목록!F6</f>
        <v>34401427</v>
      </c>
      <c r="F14" s="98">
        <f t="shared" si="1"/>
        <v>137605708</v>
      </c>
      <c r="G14" s="98">
        <f>일위대가목록!G6</f>
        <v>4144605</v>
      </c>
      <c r="H14" s="98">
        <f t="shared" si="2"/>
        <v>16578420</v>
      </c>
      <c r="I14" s="98">
        <f>일위대가목록!H6</f>
        <v>796319</v>
      </c>
      <c r="J14" s="98">
        <f t="shared" si="3"/>
        <v>3185276</v>
      </c>
      <c r="K14" s="98">
        <f t="shared" si="0"/>
        <v>39342351</v>
      </c>
      <c r="L14" s="98">
        <f t="shared" si="0"/>
        <v>157369404</v>
      </c>
      <c r="M14" s="99" t="s">
        <v>6319</v>
      </c>
      <c r="N14" s="55" t="s">
        <v>6232</v>
      </c>
      <c r="P14" s="55" t="s">
        <v>2941</v>
      </c>
      <c r="Q14" s="55" t="s">
        <v>6232</v>
      </c>
      <c r="R14" s="55" t="s">
        <v>5128</v>
      </c>
      <c r="T14" s="55" t="s">
        <v>3860</v>
      </c>
      <c r="BI14" s="100" t="str">
        <f>HYPERLINK("#일위대가목록!A620","SZD0001-650 →")</f>
        <v>SZD0001-650 →</v>
      </c>
    </row>
    <row r="15" spans="1:61" ht="18.399999999999999" customHeight="1">
      <c r="A15" s="96" t="s">
        <v>3784</v>
      </c>
      <c r="B15" s="103" t="s">
        <v>3821</v>
      </c>
      <c r="C15" s="104">
        <f>수량집계!F10</f>
        <v>4</v>
      </c>
      <c r="D15" s="95" t="s">
        <v>6293</v>
      </c>
      <c r="E15" s="98">
        <f>일위대가목록!F7</f>
        <v>38234376</v>
      </c>
      <c r="F15" s="98">
        <f t="shared" si="1"/>
        <v>152937504</v>
      </c>
      <c r="G15" s="98">
        <f>일위대가목록!G7</f>
        <v>4376697</v>
      </c>
      <c r="H15" s="98">
        <f t="shared" si="2"/>
        <v>17506788</v>
      </c>
      <c r="I15" s="98">
        <f>일위대가목록!H7</f>
        <v>841347</v>
      </c>
      <c r="J15" s="98">
        <f t="shared" si="3"/>
        <v>3365388</v>
      </c>
      <c r="K15" s="98">
        <f t="shared" si="0"/>
        <v>43452420</v>
      </c>
      <c r="L15" s="98">
        <f t="shared" si="0"/>
        <v>173809680</v>
      </c>
      <c r="M15" s="99" t="s">
        <v>6321</v>
      </c>
      <c r="N15" s="55" t="s">
        <v>6232</v>
      </c>
      <c r="P15" s="55" t="s">
        <v>4497</v>
      </c>
      <c r="Q15" s="55" t="s">
        <v>6232</v>
      </c>
      <c r="R15" s="55" t="s">
        <v>3911</v>
      </c>
      <c r="T15" s="55" t="s">
        <v>3860</v>
      </c>
      <c r="BI15" s="100" t="str">
        <f>HYPERLINK("#일위대가목록!A621","SZD0001-700 →")</f>
        <v>SZD0001-700 →</v>
      </c>
    </row>
    <row r="16" spans="1:61" ht="18.399999999999999" customHeight="1">
      <c r="A16" s="96" t="s">
        <v>3784</v>
      </c>
      <c r="B16" s="103" t="s">
        <v>2812</v>
      </c>
      <c r="C16" s="104">
        <f>수량집계!F11</f>
        <v>2</v>
      </c>
      <c r="D16" s="95" t="s">
        <v>6293</v>
      </c>
      <c r="E16" s="98">
        <f>일위대가목록!F8</f>
        <v>44056471</v>
      </c>
      <c r="F16" s="98">
        <f t="shared" si="1"/>
        <v>88112942</v>
      </c>
      <c r="G16" s="98">
        <f>일위대가목록!G8</f>
        <v>4609505</v>
      </c>
      <c r="H16" s="98">
        <f t="shared" si="2"/>
        <v>9219010</v>
      </c>
      <c r="I16" s="98">
        <f>일위대가목록!H8</f>
        <v>843446</v>
      </c>
      <c r="J16" s="98">
        <f t="shared" si="3"/>
        <v>1686892</v>
      </c>
      <c r="K16" s="98">
        <f t="shared" si="0"/>
        <v>49509422</v>
      </c>
      <c r="L16" s="98">
        <f t="shared" si="0"/>
        <v>99018844</v>
      </c>
      <c r="M16" s="99" t="s">
        <v>6323</v>
      </c>
      <c r="N16" s="55" t="s">
        <v>6232</v>
      </c>
      <c r="P16" s="55" t="s">
        <v>6047</v>
      </c>
      <c r="Q16" s="55" t="s">
        <v>6232</v>
      </c>
      <c r="R16" s="55" t="s">
        <v>5550</v>
      </c>
      <c r="T16" s="55" t="s">
        <v>3860</v>
      </c>
      <c r="BI16" s="100" t="str">
        <f>HYPERLINK("#일위대가목록!A622","SZD0001-750 →")</f>
        <v>SZD0001-750 →</v>
      </c>
    </row>
    <row r="17" spans="1:18" ht="18.399999999999999" customHeight="1">
      <c r="A17" s="96" t="s">
        <v>6294</v>
      </c>
      <c r="B17" s="103" t="s">
        <v>6232</v>
      </c>
      <c r="C17" s="104"/>
      <c r="D17" s="97" t="s">
        <v>6232</v>
      </c>
      <c r="E17" s="95"/>
      <c r="F17" s="98">
        <f>TRUNC(F16+F15+F14+F13+F12+F11,0)</f>
        <v>378656154</v>
      </c>
      <c r="G17" s="95"/>
      <c r="H17" s="98">
        <f t="shared" ref="H17:L17" si="4">TRUNC(H16+H15+H14+H13+H12+H11,0)</f>
        <v>43304218</v>
      </c>
      <c r="I17" s="95"/>
      <c r="J17" s="98">
        <f t="shared" si="4"/>
        <v>8237556</v>
      </c>
      <c r="K17" s="98"/>
      <c r="L17" s="98">
        <f t="shared" si="4"/>
        <v>430197928</v>
      </c>
      <c r="M17" s="99" t="s">
        <v>6232</v>
      </c>
      <c r="N17" s="55" t="s">
        <v>6232</v>
      </c>
      <c r="P17" s="55" t="s">
        <v>1505</v>
      </c>
      <c r="Q17" s="55" t="s">
        <v>6232</v>
      </c>
      <c r="R17" s="55" t="s">
        <v>6232</v>
      </c>
    </row>
    <row r="18" spans="1:18" ht="18.399999999999999" customHeight="1">
      <c r="A18" s="96" t="s">
        <v>2495</v>
      </c>
      <c r="B18" s="105" t="s">
        <v>6232</v>
      </c>
      <c r="C18" s="104"/>
      <c r="D18" s="97" t="s">
        <v>6232</v>
      </c>
      <c r="E18" s="95"/>
      <c r="F18" s="98">
        <v>0</v>
      </c>
      <c r="G18" s="95"/>
      <c r="H18" s="98">
        <v>0</v>
      </c>
      <c r="I18" s="95"/>
      <c r="J18" s="98">
        <v>0</v>
      </c>
      <c r="K18" s="98">
        <f t="shared" si="0"/>
        <v>0</v>
      </c>
      <c r="L18" s="98">
        <f t="shared" si="0"/>
        <v>0</v>
      </c>
      <c r="M18" s="99" t="s">
        <v>6232</v>
      </c>
      <c r="N18" s="55" t="s">
        <v>6232</v>
      </c>
      <c r="P18" s="55" t="s">
        <v>3038</v>
      </c>
      <c r="Q18" s="55" t="s">
        <v>6232</v>
      </c>
      <c r="R18" s="55" t="s">
        <v>6232</v>
      </c>
    </row>
    <row r="19" spans="1:18" ht="18.399999999999999" customHeight="1">
      <c r="A19" s="96" t="s">
        <v>5674</v>
      </c>
      <c r="B19" s="105"/>
      <c r="C19" s="104"/>
      <c r="D19" s="97"/>
      <c r="E19" s="95"/>
      <c r="F19" s="98">
        <v>0</v>
      </c>
      <c r="G19" s="95"/>
      <c r="H19" s="98">
        <v>0</v>
      </c>
      <c r="I19" s="95"/>
      <c r="J19" s="98">
        <v>0</v>
      </c>
      <c r="K19" s="98">
        <f>E19+G19+I19</f>
        <v>0</v>
      </c>
      <c r="L19" s="98">
        <f>F19+H19+J19</f>
        <v>0</v>
      </c>
      <c r="M19" s="99" t="s">
        <v>6232</v>
      </c>
      <c r="N19" s="55" t="s">
        <v>6232</v>
      </c>
      <c r="P19" s="55" t="s">
        <v>696</v>
      </c>
      <c r="Q19" s="55" t="s">
        <v>6232</v>
      </c>
      <c r="R19" s="55" t="s">
        <v>6232</v>
      </c>
    </row>
    <row r="20" spans="1:18" ht="18.399999999999999" customHeight="1">
      <c r="A20" s="96" t="s">
        <v>5289</v>
      </c>
      <c r="B20" s="106"/>
      <c r="C20" s="104">
        <f>5</f>
        <v>5</v>
      </c>
      <c r="D20" s="95" t="s">
        <v>6295</v>
      </c>
      <c r="E20" s="201">
        <f>일위대가목록!F9</f>
        <v>0</v>
      </c>
      <c r="F20" s="202">
        <f>C20*E20</f>
        <v>0</v>
      </c>
      <c r="G20" s="201">
        <f>일위대가목록!G9</f>
        <v>249476</v>
      </c>
      <c r="H20" s="202">
        <f>C20*G20</f>
        <v>1247380</v>
      </c>
      <c r="I20" s="201">
        <f>일위대가목록!H9</f>
        <v>0</v>
      </c>
      <c r="J20" s="202">
        <f>C20*I20</f>
        <v>0</v>
      </c>
      <c r="K20" s="98">
        <f>E20+G20+I20</f>
        <v>249476</v>
      </c>
      <c r="L20" s="98">
        <f>F20+H20+J20</f>
        <v>1247380</v>
      </c>
      <c r="M20" s="99" t="s">
        <v>6505</v>
      </c>
      <c r="N20" s="55" t="s">
        <v>6232</v>
      </c>
      <c r="P20" s="55" t="s">
        <v>2367</v>
      </c>
      <c r="Q20" s="55" t="s">
        <v>6232</v>
      </c>
      <c r="R20" s="55" t="s">
        <v>6232</v>
      </c>
    </row>
    <row r="21" spans="1:18" ht="18.399999999999999" customHeight="1" thickBot="1">
      <c r="A21" s="107"/>
      <c r="B21" s="114"/>
      <c r="C21" s="108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8" ht="18.399999999999999" customHeight="1">
      <c r="B22" s="111"/>
      <c r="C2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0.98425196850393704" bottom="0.59055118110236227" header="0.51181102362204722" footer="0.51181102362204722"/>
  <pageSetup paperSize="9" scale="77" orientation="landscape" r:id="rId1"/>
  <headerFooter alignWithMargins="0"/>
  <colBreaks count="2" manualBreakCount="2">
    <brk id="13" max="46" man="1"/>
    <brk id="59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I22"/>
  <sheetViews>
    <sheetView view="pageBreakPreview" zoomScale="115" zoomScaleNormal="100" zoomScaleSheetLayoutView="115" workbookViewId="0">
      <pane xSplit="4" ySplit="3" topLeftCell="E4" activePane="bottomRight" state="frozen"/>
      <selection sqref="A1:E1"/>
      <selection pane="topRight" sqref="A1:E1"/>
      <selection pane="bottomLeft" sqref="A1:E1"/>
      <selection pane="bottomRight" activeCell="K11" sqref="K11:K16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3" width="9.33203125" style="93" customWidth="1"/>
    <col min="4" max="4" width="5" style="55" customWidth="1"/>
    <col min="5" max="5" width="15.5" style="55" customWidth="1"/>
    <col min="6" max="6" width="13" style="55" customWidth="1"/>
    <col min="7" max="7" width="15.5" style="55" customWidth="1"/>
    <col min="8" max="8" width="13" style="55" customWidth="1"/>
    <col min="9" max="9" width="15.5" style="55" customWidth="1"/>
    <col min="10" max="10" width="13" style="55" customWidth="1"/>
    <col min="11" max="11" width="15.5" style="55" customWidth="1"/>
    <col min="12" max="12" width="13" style="55" customWidth="1"/>
    <col min="13" max="13" width="10" style="55" customWidth="1"/>
    <col min="14" max="59" width="0" style="55" hidden="1" customWidth="1"/>
    <col min="60" max="256" width="9.33203125" style="55"/>
    <col min="257" max="257" width="37.6640625" style="55" bestFit="1" customWidth="1"/>
    <col min="258" max="258" width="26.6640625" style="55" bestFit="1" customWidth="1"/>
    <col min="259" max="259" width="9.33203125" style="55"/>
    <col min="260" max="260" width="5" style="55" customWidth="1"/>
    <col min="261" max="261" width="15.5" style="55" customWidth="1"/>
    <col min="262" max="262" width="13" style="55" customWidth="1"/>
    <col min="263" max="263" width="15.5" style="55" customWidth="1"/>
    <col min="264" max="264" width="13" style="55" customWidth="1"/>
    <col min="265" max="265" width="15.5" style="55" customWidth="1"/>
    <col min="266" max="266" width="13" style="55" customWidth="1"/>
    <col min="267" max="267" width="15.5" style="55" customWidth="1"/>
    <col min="268" max="268" width="13" style="55" customWidth="1"/>
    <col min="269" max="269" width="10" style="55" customWidth="1"/>
    <col min="270" max="315" width="0" style="55" hidden="1" customWidth="1"/>
    <col min="316" max="512" width="9.33203125" style="55"/>
    <col min="513" max="513" width="37.6640625" style="55" bestFit="1" customWidth="1"/>
    <col min="514" max="514" width="26.6640625" style="55" bestFit="1" customWidth="1"/>
    <col min="515" max="515" width="9.33203125" style="55"/>
    <col min="516" max="516" width="5" style="55" customWidth="1"/>
    <col min="517" max="517" width="15.5" style="55" customWidth="1"/>
    <col min="518" max="518" width="13" style="55" customWidth="1"/>
    <col min="519" max="519" width="15.5" style="55" customWidth="1"/>
    <col min="520" max="520" width="13" style="55" customWidth="1"/>
    <col min="521" max="521" width="15.5" style="55" customWidth="1"/>
    <col min="522" max="522" width="13" style="55" customWidth="1"/>
    <col min="523" max="523" width="15.5" style="55" customWidth="1"/>
    <col min="524" max="524" width="13" style="55" customWidth="1"/>
    <col min="525" max="525" width="10" style="55" customWidth="1"/>
    <col min="526" max="571" width="0" style="55" hidden="1" customWidth="1"/>
    <col min="572" max="768" width="9.33203125" style="55"/>
    <col min="769" max="769" width="37.6640625" style="55" bestFit="1" customWidth="1"/>
    <col min="770" max="770" width="26.6640625" style="55" bestFit="1" customWidth="1"/>
    <col min="771" max="771" width="9.33203125" style="55"/>
    <col min="772" max="772" width="5" style="55" customWidth="1"/>
    <col min="773" max="773" width="15.5" style="55" customWidth="1"/>
    <col min="774" max="774" width="13" style="55" customWidth="1"/>
    <col min="775" max="775" width="15.5" style="55" customWidth="1"/>
    <col min="776" max="776" width="13" style="55" customWidth="1"/>
    <col min="777" max="777" width="15.5" style="55" customWidth="1"/>
    <col min="778" max="778" width="13" style="55" customWidth="1"/>
    <col min="779" max="779" width="15.5" style="55" customWidth="1"/>
    <col min="780" max="780" width="13" style="55" customWidth="1"/>
    <col min="781" max="781" width="10" style="55" customWidth="1"/>
    <col min="782" max="827" width="0" style="55" hidden="1" customWidth="1"/>
    <col min="828" max="1024" width="9.33203125" style="55"/>
    <col min="1025" max="1025" width="37.6640625" style="55" bestFit="1" customWidth="1"/>
    <col min="1026" max="1026" width="26.6640625" style="55" bestFit="1" customWidth="1"/>
    <col min="1027" max="1027" width="9.33203125" style="55"/>
    <col min="1028" max="1028" width="5" style="55" customWidth="1"/>
    <col min="1029" max="1029" width="15.5" style="55" customWidth="1"/>
    <col min="1030" max="1030" width="13" style="55" customWidth="1"/>
    <col min="1031" max="1031" width="15.5" style="55" customWidth="1"/>
    <col min="1032" max="1032" width="13" style="55" customWidth="1"/>
    <col min="1033" max="1033" width="15.5" style="55" customWidth="1"/>
    <col min="1034" max="1034" width="13" style="55" customWidth="1"/>
    <col min="1035" max="1035" width="15.5" style="55" customWidth="1"/>
    <col min="1036" max="1036" width="13" style="55" customWidth="1"/>
    <col min="1037" max="1037" width="10" style="55" customWidth="1"/>
    <col min="1038" max="1083" width="0" style="55" hidden="1" customWidth="1"/>
    <col min="1084" max="1280" width="9.33203125" style="55"/>
    <col min="1281" max="1281" width="37.6640625" style="55" bestFit="1" customWidth="1"/>
    <col min="1282" max="1282" width="26.6640625" style="55" bestFit="1" customWidth="1"/>
    <col min="1283" max="1283" width="9.33203125" style="55"/>
    <col min="1284" max="1284" width="5" style="55" customWidth="1"/>
    <col min="1285" max="1285" width="15.5" style="55" customWidth="1"/>
    <col min="1286" max="1286" width="13" style="55" customWidth="1"/>
    <col min="1287" max="1287" width="15.5" style="55" customWidth="1"/>
    <col min="1288" max="1288" width="13" style="55" customWidth="1"/>
    <col min="1289" max="1289" width="15.5" style="55" customWidth="1"/>
    <col min="1290" max="1290" width="13" style="55" customWidth="1"/>
    <col min="1291" max="1291" width="15.5" style="55" customWidth="1"/>
    <col min="1292" max="1292" width="13" style="55" customWidth="1"/>
    <col min="1293" max="1293" width="10" style="55" customWidth="1"/>
    <col min="1294" max="1339" width="0" style="55" hidden="1" customWidth="1"/>
    <col min="1340" max="1536" width="9.33203125" style="55"/>
    <col min="1537" max="1537" width="37.6640625" style="55" bestFit="1" customWidth="1"/>
    <col min="1538" max="1538" width="26.6640625" style="55" bestFit="1" customWidth="1"/>
    <col min="1539" max="1539" width="9.33203125" style="55"/>
    <col min="1540" max="1540" width="5" style="55" customWidth="1"/>
    <col min="1541" max="1541" width="15.5" style="55" customWidth="1"/>
    <col min="1542" max="1542" width="13" style="55" customWidth="1"/>
    <col min="1543" max="1543" width="15.5" style="55" customWidth="1"/>
    <col min="1544" max="1544" width="13" style="55" customWidth="1"/>
    <col min="1545" max="1545" width="15.5" style="55" customWidth="1"/>
    <col min="1546" max="1546" width="13" style="55" customWidth="1"/>
    <col min="1547" max="1547" width="15.5" style="55" customWidth="1"/>
    <col min="1548" max="1548" width="13" style="55" customWidth="1"/>
    <col min="1549" max="1549" width="10" style="55" customWidth="1"/>
    <col min="1550" max="1595" width="0" style="55" hidden="1" customWidth="1"/>
    <col min="1596" max="1792" width="9.33203125" style="55"/>
    <col min="1793" max="1793" width="37.6640625" style="55" bestFit="1" customWidth="1"/>
    <col min="1794" max="1794" width="26.6640625" style="55" bestFit="1" customWidth="1"/>
    <col min="1795" max="1795" width="9.33203125" style="55"/>
    <col min="1796" max="1796" width="5" style="55" customWidth="1"/>
    <col min="1797" max="1797" width="15.5" style="55" customWidth="1"/>
    <col min="1798" max="1798" width="13" style="55" customWidth="1"/>
    <col min="1799" max="1799" width="15.5" style="55" customWidth="1"/>
    <col min="1800" max="1800" width="13" style="55" customWidth="1"/>
    <col min="1801" max="1801" width="15.5" style="55" customWidth="1"/>
    <col min="1802" max="1802" width="13" style="55" customWidth="1"/>
    <col min="1803" max="1803" width="15.5" style="55" customWidth="1"/>
    <col min="1804" max="1804" width="13" style="55" customWidth="1"/>
    <col min="1805" max="1805" width="10" style="55" customWidth="1"/>
    <col min="1806" max="1851" width="0" style="55" hidden="1" customWidth="1"/>
    <col min="1852" max="2048" width="9.33203125" style="55"/>
    <col min="2049" max="2049" width="37.6640625" style="55" bestFit="1" customWidth="1"/>
    <col min="2050" max="2050" width="26.6640625" style="55" bestFit="1" customWidth="1"/>
    <col min="2051" max="2051" width="9.33203125" style="55"/>
    <col min="2052" max="2052" width="5" style="55" customWidth="1"/>
    <col min="2053" max="2053" width="15.5" style="55" customWidth="1"/>
    <col min="2054" max="2054" width="13" style="55" customWidth="1"/>
    <col min="2055" max="2055" width="15.5" style="55" customWidth="1"/>
    <col min="2056" max="2056" width="13" style="55" customWidth="1"/>
    <col min="2057" max="2057" width="15.5" style="55" customWidth="1"/>
    <col min="2058" max="2058" width="13" style="55" customWidth="1"/>
    <col min="2059" max="2059" width="15.5" style="55" customWidth="1"/>
    <col min="2060" max="2060" width="13" style="55" customWidth="1"/>
    <col min="2061" max="2061" width="10" style="55" customWidth="1"/>
    <col min="2062" max="2107" width="0" style="55" hidden="1" customWidth="1"/>
    <col min="2108" max="2304" width="9.33203125" style="55"/>
    <col min="2305" max="2305" width="37.6640625" style="55" bestFit="1" customWidth="1"/>
    <col min="2306" max="2306" width="26.6640625" style="55" bestFit="1" customWidth="1"/>
    <col min="2307" max="2307" width="9.33203125" style="55"/>
    <col min="2308" max="2308" width="5" style="55" customWidth="1"/>
    <col min="2309" max="2309" width="15.5" style="55" customWidth="1"/>
    <col min="2310" max="2310" width="13" style="55" customWidth="1"/>
    <col min="2311" max="2311" width="15.5" style="55" customWidth="1"/>
    <col min="2312" max="2312" width="13" style="55" customWidth="1"/>
    <col min="2313" max="2313" width="15.5" style="55" customWidth="1"/>
    <col min="2314" max="2314" width="13" style="55" customWidth="1"/>
    <col min="2315" max="2315" width="15.5" style="55" customWidth="1"/>
    <col min="2316" max="2316" width="13" style="55" customWidth="1"/>
    <col min="2317" max="2317" width="10" style="55" customWidth="1"/>
    <col min="2318" max="2363" width="0" style="55" hidden="1" customWidth="1"/>
    <col min="2364" max="2560" width="9.33203125" style="55"/>
    <col min="2561" max="2561" width="37.6640625" style="55" bestFit="1" customWidth="1"/>
    <col min="2562" max="2562" width="26.6640625" style="55" bestFit="1" customWidth="1"/>
    <col min="2563" max="2563" width="9.33203125" style="55"/>
    <col min="2564" max="2564" width="5" style="55" customWidth="1"/>
    <col min="2565" max="2565" width="15.5" style="55" customWidth="1"/>
    <col min="2566" max="2566" width="13" style="55" customWidth="1"/>
    <col min="2567" max="2567" width="15.5" style="55" customWidth="1"/>
    <col min="2568" max="2568" width="13" style="55" customWidth="1"/>
    <col min="2569" max="2569" width="15.5" style="55" customWidth="1"/>
    <col min="2570" max="2570" width="13" style="55" customWidth="1"/>
    <col min="2571" max="2571" width="15.5" style="55" customWidth="1"/>
    <col min="2572" max="2572" width="13" style="55" customWidth="1"/>
    <col min="2573" max="2573" width="10" style="55" customWidth="1"/>
    <col min="2574" max="2619" width="0" style="55" hidden="1" customWidth="1"/>
    <col min="2620" max="2816" width="9.33203125" style="55"/>
    <col min="2817" max="2817" width="37.6640625" style="55" bestFit="1" customWidth="1"/>
    <col min="2818" max="2818" width="26.6640625" style="55" bestFit="1" customWidth="1"/>
    <col min="2819" max="2819" width="9.33203125" style="55"/>
    <col min="2820" max="2820" width="5" style="55" customWidth="1"/>
    <col min="2821" max="2821" width="15.5" style="55" customWidth="1"/>
    <col min="2822" max="2822" width="13" style="55" customWidth="1"/>
    <col min="2823" max="2823" width="15.5" style="55" customWidth="1"/>
    <col min="2824" max="2824" width="13" style="55" customWidth="1"/>
    <col min="2825" max="2825" width="15.5" style="55" customWidth="1"/>
    <col min="2826" max="2826" width="13" style="55" customWidth="1"/>
    <col min="2827" max="2827" width="15.5" style="55" customWidth="1"/>
    <col min="2828" max="2828" width="13" style="55" customWidth="1"/>
    <col min="2829" max="2829" width="10" style="55" customWidth="1"/>
    <col min="2830" max="2875" width="0" style="55" hidden="1" customWidth="1"/>
    <col min="2876" max="3072" width="9.33203125" style="55"/>
    <col min="3073" max="3073" width="37.6640625" style="55" bestFit="1" customWidth="1"/>
    <col min="3074" max="3074" width="26.6640625" style="55" bestFit="1" customWidth="1"/>
    <col min="3075" max="3075" width="9.33203125" style="55"/>
    <col min="3076" max="3076" width="5" style="55" customWidth="1"/>
    <col min="3077" max="3077" width="15.5" style="55" customWidth="1"/>
    <col min="3078" max="3078" width="13" style="55" customWidth="1"/>
    <col min="3079" max="3079" width="15.5" style="55" customWidth="1"/>
    <col min="3080" max="3080" width="13" style="55" customWidth="1"/>
    <col min="3081" max="3081" width="15.5" style="55" customWidth="1"/>
    <col min="3082" max="3082" width="13" style="55" customWidth="1"/>
    <col min="3083" max="3083" width="15.5" style="55" customWidth="1"/>
    <col min="3084" max="3084" width="13" style="55" customWidth="1"/>
    <col min="3085" max="3085" width="10" style="55" customWidth="1"/>
    <col min="3086" max="3131" width="0" style="55" hidden="1" customWidth="1"/>
    <col min="3132" max="3328" width="9.33203125" style="55"/>
    <col min="3329" max="3329" width="37.6640625" style="55" bestFit="1" customWidth="1"/>
    <col min="3330" max="3330" width="26.6640625" style="55" bestFit="1" customWidth="1"/>
    <col min="3331" max="3331" width="9.33203125" style="55"/>
    <col min="3332" max="3332" width="5" style="55" customWidth="1"/>
    <col min="3333" max="3333" width="15.5" style="55" customWidth="1"/>
    <col min="3334" max="3334" width="13" style="55" customWidth="1"/>
    <col min="3335" max="3335" width="15.5" style="55" customWidth="1"/>
    <col min="3336" max="3336" width="13" style="55" customWidth="1"/>
    <col min="3337" max="3337" width="15.5" style="55" customWidth="1"/>
    <col min="3338" max="3338" width="13" style="55" customWidth="1"/>
    <col min="3339" max="3339" width="15.5" style="55" customWidth="1"/>
    <col min="3340" max="3340" width="13" style="55" customWidth="1"/>
    <col min="3341" max="3341" width="10" style="55" customWidth="1"/>
    <col min="3342" max="3387" width="0" style="55" hidden="1" customWidth="1"/>
    <col min="3388" max="3584" width="9.33203125" style="55"/>
    <col min="3585" max="3585" width="37.6640625" style="55" bestFit="1" customWidth="1"/>
    <col min="3586" max="3586" width="26.6640625" style="55" bestFit="1" customWidth="1"/>
    <col min="3587" max="3587" width="9.33203125" style="55"/>
    <col min="3588" max="3588" width="5" style="55" customWidth="1"/>
    <col min="3589" max="3589" width="15.5" style="55" customWidth="1"/>
    <col min="3590" max="3590" width="13" style="55" customWidth="1"/>
    <col min="3591" max="3591" width="15.5" style="55" customWidth="1"/>
    <col min="3592" max="3592" width="13" style="55" customWidth="1"/>
    <col min="3593" max="3593" width="15.5" style="55" customWidth="1"/>
    <col min="3594" max="3594" width="13" style="55" customWidth="1"/>
    <col min="3595" max="3595" width="15.5" style="55" customWidth="1"/>
    <col min="3596" max="3596" width="13" style="55" customWidth="1"/>
    <col min="3597" max="3597" width="10" style="55" customWidth="1"/>
    <col min="3598" max="3643" width="0" style="55" hidden="1" customWidth="1"/>
    <col min="3644" max="3840" width="9.33203125" style="55"/>
    <col min="3841" max="3841" width="37.6640625" style="55" bestFit="1" customWidth="1"/>
    <col min="3842" max="3842" width="26.6640625" style="55" bestFit="1" customWidth="1"/>
    <col min="3843" max="3843" width="9.33203125" style="55"/>
    <col min="3844" max="3844" width="5" style="55" customWidth="1"/>
    <col min="3845" max="3845" width="15.5" style="55" customWidth="1"/>
    <col min="3846" max="3846" width="13" style="55" customWidth="1"/>
    <col min="3847" max="3847" width="15.5" style="55" customWidth="1"/>
    <col min="3848" max="3848" width="13" style="55" customWidth="1"/>
    <col min="3849" max="3849" width="15.5" style="55" customWidth="1"/>
    <col min="3850" max="3850" width="13" style="55" customWidth="1"/>
    <col min="3851" max="3851" width="15.5" style="55" customWidth="1"/>
    <col min="3852" max="3852" width="13" style="55" customWidth="1"/>
    <col min="3853" max="3853" width="10" style="55" customWidth="1"/>
    <col min="3854" max="3899" width="0" style="55" hidden="1" customWidth="1"/>
    <col min="3900" max="4096" width="9.33203125" style="55"/>
    <col min="4097" max="4097" width="37.6640625" style="55" bestFit="1" customWidth="1"/>
    <col min="4098" max="4098" width="26.6640625" style="55" bestFit="1" customWidth="1"/>
    <col min="4099" max="4099" width="9.33203125" style="55"/>
    <col min="4100" max="4100" width="5" style="55" customWidth="1"/>
    <col min="4101" max="4101" width="15.5" style="55" customWidth="1"/>
    <col min="4102" max="4102" width="13" style="55" customWidth="1"/>
    <col min="4103" max="4103" width="15.5" style="55" customWidth="1"/>
    <col min="4104" max="4104" width="13" style="55" customWidth="1"/>
    <col min="4105" max="4105" width="15.5" style="55" customWidth="1"/>
    <col min="4106" max="4106" width="13" style="55" customWidth="1"/>
    <col min="4107" max="4107" width="15.5" style="55" customWidth="1"/>
    <col min="4108" max="4108" width="13" style="55" customWidth="1"/>
    <col min="4109" max="4109" width="10" style="55" customWidth="1"/>
    <col min="4110" max="4155" width="0" style="55" hidden="1" customWidth="1"/>
    <col min="4156" max="4352" width="9.33203125" style="55"/>
    <col min="4353" max="4353" width="37.6640625" style="55" bestFit="1" customWidth="1"/>
    <col min="4354" max="4354" width="26.6640625" style="55" bestFit="1" customWidth="1"/>
    <col min="4355" max="4355" width="9.33203125" style="55"/>
    <col min="4356" max="4356" width="5" style="55" customWidth="1"/>
    <col min="4357" max="4357" width="15.5" style="55" customWidth="1"/>
    <col min="4358" max="4358" width="13" style="55" customWidth="1"/>
    <col min="4359" max="4359" width="15.5" style="55" customWidth="1"/>
    <col min="4360" max="4360" width="13" style="55" customWidth="1"/>
    <col min="4361" max="4361" width="15.5" style="55" customWidth="1"/>
    <col min="4362" max="4362" width="13" style="55" customWidth="1"/>
    <col min="4363" max="4363" width="15.5" style="55" customWidth="1"/>
    <col min="4364" max="4364" width="13" style="55" customWidth="1"/>
    <col min="4365" max="4365" width="10" style="55" customWidth="1"/>
    <col min="4366" max="4411" width="0" style="55" hidden="1" customWidth="1"/>
    <col min="4412" max="4608" width="9.33203125" style="55"/>
    <col min="4609" max="4609" width="37.6640625" style="55" bestFit="1" customWidth="1"/>
    <col min="4610" max="4610" width="26.6640625" style="55" bestFit="1" customWidth="1"/>
    <col min="4611" max="4611" width="9.33203125" style="55"/>
    <col min="4612" max="4612" width="5" style="55" customWidth="1"/>
    <col min="4613" max="4613" width="15.5" style="55" customWidth="1"/>
    <col min="4614" max="4614" width="13" style="55" customWidth="1"/>
    <col min="4615" max="4615" width="15.5" style="55" customWidth="1"/>
    <col min="4616" max="4616" width="13" style="55" customWidth="1"/>
    <col min="4617" max="4617" width="15.5" style="55" customWidth="1"/>
    <col min="4618" max="4618" width="13" style="55" customWidth="1"/>
    <col min="4619" max="4619" width="15.5" style="55" customWidth="1"/>
    <col min="4620" max="4620" width="13" style="55" customWidth="1"/>
    <col min="4621" max="4621" width="10" style="55" customWidth="1"/>
    <col min="4622" max="4667" width="0" style="55" hidden="1" customWidth="1"/>
    <col min="4668" max="4864" width="9.33203125" style="55"/>
    <col min="4865" max="4865" width="37.6640625" style="55" bestFit="1" customWidth="1"/>
    <col min="4866" max="4866" width="26.6640625" style="55" bestFit="1" customWidth="1"/>
    <col min="4867" max="4867" width="9.33203125" style="55"/>
    <col min="4868" max="4868" width="5" style="55" customWidth="1"/>
    <col min="4869" max="4869" width="15.5" style="55" customWidth="1"/>
    <col min="4870" max="4870" width="13" style="55" customWidth="1"/>
    <col min="4871" max="4871" width="15.5" style="55" customWidth="1"/>
    <col min="4872" max="4872" width="13" style="55" customWidth="1"/>
    <col min="4873" max="4873" width="15.5" style="55" customWidth="1"/>
    <col min="4874" max="4874" width="13" style="55" customWidth="1"/>
    <col min="4875" max="4875" width="15.5" style="55" customWidth="1"/>
    <col min="4876" max="4876" width="13" style="55" customWidth="1"/>
    <col min="4877" max="4877" width="10" style="55" customWidth="1"/>
    <col min="4878" max="4923" width="0" style="55" hidden="1" customWidth="1"/>
    <col min="4924" max="5120" width="9.33203125" style="55"/>
    <col min="5121" max="5121" width="37.6640625" style="55" bestFit="1" customWidth="1"/>
    <col min="5122" max="5122" width="26.6640625" style="55" bestFit="1" customWidth="1"/>
    <col min="5123" max="5123" width="9.33203125" style="55"/>
    <col min="5124" max="5124" width="5" style="55" customWidth="1"/>
    <col min="5125" max="5125" width="15.5" style="55" customWidth="1"/>
    <col min="5126" max="5126" width="13" style="55" customWidth="1"/>
    <col min="5127" max="5127" width="15.5" style="55" customWidth="1"/>
    <col min="5128" max="5128" width="13" style="55" customWidth="1"/>
    <col min="5129" max="5129" width="15.5" style="55" customWidth="1"/>
    <col min="5130" max="5130" width="13" style="55" customWidth="1"/>
    <col min="5131" max="5131" width="15.5" style="55" customWidth="1"/>
    <col min="5132" max="5132" width="13" style="55" customWidth="1"/>
    <col min="5133" max="5133" width="10" style="55" customWidth="1"/>
    <col min="5134" max="5179" width="0" style="55" hidden="1" customWidth="1"/>
    <col min="5180" max="5376" width="9.33203125" style="55"/>
    <col min="5377" max="5377" width="37.6640625" style="55" bestFit="1" customWidth="1"/>
    <col min="5378" max="5378" width="26.6640625" style="55" bestFit="1" customWidth="1"/>
    <col min="5379" max="5379" width="9.33203125" style="55"/>
    <col min="5380" max="5380" width="5" style="55" customWidth="1"/>
    <col min="5381" max="5381" width="15.5" style="55" customWidth="1"/>
    <col min="5382" max="5382" width="13" style="55" customWidth="1"/>
    <col min="5383" max="5383" width="15.5" style="55" customWidth="1"/>
    <col min="5384" max="5384" width="13" style="55" customWidth="1"/>
    <col min="5385" max="5385" width="15.5" style="55" customWidth="1"/>
    <col min="5386" max="5386" width="13" style="55" customWidth="1"/>
    <col min="5387" max="5387" width="15.5" style="55" customWidth="1"/>
    <col min="5388" max="5388" width="13" style="55" customWidth="1"/>
    <col min="5389" max="5389" width="10" style="55" customWidth="1"/>
    <col min="5390" max="5435" width="0" style="55" hidden="1" customWidth="1"/>
    <col min="5436" max="5632" width="9.33203125" style="55"/>
    <col min="5633" max="5633" width="37.6640625" style="55" bestFit="1" customWidth="1"/>
    <col min="5634" max="5634" width="26.6640625" style="55" bestFit="1" customWidth="1"/>
    <col min="5635" max="5635" width="9.33203125" style="55"/>
    <col min="5636" max="5636" width="5" style="55" customWidth="1"/>
    <col min="5637" max="5637" width="15.5" style="55" customWidth="1"/>
    <col min="5638" max="5638" width="13" style="55" customWidth="1"/>
    <col min="5639" max="5639" width="15.5" style="55" customWidth="1"/>
    <col min="5640" max="5640" width="13" style="55" customWidth="1"/>
    <col min="5641" max="5641" width="15.5" style="55" customWidth="1"/>
    <col min="5642" max="5642" width="13" style="55" customWidth="1"/>
    <col min="5643" max="5643" width="15.5" style="55" customWidth="1"/>
    <col min="5644" max="5644" width="13" style="55" customWidth="1"/>
    <col min="5645" max="5645" width="10" style="55" customWidth="1"/>
    <col min="5646" max="5691" width="0" style="55" hidden="1" customWidth="1"/>
    <col min="5692" max="5888" width="9.33203125" style="55"/>
    <col min="5889" max="5889" width="37.6640625" style="55" bestFit="1" customWidth="1"/>
    <col min="5890" max="5890" width="26.6640625" style="55" bestFit="1" customWidth="1"/>
    <col min="5891" max="5891" width="9.33203125" style="55"/>
    <col min="5892" max="5892" width="5" style="55" customWidth="1"/>
    <col min="5893" max="5893" width="15.5" style="55" customWidth="1"/>
    <col min="5894" max="5894" width="13" style="55" customWidth="1"/>
    <col min="5895" max="5895" width="15.5" style="55" customWidth="1"/>
    <col min="5896" max="5896" width="13" style="55" customWidth="1"/>
    <col min="5897" max="5897" width="15.5" style="55" customWidth="1"/>
    <col min="5898" max="5898" width="13" style="55" customWidth="1"/>
    <col min="5899" max="5899" width="15.5" style="55" customWidth="1"/>
    <col min="5900" max="5900" width="13" style="55" customWidth="1"/>
    <col min="5901" max="5901" width="10" style="55" customWidth="1"/>
    <col min="5902" max="5947" width="0" style="55" hidden="1" customWidth="1"/>
    <col min="5948" max="6144" width="9.33203125" style="55"/>
    <col min="6145" max="6145" width="37.6640625" style="55" bestFit="1" customWidth="1"/>
    <col min="6146" max="6146" width="26.6640625" style="55" bestFit="1" customWidth="1"/>
    <col min="6147" max="6147" width="9.33203125" style="55"/>
    <col min="6148" max="6148" width="5" style="55" customWidth="1"/>
    <col min="6149" max="6149" width="15.5" style="55" customWidth="1"/>
    <col min="6150" max="6150" width="13" style="55" customWidth="1"/>
    <col min="6151" max="6151" width="15.5" style="55" customWidth="1"/>
    <col min="6152" max="6152" width="13" style="55" customWidth="1"/>
    <col min="6153" max="6153" width="15.5" style="55" customWidth="1"/>
    <col min="6154" max="6154" width="13" style="55" customWidth="1"/>
    <col min="6155" max="6155" width="15.5" style="55" customWidth="1"/>
    <col min="6156" max="6156" width="13" style="55" customWidth="1"/>
    <col min="6157" max="6157" width="10" style="55" customWidth="1"/>
    <col min="6158" max="6203" width="0" style="55" hidden="1" customWidth="1"/>
    <col min="6204" max="6400" width="9.33203125" style="55"/>
    <col min="6401" max="6401" width="37.6640625" style="55" bestFit="1" customWidth="1"/>
    <col min="6402" max="6402" width="26.6640625" style="55" bestFit="1" customWidth="1"/>
    <col min="6403" max="6403" width="9.33203125" style="55"/>
    <col min="6404" max="6404" width="5" style="55" customWidth="1"/>
    <col min="6405" max="6405" width="15.5" style="55" customWidth="1"/>
    <col min="6406" max="6406" width="13" style="55" customWidth="1"/>
    <col min="6407" max="6407" width="15.5" style="55" customWidth="1"/>
    <col min="6408" max="6408" width="13" style="55" customWidth="1"/>
    <col min="6409" max="6409" width="15.5" style="55" customWidth="1"/>
    <col min="6410" max="6410" width="13" style="55" customWidth="1"/>
    <col min="6411" max="6411" width="15.5" style="55" customWidth="1"/>
    <col min="6412" max="6412" width="13" style="55" customWidth="1"/>
    <col min="6413" max="6413" width="10" style="55" customWidth="1"/>
    <col min="6414" max="6459" width="0" style="55" hidden="1" customWidth="1"/>
    <col min="6460" max="6656" width="9.33203125" style="55"/>
    <col min="6657" max="6657" width="37.6640625" style="55" bestFit="1" customWidth="1"/>
    <col min="6658" max="6658" width="26.6640625" style="55" bestFit="1" customWidth="1"/>
    <col min="6659" max="6659" width="9.33203125" style="55"/>
    <col min="6660" max="6660" width="5" style="55" customWidth="1"/>
    <col min="6661" max="6661" width="15.5" style="55" customWidth="1"/>
    <col min="6662" max="6662" width="13" style="55" customWidth="1"/>
    <col min="6663" max="6663" width="15.5" style="55" customWidth="1"/>
    <col min="6664" max="6664" width="13" style="55" customWidth="1"/>
    <col min="6665" max="6665" width="15.5" style="55" customWidth="1"/>
    <col min="6666" max="6666" width="13" style="55" customWidth="1"/>
    <col min="6667" max="6667" width="15.5" style="55" customWidth="1"/>
    <col min="6668" max="6668" width="13" style="55" customWidth="1"/>
    <col min="6669" max="6669" width="10" style="55" customWidth="1"/>
    <col min="6670" max="6715" width="0" style="55" hidden="1" customWidth="1"/>
    <col min="6716" max="6912" width="9.33203125" style="55"/>
    <col min="6913" max="6913" width="37.6640625" style="55" bestFit="1" customWidth="1"/>
    <col min="6914" max="6914" width="26.6640625" style="55" bestFit="1" customWidth="1"/>
    <col min="6915" max="6915" width="9.33203125" style="55"/>
    <col min="6916" max="6916" width="5" style="55" customWidth="1"/>
    <col min="6917" max="6917" width="15.5" style="55" customWidth="1"/>
    <col min="6918" max="6918" width="13" style="55" customWidth="1"/>
    <col min="6919" max="6919" width="15.5" style="55" customWidth="1"/>
    <col min="6920" max="6920" width="13" style="55" customWidth="1"/>
    <col min="6921" max="6921" width="15.5" style="55" customWidth="1"/>
    <col min="6922" max="6922" width="13" style="55" customWidth="1"/>
    <col min="6923" max="6923" width="15.5" style="55" customWidth="1"/>
    <col min="6924" max="6924" width="13" style="55" customWidth="1"/>
    <col min="6925" max="6925" width="10" style="55" customWidth="1"/>
    <col min="6926" max="6971" width="0" style="55" hidden="1" customWidth="1"/>
    <col min="6972" max="7168" width="9.33203125" style="55"/>
    <col min="7169" max="7169" width="37.6640625" style="55" bestFit="1" customWidth="1"/>
    <col min="7170" max="7170" width="26.6640625" style="55" bestFit="1" customWidth="1"/>
    <col min="7171" max="7171" width="9.33203125" style="55"/>
    <col min="7172" max="7172" width="5" style="55" customWidth="1"/>
    <col min="7173" max="7173" width="15.5" style="55" customWidth="1"/>
    <col min="7174" max="7174" width="13" style="55" customWidth="1"/>
    <col min="7175" max="7175" width="15.5" style="55" customWidth="1"/>
    <col min="7176" max="7176" width="13" style="55" customWidth="1"/>
    <col min="7177" max="7177" width="15.5" style="55" customWidth="1"/>
    <col min="7178" max="7178" width="13" style="55" customWidth="1"/>
    <col min="7179" max="7179" width="15.5" style="55" customWidth="1"/>
    <col min="7180" max="7180" width="13" style="55" customWidth="1"/>
    <col min="7181" max="7181" width="10" style="55" customWidth="1"/>
    <col min="7182" max="7227" width="0" style="55" hidden="1" customWidth="1"/>
    <col min="7228" max="7424" width="9.33203125" style="55"/>
    <col min="7425" max="7425" width="37.6640625" style="55" bestFit="1" customWidth="1"/>
    <col min="7426" max="7426" width="26.6640625" style="55" bestFit="1" customWidth="1"/>
    <col min="7427" max="7427" width="9.33203125" style="55"/>
    <col min="7428" max="7428" width="5" style="55" customWidth="1"/>
    <col min="7429" max="7429" width="15.5" style="55" customWidth="1"/>
    <col min="7430" max="7430" width="13" style="55" customWidth="1"/>
    <col min="7431" max="7431" width="15.5" style="55" customWidth="1"/>
    <col min="7432" max="7432" width="13" style="55" customWidth="1"/>
    <col min="7433" max="7433" width="15.5" style="55" customWidth="1"/>
    <col min="7434" max="7434" width="13" style="55" customWidth="1"/>
    <col min="7435" max="7435" width="15.5" style="55" customWidth="1"/>
    <col min="7436" max="7436" width="13" style="55" customWidth="1"/>
    <col min="7437" max="7437" width="10" style="55" customWidth="1"/>
    <col min="7438" max="7483" width="0" style="55" hidden="1" customWidth="1"/>
    <col min="7484" max="7680" width="9.33203125" style="55"/>
    <col min="7681" max="7681" width="37.6640625" style="55" bestFit="1" customWidth="1"/>
    <col min="7682" max="7682" width="26.6640625" style="55" bestFit="1" customWidth="1"/>
    <col min="7683" max="7683" width="9.33203125" style="55"/>
    <col min="7684" max="7684" width="5" style="55" customWidth="1"/>
    <col min="7685" max="7685" width="15.5" style="55" customWidth="1"/>
    <col min="7686" max="7686" width="13" style="55" customWidth="1"/>
    <col min="7687" max="7687" width="15.5" style="55" customWidth="1"/>
    <col min="7688" max="7688" width="13" style="55" customWidth="1"/>
    <col min="7689" max="7689" width="15.5" style="55" customWidth="1"/>
    <col min="7690" max="7690" width="13" style="55" customWidth="1"/>
    <col min="7691" max="7691" width="15.5" style="55" customWidth="1"/>
    <col min="7692" max="7692" width="13" style="55" customWidth="1"/>
    <col min="7693" max="7693" width="10" style="55" customWidth="1"/>
    <col min="7694" max="7739" width="0" style="55" hidden="1" customWidth="1"/>
    <col min="7740" max="7936" width="9.33203125" style="55"/>
    <col min="7937" max="7937" width="37.6640625" style="55" bestFit="1" customWidth="1"/>
    <col min="7938" max="7938" width="26.6640625" style="55" bestFit="1" customWidth="1"/>
    <col min="7939" max="7939" width="9.33203125" style="55"/>
    <col min="7940" max="7940" width="5" style="55" customWidth="1"/>
    <col min="7941" max="7941" width="15.5" style="55" customWidth="1"/>
    <col min="7942" max="7942" width="13" style="55" customWidth="1"/>
    <col min="7943" max="7943" width="15.5" style="55" customWidth="1"/>
    <col min="7944" max="7944" width="13" style="55" customWidth="1"/>
    <col min="7945" max="7945" width="15.5" style="55" customWidth="1"/>
    <col min="7946" max="7946" width="13" style="55" customWidth="1"/>
    <col min="7947" max="7947" width="15.5" style="55" customWidth="1"/>
    <col min="7948" max="7948" width="13" style="55" customWidth="1"/>
    <col min="7949" max="7949" width="10" style="55" customWidth="1"/>
    <col min="7950" max="7995" width="0" style="55" hidden="1" customWidth="1"/>
    <col min="7996" max="8192" width="9.33203125" style="55"/>
    <col min="8193" max="8193" width="37.6640625" style="55" bestFit="1" customWidth="1"/>
    <col min="8194" max="8194" width="26.6640625" style="55" bestFit="1" customWidth="1"/>
    <col min="8195" max="8195" width="9.33203125" style="55"/>
    <col min="8196" max="8196" width="5" style="55" customWidth="1"/>
    <col min="8197" max="8197" width="15.5" style="55" customWidth="1"/>
    <col min="8198" max="8198" width="13" style="55" customWidth="1"/>
    <col min="8199" max="8199" width="15.5" style="55" customWidth="1"/>
    <col min="8200" max="8200" width="13" style="55" customWidth="1"/>
    <col min="8201" max="8201" width="15.5" style="55" customWidth="1"/>
    <col min="8202" max="8202" width="13" style="55" customWidth="1"/>
    <col min="8203" max="8203" width="15.5" style="55" customWidth="1"/>
    <col min="8204" max="8204" width="13" style="55" customWidth="1"/>
    <col min="8205" max="8205" width="10" style="55" customWidth="1"/>
    <col min="8206" max="8251" width="0" style="55" hidden="1" customWidth="1"/>
    <col min="8252" max="8448" width="9.33203125" style="55"/>
    <col min="8449" max="8449" width="37.6640625" style="55" bestFit="1" customWidth="1"/>
    <col min="8450" max="8450" width="26.6640625" style="55" bestFit="1" customWidth="1"/>
    <col min="8451" max="8451" width="9.33203125" style="55"/>
    <col min="8452" max="8452" width="5" style="55" customWidth="1"/>
    <col min="8453" max="8453" width="15.5" style="55" customWidth="1"/>
    <col min="8454" max="8454" width="13" style="55" customWidth="1"/>
    <col min="8455" max="8455" width="15.5" style="55" customWidth="1"/>
    <col min="8456" max="8456" width="13" style="55" customWidth="1"/>
    <col min="8457" max="8457" width="15.5" style="55" customWidth="1"/>
    <col min="8458" max="8458" width="13" style="55" customWidth="1"/>
    <col min="8459" max="8459" width="15.5" style="55" customWidth="1"/>
    <col min="8460" max="8460" width="13" style="55" customWidth="1"/>
    <col min="8461" max="8461" width="10" style="55" customWidth="1"/>
    <col min="8462" max="8507" width="0" style="55" hidden="1" customWidth="1"/>
    <col min="8508" max="8704" width="9.33203125" style="55"/>
    <col min="8705" max="8705" width="37.6640625" style="55" bestFit="1" customWidth="1"/>
    <col min="8706" max="8706" width="26.6640625" style="55" bestFit="1" customWidth="1"/>
    <col min="8707" max="8707" width="9.33203125" style="55"/>
    <col min="8708" max="8708" width="5" style="55" customWidth="1"/>
    <col min="8709" max="8709" width="15.5" style="55" customWidth="1"/>
    <col min="8710" max="8710" width="13" style="55" customWidth="1"/>
    <col min="8711" max="8711" width="15.5" style="55" customWidth="1"/>
    <col min="8712" max="8712" width="13" style="55" customWidth="1"/>
    <col min="8713" max="8713" width="15.5" style="55" customWidth="1"/>
    <col min="8714" max="8714" width="13" style="55" customWidth="1"/>
    <col min="8715" max="8715" width="15.5" style="55" customWidth="1"/>
    <col min="8716" max="8716" width="13" style="55" customWidth="1"/>
    <col min="8717" max="8717" width="10" style="55" customWidth="1"/>
    <col min="8718" max="8763" width="0" style="55" hidden="1" customWidth="1"/>
    <col min="8764" max="8960" width="9.33203125" style="55"/>
    <col min="8961" max="8961" width="37.6640625" style="55" bestFit="1" customWidth="1"/>
    <col min="8962" max="8962" width="26.6640625" style="55" bestFit="1" customWidth="1"/>
    <col min="8963" max="8963" width="9.33203125" style="55"/>
    <col min="8964" max="8964" width="5" style="55" customWidth="1"/>
    <col min="8965" max="8965" width="15.5" style="55" customWidth="1"/>
    <col min="8966" max="8966" width="13" style="55" customWidth="1"/>
    <col min="8967" max="8967" width="15.5" style="55" customWidth="1"/>
    <col min="8968" max="8968" width="13" style="55" customWidth="1"/>
    <col min="8969" max="8969" width="15.5" style="55" customWidth="1"/>
    <col min="8970" max="8970" width="13" style="55" customWidth="1"/>
    <col min="8971" max="8971" width="15.5" style="55" customWidth="1"/>
    <col min="8972" max="8972" width="13" style="55" customWidth="1"/>
    <col min="8973" max="8973" width="10" style="55" customWidth="1"/>
    <col min="8974" max="9019" width="0" style="55" hidden="1" customWidth="1"/>
    <col min="9020" max="9216" width="9.33203125" style="55"/>
    <col min="9217" max="9217" width="37.6640625" style="55" bestFit="1" customWidth="1"/>
    <col min="9218" max="9218" width="26.6640625" style="55" bestFit="1" customWidth="1"/>
    <col min="9219" max="9219" width="9.33203125" style="55"/>
    <col min="9220" max="9220" width="5" style="55" customWidth="1"/>
    <col min="9221" max="9221" width="15.5" style="55" customWidth="1"/>
    <col min="9222" max="9222" width="13" style="55" customWidth="1"/>
    <col min="9223" max="9223" width="15.5" style="55" customWidth="1"/>
    <col min="9224" max="9224" width="13" style="55" customWidth="1"/>
    <col min="9225" max="9225" width="15.5" style="55" customWidth="1"/>
    <col min="9226" max="9226" width="13" style="55" customWidth="1"/>
    <col min="9227" max="9227" width="15.5" style="55" customWidth="1"/>
    <col min="9228" max="9228" width="13" style="55" customWidth="1"/>
    <col min="9229" max="9229" width="10" style="55" customWidth="1"/>
    <col min="9230" max="9275" width="0" style="55" hidden="1" customWidth="1"/>
    <col min="9276" max="9472" width="9.33203125" style="55"/>
    <col min="9473" max="9473" width="37.6640625" style="55" bestFit="1" customWidth="1"/>
    <col min="9474" max="9474" width="26.6640625" style="55" bestFit="1" customWidth="1"/>
    <col min="9475" max="9475" width="9.33203125" style="55"/>
    <col min="9476" max="9476" width="5" style="55" customWidth="1"/>
    <col min="9477" max="9477" width="15.5" style="55" customWidth="1"/>
    <col min="9478" max="9478" width="13" style="55" customWidth="1"/>
    <col min="9479" max="9479" width="15.5" style="55" customWidth="1"/>
    <col min="9480" max="9480" width="13" style="55" customWidth="1"/>
    <col min="9481" max="9481" width="15.5" style="55" customWidth="1"/>
    <col min="9482" max="9482" width="13" style="55" customWidth="1"/>
    <col min="9483" max="9483" width="15.5" style="55" customWidth="1"/>
    <col min="9484" max="9484" width="13" style="55" customWidth="1"/>
    <col min="9485" max="9485" width="10" style="55" customWidth="1"/>
    <col min="9486" max="9531" width="0" style="55" hidden="1" customWidth="1"/>
    <col min="9532" max="9728" width="9.33203125" style="55"/>
    <col min="9729" max="9729" width="37.6640625" style="55" bestFit="1" customWidth="1"/>
    <col min="9730" max="9730" width="26.6640625" style="55" bestFit="1" customWidth="1"/>
    <col min="9731" max="9731" width="9.33203125" style="55"/>
    <col min="9732" max="9732" width="5" style="55" customWidth="1"/>
    <col min="9733" max="9733" width="15.5" style="55" customWidth="1"/>
    <col min="9734" max="9734" width="13" style="55" customWidth="1"/>
    <col min="9735" max="9735" width="15.5" style="55" customWidth="1"/>
    <col min="9736" max="9736" width="13" style="55" customWidth="1"/>
    <col min="9737" max="9737" width="15.5" style="55" customWidth="1"/>
    <col min="9738" max="9738" width="13" style="55" customWidth="1"/>
    <col min="9739" max="9739" width="15.5" style="55" customWidth="1"/>
    <col min="9740" max="9740" width="13" style="55" customWidth="1"/>
    <col min="9741" max="9741" width="10" style="55" customWidth="1"/>
    <col min="9742" max="9787" width="0" style="55" hidden="1" customWidth="1"/>
    <col min="9788" max="9984" width="9.33203125" style="55"/>
    <col min="9985" max="9985" width="37.6640625" style="55" bestFit="1" customWidth="1"/>
    <col min="9986" max="9986" width="26.6640625" style="55" bestFit="1" customWidth="1"/>
    <col min="9987" max="9987" width="9.33203125" style="55"/>
    <col min="9988" max="9988" width="5" style="55" customWidth="1"/>
    <col min="9989" max="9989" width="15.5" style="55" customWidth="1"/>
    <col min="9990" max="9990" width="13" style="55" customWidth="1"/>
    <col min="9991" max="9991" width="15.5" style="55" customWidth="1"/>
    <col min="9992" max="9992" width="13" style="55" customWidth="1"/>
    <col min="9993" max="9993" width="15.5" style="55" customWidth="1"/>
    <col min="9994" max="9994" width="13" style="55" customWidth="1"/>
    <col min="9995" max="9995" width="15.5" style="55" customWidth="1"/>
    <col min="9996" max="9996" width="13" style="55" customWidth="1"/>
    <col min="9997" max="9997" width="10" style="55" customWidth="1"/>
    <col min="9998" max="10043" width="0" style="55" hidden="1" customWidth="1"/>
    <col min="10044" max="10240" width="9.33203125" style="55"/>
    <col min="10241" max="10241" width="37.6640625" style="55" bestFit="1" customWidth="1"/>
    <col min="10242" max="10242" width="26.6640625" style="55" bestFit="1" customWidth="1"/>
    <col min="10243" max="10243" width="9.33203125" style="55"/>
    <col min="10244" max="10244" width="5" style="55" customWidth="1"/>
    <col min="10245" max="10245" width="15.5" style="55" customWidth="1"/>
    <col min="10246" max="10246" width="13" style="55" customWidth="1"/>
    <col min="10247" max="10247" width="15.5" style="55" customWidth="1"/>
    <col min="10248" max="10248" width="13" style="55" customWidth="1"/>
    <col min="10249" max="10249" width="15.5" style="55" customWidth="1"/>
    <col min="10250" max="10250" width="13" style="55" customWidth="1"/>
    <col min="10251" max="10251" width="15.5" style="55" customWidth="1"/>
    <col min="10252" max="10252" width="13" style="55" customWidth="1"/>
    <col min="10253" max="10253" width="10" style="55" customWidth="1"/>
    <col min="10254" max="10299" width="0" style="55" hidden="1" customWidth="1"/>
    <col min="10300" max="10496" width="9.33203125" style="55"/>
    <col min="10497" max="10497" width="37.6640625" style="55" bestFit="1" customWidth="1"/>
    <col min="10498" max="10498" width="26.6640625" style="55" bestFit="1" customWidth="1"/>
    <col min="10499" max="10499" width="9.33203125" style="55"/>
    <col min="10500" max="10500" width="5" style="55" customWidth="1"/>
    <col min="10501" max="10501" width="15.5" style="55" customWidth="1"/>
    <col min="10502" max="10502" width="13" style="55" customWidth="1"/>
    <col min="10503" max="10503" width="15.5" style="55" customWidth="1"/>
    <col min="10504" max="10504" width="13" style="55" customWidth="1"/>
    <col min="10505" max="10505" width="15.5" style="55" customWidth="1"/>
    <col min="10506" max="10506" width="13" style="55" customWidth="1"/>
    <col min="10507" max="10507" width="15.5" style="55" customWidth="1"/>
    <col min="10508" max="10508" width="13" style="55" customWidth="1"/>
    <col min="10509" max="10509" width="10" style="55" customWidth="1"/>
    <col min="10510" max="10555" width="0" style="55" hidden="1" customWidth="1"/>
    <col min="10556" max="10752" width="9.33203125" style="55"/>
    <col min="10753" max="10753" width="37.6640625" style="55" bestFit="1" customWidth="1"/>
    <col min="10754" max="10754" width="26.6640625" style="55" bestFit="1" customWidth="1"/>
    <col min="10755" max="10755" width="9.33203125" style="55"/>
    <col min="10756" max="10756" width="5" style="55" customWidth="1"/>
    <col min="10757" max="10757" width="15.5" style="55" customWidth="1"/>
    <col min="10758" max="10758" width="13" style="55" customWidth="1"/>
    <col min="10759" max="10759" width="15.5" style="55" customWidth="1"/>
    <col min="10760" max="10760" width="13" style="55" customWidth="1"/>
    <col min="10761" max="10761" width="15.5" style="55" customWidth="1"/>
    <col min="10762" max="10762" width="13" style="55" customWidth="1"/>
    <col min="10763" max="10763" width="15.5" style="55" customWidth="1"/>
    <col min="10764" max="10764" width="13" style="55" customWidth="1"/>
    <col min="10765" max="10765" width="10" style="55" customWidth="1"/>
    <col min="10766" max="10811" width="0" style="55" hidden="1" customWidth="1"/>
    <col min="10812" max="11008" width="9.33203125" style="55"/>
    <col min="11009" max="11009" width="37.6640625" style="55" bestFit="1" customWidth="1"/>
    <col min="11010" max="11010" width="26.6640625" style="55" bestFit="1" customWidth="1"/>
    <col min="11011" max="11011" width="9.33203125" style="55"/>
    <col min="11012" max="11012" width="5" style="55" customWidth="1"/>
    <col min="11013" max="11013" width="15.5" style="55" customWidth="1"/>
    <col min="11014" max="11014" width="13" style="55" customWidth="1"/>
    <col min="11015" max="11015" width="15.5" style="55" customWidth="1"/>
    <col min="11016" max="11016" width="13" style="55" customWidth="1"/>
    <col min="11017" max="11017" width="15.5" style="55" customWidth="1"/>
    <col min="11018" max="11018" width="13" style="55" customWidth="1"/>
    <col min="11019" max="11019" width="15.5" style="55" customWidth="1"/>
    <col min="11020" max="11020" width="13" style="55" customWidth="1"/>
    <col min="11021" max="11021" width="10" style="55" customWidth="1"/>
    <col min="11022" max="11067" width="0" style="55" hidden="1" customWidth="1"/>
    <col min="11068" max="11264" width="9.33203125" style="55"/>
    <col min="11265" max="11265" width="37.6640625" style="55" bestFit="1" customWidth="1"/>
    <col min="11266" max="11266" width="26.6640625" style="55" bestFit="1" customWidth="1"/>
    <col min="11267" max="11267" width="9.33203125" style="55"/>
    <col min="11268" max="11268" width="5" style="55" customWidth="1"/>
    <col min="11269" max="11269" width="15.5" style="55" customWidth="1"/>
    <col min="11270" max="11270" width="13" style="55" customWidth="1"/>
    <col min="11271" max="11271" width="15.5" style="55" customWidth="1"/>
    <col min="11272" max="11272" width="13" style="55" customWidth="1"/>
    <col min="11273" max="11273" width="15.5" style="55" customWidth="1"/>
    <col min="11274" max="11274" width="13" style="55" customWidth="1"/>
    <col min="11275" max="11275" width="15.5" style="55" customWidth="1"/>
    <col min="11276" max="11276" width="13" style="55" customWidth="1"/>
    <col min="11277" max="11277" width="10" style="55" customWidth="1"/>
    <col min="11278" max="11323" width="0" style="55" hidden="1" customWidth="1"/>
    <col min="11324" max="11520" width="9.33203125" style="55"/>
    <col min="11521" max="11521" width="37.6640625" style="55" bestFit="1" customWidth="1"/>
    <col min="11522" max="11522" width="26.6640625" style="55" bestFit="1" customWidth="1"/>
    <col min="11523" max="11523" width="9.33203125" style="55"/>
    <col min="11524" max="11524" width="5" style="55" customWidth="1"/>
    <col min="11525" max="11525" width="15.5" style="55" customWidth="1"/>
    <col min="11526" max="11526" width="13" style="55" customWidth="1"/>
    <col min="11527" max="11527" width="15.5" style="55" customWidth="1"/>
    <col min="11528" max="11528" width="13" style="55" customWidth="1"/>
    <col min="11529" max="11529" width="15.5" style="55" customWidth="1"/>
    <col min="11530" max="11530" width="13" style="55" customWidth="1"/>
    <col min="11531" max="11531" width="15.5" style="55" customWidth="1"/>
    <col min="11532" max="11532" width="13" style="55" customWidth="1"/>
    <col min="11533" max="11533" width="10" style="55" customWidth="1"/>
    <col min="11534" max="11579" width="0" style="55" hidden="1" customWidth="1"/>
    <col min="11580" max="11776" width="9.33203125" style="55"/>
    <col min="11777" max="11777" width="37.6640625" style="55" bestFit="1" customWidth="1"/>
    <col min="11778" max="11778" width="26.6640625" style="55" bestFit="1" customWidth="1"/>
    <col min="11779" max="11779" width="9.33203125" style="55"/>
    <col min="11780" max="11780" width="5" style="55" customWidth="1"/>
    <col min="11781" max="11781" width="15.5" style="55" customWidth="1"/>
    <col min="11782" max="11782" width="13" style="55" customWidth="1"/>
    <col min="11783" max="11783" width="15.5" style="55" customWidth="1"/>
    <col min="11784" max="11784" width="13" style="55" customWidth="1"/>
    <col min="11785" max="11785" width="15.5" style="55" customWidth="1"/>
    <col min="11786" max="11786" width="13" style="55" customWidth="1"/>
    <col min="11787" max="11787" width="15.5" style="55" customWidth="1"/>
    <col min="11788" max="11788" width="13" style="55" customWidth="1"/>
    <col min="11789" max="11789" width="10" style="55" customWidth="1"/>
    <col min="11790" max="11835" width="0" style="55" hidden="1" customWidth="1"/>
    <col min="11836" max="12032" width="9.33203125" style="55"/>
    <col min="12033" max="12033" width="37.6640625" style="55" bestFit="1" customWidth="1"/>
    <col min="12034" max="12034" width="26.6640625" style="55" bestFit="1" customWidth="1"/>
    <col min="12035" max="12035" width="9.33203125" style="55"/>
    <col min="12036" max="12036" width="5" style="55" customWidth="1"/>
    <col min="12037" max="12037" width="15.5" style="55" customWidth="1"/>
    <col min="12038" max="12038" width="13" style="55" customWidth="1"/>
    <col min="12039" max="12039" width="15.5" style="55" customWidth="1"/>
    <col min="12040" max="12040" width="13" style="55" customWidth="1"/>
    <col min="12041" max="12041" width="15.5" style="55" customWidth="1"/>
    <col min="12042" max="12042" width="13" style="55" customWidth="1"/>
    <col min="12043" max="12043" width="15.5" style="55" customWidth="1"/>
    <col min="12044" max="12044" width="13" style="55" customWidth="1"/>
    <col min="12045" max="12045" width="10" style="55" customWidth="1"/>
    <col min="12046" max="12091" width="0" style="55" hidden="1" customWidth="1"/>
    <col min="12092" max="12288" width="9.33203125" style="55"/>
    <col min="12289" max="12289" width="37.6640625" style="55" bestFit="1" customWidth="1"/>
    <col min="12290" max="12290" width="26.6640625" style="55" bestFit="1" customWidth="1"/>
    <col min="12291" max="12291" width="9.33203125" style="55"/>
    <col min="12292" max="12292" width="5" style="55" customWidth="1"/>
    <col min="12293" max="12293" width="15.5" style="55" customWidth="1"/>
    <col min="12294" max="12294" width="13" style="55" customWidth="1"/>
    <col min="12295" max="12295" width="15.5" style="55" customWidth="1"/>
    <col min="12296" max="12296" width="13" style="55" customWidth="1"/>
    <col min="12297" max="12297" width="15.5" style="55" customWidth="1"/>
    <col min="12298" max="12298" width="13" style="55" customWidth="1"/>
    <col min="12299" max="12299" width="15.5" style="55" customWidth="1"/>
    <col min="12300" max="12300" width="13" style="55" customWidth="1"/>
    <col min="12301" max="12301" width="10" style="55" customWidth="1"/>
    <col min="12302" max="12347" width="0" style="55" hidden="1" customWidth="1"/>
    <col min="12348" max="12544" width="9.33203125" style="55"/>
    <col min="12545" max="12545" width="37.6640625" style="55" bestFit="1" customWidth="1"/>
    <col min="12546" max="12546" width="26.6640625" style="55" bestFit="1" customWidth="1"/>
    <col min="12547" max="12547" width="9.33203125" style="55"/>
    <col min="12548" max="12548" width="5" style="55" customWidth="1"/>
    <col min="12549" max="12549" width="15.5" style="55" customWidth="1"/>
    <col min="12550" max="12550" width="13" style="55" customWidth="1"/>
    <col min="12551" max="12551" width="15.5" style="55" customWidth="1"/>
    <col min="12552" max="12552" width="13" style="55" customWidth="1"/>
    <col min="12553" max="12553" width="15.5" style="55" customWidth="1"/>
    <col min="12554" max="12554" width="13" style="55" customWidth="1"/>
    <col min="12555" max="12555" width="15.5" style="55" customWidth="1"/>
    <col min="12556" max="12556" width="13" style="55" customWidth="1"/>
    <col min="12557" max="12557" width="10" style="55" customWidth="1"/>
    <col min="12558" max="12603" width="0" style="55" hidden="1" customWidth="1"/>
    <col min="12604" max="12800" width="9.33203125" style="55"/>
    <col min="12801" max="12801" width="37.6640625" style="55" bestFit="1" customWidth="1"/>
    <col min="12802" max="12802" width="26.6640625" style="55" bestFit="1" customWidth="1"/>
    <col min="12803" max="12803" width="9.33203125" style="55"/>
    <col min="12804" max="12804" width="5" style="55" customWidth="1"/>
    <col min="12805" max="12805" width="15.5" style="55" customWidth="1"/>
    <col min="12806" max="12806" width="13" style="55" customWidth="1"/>
    <col min="12807" max="12807" width="15.5" style="55" customWidth="1"/>
    <col min="12808" max="12808" width="13" style="55" customWidth="1"/>
    <col min="12809" max="12809" width="15.5" style="55" customWidth="1"/>
    <col min="12810" max="12810" width="13" style="55" customWidth="1"/>
    <col min="12811" max="12811" width="15.5" style="55" customWidth="1"/>
    <col min="12812" max="12812" width="13" style="55" customWidth="1"/>
    <col min="12813" max="12813" width="10" style="55" customWidth="1"/>
    <col min="12814" max="12859" width="0" style="55" hidden="1" customWidth="1"/>
    <col min="12860" max="13056" width="9.33203125" style="55"/>
    <col min="13057" max="13057" width="37.6640625" style="55" bestFit="1" customWidth="1"/>
    <col min="13058" max="13058" width="26.6640625" style="55" bestFit="1" customWidth="1"/>
    <col min="13059" max="13059" width="9.33203125" style="55"/>
    <col min="13060" max="13060" width="5" style="55" customWidth="1"/>
    <col min="13061" max="13061" width="15.5" style="55" customWidth="1"/>
    <col min="13062" max="13062" width="13" style="55" customWidth="1"/>
    <col min="13063" max="13063" width="15.5" style="55" customWidth="1"/>
    <col min="13064" max="13064" width="13" style="55" customWidth="1"/>
    <col min="13065" max="13065" width="15.5" style="55" customWidth="1"/>
    <col min="13066" max="13066" width="13" style="55" customWidth="1"/>
    <col min="13067" max="13067" width="15.5" style="55" customWidth="1"/>
    <col min="13068" max="13068" width="13" style="55" customWidth="1"/>
    <col min="13069" max="13069" width="10" style="55" customWidth="1"/>
    <col min="13070" max="13115" width="0" style="55" hidden="1" customWidth="1"/>
    <col min="13116" max="13312" width="9.33203125" style="55"/>
    <col min="13313" max="13313" width="37.6640625" style="55" bestFit="1" customWidth="1"/>
    <col min="13314" max="13314" width="26.6640625" style="55" bestFit="1" customWidth="1"/>
    <col min="13315" max="13315" width="9.33203125" style="55"/>
    <col min="13316" max="13316" width="5" style="55" customWidth="1"/>
    <col min="13317" max="13317" width="15.5" style="55" customWidth="1"/>
    <col min="13318" max="13318" width="13" style="55" customWidth="1"/>
    <col min="13319" max="13319" width="15.5" style="55" customWidth="1"/>
    <col min="13320" max="13320" width="13" style="55" customWidth="1"/>
    <col min="13321" max="13321" width="15.5" style="55" customWidth="1"/>
    <col min="13322" max="13322" width="13" style="55" customWidth="1"/>
    <col min="13323" max="13323" width="15.5" style="55" customWidth="1"/>
    <col min="13324" max="13324" width="13" style="55" customWidth="1"/>
    <col min="13325" max="13325" width="10" style="55" customWidth="1"/>
    <col min="13326" max="13371" width="0" style="55" hidden="1" customWidth="1"/>
    <col min="13372" max="13568" width="9.33203125" style="55"/>
    <col min="13569" max="13569" width="37.6640625" style="55" bestFit="1" customWidth="1"/>
    <col min="13570" max="13570" width="26.6640625" style="55" bestFit="1" customWidth="1"/>
    <col min="13571" max="13571" width="9.33203125" style="55"/>
    <col min="13572" max="13572" width="5" style="55" customWidth="1"/>
    <col min="13573" max="13573" width="15.5" style="55" customWidth="1"/>
    <col min="13574" max="13574" width="13" style="55" customWidth="1"/>
    <col min="13575" max="13575" width="15.5" style="55" customWidth="1"/>
    <col min="13576" max="13576" width="13" style="55" customWidth="1"/>
    <col min="13577" max="13577" width="15.5" style="55" customWidth="1"/>
    <col min="13578" max="13578" width="13" style="55" customWidth="1"/>
    <col min="13579" max="13579" width="15.5" style="55" customWidth="1"/>
    <col min="13580" max="13580" width="13" style="55" customWidth="1"/>
    <col min="13581" max="13581" width="10" style="55" customWidth="1"/>
    <col min="13582" max="13627" width="0" style="55" hidden="1" customWidth="1"/>
    <col min="13628" max="13824" width="9.33203125" style="55"/>
    <col min="13825" max="13825" width="37.6640625" style="55" bestFit="1" customWidth="1"/>
    <col min="13826" max="13826" width="26.6640625" style="55" bestFit="1" customWidth="1"/>
    <col min="13827" max="13827" width="9.33203125" style="55"/>
    <col min="13828" max="13828" width="5" style="55" customWidth="1"/>
    <col min="13829" max="13829" width="15.5" style="55" customWidth="1"/>
    <col min="13830" max="13830" width="13" style="55" customWidth="1"/>
    <col min="13831" max="13831" width="15.5" style="55" customWidth="1"/>
    <col min="13832" max="13832" width="13" style="55" customWidth="1"/>
    <col min="13833" max="13833" width="15.5" style="55" customWidth="1"/>
    <col min="13834" max="13834" width="13" style="55" customWidth="1"/>
    <col min="13835" max="13835" width="15.5" style="55" customWidth="1"/>
    <col min="13836" max="13836" width="13" style="55" customWidth="1"/>
    <col min="13837" max="13837" width="10" style="55" customWidth="1"/>
    <col min="13838" max="13883" width="0" style="55" hidden="1" customWidth="1"/>
    <col min="13884" max="14080" width="9.33203125" style="55"/>
    <col min="14081" max="14081" width="37.6640625" style="55" bestFit="1" customWidth="1"/>
    <col min="14082" max="14082" width="26.6640625" style="55" bestFit="1" customWidth="1"/>
    <col min="14083" max="14083" width="9.33203125" style="55"/>
    <col min="14084" max="14084" width="5" style="55" customWidth="1"/>
    <col min="14085" max="14085" width="15.5" style="55" customWidth="1"/>
    <col min="14086" max="14086" width="13" style="55" customWidth="1"/>
    <col min="14087" max="14087" width="15.5" style="55" customWidth="1"/>
    <col min="14088" max="14088" width="13" style="55" customWidth="1"/>
    <col min="14089" max="14089" width="15.5" style="55" customWidth="1"/>
    <col min="14090" max="14090" width="13" style="55" customWidth="1"/>
    <col min="14091" max="14091" width="15.5" style="55" customWidth="1"/>
    <col min="14092" max="14092" width="13" style="55" customWidth="1"/>
    <col min="14093" max="14093" width="10" style="55" customWidth="1"/>
    <col min="14094" max="14139" width="0" style="55" hidden="1" customWidth="1"/>
    <col min="14140" max="14336" width="9.33203125" style="55"/>
    <col min="14337" max="14337" width="37.6640625" style="55" bestFit="1" customWidth="1"/>
    <col min="14338" max="14338" width="26.6640625" style="55" bestFit="1" customWidth="1"/>
    <col min="14339" max="14339" width="9.33203125" style="55"/>
    <col min="14340" max="14340" width="5" style="55" customWidth="1"/>
    <col min="14341" max="14341" width="15.5" style="55" customWidth="1"/>
    <col min="14342" max="14342" width="13" style="55" customWidth="1"/>
    <col min="14343" max="14343" width="15.5" style="55" customWidth="1"/>
    <col min="14344" max="14344" width="13" style="55" customWidth="1"/>
    <col min="14345" max="14345" width="15.5" style="55" customWidth="1"/>
    <col min="14346" max="14346" width="13" style="55" customWidth="1"/>
    <col min="14347" max="14347" width="15.5" style="55" customWidth="1"/>
    <col min="14348" max="14348" width="13" style="55" customWidth="1"/>
    <col min="14349" max="14349" width="10" style="55" customWidth="1"/>
    <col min="14350" max="14395" width="0" style="55" hidden="1" customWidth="1"/>
    <col min="14396" max="14592" width="9.33203125" style="55"/>
    <col min="14593" max="14593" width="37.6640625" style="55" bestFit="1" customWidth="1"/>
    <col min="14594" max="14594" width="26.6640625" style="55" bestFit="1" customWidth="1"/>
    <col min="14595" max="14595" width="9.33203125" style="55"/>
    <col min="14596" max="14596" width="5" style="55" customWidth="1"/>
    <col min="14597" max="14597" width="15.5" style="55" customWidth="1"/>
    <col min="14598" max="14598" width="13" style="55" customWidth="1"/>
    <col min="14599" max="14599" width="15.5" style="55" customWidth="1"/>
    <col min="14600" max="14600" width="13" style="55" customWidth="1"/>
    <col min="14601" max="14601" width="15.5" style="55" customWidth="1"/>
    <col min="14602" max="14602" width="13" style="55" customWidth="1"/>
    <col min="14603" max="14603" width="15.5" style="55" customWidth="1"/>
    <col min="14604" max="14604" width="13" style="55" customWidth="1"/>
    <col min="14605" max="14605" width="10" style="55" customWidth="1"/>
    <col min="14606" max="14651" width="0" style="55" hidden="1" customWidth="1"/>
    <col min="14652" max="14848" width="9.33203125" style="55"/>
    <col min="14849" max="14849" width="37.6640625" style="55" bestFit="1" customWidth="1"/>
    <col min="14850" max="14850" width="26.6640625" style="55" bestFit="1" customWidth="1"/>
    <col min="14851" max="14851" width="9.33203125" style="55"/>
    <col min="14852" max="14852" width="5" style="55" customWidth="1"/>
    <col min="14853" max="14853" width="15.5" style="55" customWidth="1"/>
    <col min="14854" max="14854" width="13" style="55" customWidth="1"/>
    <col min="14855" max="14855" width="15.5" style="55" customWidth="1"/>
    <col min="14856" max="14856" width="13" style="55" customWidth="1"/>
    <col min="14857" max="14857" width="15.5" style="55" customWidth="1"/>
    <col min="14858" max="14858" width="13" style="55" customWidth="1"/>
    <col min="14859" max="14859" width="15.5" style="55" customWidth="1"/>
    <col min="14860" max="14860" width="13" style="55" customWidth="1"/>
    <col min="14861" max="14861" width="10" style="55" customWidth="1"/>
    <col min="14862" max="14907" width="0" style="55" hidden="1" customWidth="1"/>
    <col min="14908" max="15104" width="9.33203125" style="55"/>
    <col min="15105" max="15105" width="37.6640625" style="55" bestFit="1" customWidth="1"/>
    <col min="15106" max="15106" width="26.6640625" style="55" bestFit="1" customWidth="1"/>
    <col min="15107" max="15107" width="9.33203125" style="55"/>
    <col min="15108" max="15108" width="5" style="55" customWidth="1"/>
    <col min="15109" max="15109" width="15.5" style="55" customWidth="1"/>
    <col min="15110" max="15110" width="13" style="55" customWidth="1"/>
    <col min="15111" max="15111" width="15.5" style="55" customWidth="1"/>
    <col min="15112" max="15112" width="13" style="55" customWidth="1"/>
    <col min="15113" max="15113" width="15.5" style="55" customWidth="1"/>
    <col min="15114" max="15114" width="13" style="55" customWidth="1"/>
    <col min="15115" max="15115" width="15.5" style="55" customWidth="1"/>
    <col min="15116" max="15116" width="13" style="55" customWidth="1"/>
    <col min="15117" max="15117" width="10" style="55" customWidth="1"/>
    <col min="15118" max="15163" width="0" style="55" hidden="1" customWidth="1"/>
    <col min="15164" max="15360" width="9.33203125" style="55"/>
    <col min="15361" max="15361" width="37.6640625" style="55" bestFit="1" customWidth="1"/>
    <col min="15362" max="15362" width="26.6640625" style="55" bestFit="1" customWidth="1"/>
    <col min="15363" max="15363" width="9.33203125" style="55"/>
    <col min="15364" max="15364" width="5" style="55" customWidth="1"/>
    <col min="15365" max="15365" width="15.5" style="55" customWidth="1"/>
    <col min="15366" max="15366" width="13" style="55" customWidth="1"/>
    <col min="15367" max="15367" width="15.5" style="55" customWidth="1"/>
    <col min="15368" max="15368" width="13" style="55" customWidth="1"/>
    <col min="15369" max="15369" width="15.5" style="55" customWidth="1"/>
    <col min="15370" max="15370" width="13" style="55" customWidth="1"/>
    <col min="15371" max="15371" width="15.5" style="55" customWidth="1"/>
    <col min="15372" max="15372" width="13" style="55" customWidth="1"/>
    <col min="15373" max="15373" width="10" style="55" customWidth="1"/>
    <col min="15374" max="15419" width="0" style="55" hidden="1" customWidth="1"/>
    <col min="15420" max="15616" width="9.33203125" style="55"/>
    <col min="15617" max="15617" width="37.6640625" style="55" bestFit="1" customWidth="1"/>
    <col min="15618" max="15618" width="26.6640625" style="55" bestFit="1" customWidth="1"/>
    <col min="15619" max="15619" width="9.33203125" style="55"/>
    <col min="15620" max="15620" width="5" style="55" customWidth="1"/>
    <col min="15621" max="15621" width="15.5" style="55" customWidth="1"/>
    <col min="15622" max="15622" width="13" style="55" customWidth="1"/>
    <col min="15623" max="15623" width="15.5" style="55" customWidth="1"/>
    <col min="15624" max="15624" width="13" style="55" customWidth="1"/>
    <col min="15625" max="15625" width="15.5" style="55" customWidth="1"/>
    <col min="15626" max="15626" width="13" style="55" customWidth="1"/>
    <col min="15627" max="15627" width="15.5" style="55" customWidth="1"/>
    <col min="15628" max="15628" width="13" style="55" customWidth="1"/>
    <col min="15629" max="15629" width="10" style="55" customWidth="1"/>
    <col min="15630" max="15675" width="0" style="55" hidden="1" customWidth="1"/>
    <col min="15676" max="15872" width="9.33203125" style="55"/>
    <col min="15873" max="15873" width="37.6640625" style="55" bestFit="1" customWidth="1"/>
    <col min="15874" max="15874" width="26.6640625" style="55" bestFit="1" customWidth="1"/>
    <col min="15875" max="15875" width="9.33203125" style="55"/>
    <col min="15876" max="15876" width="5" style="55" customWidth="1"/>
    <col min="15877" max="15877" width="15.5" style="55" customWidth="1"/>
    <col min="15878" max="15878" width="13" style="55" customWidth="1"/>
    <col min="15879" max="15879" width="15.5" style="55" customWidth="1"/>
    <col min="15880" max="15880" width="13" style="55" customWidth="1"/>
    <col min="15881" max="15881" width="15.5" style="55" customWidth="1"/>
    <col min="15882" max="15882" width="13" style="55" customWidth="1"/>
    <col min="15883" max="15883" width="15.5" style="55" customWidth="1"/>
    <col min="15884" max="15884" width="13" style="55" customWidth="1"/>
    <col min="15885" max="15885" width="10" style="55" customWidth="1"/>
    <col min="15886" max="15931" width="0" style="55" hidden="1" customWidth="1"/>
    <col min="15932" max="16128" width="9.33203125" style="55"/>
    <col min="16129" max="16129" width="37.6640625" style="55" bestFit="1" customWidth="1"/>
    <col min="16130" max="16130" width="26.6640625" style="55" bestFit="1" customWidth="1"/>
    <col min="16131" max="16131" width="9.33203125" style="55"/>
    <col min="16132" max="16132" width="5" style="55" customWidth="1"/>
    <col min="16133" max="16133" width="15.5" style="55" customWidth="1"/>
    <col min="16134" max="16134" width="13" style="55" customWidth="1"/>
    <col min="16135" max="16135" width="15.5" style="55" customWidth="1"/>
    <col min="16136" max="16136" width="13" style="55" customWidth="1"/>
    <col min="16137" max="16137" width="15.5" style="55" customWidth="1"/>
    <col min="16138" max="16138" width="13" style="55" customWidth="1"/>
    <col min="16139" max="16139" width="15.5" style="55" customWidth="1"/>
    <col min="16140" max="16140" width="13" style="55" customWidth="1"/>
    <col min="16141" max="16141" width="10" style="55" customWidth="1"/>
    <col min="16142" max="16187" width="0" style="55" hidden="1" customWidth="1"/>
    <col min="16188" max="16384" width="9.33203125" style="55"/>
  </cols>
  <sheetData>
    <row r="1" spans="1:61" ht="18.399999999999999" customHeight="1" thickBot="1">
      <c r="A1" s="55" t="s">
        <v>725</v>
      </c>
    </row>
    <row r="2" spans="1:61" ht="18.399999999999999" customHeight="1">
      <c r="A2" s="406" t="s">
        <v>990</v>
      </c>
      <c r="B2" s="403" t="s">
        <v>2749</v>
      </c>
      <c r="C2" s="403" t="s">
        <v>6291</v>
      </c>
      <c r="D2" s="403" t="s">
        <v>2236</v>
      </c>
      <c r="E2" s="403" t="s">
        <v>4254</v>
      </c>
      <c r="F2" s="403" t="s">
        <v>6232</v>
      </c>
      <c r="G2" s="403" t="s">
        <v>2490</v>
      </c>
      <c r="H2" s="403" t="s">
        <v>6232</v>
      </c>
      <c r="I2" s="403" t="s">
        <v>413</v>
      </c>
      <c r="J2" s="403" t="s">
        <v>6232</v>
      </c>
      <c r="K2" s="403" t="s">
        <v>6009</v>
      </c>
      <c r="L2" s="403" t="s">
        <v>6232</v>
      </c>
      <c r="M2" s="404" t="s">
        <v>1571</v>
      </c>
    </row>
    <row r="3" spans="1:61" ht="18.399999999999999" customHeight="1" thickBot="1">
      <c r="A3" s="407" t="s">
        <v>6232</v>
      </c>
      <c r="B3" s="408" t="s">
        <v>6232</v>
      </c>
      <c r="C3" s="408" t="s">
        <v>6232</v>
      </c>
      <c r="D3" s="408" t="s">
        <v>6232</v>
      </c>
      <c r="E3" s="94" t="s">
        <v>1390</v>
      </c>
      <c r="F3" s="94" t="s">
        <v>783</v>
      </c>
      <c r="G3" s="94" t="s">
        <v>1390</v>
      </c>
      <c r="H3" s="94" t="s">
        <v>783</v>
      </c>
      <c r="I3" s="94" t="s">
        <v>1390</v>
      </c>
      <c r="J3" s="94" t="s">
        <v>783</v>
      </c>
      <c r="K3" s="94" t="s">
        <v>1390</v>
      </c>
      <c r="L3" s="94" t="s">
        <v>783</v>
      </c>
      <c r="M3" s="405" t="s">
        <v>6232</v>
      </c>
      <c r="S3" s="95" t="s">
        <v>1967</v>
      </c>
      <c r="T3" s="95" t="s">
        <v>4561</v>
      </c>
      <c r="U3" s="95" t="s">
        <v>2099</v>
      </c>
      <c r="V3" s="95" t="s">
        <v>811</v>
      </c>
      <c r="W3" s="95" t="s">
        <v>353</v>
      </c>
      <c r="X3" s="95" t="s">
        <v>1874</v>
      </c>
      <c r="Y3" s="95" t="s">
        <v>4239</v>
      </c>
    </row>
    <row r="4" spans="1:61" ht="18.399999999999999" customHeight="1">
      <c r="A4" s="96" t="s">
        <v>2498</v>
      </c>
      <c r="B4" s="97" t="s">
        <v>6232</v>
      </c>
      <c r="C4" s="95">
        <v>1</v>
      </c>
      <c r="D4" s="97" t="s">
        <v>5012</v>
      </c>
      <c r="F4" s="98">
        <f>TRUNC(F5,0)</f>
        <v>126308852</v>
      </c>
      <c r="H4" s="98">
        <f>TRUNC(H5,0)</f>
        <v>19977668</v>
      </c>
      <c r="J4" s="98">
        <f>TRUNC(J5,0)</f>
        <v>5931964</v>
      </c>
      <c r="L4" s="98">
        <f>F4+H4+J4</f>
        <v>152218484</v>
      </c>
      <c r="M4" s="99" t="s">
        <v>6232</v>
      </c>
      <c r="N4" s="55" t="s">
        <v>6232</v>
      </c>
      <c r="O4" s="55" t="s">
        <v>1653</v>
      </c>
    </row>
    <row r="5" spans="1:61" ht="18.399999999999999" customHeight="1">
      <c r="A5" s="96" t="s">
        <v>2458</v>
      </c>
      <c r="B5" s="97" t="s">
        <v>6232</v>
      </c>
      <c r="C5" s="95">
        <v>1</v>
      </c>
      <c r="D5" s="97" t="s">
        <v>5012</v>
      </c>
      <c r="E5" s="98">
        <f>F9</f>
        <v>126308852</v>
      </c>
      <c r="F5" s="98">
        <f>TRUNC(E5*C5,0)</f>
        <v>126308852</v>
      </c>
      <c r="G5" s="98">
        <f>H9</f>
        <v>19977668</v>
      </c>
      <c r="H5" s="98">
        <f>TRUNC(G5*C5,0)</f>
        <v>19977668</v>
      </c>
      <c r="I5" s="98">
        <f>J9</f>
        <v>5931964</v>
      </c>
      <c r="J5" s="98">
        <f>TRUNC(I5*C5,0)</f>
        <v>5931964</v>
      </c>
      <c r="K5" s="98">
        <f>E5+G5+I5</f>
        <v>152218484</v>
      </c>
      <c r="L5" s="98">
        <f>F5+H5+J5</f>
        <v>152218484</v>
      </c>
      <c r="M5" s="99" t="s">
        <v>6232</v>
      </c>
      <c r="N5" s="55" t="s">
        <v>6232</v>
      </c>
      <c r="P5" s="55" t="s">
        <v>1948</v>
      </c>
      <c r="Q5" s="55" t="s">
        <v>6232</v>
      </c>
      <c r="R5" s="55" t="s">
        <v>5134</v>
      </c>
      <c r="BI5" s="100" t="str">
        <f>HYPERLINK("#내역서!A9","A01 →")</f>
        <v>A01 →</v>
      </c>
    </row>
    <row r="6" spans="1:61" ht="18.399999999999999" customHeight="1">
      <c r="A6" s="96" t="s">
        <v>6292</v>
      </c>
      <c r="B6" s="97" t="s">
        <v>6232</v>
      </c>
      <c r="C6" s="95"/>
      <c r="D6" s="97" t="s">
        <v>6232</v>
      </c>
      <c r="E6" s="95"/>
      <c r="F6" s="98">
        <f>TRUNC(F5,0)</f>
        <v>126308852</v>
      </c>
      <c r="G6" s="95"/>
      <c r="H6" s="98">
        <f>TRUNC(H5,0)</f>
        <v>19977668</v>
      </c>
      <c r="I6" s="95"/>
      <c r="J6" s="98">
        <f>TRUNC(J5,0)</f>
        <v>5931964</v>
      </c>
      <c r="K6" s="98">
        <f>E6+G6+I6</f>
        <v>0</v>
      </c>
      <c r="L6" s="98">
        <f>F6+H6+J6</f>
        <v>152218484</v>
      </c>
      <c r="M6" s="99" t="s">
        <v>6232</v>
      </c>
      <c r="N6" s="55" t="s">
        <v>6232</v>
      </c>
      <c r="P6" s="55" t="s">
        <v>549</v>
      </c>
      <c r="Q6" s="55" t="s">
        <v>6232</v>
      </c>
      <c r="R6" s="55" t="s">
        <v>6232</v>
      </c>
    </row>
    <row r="7" spans="1:61" ht="18.399999999999999" customHeight="1">
      <c r="A7" s="96" t="s">
        <v>2495</v>
      </c>
      <c r="B7" s="97" t="s">
        <v>6232</v>
      </c>
      <c r="C7" s="95"/>
      <c r="D7" s="97" t="s">
        <v>6232</v>
      </c>
      <c r="E7" s="95"/>
      <c r="F7" s="98">
        <v>0</v>
      </c>
      <c r="G7" s="95"/>
      <c r="H7" s="98">
        <v>0</v>
      </c>
      <c r="I7" s="95"/>
      <c r="J7" s="98">
        <v>0</v>
      </c>
      <c r="K7" s="98">
        <f>E7+G7+I7</f>
        <v>0</v>
      </c>
      <c r="L7" s="98">
        <f>F7+H7+J7</f>
        <v>0</v>
      </c>
      <c r="M7" s="99" t="s">
        <v>6232</v>
      </c>
      <c r="N7" s="55" t="s">
        <v>6232</v>
      </c>
      <c r="P7" s="55" t="s">
        <v>528</v>
      </c>
      <c r="Q7" s="55" t="s">
        <v>6232</v>
      </c>
      <c r="R7" s="55" t="s">
        <v>6232</v>
      </c>
    </row>
    <row r="8" spans="1:61" ht="18.399999999999999" customHeight="1">
      <c r="A8" s="10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</row>
    <row r="9" spans="1:61" ht="18.399999999999999" customHeight="1">
      <c r="A9" s="96" t="s">
        <v>5088</v>
      </c>
      <c r="B9" s="103" t="s">
        <v>6232</v>
      </c>
      <c r="C9" s="95">
        <v>1</v>
      </c>
      <c r="D9" s="97" t="s">
        <v>5012</v>
      </c>
      <c r="F9" s="98">
        <f>F17</f>
        <v>126308852</v>
      </c>
      <c r="H9" s="98">
        <f>H17</f>
        <v>19977668</v>
      </c>
      <c r="J9" s="98">
        <f>J17</f>
        <v>5931964</v>
      </c>
      <c r="L9" s="98">
        <f>F9+H9+J9</f>
        <v>152218484</v>
      </c>
      <c r="M9" s="99" t="s">
        <v>6232</v>
      </c>
      <c r="N9" s="55" t="s">
        <v>6232</v>
      </c>
      <c r="O9" s="55" t="s">
        <v>5134</v>
      </c>
      <c r="Z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A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AB9" s="98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</row>
    <row r="10" spans="1:61" ht="18.399999999999999" customHeight="1">
      <c r="A10" s="96" t="s">
        <v>5137</v>
      </c>
      <c r="B10" s="103" t="s">
        <v>6232</v>
      </c>
      <c r="C10" s="95"/>
      <c r="D10" s="97" t="s">
        <v>6232</v>
      </c>
      <c r="E10" s="95"/>
      <c r="F10" s="98">
        <v>0</v>
      </c>
      <c r="G10" s="95"/>
      <c r="H10" s="98">
        <v>0</v>
      </c>
      <c r="I10" s="95"/>
      <c r="J10" s="98">
        <v>0</v>
      </c>
      <c r="K10" s="98">
        <f t="shared" ref="K10:L18" si="0">E10+G10+I10</f>
        <v>0</v>
      </c>
      <c r="L10" s="98">
        <f t="shared" si="0"/>
        <v>0</v>
      </c>
      <c r="M10" s="99" t="s">
        <v>6232</v>
      </c>
      <c r="N10" s="55" t="s">
        <v>6232</v>
      </c>
      <c r="P10" s="55" t="s">
        <v>3908</v>
      </c>
      <c r="Q10" s="55" t="s">
        <v>6232</v>
      </c>
      <c r="R10" s="55" t="s">
        <v>6232</v>
      </c>
    </row>
    <row r="11" spans="1:61" ht="18.399999999999999" customHeight="1">
      <c r="A11" s="96" t="s">
        <v>3784</v>
      </c>
      <c r="B11" s="103" t="s">
        <v>4869</v>
      </c>
      <c r="C11" s="104">
        <f>수량집계!G6</f>
        <v>4</v>
      </c>
      <c r="D11" s="95" t="s">
        <v>6293</v>
      </c>
      <c r="E11" s="98">
        <f>일위대가목록!F3</f>
        <v>10581357</v>
      </c>
      <c r="F11" s="98">
        <f t="shared" ref="F11:F16" si="1">TRUNC(E11*C11,0)</f>
        <v>42325428</v>
      </c>
      <c r="G11" s="98">
        <f>일위대가목록!G3</f>
        <v>2096589</v>
      </c>
      <c r="H11" s="98">
        <f t="shared" ref="H11:H16" si="2">TRUNC(G11*C11,0)</f>
        <v>8386356</v>
      </c>
      <c r="I11" s="98">
        <f>일위대가목록!H3</f>
        <v>699695</v>
      </c>
      <c r="J11" s="98">
        <f t="shared" ref="J11:J16" si="3">TRUNC(I11*C11,0)</f>
        <v>2798780</v>
      </c>
      <c r="K11" s="98">
        <f>E11+G11+I11</f>
        <v>13377641</v>
      </c>
      <c r="L11" s="98">
        <f>F11+H11+J11</f>
        <v>53510564</v>
      </c>
      <c r="M11" s="99" t="s">
        <v>6310</v>
      </c>
      <c r="N11" s="55" t="s">
        <v>6232</v>
      </c>
      <c r="P11" s="55" t="s">
        <v>180</v>
      </c>
      <c r="Q11" s="55" t="s">
        <v>6232</v>
      </c>
      <c r="R11" s="55" t="s">
        <v>3028</v>
      </c>
      <c r="T11" s="55" t="s">
        <v>3860</v>
      </c>
      <c r="BI11" s="100" t="str">
        <f>HYPERLINK("#일위대가목록!A613","SZD0001-300 →")</f>
        <v>SZD0001-300 →</v>
      </c>
    </row>
    <row r="12" spans="1:61" ht="18.399999999999999" customHeight="1">
      <c r="A12" s="96" t="s">
        <v>3784</v>
      </c>
      <c r="B12" s="103" t="s">
        <v>3762</v>
      </c>
      <c r="C12" s="104">
        <f>수량집계!G7</f>
        <v>4</v>
      </c>
      <c r="D12" s="95" t="s">
        <v>6293</v>
      </c>
      <c r="E12" s="98">
        <f>일위대가목록!F4</f>
        <v>20995856</v>
      </c>
      <c r="F12" s="98">
        <f t="shared" si="1"/>
        <v>83983424</v>
      </c>
      <c r="G12" s="98">
        <f>일위대가목록!G4</f>
        <v>2897828</v>
      </c>
      <c r="H12" s="98">
        <f t="shared" si="2"/>
        <v>11591312</v>
      </c>
      <c r="I12" s="98">
        <f>일위대가목록!H4</f>
        <v>783296</v>
      </c>
      <c r="J12" s="98">
        <f t="shared" si="3"/>
        <v>3133184</v>
      </c>
      <c r="K12" s="98">
        <f t="shared" si="0"/>
        <v>24676980</v>
      </c>
      <c r="L12" s="98">
        <f>F12+H12+J12</f>
        <v>98707920</v>
      </c>
      <c r="M12" s="99" t="s">
        <v>6314</v>
      </c>
      <c r="N12" s="55" t="s">
        <v>6232</v>
      </c>
      <c r="P12" s="55" t="s">
        <v>4925</v>
      </c>
      <c r="Q12" s="55" t="s">
        <v>6232</v>
      </c>
      <c r="R12" s="55" t="s">
        <v>4570</v>
      </c>
      <c r="T12" s="55" t="s">
        <v>3860</v>
      </c>
      <c r="BI12" s="100" t="str">
        <f>HYPERLINK("#일위대가목록!A616","SZD0001-450 →")</f>
        <v>SZD0001-450 →</v>
      </c>
    </row>
    <row r="13" spans="1:61" ht="18.399999999999999" customHeight="1">
      <c r="A13" s="96" t="s">
        <v>3784</v>
      </c>
      <c r="B13" s="103" t="s">
        <v>6103</v>
      </c>
      <c r="C13" s="104">
        <f>수량집계!G8</f>
        <v>0</v>
      </c>
      <c r="D13" s="95" t="s">
        <v>6293</v>
      </c>
      <c r="E13" s="98">
        <f>일위대가목록!F5</f>
        <v>32245254</v>
      </c>
      <c r="F13" s="98">
        <f t="shared" si="1"/>
        <v>0</v>
      </c>
      <c r="G13" s="98">
        <f>일위대가목록!G5</f>
        <v>3903873</v>
      </c>
      <c r="H13" s="98">
        <f t="shared" si="2"/>
        <v>0</v>
      </c>
      <c r="I13" s="98">
        <f>일위대가목록!H5</f>
        <v>794083</v>
      </c>
      <c r="J13" s="98">
        <f t="shared" si="3"/>
        <v>0</v>
      </c>
      <c r="K13" s="98">
        <f t="shared" si="0"/>
        <v>36943210</v>
      </c>
      <c r="L13" s="98">
        <f t="shared" si="0"/>
        <v>0</v>
      </c>
      <c r="M13" s="99" t="s">
        <v>6318</v>
      </c>
      <c r="N13" s="55" t="s">
        <v>6232</v>
      </c>
      <c r="P13" s="55" t="s">
        <v>1430</v>
      </c>
      <c r="Q13" s="55" t="s">
        <v>6232</v>
      </c>
      <c r="R13" s="55" t="s">
        <v>3643</v>
      </c>
      <c r="T13" s="55" t="s">
        <v>3860</v>
      </c>
      <c r="BI13" s="100" t="str">
        <f>HYPERLINK("#일위대가목록!A619","SZD0001-600 →")</f>
        <v>SZD0001-600 →</v>
      </c>
    </row>
    <row r="14" spans="1:61" ht="18.399999999999999" customHeight="1">
      <c r="A14" s="96" t="s">
        <v>3784</v>
      </c>
      <c r="B14" s="103" t="s">
        <v>369</v>
      </c>
      <c r="C14" s="104">
        <f>수량집계!G9</f>
        <v>0</v>
      </c>
      <c r="D14" s="95" t="s">
        <v>6293</v>
      </c>
      <c r="E14" s="98">
        <f>일위대가목록!F6</f>
        <v>34401427</v>
      </c>
      <c r="F14" s="98">
        <f t="shared" si="1"/>
        <v>0</v>
      </c>
      <c r="G14" s="98">
        <f>일위대가목록!G6</f>
        <v>4144605</v>
      </c>
      <c r="H14" s="98">
        <f t="shared" si="2"/>
        <v>0</v>
      </c>
      <c r="I14" s="98">
        <f>일위대가목록!H6</f>
        <v>796319</v>
      </c>
      <c r="J14" s="98">
        <f t="shared" si="3"/>
        <v>0</v>
      </c>
      <c r="K14" s="98">
        <f t="shared" si="0"/>
        <v>39342351</v>
      </c>
      <c r="L14" s="98">
        <f t="shared" si="0"/>
        <v>0</v>
      </c>
      <c r="M14" s="99" t="s">
        <v>6320</v>
      </c>
      <c r="N14" s="55" t="s">
        <v>6232</v>
      </c>
      <c r="P14" s="55" t="s">
        <v>2941</v>
      </c>
      <c r="Q14" s="55" t="s">
        <v>6232</v>
      </c>
      <c r="R14" s="55" t="s">
        <v>5128</v>
      </c>
      <c r="T14" s="55" t="s">
        <v>3860</v>
      </c>
      <c r="BI14" s="100" t="str">
        <f>HYPERLINK("#일위대가목록!A620","SZD0001-650 →")</f>
        <v>SZD0001-650 →</v>
      </c>
    </row>
    <row r="15" spans="1:61" ht="18.399999999999999" customHeight="1">
      <c r="A15" s="96" t="s">
        <v>3784</v>
      </c>
      <c r="B15" s="103" t="s">
        <v>3821</v>
      </c>
      <c r="C15" s="104">
        <f>수량집계!G10</f>
        <v>0</v>
      </c>
      <c r="D15" s="95" t="s">
        <v>6293</v>
      </c>
      <c r="E15" s="98">
        <f>일위대가목록!F7</f>
        <v>38234376</v>
      </c>
      <c r="F15" s="98">
        <f t="shared" si="1"/>
        <v>0</v>
      </c>
      <c r="G15" s="98">
        <f>일위대가목록!G7</f>
        <v>4376697</v>
      </c>
      <c r="H15" s="98">
        <f t="shared" si="2"/>
        <v>0</v>
      </c>
      <c r="I15" s="98">
        <f>일위대가목록!H7</f>
        <v>841347</v>
      </c>
      <c r="J15" s="98">
        <f t="shared" si="3"/>
        <v>0</v>
      </c>
      <c r="K15" s="98">
        <f t="shared" si="0"/>
        <v>43452420</v>
      </c>
      <c r="L15" s="98">
        <f t="shared" si="0"/>
        <v>0</v>
      </c>
      <c r="M15" s="99" t="s">
        <v>6322</v>
      </c>
      <c r="N15" s="55" t="s">
        <v>6232</v>
      </c>
      <c r="P15" s="55" t="s">
        <v>4497</v>
      </c>
      <c r="Q15" s="55" t="s">
        <v>6232</v>
      </c>
      <c r="R15" s="55" t="s">
        <v>3911</v>
      </c>
      <c r="T15" s="55" t="s">
        <v>3860</v>
      </c>
      <c r="BI15" s="100" t="str">
        <f>HYPERLINK("#일위대가목록!A621","SZD0001-700 →")</f>
        <v>SZD0001-700 →</v>
      </c>
    </row>
    <row r="16" spans="1:61" ht="18.399999999999999" customHeight="1">
      <c r="A16" s="96" t="s">
        <v>3784</v>
      </c>
      <c r="B16" s="103" t="s">
        <v>2812</v>
      </c>
      <c r="C16" s="104">
        <f>수량집계!G11</f>
        <v>0</v>
      </c>
      <c r="D16" s="95" t="s">
        <v>6293</v>
      </c>
      <c r="E16" s="98">
        <f>일위대가목록!F8</f>
        <v>44056471</v>
      </c>
      <c r="F16" s="98">
        <f t="shared" si="1"/>
        <v>0</v>
      </c>
      <c r="G16" s="98">
        <f>일위대가목록!G8</f>
        <v>4609505</v>
      </c>
      <c r="H16" s="98">
        <f t="shared" si="2"/>
        <v>0</v>
      </c>
      <c r="I16" s="98">
        <f>일위대가목록!H8</f>
        <v>843446</v>
      </c>
      <c r="J16" s="98">
        <f t="shared" si="3"/>
        <v>0</v>
      </c>
      <c r="K16" s="98">
        <f t="shared" si="0"/>
        <v>49509422</v>
      </c>
      <c r="L16" s="98">
        <f t="shared" si="0"/>
        <v>0</v>
      </c>
      <c r="M16" s="99" t="s">
        <v>6324</v>
      </c>
      <c r="N16" s="55" t="s">
        <v>6232</v>
      </c>
      <c r="P16" s="55" t="s">
        <v>6047</v>
      </c>
      <c r="Q16" s="55" t="s">
        <v>6232</v>
      </c>
      <c r="R16" s="55" t="s">
        <v>5550</v>
      </c>
      <c r="T16" s="55" t="s">
        <v>3860</v>
      </c>
      <c r="BI16" s="100" t="str">
        <f>HYPERLINK("#일위대가목록!A622","SZD0001-750 →")</f>
        <v>SZD0001-750 →</v>
      </c>
    </row>
    <row r="17" spans="1:18" ht="18.399999999999999" customHeight="1">
      <c r="A17" s="96" t="s">
        <v>6294</v>
      </c>
      <c r="B17" s="103" t="s">
        <v>6232</v>
      </c>
      <c r="C17" s="104"/>
      <c r="D17" s="97" t="s">
        <v>6232</v>
      </c>
      <c r="E17" s="95"/>
      <c r="F17" s="98">
        <f>TRUNC(F16+F15+F14+F13+F12+F11,0)</f>
        <v>126308852</v>
      </c>
      <c r="G17" s="95"/>
      <c r="H17" s="98">
        <f t="shared" ref="H17:J17" si="4">TRUNC(H16+H15+H14+H13+H12+H11,0)</f>
        <v>19977668</v>
      </c>
      <c r="I17" s="95"/>
      <c r="J17" s="98">
        <f t="shared" si="4"/>
        <v>5931964</v>
      </c>
      <c r="K17" s="98"/>
      <c r="L17" s="98">
        <f>TRUNC(L16+L15+L14+L13+L12+L11,0)</f>
        <v>152218484</v>
      </c>
      <c r="M17" s="99" t="s">
        <v>6232</v>
      </c>
      <c r="N17" s="55" t="s">
        <v>6232</v>
      </c>
      <c r="P17" s="55" t="s">
        <v>1505</v>
      </c>
      <c r="Q17" s="55" t="s">
        <v>6232</v>
      </c>
      <c r="R17" s="55" t="s">
        <v>6232</v>
      </c>
    </row>
    <row r="18" spans="1:18" ht="18.399999999999999" customHeight="1">
      <c r="A18" s="96" t="s">
        <v>2495</v>
      </c>
      <c r="B18" s="105" t="s">
        <v>6232</v>
      </c>
      <c r="C18" s="104"/>
      <c r="D18" s="97" t="s">
        <v>6232</v>
      </c>
      <c r="E18" s="95"/>
      <c r="F18" s="98">
        <v>0</v>
      </c>
      <c r="G18" s="95"/>
      <c r="H18" s="98">
        <v>0</v>
      </c>
      <c r="I18" s="95"/>
      <c r="J18" s="98">
        <v>0</v>
      </c>
      <c r="K18" s="98">
        <f t="shared" si="0"/>
        <v>0</v>
      </c>
      <c r="L18" s="98">
        <f t="shared" si="0"/>
        <v>0</v>
      </c>
      <c r="M18" s="99" t="s">
        <v>6232</v>
      </c>
      <c r="N18" s="55" t="s">
        <v>6232</v>
      </c>
      <c r="P18" s="55" t="s">
        <v>3038</v>
      </c>
      <c r="Q18" s="55" t="s">
        <v>6232</v>
      </c>
      <c r="R18" s="55" t="s">
        <v>6232</v>
      </c>
    </row>
    <row r="19" spans="1:18" ht="18.399999999999999" customHeight="1">
      <c r="A19" s="96" t="s">
        <v>2495</v>
      </c>
      <c r="B19" s="105" t="s">
        <v>6232</v>
      </c>
      <c r="C19" s="104"/>
      <c r="D19" s="97" t="s">
        <v>6232</v>
      </c>
      <c r="E19" s="95"/>
      <c r="F19" s="98">
        <v>0</v>
      </c>
      <c r="G19" s="95"/>
      <c r="H19" s="98">
        <v>0</v>
      </c>
      <c r="I19" s="95"/>
      <c r="J19" s="98">
        <v>0</v>
      </c>
      <c r="K19" s="98">
        <f>E19+G19+I19</f>
        <v>0</v>
      </c>
      <c r="L19" s="98">
        <f>F19+H19+J19</f>
        <v>0</v>
      </c>
      <c r="M19" s="99" t="s">
        <v>6232</v>
      </c>
      <c r="N19" s="55" t="s">
        <v>6232</v>
      </c>
      <c r="P19" s="55" t="s">
        <v>696</v>
      </c>
      <c r="Q19" s="55" t="s">
        <v>6232</v>
      </c>
      <c r="R19" s="55" t="s">
        <v>6232</v>
      </c>
    </row>
    <row r="20" spans="1:18" ht="18.399999999999999" customHeight="1">
      <c r="A20" s="96" t="s">
        <v>2495</v>
      </c>
      <c r="B20" s="105"/>
      <c r="C20" s="104"/>
      <c r="D20" s="97" t="s">
        <v>6232</v>
      </c>
      <c r="E20" s="95"/>
      <c r="F20" s="98">
        <v>0</v>
      </c>
      <c r="G20" s="95"/>
      <c r="H20" s="98">
        <v>0</v>
      </c>
      <c r="I20" s="95"/>
      <c r="J20" s="98">
        <v>0</v>
      </c>
      <c r="K20" s="98">
        <f>E20+G20+I20</f>
        <v>0</v>
      </c>
      <c r="L20" s="98">
        <f>F20+H20+J20</f>
        <v>0</v>
      </c>
      <c r="M20" s="99" t="s">
        <v>6232</v>
      </c>
      <c r="N20" s="55" t="s">
        <v>6232</v>
      </c>
      <c r="P20" s="55" t="s">
        <v>2367</v>
      </c>
      <c r="Q20" s="55" t="s">
        <v>6232</v>
      </c>
      <c r="R20" s="55" t="s">
        <v>6232</v>
      </c>
    </row>
    <row r="21" spans="1:18" ht="18.399999999999999" customHeight="1" thickBot="1">
      <c r="A21" s="107"/>
      <c r="B21" s="114"/>
      <c r="C21" s="108"/>
      <c r="D21" s="109"/>
      <c r="E21" s="109"/>
      <c r="F21" s="109"/>
      <c r="G21" s="109"/>
      <c r="H21" s="109"/>
      <c r="I21" s="109"/>
      <c r="J21" s="109"/>
      <c r="K21" s="109"/>
      <c r="L21" s="109"/>
      <c r="M21" s="110"/>
    </row>
    <row r="22" spans="1:18" ht="18.399999999999999" customHeight="1">
      <c r="B22" s="111"/>
      <c r="C22" s="11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0.98425196850393704" bottom="0.59055118110236227" header="0.51181102362204722" footer="0.51181102362204722"/>
  <pageSetup paperSize="9" scale="77" orientation="landscape" r:id="rId1"/>
  <headerFooter alignWithMargins="0"/>
  <colBreaks count="2" manualBreakCount="2">
    <brk id="13" max="46" man="1"/>
    <brk id="59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view="pageBreakPreview" zoomScale="115" zoomScaleNormal="100" zoomScaleSheetLayoutView="115" workbookViewId="0">
      <pane xSplit="12" ySplit="3" topLeftCell="M4" activePane="bottomRight" state="frozen"/>
      <selection sqref="A1:E1"/>
      <selection pane="topRight" sqref="A1:E1"/>
      <selection pane="bottomLeft" sqref="A1:E1"/>
      <selection pane="bottomRight" activeCell="O6" sqref="O6"/>
    </sheetView>
  </sheetViews>
  <sheetFormatPr defaultRowHeight="18.399999999999999" customHeight="1"/>
  <cols>
    <col min="1" max="1" width="37.6640625" style="55" bestFit="1" customWidth="1"/>
    <col min="2" max="2" width="26.6640625" style="55" bestFit="1" customWidth="1"/>
    <col min="3" max="10" width="9.33203125" style="93" customWidth="1"/>
    <col min="11" max="11" width="10.6640625" style="93" customWidth="1"/>
    <col min="12" max="12" width="6.5" style="93" customWidth="1"/>
    <col min="13" max="13" width="9.33203125" style="55"/>
    <col min="14" max="14" width="17" style="55" customWidth="1"/>
    <col min="15" max="15" width="16.1640625" style="55" customWidth="1"/>
    <col min="16" max="253" width="9.33203125" style="55"/>
    <col min="254" max="254" width="37.6640625" style="55" bestFit="1" customWidth="1"/>
    <col min="255" max="255" width="26.6640625" style="55" bestFit="1" customWidth="1"/>
    <col min="256" max="266" width="9.33203125" style="55"/>
    <col min="267" max="267" width="10.6640625" style="55" customWidth="1"/>
    <col min="268" max="268" width="6.5" style="55" customWidth="1"/>
    <col min="269" max="509" width="9.33203125" style="55"/>
    <col min="510" max="510" width="37.6640625" style="55" bestFit="1" customWidth="1"/>
    <col min="511" max="511" width="26.6640625" style="55" bestFit="1" customWidth="1"/>
    <col min="512" max="522" width="9.33203125" style="55"/>
    <col min="523" max="523" width="10.6640625" style="55" customWidth="1"/>
    <col min="524" max="524" width="6.5" style="55" customWidth="1"/>
    <col min="525" max="765" width="9.33203125" style="55"/>
    <col min="766" max="766" width="37.6640625" style="55" bestFit="1" customWidth="1"/>
    <col min="767" max="767" width="26.6640625" style="55" bestFit="1" customWidth="1"/>
    <col min="768" max="778" width="9.33203125" style="55"/>
    <col min="779" max="779" width="10.6640625" style="55" customWidth="1"/>
    <col min="780" max="780" width="6.5" style="55" customWidth="1"/>
    <col min="781" max="1021" width="9.33203125" style="55"/>
    <col min="1022" max="1022" width="37.6640625" style="55" bestFit="1" customWidth="1"/>
    <col min="1023" max="1023" width="26.6640625" style="55" bestFit="1" customWidth="1"/>
    <col min="1024" max="1034" width="9.33203125" style="55"/>
    <col min="1035" max="1035" width="10.6640625" style="55" customWidth="1"/>
    <col min="1036" max="1036" width="6.5" style="55" customWidth="1"/>
    <col min="1037" max="1277" width="9.33203125" style="55"/>
    <col min="1278" max="1278" width="37.6640625" style="55" bestFit="1" customWidth="1"/>
    <col min="1279" max="1279" width="26.6640625" style="55" bestFit="1" customWidth="1"/>
    <col min="1280" max="1290" width="9.33203125" style="55"/>
    <col min="1291" max="1291" width="10.6640625" style="55" customWidth="1"/>
    <col min="1292" max="1292" width="6.5" style="55" customWidth="1"/>
    <col min="1293" max="1533" width="9.33203125" style="55"/>
    <col min="1534" max="1534" width="37.6640625" style="55" bestFit="1" customWidth="1"/>
    <col min="1535" max="1535" width="26.6640625" style="55" bestFit="1" customWidth="1"/>
    <col min="1536" max="1546" width="9.33203125" style="55"/>
    <col min="1547" max="1547" width="10.6640625" style="55" customWidth="1"/>
    <col min="1548" max="1548" width="6.5" style="55" customWidth="1"/>
    <col min="1549" max="1789" width="9.33203125" style="55"/>
    <col min="1790" max="1790" width="37.6640625" style="55" bestFit="1" customWidth="1"/>
    <col min="1791" max="1791" width="26.6640625" style="55" bestFit="1" customWidth="1"/>
    <col min="1792" max="1802" width="9.33203125" style="55"/>
    <col min="1803" max="1803" width="10.6640625" style="55" customWidth="1"/>
    <col min="1804" max="1804" width="6.5" style="55" customWidth="1"/>
    <col min="1805" max="2045" width="9.33203125" style="55"/>
    <col min="2046" max="2046" width="37.6640625" style="55" bestFit="1" customWidth="1"/>
    <col min="2047" max="2047" width="26.6640625" style="55" bestFit="1" customWidth="1"/>
    <col min="2048" max="2058" width="9.33203125" style="55"/>
    <col min="2059" max="2059" width="10.6640625" style="55" customWidth="1"/>
    <col min="2060" max="2060" width="6.5" style="55" customWidth="1"/>
    <col min="2061" max="2301" width="9.33203125" style="55"/>
    <col min="2302" max="2302" width="37.6640625" style="55" bestFit="1" customWidth="1"/>
    <col min="2303" max="2303" width="26.6640625" style="55" bestFit="1" customWidth="1"/>
    <col min="2304" max="2314" width="9.33203125" style="55"/>
    <col min="2315" max="2315" width="10.6640625" style="55" customWidth="1"/>
    <col min="2316" max="2316" width="6.5" style="55" customWidth="1"/>
    <col min="2317" max="2557" width="9.33203125" style="55"/>
    <col min="2558" max="2558" width="37.6640625" style="55" bestFit="1" customWidth="1"/>
    <col min="2559" max="2559" width="26.6640625" style="55" bestFit="1" customWidth="1"/>
    <col min="2560" max="2570" width="9.33203125" style="55"/>
    <col min="2571" max="2571" width="10.6640625" style="55" customWidth="1"/>
    <col min="2572" max="2572" width="6.5" style="55" customWidth="1"/>
    <col min="2573" max="2813" width="9.33203125" style="55"/>
    <col min="2814" max="2814" width="37.6640625" style="55" bestFit="1" customWidth="1"/>
    <col min="2815" max="2815" width="26.6640625" style="55" bestFit="1" customWidth="1"/>
    <col min="2816" max="2826" width="9.33203125" style="55"/>
    <col min="2827" max="2827" width="10.6640625" style="55" customWidth="1"/>
    <col min="2828" max="2828" width="6.5" style="55" customWidth="1"/>
    <col min="2829" max="3069" width="9.33203125" style="55"/>
    <col min="3070" max="3070" width="37.6640625" style="55" bestFit="1" customWidth="1"/>
    <col min="3071" max="3071" width="26.6640625" style="55" bestFit="1" customWidth="1"/>
    <col min="3072" max="3082" width="9.33203125" style="55"/>
    <col min="3083" max="3083" width="10.6640625" style="55" customWidth="1"/>
    <col min="3084" max="3084" width="6.5" style="55" customWidth="1"/>
    <col min="3085" max="3325" width="9.33203125" style="55"/>
    <col min="3326" max="3326" width="37.6640625" style="55" bestFit="1" customWidth="1"/>
    <col min="3327" max="3327" width="26.6640625" style="55" bestFit="1" customWidth="1"/>
    <col min="3328" max="3338" width="9.33203125" style="55"/>
    <col min="3339" max="3339" width="10.6640625" style="55" customWidth="1"/>
    <col min="3340" max="3340" width="6.5" style="55" customWidth="1"/>
    <col min="3341" max="3581" width="9.33203125" style="55"/>
    <col min="3582" max="3582" width="37.6640625" style="55" bestFit="1" customWidth="1"/>
    <col min="3583" max="3583" width="26.6640625" style="55" bestFit="1" customWidth="1"/>
    <col min="3584" max="3594" width="9.33203125" style="55"/>
    <col min="3595" max="3595" width="10.6640625" style="55" customWidth="1"/>
    <col min="3596" max="3596" width="6.5" style="55" customWidth="1"/>
    <col min="3597" max="3837" width="9.33203125" style="55"/>
    <col min="3838" max="3838" width="37.6640625" style="55" bestFit="1" customWidth="1"/>
    <col min="3839" max="3839" width="26.6640625" style="55" bestFit="1" customWidth="1"/>
    <col min="3840" max="3850" width="9.33203125" style="55"/>
    <col min="3851" max="3851" width="10.6640625" style="55" customWidth="1"/>
    <col min="3852" max="3852" width="6.5" style="55" customWidth="1"/>
    <col min="3853" max="4093" width="9.33203125" style="55"/>
    <col min="4094" max="4094" width="37.6640625" style="55" bestFit="1" customWidth="1"/>
    <col min="4095" max="4095" width="26.6640625" style="55" bestFit="1" customWidth="1"/>
    <col min="4096" max="4106" width="9.33203125" style="55"/>
    <col min="4107" max="4107" width="10.6640625" style="55" customWidth="1"/>
    <col min="4108" max="4108" width="6.5" style="55" customWidth="1"/>
    <col min="4109" max="4349" width="9.33203125" style="55"/>
    <col min="4350" max="4350" width="37.6640625" style="55" bestFit="1" customWidth="1"/>
    <col min="4351" max="4351" width="26.6640625" style="55" bestFit="1" customWidth="1"/>
    <col min="4352" max="4362" width="9.33203125" style="55"/>
    <col min="4363" max="4363" width="10.6640625" style="55" customWidth="1"/>
    <col min="4364" max="4364" width="6.5" style="55" customWidth="1"/>
    <col min="4365" max="4605" width="9.33203125" style="55"/>
    <col min="4606" max="4606" width="37.6640625" style="55" bestFit="1" customWidth="1"/>
    <col min="4607" max="4607" width="26.6640625" style="55" bestFit="1" customWidth="1"/>
    <col min="4608" max="4618" width="9.33203125" style="55"/>
    <col min="4619" max="4619" width="10.6640625" style="55" customWidth="1"/>
    <col min="4620" max="4620" width="6.5" style="55" customWidth="1"/>
    <col min="4621" max="4861" width="9.33203125" style="55"/>
    <col min="4862" max="4862" width="37.6640625" style="55" bestFit="1" customWidth="1"/>
    <col min="4863" max="4863" width="26.6640625" style="55" bestFit="1" customWidth="1"/>
    <col min="4864" max="4874" width="9.33203125" style="55"/>
    <col min="4875" max="4875" width="10.6640625" style="55" customWidth="1"/>
    <col min="4876" max="4876" width="6.5" style="55" customWidth="1"/>
    <col min="4877" max="5117" width="9.33203125" style="55"/>
    <col min="5118" max="5118" width="37.6640625" style="55" bestFit="1" customWidth="1"/>
    <col min="5119" max="5119" width="26.6640625" style="55" bestFit="1" customWidth="1"/>
    <col min="5120" max="5130" width="9.33203125" style="55"/>
    <col min="5131" max="5131" width="10.6640625" style="55" customWidth="1"/>
    <col min="5132" max="5132" width="6.5" style="55" customWidth="1"/>
    <col min="5133" max="5373" width="9.33203125" style="55"/>
    <col min="5374" max="5374" width="37.6640625" style="55" bestFit="1" customWidth="1"/>
    <col min="5375" max="5375" width="26.6640625" style="55" bestFit="1" customWidth="1"/>
    <col min="5376" max="5386" width="9.33203125" style="55"/>
    <col min="5387" max="5387" width="10.6640625" style="55" customWidth="1"/>
    <col min="5388" max="5388" width="6.5" style="55" customWidth="1"/>
    <col min="5389" max="5629" width="9.33203125" style="55"/>
    <col min="5630" max="5630" width="37.6640625" style="55" bestFit="1" customWidth="1"/>
    <col min="5631" max="5631" width="26.6640625" style="55" bestFit="1" customWidth="1"/>
    <col min="5632" max="5642" width="9.33203125" style="55"/>
    <col min="5643" max="5643" width="10.6640625" style="55" customWidth="1"/>
    <col min="5644" max="5644" width="6.5" style="55" customWidth="1"/>
    <col min="5645" max="5885" width="9.33203125" style="55"/>
    <col min="5886" max="5886" width="37.6640625" style="55" bestFit="1" customWidth="1"/>
    <col min="5887" max="5887" width="26.6640625" style="55" bestFit="1" customWidth="1"/>
    <col min="5888" max="5898" width="9.33203125" style="55"/>
    <col min="5899" max="5899" width="10.6640625" style="55" customWidth="1"/>
    <col min="5900" max="5900" width="6.5" style="55" customWidth="1"/>
    <col min="5901" max="6141" width="9.33203125" style="55"/>
    <col min="6142" max="6142" width="37.6640625" style="55" bestFit="1" customWidth="1"/>
    <col min="6143" max="6143" width="26.6640625" style="55" bestFit="1" customWidth="1"/>
    <col min="6144" max="6154" width="9.33203125" style="55"/>
    <col min="6155" max="6155" width="10.6640625" style="55" customWidth="1"/>
    <col min="6156" max="6156" width="6.5" style="55" customWidth="1"/>
    <col min="6157" max="6397" width="9.33203125" style="55"/>
    <col min="6398" max="6398" width="37.6640625" style="55" bestFit="1" customWidth="1"/>
    <col min="6399" max="6399" width="26.6640625" style="55" bestFit="1" customWidth="1"/>
    <col min="6400" max="6410" width="9.33203125" style="55"/>
    <col min="6411" max="6411" width="10.6640625" style="55" customWidth="1"/>
    <col min="6412" max="6412" width="6.5" style="55" customWidth="1"/>
    <col min="6413" max="6653" width="9.33203125" style="55"/>
    <col min="6654" max="6654" width="37.6640625" style="55" bestFit="1" customWidth="1"/>
    <col min="6655" max="6655" width="26.6640625" style="55" bestFit="1" customWidth="1"/>
    <col min="6656" max="6666" width="9.33203125" style="55"/>
    <col min="6667" max="6667" width="10.6640625" style="55" customWidth="1"/>
    <col min="6668" max="6668" width="6.5" style="55" customWidth="1"/>
    <col min="6669" max="6909" width="9.33203125" style="55"/>
    <col min="6910" max="6910" width="37.6640625" style="55" bestFit="1" customWidth="1"/>
    <col min="6911" max="6911" width="26.6640625" style="55" bestFit="1" customWidth="1"/>
    <col min="6912" max="6922" width="9.33203125" style="55"/>
    <col min="6923" max="6923" width="10.6640625" style="55" customWidth="1"/>
    <col min="6924" max="6924" width="6.5" style="55" customWidth="1"/>
    <col min="6925" max="7165" width="9.33203125" style="55"/>
    <col min="7166" max="7166" width="37.6640625" style="55" bestFit="1" customWidth="1"/>
    <col min="7167" max="7167" width="26.6640625" style="55" bestFit="1" customWidth="1"/>
    <col min="7168" max="7178" width="9.33203125" style="55"/>
    <col min="7179" max="7179" width="10.6640625" style="55" customWidth="1"/>
    <col min="7180" max="7180" width="6.5" style="55" customWidth="1"/>
    <col min="7181" max="7421" width="9.33203125" style="55"/>
    <col min="7422" max="7422" width="37.6640625" style="55" bestFit="1" customWidth="1"/>
    <col min="7423" max="7423" width="26.6640625" style="55" bestFit="1" customWidth="1"/>
    <col min="7424" max="7434" width="9.33203125" style="55"/>
    <col min="7435" max="7435" width="10.6640625" style="55" customWidth="1"/>
    <col min="7436" max="7436" width="6.5" style="55" customWidth="1"/>
    <col min="7437" max="7677" width="9.33203125" style="55"/>
    <col min="7678" max="7678" width="37.6640625" style="55" bestFit="1" customWidth="1"/>
    <col min="7679" max="7679" width="26.6640625" style="55" bestFit="1" customWidth="1"/>
    <col min="7680" max="7690" width="9.33203125" style="55"/>
    <col min="7691" max="7691" width="10.6640625" style="55" customWidth="1"/>
    <col min="7692" max="7692" width="6.5" style="55" customWidth="1"/>
    <col min="7693" max="7933" width="9.33203125" style="55"/>
    <col min="7934" max="7934" width="37.6640625" style="55" bestFit="1" customWidth="1"/>
    <col min="7935" max="7935" width="26.6640625" style="55" bestFit="1" customWidth="1"/>
    <col min="7936" max="7946" width="9.33203125" style="55"/>
    <col min="7947" max="7947" width="10.6640625" style="55" customWidth="1"/>
    <col min="7948" max="7948" width="6.5" style="55" customWidth="1"/>
    <col min="7949" max="8189" width="9.33203125" style="55"/>
    <col min="8190" max="8190" width="37.6640625" style="55" bestFit="1" customWidth="1"/>
    <col min="8191" max="8191" width="26.6640625" style="55" bestFit="1" customWidth="1"/>
    <col min="8192" max="8202" width="9.33203125" style="55"/>
    <col min="8203" max="8203" width="10.6640625" style="55" customWidth="1"/>
    <col min="8204" max="8204" width="6.5" style="55" customWidth="1"/>
    <col min="8205" max="8445" width="9.33203125" style="55"/>
    <col min="8446" max="8446" width="37.6640625" style="55" bestFit="1" customWidth="1"/>
    <col min="8447" max="8447" width="26.6640625" style="55" bestFit="1" customWidth="1"/>
    <col min="8448" max="8458" width="9.33203125" style="55"/>
    <col min="8459" max="8459" width="10.6640625" style="55" customWidth="1"/>
    <col min="8460" max="8460" width="6.5" style="55" customWidth="1"/>
    <col min="8461" max="8701" width="9.33203125" style="55"/>
    <col min="8702" max="8702" width="37.6640625" style="55" bestFit="1" customWidth="1"/>
    <col min="8703" max="8703" width="26.6640625" style="55" bestFit="1" customWidth="1"/>
    <col min="8704" max="8714" width="9.33203125" style="55"/>
    <col min="8715" max="8715" width="10.6640625" style="55" customWidth="1"/>
    <col min="8716" max="8716" width="6.5" style="55" customWidth="1"/>
    <col min="8717" max="8957" width="9.33203125" style="55"/>
    <col min="8958" max="8958" width="37.6640625" style="55" bestFit="1" customWidth="1"/>
    <col min="8959" max="8959" width="26.6640625" style="55" bestFit="1" customWidth="1"/>
    <col min="8960" max="8970" width="9.33203125" style="55"/>
    <col min="8971" max="8971" width="10.6640625" style="55" customWidth="1"/>
    <col min="8972" max="8972" width="6.5" style="55" customWidth="1"/>
    <col min="8973" max="9213" width="9.33203125" style="55"/>
    <col min="9214" max="9214" width="37.6640625" style="55" bestFit="1" customWidth="1"/>
    <col min="9215" max="9215" width="26.6640625" style="55" bestFit="1" customWidth="1"/>
    <col min="9216" max="9226" width="9.33203125" style="55"/>
    <col min="9227" max="9227" width="10.6640625" style="55" customWidth="1"/>
    <col min="9228" max="9228" width="6.5" style="55" customWidth="1"/>
    <col min="9229" max="9469" width="9.33203125" style="55"/>
    <col min="9470" max="9470" width="37.6640625" style="55" bestFit="1" customWidth="1"/>
    <col min="9471" max="9471" width="26.6640625" style="55" bestFit="1" customWidth="1"/>
    <col min="9472" max="9482" width="9.33203125" style="55"/>
    <col min="9483" max="9483" width="10.6640625" style="55" customWidth="1"/>
    <col min="9484" max="9484" width="6.5" style="55" customWidth="1"/>
    <col min="9485" max="9725" width="9.33203125" style="55"/>
    <col min="9726" max="9726" width="37.6640625" style="55" bestFit="1" customWidth="1"/>
    <col min="9727" max="9727" width="26.6640625" style="55" bestFit="1" customWidth="1"/>
    <col min="9728" max="9738" width="9.33203125" style="55"/>
    <col min="9739" max="9739" width="10.6640625" style="55" customWidth="1"/>
    <col min="9740" max="9740" width="6.5" style="55" customWidth="1"/>
    <col min="9741" max="9981" width="9.33203125" style="55"/>
    <col min="9982" max="9982" width="37.6640625" style="55" bestFit="1" customWidth="1"/>
    <col min="9983" max="9983" width="26.6640625" style="55" bestFit="1" customWidth="1"/>
    <col min="9984" max="9994" width="9.33203125" style="55"/>
    <col min="9995" max="9995" width="10.6640625" style="55" customWidth="1"/>
    <col min="9996" max="9996" width="6.5" style="55" customWidth="1"/>
    <col min="9997" max="10237" width="9.33203125" style="55"/>
    <col min="10238" max="10238" width="37.6640625" style="55" bestFit="1" customWidth="1"/>
    <col min="10239" max="10239" width="26.6640625" style="55" bestFit="1" customWidth="1"/>
    <col min="10240" max="10250" width="9.33203125" style="55"/>
    <col min="10251" max="10251" width="10.6640625" style="55" customWidth="1"/>
    <col min="10252" max="10252" width="6.5" style="55" customWidth="1"/>
    <col min="10253" max="10493" width="9.33203125" style="55"/>
    <col min="10494" max="10494" width="37.6640625" style="55" bestFit="1" customWidth="1"/>
    <col min="10495" max="10495" width="26.6640625" style="55" bestFit="1" customWidth="1"/>
    <col min="10496" max="10506" width="9.33203125" style="55"/>
    <col min="10507" max="10507" width="10.6640625" style="55" customWidth="1"/>
    <col min="10508" max="10508" width="6.5" style="55" customWidth="1"/>
    <col min="10509" max="10749" width="9.33203125" style="55"/>
    <col min="10750" max="10750" width="37.6640625" style="55" bestFit="1" customWidth="1"/>
    <col min="10751" max="10751" width="26.6640625" style="55" bestFit="1" customWidth="1"/>
    <col min="10752" max="10762" width="9.33203125" style="55"/>
    <col min="10763" max="10763" width="10.6640625" style="55" customWidth="1"/>
    <col min="10764" max="10764" width="6.5" style="55" customWidth="1"/>
    <col min="10765" max="11005" width="9.33203125" style="55"/>
    <col min="11006" max="11006" width="37.6640625" style="55" bestFit="1" customWidth="1"/>
    <col min="11007" max="11007" width="26.6640625" style="55" bestFit="1" customWidth="1"/>
    <col min="11008" max="11018" width="9.33203125" style="55"/>
    <col min="11019" max="11019" width="10.6640625" style="55" customWidth="1"/>
    <col min="11020" max="11020" width="6.5" style="55" customWidth="1"/>
    <col min="11021" max="11261" width="9.33203125" style="55"/>
    <col min="11262" max="11262" width="37.6640625" style="55" bestFit="1" customWidth="1"/>
    <col min="11263" max="11263" width="26.6640625" style="55" bestFit="1" customWidth="1"/>
    <col min="11264" max="11274" width="9.33203125" style="55"/>
    <col min="11275" max="11275" width="10.6640625" style="55" customWidth="1"/>
    <col min="11276" max="11276" width="6.5" style="55" customWidth="1"/>
    <col min="11277" max="11517" width="9.33203125" style="55"/>
    <col min="11518" max="11518" width="37.6640625" style="55" bestFit="1" customWidth="1"/>
    <col min="11519" max="11519" width="26.6640625" style="55" bestFit="1" customWidth="1"/>
    <col min="11520" max="11530" width="9.33203125" style="55"/>
    <col min="11531" max="11531" width="10.6640625" style="55" customWidth="1"/>
    <col min="11532" max="11532" width="6.5" style="55" customWidth="1"/>
    <col min="11533" max="11773" width="9.33203125" style="55"/>
    <col min="11774" max="11774" width="37.6640625" style="55" bestFit="1" customWidth="1"/>
    <col min="11775" max="11775" width="26.6640625" style="55" bestFit="1" customWidth="1"/>
    <col min="11776" max="11786" width="9.33203125" style="55"/>
    <col min="11787" max="11787" width="10.6640625" style="55" customWidth="1"/>
    <col min="11788" max="11788" width="6.5" style="55" customWidth="1"/>
    <col min="11789" max="12029" width="9.33203125" style="55"/>
    <col min="12030" max="12030" width="37.6640625" style="55" bestFit="1" customWidth="1"/>
    <col min="12031" max="12031" width="26.6640625" style="55" bestFit="1" customWidth="1"/>
    <col min="12032" max="12042" width="9.33203125" style="55"/>
    <col min="12043" max="12043" width="10.6640625" style="55" customWidth="1"/>
    <col min="12044" max="12044" width="6.5" style="55" customWidth="1"/>
    <col min="12045" max="12285" width="9.33203125" style="55"/>
    <col min="12286" max="12286" width="37.6640625" style="55" bestFit="1" customWidth="1"/>
    <col min="12287" max="12287" width="26.6640625" style="55" bestFit="1" customWidth="1"/>
    <col min="12288" max="12298" width="9.33203125" style="55"/>
    <col min="12299" max="12299" width="10.6640625" style="55" customWidth="1"/>
    <col min="12300" max="12300" width="6.5" style="55" customWidth="1"/>
    <col min="12301" max="12541" width="9.33203125" style="55"/>
    <col min="12542" max="12542" width="37.6640625" style="55" bestFit="1" customWidth="1"/>
    <col min="12543" max="12543" width="26.6640625" style="55" bestFit="1" customWidth="1"/>
    <col min="12544" max="12554" width="9.33203125" style="55"/>
    <col min="12555" max="12555" width="10.6640625" style="55" customWidth="1"/>
    <col min="12556" max="12556" width="6.5" style="55" customWidth="1"/>
    <col min="12557" max="12797" width="9.33203125" style="55"/>
    <col min="12798" max="12798" width="37.6640625" style="55" bestFit="1" customWidth="1"/>
    <col min="12799" max="12799" width="26.6640625" style="55" bestFit="1" customWidth="1"/>
    <col min="12800" max="12810" width="9.33203125" style="55"/>
    <col min="12811" max="12811" width="10.6640625" style="55" customWidth="1"/>
    <col min="12812" max="12812" width="6.5" style="55" customWidth="1"/>
    <col min="12813" max="13053" width="9.33203125" style="55"/>
    <col min="13054" max="13054" width="37.6640625" style="55" bestFit="1" customWidth="1"/>
    <col min="13055" max="13055" width="26.6640625" style="55" bestFit="1" customWidth="1"/>
    <col min="13056" max="13066" width="9.33203125" style="55"/>
    <col min="13067" max="13067" width="10.6640625" style="55" customWidth="1"/>
    <col min="13068" max="13068" width="6.5" style="55" customWidth="1"/>
    <col min="13069" max="13309" width="9.33203125" style="55"/>
    <col min="13310" max="13310" width="37.6640625" style="55" bestFit="1" customWidth="1"/>
    <col min="13311" max="13311" width="26.6640625" style="55" bestFit="1" customWidth="1"/>
    <col min="13312" max="13322" width="9.33203125" style="55"/>
    <col min="13323" max="13323" width="10.6640625" style="55" customWidth="1"/>
    <col min="13324" max="13324" width="6.5" style="55" customWidth="1"/>
    <col min="13325" max="13565" width="9.33203125" style="55"/>
    <col min="13566" max="13566" width="37.6640625" style="55" bestFit="1" customWidth="1"/>
    <col min="13567" max="13567" width="26.6640625" style="55" bestFit="1" customWidth="1"/>
    <col min="13568" max="13578" width="9.33203125" style="55"/>
    <col min="13579" max="13579" width="10.6640625" style="55" customWidth="1"/>
    <col min="13580" max="13580" width="6.5" style="55" customWidth="1"/>
    <col min="13581" max="13821" width="9.33203125" style="55"/>
    <col min="13822" max="13822" width="37.6640625" style="55" bestFit="1" customWidth="1"/>
    <col min="13823" max="13823" width="26.6640625" style="55" bestFit="1" customWidth="1"/>
    <col min="13824" max="13834" width="9.33203125" style="55"/>
    <col min="13835" max="13835" width="10.6640625" style="55" customWidth="1"/>
    <col min="13836" max="13836" width="6.5" style="55" customWidth="1"/>
    <col min="13837" max="14077" width="9.33203125" style="55"/>
    <col min="14078" max="14078" width="37.6640625" style="55" bestFit="1" customWidth="1"/>
    <col min="14079" max="14079" width="26.6640625" style="55" bestFit="1" customWidth="1"/>
    <col min="14080" max="14090" width="9.33203125" style="55"/>
    <col min="14091" max="14091" width="10.6640625" style="55" customWidth="1"/>
    <col min="14092" max="14092" width="6.5" style="55" customWidth="1"/>
    <col min="14093" max="14333" width="9.33203125" style="55"/>
    <col min="14334" max="14334" width="37.6640625" style="55" bestFit="1" customWidth="1"/>
    <col min="14335" max="14335" width="26.6640625" style="55" bestFit="1" customWidth="1"/>
    <col min="14336" max="14346" width="9.33203125" style="55"/>
    <col min="14347" max="14347" width="10.6640625" style="55" customWidth="1"/>
    <col min="14348" max="14348" width="6.5" style="55" customWidth="1"/>
    <col min="14349" max="14589" width="9.33203125" style="55"/>
    <col min="14590" max="14590" width="37.6640625" style="55" bestFit="1" customWidth="1"/>
    <col min="14591" max="14591" width="26.6640625" style="55" bestFit="1" customWidth="1"/>
    <col min="14592" max="14602" width="9.33203125" style="55"/>
    <col min="14603" max="14603" width="10.6640625" style="55" customWidth="1"/>
    <col min="14604" max="14604" width="6.5" style="55" customWidth="1"/>
    <col min="14605" max="14845" width="9.33203125" style="55"/>
    <col min="14846" max="14846" width="37.6640625" style="55" bestFit="1" customWidth="1"/>
    <col min="14847" max="14847" width="26.6640625" style="55" bestFit="1" customWidth="1"/>
    <col min="14848" max="14858" width="9.33203125" style="55"/>
    <col min="14859" max="14859" width="10.6640625" style="55" customWidth="1"/>
    <col min="14860" max="14860" width="6.5" style="55" customWidth="1"/>
    <col min="14861" max="15101" width="9.33203125" style="55"/>
    <col min="15102" max="15102" width="37.6640625" style="55" bestFit="1" customWidth="1"/>
    <col min="15103" max="15103" width="26.6640625" style="55" bestFit="1" customWidth="1"/>
    <col min="15104" max="15114" width="9.33203125" style="55"/>
    <col min="15115" max="15115" width="10.6640625" style="55" customWidth="1"/>
    <col min="15116" max="15116" width="6.5" style="55" customWidth="1"/>
    <col min="15117" max="15357" width="9.33203125" style="55"/>
    <col min="15358" max="15358" width="37.6640625" style="55" bestFit="1" customWidth="1"/>
    <col min="15359" max="15359" width="26.6640625" style="55" bestFit="1" customWidth="1"/>
    <col min="15360" max="15370" width="9.33203125" style="55"/>
    <col min="15371" max="15371" width="10.6640625" style="55" customWidth="1"/>
    <col min="15372" max="15372" width="6.5" style="55" customWidth="1"/>
    <col min="15373" max="15613" width="9.33203125" style="55"/>
    <col min="15614" max="15614" width="37.6640625" style="55" bestFit="1" customWidth="1"/>
    <col min="15615" max="15615" width="26.6640625" style="55" bestFit="1" customWidth="1"/>
    <col min="15616" max="15626" width="9.33203125" style="55"/>
    <col min="15627" max="15627" width="10.6640625" style="55" customWidth="1"/>
    <col min="15628" max="15628" width="6.5" style="55" customWidth="1"/>
    <col min="15629" max="15869" width="9.33203125" style="55"/>
    <col min="15870" max="15870" width="37.6640625" style="55" bestFit="1" customWidth="1"/>
    <col min="15871" max="15871" width="26.6640625" style="55" bestFit="1" customWidth="1"/>
    <col min="15872" max="15882" width="9.33203125" style="55"/>
    <col min="15883" max="15883" width="10.6640625" style="55" customWidth="1"/>
    <col min="15884" max="15884" width="6.5" style="55" customWidth="1"/>
    <col min="15885" max="16125" width="9.33203125" style="55"/>
    <col min="16126" max="16126" width="37.6640625" style="55" bestFit="1" customWidth="1"/>
    <col min="16127" max="16127" width="26.6640625" style="55" bestFit="1" customWidth="1"/>
    <col min="16128" max="16138" width="9.33203125" style="55"/>
    <col min="16139" max="16139" width="10.6640625" style="55" customWidth="1"/>
    <col min="16140" max="16140" width="6.5" style="55" customWidth="1"/>
    <col min="16141" max="16384" width="9.33203125" style="55"/>
  </cols>
  <sheetData>
    <row r="1" spans="1:15" ht="18.399999999999999" customHeight="1" thickBot="1">
      <c r="A1" s="55" t="s">
        <v>725</v>
      </c>
    </row>
    <row r="2" spans="1:15" ht="18.399999999999999" customHeight="1">
      <c r="A2" s="406" t="s">
        <v>990</v>
      </c>
      <c r="B2" s="403" t="s">
        <v>2749</v>
      </c>
      <c r="C2" s="411" t="s">
        <v>6604</v>
      </c>
      <c r="D2" s="411"/>
      <c r="E2" s="412"/>
      <c r="F2" s="411" t="s">
        <v>6516</v>
      </c>
      <c r="G2" s="411"/>
      <c r="H2" s="412"/>
      <c r="I2" s="409" t="s">
        <v>6296</v>
      </c>
      <c r="J2" s="409" t="s">
        <v>6297</v>
      </c>
      <c r="K2" s="409" t="s">
        <v>6555</v>
      </c>
      <c r="L2" s="403" t="s">
        <v>2236</v>
      </c>
    </row>
    <row r="3" spans="1:15" ht="18.399999999999999" customHeight="1" thickBot="1">
      <c r="A3" s="407" t="s">
        <v>6232</v>
      </c>
      <c r="B3" s="408" t="s">
        <v>6232</v>
      </c>
      <c r="C3" s="115" t="s">
        <v>6298</v>
      </c>
      <c r="D3" s="115" t="s">
        <v>6299</v>
      </c>
      <c r="E3" s="116" t="s">
        <v>6301</v>
      </c>
      <c r="F3" s="115" t="s">
        <v>6302</v>
      </c>
      <c r="G3" s="115" t="s">
        <v>6303</v>
      </c>
      <c r="H3" s="116" t="s">
        <v>6301</v>
      </c>
      <c r="I3" s="410"/>
      <c r="J3" s="410"/>
      <c r="K3" s="410"/>
      <c r="L3" s="408" t="s">
        <v>6232</v>
      </c>
    </row>
    <row r="4" spans="1:15" ht="18.399999999999999" customHeight="1">
      <c r="A4" s="117"/>
      <c r="B4" s="118"/>
      <c r="C4" s="118"/>
      <c r="D4" s="118"/>
      <c r="E4" s="119"/>
      <c r="F4" s="118"/>
      <c r="G4" s="118"/>
      <c r="H4" s="119"/>
      <c r="I4" s="118"/>
      <c r="J4" s="118"/>
      <c r="K4" s="119"/>
      <c r="L4" s="118"/>
    </row>
    <row r="5" spans="1:15" ht="18.399999999999999" customHeight="1">
      <c r="A5" s="96" t="s">
        <v>5088</v>
      </c>
      <c r="B5" s="103" t="s">
        <v>6232</v>
      </c>
      <c r="C5" s="95"/>
      <c r="D5" s="95"/>
      <c r="E5" s="120"/>
      <c r="F5" s="95"/>
      <c r="G5" s="95"/>
      <c r="H5" s="120"/>
      <c r="I5" s="95"/>
      <c r="J5" s="95"/>
      <c r="K5" s="120"/>
      <c r="L5" s="95"/>
    </row>
    <row r="6" spans="1:15" ht="18.399999999999999" customHeight="1">
      <c r="A6" s="96" t="s">
        <v>3784</v>
      </c>
      <c r="B6" s="121" t="s">
        <v>4869</v>
      </c>
      <c r="C6" s="122">
        <f>0</f>
        <v>0</v>
      </c>
      <c r="D6" s="122">
        <f>0</f>
        <v>0</v>
      </c>
      <c r="E6" s="123">
        <f>C6+D6</f>
        <v>0</v>
      </c>
      <c r="F6" s="194">
        <f>0</f>
        <v>0</v>
      </c>
      <c r="G6" s="194">
        <f>4</f>
        <v>4</v>
      </c>
      <c r="H6" s="123">
        <f t="shared" ref="H6:H11" si="0">F6+G6</f>
        <v>4</v>
      </c>
      <c r="I6" s="122">
        <f t="shared" ref="I6:K11" si="1">C6+F6</f>
        <v>0</v>
      </c>
      <c r="J6" s="122">
        <f t="shared" si="1"/>
        <v>4</v>
      </c>
      <c r="K6" s="123">
        <f t="shared" si="1"/>
        <v>4</v>
      </c>
      <c r="L6" s="124" t="s">
        <v>6293</v>
      </c>
      <c r="N6" s="55">
        <v>13377641</v>
      </c>
      <c r="O6" s="203">
        <f>N6*K6</f>
        <v>53510564</v>
      </c>
    </row>
    <row r="7" spans="1:15" ht="18.399999999999999" customHeight="1">
      <c r="A7" s="96" t="s">
        <v>3784</v>
      </c>
      <c r="B7" s="121" t="s">
        <v>3762</v>
      </c>
      <c r="C7" s="122">
        <f>0</f>
        <v>0</v>
      </c>
      <c r="D7" s="122">
        <f>0</f>
        <v>0</v>
      </c>
      <c r="E7" s="123">
        <f t="shared" ref="E7:E11" si="2">C7+D7</f>
        <v>0</v>
      </c>
      <c r="F7" s="194">
        <f>0</f>
        <v>0</v>
      </c>
      <c r="G7" s="194">
        <f>4</f>
        <v>4</v>
      </c>
      <c r="H7" s="123">
        <f t="shared" si="0"/>
        <v>4</v>
      </c>
      <c r="I7" s="122">
        <f t="shared" si="1"/>
        <v>0</v>
      </c>
      <c r="J7" s="122">
        <f t="shared" si="1"/>
        <v>4</v>
      </c>
      <c r="K7" s="123">
        <f t="shared" si="1"/>
        <v>4</v>
      </c>
      <c r="L7" s="124" t="s">
        <v>6293</v>
      </c>
      <c r="N7" s="55">
        <v>24676980</v>
      </c>
      <c r="O7" s="203">
        <f t="shared" ref="O7:O11" si="3">N7*K7</f>
        <v>98707920</v>
      </c>
    </row>
    <row r="8" spans="1:15" ht="18.399999999999999" customHeight="1">
      <c r="A8" s="96" t="s">
        <v>3784</v>
      </c>
      <c r="B8" s="121" t="s">
        <v>6103</v>
      </c>
      <c r="C8" s="122">
        <f>8</f>
        <v>8</v>
      </c>
      <c r="D8" s="122">
        <f>0</f>
        <v>0</v>
      </c>
      <c r="E8" s="123">
        <f t="shared" si="2"/>
        <v>8</v>
      </c>
      <c r="F8" s="194">
        <f>0</f>
        <v>0</v>
      </c>
      <c r="G8" s="194">
        <f>0</f>
        <v>0</v>
      </c>
      <c r="H8" s="123">
        <f t="shared" si="0"/>
        <v>0</v>
      </c>
      <c r="I8" s="194">
        <f t="shared" si="1"/>
        <v>8</v>
      </c>
      <c r="J8" s="122">
        <f t="shared" si="1"/>
        <v>0</v>
      </c>
      <c r="K8" s="123">
        <f t="shared" si="1"/>
        <v>8</v>
      </c>
      <c r="L8" s="124" t="s">
        <v>6293</v>
      </c>
      <c r="N8" s="55">
        <v>36943210</v>
      </c>
      <c r="O8" s="203">
        <f t="shared" si="3"/>
        <v>295545680</v>
      </c>
    </row>
    <row r="9" spans="1:15" ht="18.399999999999999" customHeight="1">
      <c r="A9" s="96" t="s">
        <v>3784</v>
      </c>
      <c r="B9" s="121" t="s">
        <v>369</v>
      </c>
      <c r="C9" s="122">
        <f>4</f>
        <v>4</v>
      </c>
      <c r="D9" s="122">
        <f>0</f>
        <v>0</v>
      </c>
      <c r="E9" s="123">
        <f t="shared" si="2"/>
        <v>4</v>
      </c>
      <c r="F9" s="194">
        <f>4</f>
        <v>4</v>
      </c>
      <c r="G9" s="194"/>
      <c r="H9" s="123">
        <f t="shared" si="0"/>
        <v>4</v>
      </c>
      <c r="I9" s="194">
        <f t="shared" si="1"/>
        <v>8</v>
      </c>
      <c r="J9" s="122">
        <f t="shared" si="1"/>
        <v>0</v>
      </c>
      <c r="K9" s="123">
        <f t="shared" si="1"/>
        <v>8</v>
      </c>
      <c r="L9" s="124" t="s">
        <v>6293</v>
      </c>
      <c r="N9" s="55">
        <v>39342351</v>
      </c>
      <c r="O9" s="203">
        <f t="shared" si="3"/>
        <v>314738808</v>
      </c>
    </row>
    <row r="10" spans="1:15" ht="18.399999999999999" customHeight="1">
      <c r="A10" s="96" t="s">
        <v>3784</v>
      </c>
      <c r="B10" s="121" t="s">
        <v>3821</v>
      </c>
      <c r="C10" s="122">
        <f>0</f>
        <v>0</v>
      </c>
      <c r="D10" s="122">
        <f>0</f>
        <v>0</v>
      </c>
      <c r="E10" s="123">
        <f t="shared" si="2"/>
        <v>0</v>
      </c>
      <c r="F10" s="194">
        <f>4</f>
        <v>4</v>
      </c>
      <c r="G10" s="194">
        <f>0</f>
        <v>0</v>
      </c>
      <c r="H10" s="123">
        <f t="shared" si="0"/>
        <v>4</v>
      </c>
      <c r="I10" s="194">
        <f t="shared" si="1"/>
        <v>4</v>
      </c>
      <c r="J10" s="122">
        <f t="shared" si="1"/>
        <v>0</v>
      </c>
      <c r="K10" s="123">
        <f t="shared" si="1"/>
        <v>4</v>
      </c>
      <c r="L10" s="124" t="s">
        <v>6293</v>
      </c>
      <c r="N10" s="55">
        <v>43452420</v>
      </c>
      <c r="O10" s="203">
        <f t="shared" si="3"/>
        <v>173809680</v>
      </c>
    </row>
    <row r="11" spans="1:15" ht="18.399999999999999" customHeight="1">
      <c r="A11" s="96" t="s">
        <v>3784</v>
      </c>
      <c r="B11" s="121" t="s">
        <v>2812</v>
      </c>
      <c r="C11" s="122">
        <f>0</f>
        <v>0</v>
      </c>
      <c r="D11" s="122">
        <f>0</f>
        <v>0</v>
      </c>
      <c r="E11" s="123">
        <f t="shared" si="2"/>
        <v>0</v>
      </c>
      <c r="F11" s="194">
        <f>2</f>
        <v>2</v>
      </c>
      <c r="G11" s="194">
        <f>0</f>
        <v>0</v>
      </c>
      <c r="H11" s="123">
        <f t="shared" si="0"/>
        <v>2</v>
      </c>
      <c r="I11" s="194">
        <f t="shared" si="1"/>
        <v>2</v>
      </c>
      <c r="J11" s="122">
        <f t="shared" si="1"/>
        <v>0</v>
      </c>
      <c r="K11" s="123">
        <f t="shared" si="1"/>
        <v>2</v>
      </c>
      <c r="L11" s="124" t="s">
        <v>6293</v>
      </c>
      <c r="N11" s="55">
        <v>49509422</v>
      </c>
      <c r="O11" s="203">
        <f t="shared" si="3"/>
        <v>99018844</v>
      </c>
    </row>
    <row r="12" spans="1:15" ht="18.399999999999999" customHeight="1">
      <c r="A12" s="125" t="s">
        <v>6294</v>
      </c>
      <c r="B12" s="126" t="s">
        <v>6232</v>
      </c>
      <c r="C12" s="127">
        <f>SUM(C6:C11)</f>
        <v>12</v>
      </c>
      <c r="D12" s="127">
        <f t="shared" ref="D12:K12" si="4">SUM(D6:D11)</f>
        <v>0</v>
      </c>
      <c r="E12" s="127">
        <f>SUM(E6:E11)</f>
        <v>12</v>
      </c>
      <c r="F12" s="127">
        <f t="shared" si="4"/>
        <v>10</v>
      </c>
      <c r="G12" s="127">
        <f t="shared" si="4"/>
        <v>8</v>
      </c>
      <c r="H12" s="127">
        <f t="shared" si="4"/>
        <v>18</v>
      </c>
      <c r="I12" s="127">
        <f t="shared" si="4"/>
        <v>22</v>
      </c>
      <c r="J12" s="127">
        <f t="shared" si="4"/>
        <v>8</v>
      </c>
      <c r="K12" s="127">
        <f t="shared" si="4"/>
        <v>30</v>
      </c>
      <c r="L12" s="128" t="s">
        <v>6293</v>
      </c>
      <c r="O12" s="203">
        <f>SUM(O6:O11)</f>
        <v>1035331496</v>
      </c>
    </row>
    <row r="13" spans="1:15" ht="18.399999999999999" customHeight="1">
      <c r="B13" s="111"/>
      <c r="C13" s="112"/>
      <c r="D13" s="112"/>
      <c r="E13" s="112"/>
      <c r="F13" s="112"/>
      <c r="G13" s="112"/>
      <c r="H13" s="112"/>
      <c r="I13" s="112"/>
      <c r="J13" s="112"/>
      <c r="K13" s="112"/>
      <c r="O13" s="203"/>
    </row>
    <row r="14" spans="1:15" ht="18.399999999999999" customHeight="1">
      <c r="O14" s="203"/>
    </row>
  </sheetData>
  <mergeCells count="8">
    <mergeCell ref="J2:J3"/>
    <mergeCell ref="K2:K3"/>
    <mergeCell ref="L2:L3"/>
    <mergeCell ref="A2:A3"/>
    <mergeCell ref="B2:B3"/>
    <mergeCell ref="C2:E2"/>
    <mergeCell ref="F2:H2"/>
    <mergeCell ref="I2:I3"/>
  </mergeCells>
  <phoneticPr fontId="7" type="noConversion"/>
  <pageMargins left="0.31496062992125984" right="0.31496062992125984" top="0.98425196850393704" bottom="0.59055118110236227" header="0.51181102362204722" footer="0.51181102362204722"/>
  <pageSetup paperSize="9" scale="77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79998168889431442"/>
  </sheetPr>
  <dimension ref="A1:BI1496"/>
  <sheetViews>
    <sheetView view="pageBreakPreview" topLeftCell="A526" zoomScaleNormal="100" zoomScaleSheetLayoutView="100" workbookViewId="0">
      <selection sqref="A1:F1"/>
    </sheetView>
  </sheetViews>
  <sheetFormatPr defaultRowHeight="18.399999999999999" customHeight="1"/>
  <cols>
    <col min="1" max="1" width="37.6640625" bestFit="1" customWidth="1"/>
    <col min="2" max="2" width="26.6640625" bestFit="1" customWidth="1"/>
    <col min="3" max="3" width="5.6640625" bestFit="1" customWidth="1"/>
    <col min="4" max="4" width="5" customWidth="1"/>
    <col min="5" max="6" width="14" bestFit="1" customWidth="1"/>
    <col min="7" max="8" width="12.1640625" bestFit="1" customWidth="1"/>
    <col min="9" max="10" width="11" bestFit="1" customWidth="1"/>
    <col min="11" max="12" width="14" bestFit="1" customWidth="1"/>
    <col min="13" max="13" width="10" customWidth="1"/>
    <col min="14" max="59" width="0" hidden="1" customWidth="1"/>
  </cols>
  <sheetData>
    <row r="1" spans="1:61" ht="18.399999999999999" customHeight="1" thickBot="1">
      <c r="A1" t="s">
        <v>725</v>
      </c>
    </row>
    <row r="2" spans="1:61" ht="18.399999999999999" customHeight="1">
      <c r="A2" s="416" t="s">
        <v>990</v>
      </c>
      <c r="B2" s="413" t="s">
        <v>2749</v>
      </c>
      <c r="C2" s="413" t="s">
        <v>3621</v>
      </c>
      <c r="D2" s="413" t="s">
        <v>2264</v>
      </c>
      <c r="E2" s="413" t="s">
        <v>4256</v>
      </c>
      <c r="F2" s="413" t="s">
        <v>6232</v>
      </c>
      <c r="G2" s="413" t="s">
        <v>2490</v>
      </c>
      <c r="H2" s="413" t="s">
        <v>6232</v>
      </c>
      <c r="I2" s="413" t="s">
        <v>422</v>
      </c>
      <c r="J2" s="413" t="s">
        <v>6232</v>
      </c>
      <c r="K2" s="413" t="s">
        <v>6009</v>
      </c>
      <c r="L2" s="413" t="s">
        <v>6232</v>
      </c>
      <c r="M2" s="414" t="s">
        <v>1571</v>
      </c>
    </row>
    <row r="3" spans="1:61" ht="18.399999999999999" customHeight="1" thickBot="1">
      <c r="A3" s="417" t="s">
        <v>6232</v>
      </c>
      <c r="B3" s="418" t="s">
        <v>6232</v>
      </c>
      <c r="C3" s="418" t="s">
        <v>6232</v>
      </c>
      <c r="D3" s="418" t="s">
        <v>6232</v>
      </c>
      <c r="E3" s="27" t="s">
        <v>1407</v>
      </c>
      <c r="F3" s="27" t="s">
        <v>783</v>
      </c>
      <c r="G3" s="27" t="s">
        <v>1407</v>
      </c>
      <c r="H3" s="27" t="s">
        <v>783</v>
      </c>
      <c r="I3" s="27" t="s">
        <v>1407</v>
      </c>
      <c r="J3" s="27" t="s">
        <v>783</v>
      </c>
      <c r="K3" s="27" t="s">
        <v>1407</v>
      </c>
      <c r="L3" s="27" t="s">
        <v>783</v>
      </c>
      <c r="M3" s="415" t="s">
        <v>6232</v>
      </c>
      <c r="S3" s="1" t="s">
        <v>1967</v>
      </c>
      <c r="T3" s="1" t="s">
        <v>4561</v>
      </c>
      <c r="U3" s="1" t="s">
        <v>2099</v>
      </c>
      <c r="V3" s="1" t="s">
        <v>811</v>
      </c>
      <c r="W3" s="1" t="s">
        <v>353</v>
      </c>
      <c r="X3" s="1" t="s">
        <v>1874</v>
      </c>
      <c r="Y3" s="1" t="s">
        <v>4239</v>
      </c>
    </row>
    <row r="4" spans="1:61" ht="18.399999999999999" customHeight="1">
      <c r="A4" s="11" t="s">
        <v>2498</v>
      </c>
      <c r="B4" s="2" t="s">
        <v>6232</v>
      </c>
      <c r="C4" s="2">
        <v>1</v>
      </c>
      <c r="D4" s="2" t="s">
        <v>5012</v>
      </c>
      <c r="F4" s="29" t="e">
        <f>TRUNC(F5,0)</f>
        <v>#REF!</v>
      </c>
      <c r="H4" s="29" t="e">
        <f>TRUNC(H5,0)</f>
        <v>#REF!</v>
      </c>
      <c r="J4" s="29" t="e">
        <f>TRUNC(J5,0)</f>
        <v>#REF!</v>
      </c>
      <c r="L4" s="29" t="e">
        <f>F4+H4+J4</f>
        <v>#REF!</v>
      </c>
      <c r="M4" s="20" t="s">
        <v>6232</v>
      </c>
      <c r="N4" t="s">
        <v>6232</v>
      </c>
      <c r="O4" t="s">
        <v>1653</v>
      </c>
    </row>
    <row r="5" spans="1:61" ht="18.399999999999999" customHeight="1">
      <c r="A5" s="11" t="s">
        <v>2458</v>
      </c>
      <c r="B5" s="2" t="s">
        <v>6232</v>
      </c>
      <c r="C5" s="2">
        <v>1</v>
      </c>
      <c r="D5" s="2" t="s">
        <v>5012</v>
      </c>
      <c r="E5" s="29" t="e">
        <f>F9</f>
        <v>#REF!</v>
      </c>
      <c r="F5" s="29" t="e">
        <f>TRUNC(E5*C5,0)</f>
        <v>#REF!</v>
      </c>
      <c r="G5" s="29" t="e">
        <f>H9</f>
        <v>#REF!</v>
      </c>
      <c r="H5" s="29" t="e">
        <f>TRUNC(G5*C5,0)</f>
        <v>#REF!</v>
      </c>
      <c r="I5" s="29" t="e">
        <f>J9</f>
        <v>#REF!</v>
      </c>
      <c r="J5" s="29" t="e">
        <f>TRUNC(I5*C5,0)</f>
        <v>#REF!</v>
      </c>
      <c r="K5" s="29" t="e">
        <f>E5+G5+I5</f>
        <v>#REF!</v>
      </c>
      <c r="L5" s="29" t="e">
        <f>F5+H5+J5</f>
        <v>#REF!</v>
      </c>
      <c r="M5" s="20" t="s">
        <v>6232</v>
      </c>
      <c r="N5" t="s">
        <v>6232</v>
      </c>
      <c r="P5" t="s">
        <v>1948</v>
      </c>
      <c r="Q5" t="s">
        <v>6232</v>
      </c>
      <c r="R5" t="s">
        <v>5134</v>
      </c>
      <c r="BI5" s="52" t="str">
        <f>HYPERLINK("#내역서!A9","A01 →")</f>
        <v>A01 →</v>
      </c>
    </row>
    <row r="6" spans="1:61" ht="18.399999999999999" customHeight="1">
      <c r="A6" s="11" t="s">
        <v>5462</v>
      </c>
      <c r="B6" s="2" t="s">
        <v>6232</v>
      </c>
      <c r="C6" s="2"/>
      <c r="D6" s="2" t="s">
        <v>6232</v>
      </c>
      <c r="E6" s="1"/>
      <c r="F6" s="29" t="e">
        <f>TRUNC(F5,0)</f>
        <v>#REF!</v>
      </c>
      <c r="G6" s="1"/>
      <c r="H6" s="29" t="e">
        <f>TRUNC(H5,0)</f>
        <v>#REF!</v>
      </c>
      <c r="I6" s="1"/>
      <c r="J6" s="29" t="e">
        <f>TRUNC(J5,0)</f>
        <v>#REF!</v>
      </c>
      <c r="K6" s="29">
        <f>E6+G6+I6</f>
        <v>0</v>
      </c>
      <c r="L6" s="29" t="e">
        <f>F6+H6+J6</f>
        <v>#REF!</v>
      </c>
      <c r="M6" s="20" t="s">
        <v>6232</v>
      </c>
      <c r="N6" t="s">
        <v>6232</v>
      </c>
      <c r="P6" t="s">
        <v>549</v>
      </c>
      <c r="Q6" t="s">
        <v>6232</v>
      </c>
      <c r="R6" t="s">
        <v>6232</v>
      </c>
    </row>
    <row r="7" spans="1:61" ht="18.399999999999999" customHeight="1">
      <c r="A7" s="11" t="s">
        <v>2495</v>
      </c>
      <c r="B7" s="2" t="s">
        <v>6232</v>
      </c>
      <c r="C7" s="2"/>
      <c r="D7" s="2" t="s">
        <v>6232</v>
      </c>
      <c r="E7" s="1"/>
      <c r="F7" s="29">
        <v>0</v>
      </c>
      <c r="G7" s="1"/>
      <c r="H7" s="29">
        <v>0</v>
      </c>
      <c r="I7" s="1"/>
      <c r="J7" s="29">
        <v>0</v>
      </c>
      <c r="K7" s="29">
        <f>E7+G7+I7</f>
        <v>0</v>
      </c>
      <c r="L7" s="29">
        <f>F7+H7+J7</f>
        <v>0</v>
      </c>
      <c r="M7" s="20" t="s">
        <v>6232</v>
      </c>
      <c r="N7" t="s">
        <v>6232</v>
      </c>
      <c r="P7" t="s">
        <v>528</v>
      </c>
      <c r="Q7" t="s">
        <v>6232</v>
      </c>
      <c r="R7" t="s">
        <v>6232</v>
      </c>
    </row>
    <row r="8" spans="1:61" ht="18.399999999999999" customHeight="1">
      <c r="A8" s="47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50"/>
    </row>
    <row r="9" spans="1:61" ht="18.399999999999999" customHeight="1">
      <c r="A9" s="11" t="s">
        <v>5088</v>
      </c>
      <c r="B9" s="2" t="s">
        <v>6232</v>
      </c>
      <c r="C9" s="2">
        <v>1</v>
      </c>
      <c r="D9" s="2" t="s">
        <v>5012</v>
      </c>
      <c r="F9" s="29" t="e">
        <f>TRUNC(SUM(Z9:Z57),0)</f>
        <v>#REF!</v>
      </c>
      <c r="H9" s="29" t="e">
        <f>TRUNC(SUM(AA9:AA57),0)</f>
        <v>#REF!</v>
      </c>
      <c r="J9" s="29" t="e">
        <f>TRUNC(SUM(AB9:AB57),0)</f>
        <v>#REF!</v>
      </c>
      <c r="L9" s="29" t="e">
        <f t="shared" ref="L9:L72" si="0">F9+H9+J9</f>
        <v>#REF!</v>
      </c>
      <c r="M9" s="20" t="s">
        <v>6232</v>
      </c>
      <c r="N9" t="s">
        <v>6232</v>
      </c>
      <c r="O9" t="s">
        <v>5134</v>
      </c>
      <c r="Z9" s="29" t="e">
        <f>F12+F13+F14+F15+F16+F17+F18+F19+F20+F21+F22+F23+F24+F25+F26+F27+F28+F29+F30+F31+F32+F33+F34+F35+F36+F37+F38+F39+F40+F41+F42+F43+F47+F48+F49+F50+F51</f>
        <v>#REF!</v>
      </c>
      <c r="AA9" s="29" t="e">
        <f>H12+H13+H14+H15+H16+H17+H18+H19+H20+H21+H22+H23+H24+H25+H26+H27+H28+H29+H30+H31+H32+H33+H34+H35+H36+H37+H38+H39+H40+H41+H42+H43+H47+H48+H49+H50+H51</f>
        <v>#REF!</v>
      </c>
      <c r="AB9" s="29" t="e">
        <f>J12+J13+J14+J15+J16+J17+J18+J19+J20+J21+J22+J23+J24+J25+J26+J27+J28+J29+J30+J31+J32+J33+J34+J35+J36+J37+J38+J39+J40+J41+J42+J43+J47+J48+J49+J50+J51</f>
        <v>#REF!</v>
      </c>
    </row>
    <row r="10" spans="1:61" ht="18.399999999999999" customHeight="1">
      <c r="A10" s="11" t="s">
        <v>3399</v>
      </c>
      <c r="B10" s="2" t="s">
        <v>6232</v>
      </c>
      <c r="C10" s="2"/>
      <c r="D10" s="2" t="s">
        <v>5012</v>
      </c>
      <c r="E10" s="1"/>
      <c r="F10" s="29">
        <v>0</v>
      </c>
      <c r="G10" s="1"/>
      <c r="H10" s="29">
        <v>0</v>
      </c>
      <c r="I10" s="1"/>
      <c r="J10" s="29">
        <v>0</v>
      </c>
      <c r="K10" s="29">
        <f t="shared" ref="K10:K73" si="1">E10+G10+I10</f>
        <v>0</v>
      </c>
      <c r="L10" s="29">
        <f t="shared" si="0"/>
        <v>0</v>
      </c>
      <c r="M10" s="20" t="s">
        <v>6232</v>
      </c>
      <c r="N10" t="s">
        <v>6232</v>
      </c>
      <c r="P10" t="s">
        <v>5790</v>
      </c>
      <c r="Q10" t="s">
        <v>6232</v>
      </c>
      <c r="R10" t="s">
        <v>6232</v>
      </c>
      <c r="Z10" s="29" t="e">
        <f>F52+F53+F54+F55+F56+F57+F58+F59+F60+F61+F62+F63+F64+F65+F66+F67+F68+F69+F70+F71+F72+F73+F74+F75+F76+F77+F78+F79+F80+F81+F82+F83+F84+F85+F86+F90+F91</f>
        <v>#REF!</v>
      </c>
      <c r="AA10" s="29" t="e">
        <f>H52+H53+H54+H55+H56+H57+H58+H59+H60+H61+H62+H63+H64+H65+H66+H67+H68+H69+H70+H71+H72+H73+H74+H75+H76+H77+H78+H79+H80+H81+H82+H83+H84+H85+H86+H90+H91</f>
        <v>#REF!</v>
      </c>
      <c r="AB10" s="29" t="e">
        <f>J52+J53+J54+J55+J56+J57+J58+J59+J60+J61+J62+J63+J64+J65+J66+J67+J68+J69+J70+J71+J72+J73+J74+J75+J76+J77+J78+J79+J80+J81+J82+J83+J84+J85+J86+J90+J91</f>
        <v>#REF!</v>
      </c>
    </row>
    <row r="11" spans="1:61" ht="18.399999999999999" customHeight="1">
      <c r="A11" s="11" t="s">
        <v>4425</v>
      </c>
      <c r="B11" s="2" t="s">
        <v>6232</v>
      </c>
      <c r="C11" s="2"/>
      <c r="D11" s="2" t="s">
        <v>6232</v>
      </c>
      <c r="E11" s="1"/>
      <c r="F11" s="29">
        <v>0</v>
      </c>
      <c r="G11" s="1"/>
      <c r="H11" s="29">
        <v>0</v>
      </c>
      <c r="I11" s="1"/>
      <c r="J11" s="29">
        <v>0</v>
      </c>
      <c r="K11" s="29">
        <f t="shared" si="1"/>
        <v>0</v>
      </c>
      <c r="L11" s="29">
        <f t="shared" si="0"/>
        <v>0</v>
      </c>
      <c r="M11" s="20" t="s">
        <v>6232</v>
      </c>
      <c r="N11" t="s">
        <v>6232</v>
      </c>
      <c r="P11" t="s">
        <v>4265</v>
      </c>
      <c r="Q11" t="s">
        <v>6232</v>
      </c>
      <c r="R11" t="s">
        <v>6232</v>
      </c>
      <c r="Z11" s="29" t="e">
        <f>F92+F93+F94+F95+F96+F97+F98+F99+F100+F101+F102+F103+F104+F105+F106+F107+F108+F109+F110+F111+F115+F116+F117+F118+F119+F120+F121+F122+F123+F124+F125</f>
        <v>#REF!</v>
      </c>
      <c r="AA11" s="29" t="e">
        <f>H92+H93+H94+H95+H96+H97+H98+H99+H100+H101+H102+H103+H104+H105+H106+H107+H108+H109+H110+H111+H115+H116+H117+H118+H119+H120+H121+H122+H123+H124+H125</f>
        <v>#REF!</v>
      </c>
      <c r="AB11" s="29" t="e">
        <f>J92+J93+J94+J95+J96+J97+J98+J99+J100+J101+J102+J103+J104+J105+J106+J107+J108+J109+J110+J111+J115+J116+J117+J118+J119+J120+J121+J122+J123+J124+J125</f>
        <v>#REF!</v>
      </c>
    </row>
    <row r="12" spans="1:61" ht="18.399999999999999" customHeight="1">
      <c r="A12" s="11" t="s">
        <v>4425</v>
      </c>
      <c r="B12" s="2" t="s">
        <v>4193</v>
      </c>
      <c r="C12" s="2">
        <v>1</v>
      </c>
      <c r="D12" s="2" t="s">
        <v>1665</v>
      </c>
      <c r="E12" s="29" t="e">
        <f>일위대가목록!#REF!</f>
        <v>#REF!</v>
      </c>
      <c r="F12" s="29" t="e">
        <f t="shared" ref="F12:F43" si="2">TRUNC(E12*C12,0)</f>
        <v>#REF!</v>
      </c>
      <c r="G12" s="29" t="e">
        <f>일위대가목록!#REF!</f>
        <v>#REF!</v>
      </c>
      <c r="H12" s="29" t="e">
        <f t="shared" ref="H12:H43" si="3">TRUNC(G12*C12,0)</f>
        <v>#REF!</v>
      </c>
      <c r="I12" s="29" t="e">
        <f>일위대가목록!#REF!</f>
        <v>#REF!</v>
      </c>
      <c r="J12" s="29" t="e">
        <f t="shared" ref="J12:J43" si="4">TRUNC(I12*C12,0)</f>
        <v>#REF!</v>
      </c>
      <c r="K12" s="29" t="e">
        <f t="shared" si="1"/>
        <v>#REF!</v>
      </c>
      <c r="L12" s="29" t="e">
        <f t="shared" si="0"/>
        <v>#REF!</v>
      </c>
      <c r="M12" s="20" t="s">
        <v>6232</v>
      </c>
      <c r="N12" t="s">
        <v>6232</v>
      </c>
      <c r="P12" t="s">
        <v>2332</v>
      </c>
      <c r="Q12" t="s">
        <v>6232</v>
      </c>
      <c r="R12" t="s">
        <v>5717</v>
      </c>
      <c r="T12" t="s">
        <v>3860</v>
      </c>
      <c r="Z12" s="29" t="e">
        <f>F126+F127+F128+F129+F130+F131+F132+F133+F134+F135+F136+F137+F138+F139+F140+F141+F142+F143+F144+F145+F146+F147+F148+F149+F150+F151+F152+F153+F154+F155</f>
        <v>#REF!</v>
      </c>
      <c r="AA12" s="29" t="e">
        <f>H126+H127+H128+H129+H130+H131+H132+H133+H134+H135+H136+H137+H138+H139+H140+H141+H142+H143+H144+H145+H146+H147+H148+H149+H150+H151+H152+H153+H154+H155</f>
        <v>#REF!</v>
      </c>
      <c r="AB12" s="29" t="e">
        <f>J126+J127+J128+J129+J130+J131+J132+J133+J134+J135+J136+J137+J138+J139+J140+J141+J142+J143+J144+J145+J146+J147+J148+J149+J150+J151+J152+J153+J154+J155</f>
        <v>#REF!</v>
      </c>
      <c r="BI12" s="52" t="str">
        <f>HYPERLINK("#일위대가목록!A80","SC0608W750 →")</f>
        <v>SC0608W750 →</v>
      </c>
    </row>
    <row r="13" spans="1:61" ht="18.399999999999999" customHeight="1">
      <c r="A13" s="11" t="s">
        <v>929</v>
      </c>
      <c r="B13" s="2" t="s">
        <v>4193</v>
      </c>
      <c r="C13" s="2">
        <v>1</v>
      </c>
      <c r="D13" s="2" t="s">
        <v>1665</v>
      </c>
      <c r="E13" s="29" t="e">
        <f>일위대가목록!#REF!</f>
        <v>#REF!</v>
      </c>
      <c r="F13" s="29" t="e">
        <f t="shared" si="2"/>
        <v>#REF!</v>
      </c>
      <c r="G13" s="29" t="e">
        <f>일위대가목록!#REF!</f>
        <v>#REF!</v>
      </c>
      <c r="H13" s="29" t="e">
        <f t="shared" si="3"/>
        <v>#REF!</v>
      </c>
      <c r="I13" s="29" t="e">
        <f>일위대가목록!#REF!</f>
        <v>#REF!</v>
      </c>
      <c r="J13" s="29" t="e">
        <f t="shared" si="4"/>
        <v>#REF!</v>
      </c>
      <c r="K13" s="29" t="e">
        <f t="shared" si="1"/>
        <v>#REF!</v>
      </c>
      <c r="L13" s="29" t="e">
        <f t="shared" si="0"/>
        <v>#REF!</v>
      </c>
      <c r="M13" s="20" t="s">
        <v>6232</v>
      </c>
      <c r="N13" t="s">
        <v>6232</v>
      </c>
      <c r="P13" t="s">
        <v>797</v>
      </c>
      <c r="Q13" t="s">
        <v>6232</v>
      </c>
      <c r="R13" t="s">
        <v>2596</v>
      </c>
      <c r="T13" t="s">
        <v>3860</v>
      </c>
      <c r="Z13" s="29" t="e">
        <f>F156+F157+F158+F162+F163+F164+F165+F166+F167+F168+F169+F170+F171+F172+F173+F174+F175+F176+F177+F178+F179+F180+F181+F182+F183+F184+F185+F186+F187+F188</f>
        <v>#REF!</v>
      </c>
      <c r="AA13" s="29" t="e">
        <f>H156+H157+H158+H162+H163+H164+H165+H166+H167+H168+H169+H170+H171+H172+H173+H174+H175+H176+H177+H178+H179+H180+H181+H182+H183+H184+H185+H186+H187+H188</f>
        <v>#REF!</v>
      </c>
      <c r="AB13" s="29" t="e">
        <f>J156+J157+J158+J162+J163+J164+J165+J166+J167+J168+J169+J170+J171+J172+J173+J174+J175+J176+J177+J178+J179+J180+J181+J182+J183+J184+J185+J186+J187+J188</f>
        <v>#REF!</v>
      </c>
      <c r="BI13" s="52" t="str">
        <f>HYPERLINK("#일위대가목록!A81","SC0608W750YA →")</f>
        <v>SC0608W750YA →</v>
      </c>
    </row>
    <row r="14" spans="1:61" ht="18.399999999999999" customHeight="1">
      <c r="A14" s="11" t="s">
        <v>4425</v>
      </c>
      <c r="B14" s="2" t="s">
        <v>3826</v>
      </c>
      <c r="C14" s="2">
        <v>1</v>
      </c>
      <c r="D14" s="2" t="s">
        <v>1665</v>
      </c>
      <c r="E14" s="29" t="e">
        <f>일위대가목록!#REF!</f>
        <v>#REF!</v>
      </c>
      <c r="F14" s="29" t="e">
        <f t="shared" si="2"/>
        <v>#REF!</v>
      </c>
      <c r="G14" s="29" t="e">
        <f>일위대가목록!#REF!</f>
        <v>#REF!</v>
      </c>
      <c r="H14" s="29" t="e">
        <f t="shared" si="3"/>
        <v>#REF!</v>
      </c>
      <c r="I14" s="29" t="e">
        <f>일위대가목록!#REF!</f>
        <v>#REF!</v>
      </c>
      <c r="J14" s="29" t="e">
        <f t="shared" si="4"/>
        <v>#REF!</v>
      </c>
      <c r="K14" s="29" t="e">
        <f t="shared" si="1"/>
        <v>#REF!</v>
      </c>
      <c r="L14" s="29" t="e">
        <f t="shared" si="0"/>
        <v>#REF!</v>
      </c>
      <c r="M14" s="20" t="s">
        <v>6232</v>
      </c>
      <c r="N14" t="s">
        <v>6232</v>
      </c>
      <c r="P14" t="s">
        <v>2292</v>
      </c>
      <c r="Q14" t="s">
        <v>6232</v>
      </c>
      <c r="R14" t="s">
        <v>4229</v>
      </c>
      <c r="T14" t="s">
        <v>3860</v>
      </c>
      <c r="Z14" s="29" t="e">
        <f>F189+F190+F191+F192+F193+F194+F195+F196+F197+F198+F199+F200+F201+F202+F203+F204+F205+F209+F210+F211+F212+F213+F214+F215+F216+F217+F218+F219+F220+F221</f>
        <v>#REF!</v>
      </c>
      <c r="AA14" s="29" t="e">
        <f>H189+H190+H191+H192+H193+H194+H195+H196+H197+H198+H199+H200+H201+H202+H203+H204+H205+H209+H210+H211+H212+H213+H214+H215+H216+H217+H218+H219+H220+H221</f>
        <v>#REF!</v>
      </c>
      <c r="AB14" s="29" t="e">
        <f>J189+J190+J191+J192+J193+J194+J195+J196+J197+J198+J199+J200+J201+J202+J203+J204+J205+J209+J210+J211+J212+J213+J214+J215+J216+J217+J218+J219+J220+J221</f>
        <v>#REF!</v>
      </c>
      <c r="BI14" s="52" t="str">
        <f>HYPERLINK("#일위대가목록!A82","SC0608W700 →")</f>
        <v>SC0608W700 →</v>
      </c>
    </row>
    <row r="15" spans="1:61" ht="18.399999999999999" customHeight="1">
      <c r="A15" s="11" t="s">
        <v>929</v>
      </c>
      <c r="B15" s="2" t="s">
        <v>3826</v>
      </c>
      <c r="C15" s="2">
        <v>1</v>
      </c>
      <c r="D15" s="2" t="s">
        <v>1665</v>
      </c>
      <c r="E15" s="29" t="e">
        <f>일위대가목록!#REF!</f>
        <v>#REF!</v>
      </c>
      <c r="F15" s="29" t="e">
        <f t="shared" si="2"/>
        <v>#REF!</v>
      </c>
      <c r="G15" s="29" t="e">
        <f>일위대가목록!#REF!</f>
        <v>#REF!</v>
      </c>
      <c r="H15" s="29" t="e">
        <f t="shared" si="3"/>
        <v>#REF!</v>
      </c>
      <c r="I15" s="29" t="e">
        <f>일위대가목록!#REF!</f>
        <v>#REF!</v>
      </c>
      <c r="J15" s="29" t="e">
        <f t="shared" si="4"/>
        <v>#REF!</v>
      </c>
      <c r="K15" s="29" t="e">
        <f t="shared" si="1"/>
        <v>#REF!</v>
      </c>
      <c r="L15" s="29" t="e">
        <f t="shared" si="0"/>
        <v>#REF!</v>
      </c>
      <c r="M15" s="20" t="s">
        <v>6232</v>
      </c>
      <c r="N15" t="s">
        <v>6232</v>
      </c>
      <c r="P15" t="s">
        <v>734</v>
      </c>
      <c r="Q15" t="s">
        <v>6232</v>
      </c>
      <c r="R15" t="s">
        <v>2148</v>
      </c>
      <c r="T15" t="s">
        <v>3860</v>
      </c>
      <c r="Z15" s="29" t="e">
        <f>F222+F223+F224+F225+F226+F227+F228+F229+F230+F231+F232+F233+F234+F235+F236+F237+F238+F239+F240+F241+F242+F243+F244+F245+F246+F247+F248+F249+F250+F251</f>
        <v>#REF!</v>
      </c>
      <c r="AA15" s="29" t="e">
        <f>H222+H223+H224+H225+H226+H227+H228+H229+H230+H231+H232+H233+H234+H235+H236+H237+H238+H239+H240+H241+H242+H243+H244+H245+H246+H247+H248+H249+H250+H251</f>
        <v>#REF!</v>
      </c>
      <c r="AB15" s="29" t="e">
        <f>J222+J223+J224+J225+J226+J227+J228+J229+J230+J231+J232+J233+J234+J235+J236+J237+J238+J239+J240+J241+J242+J243+J244+J245+J246+J247+J248+J249+J250+J251</f>
        <v>#REF!</v>
      </c>
      <c r="BI15" s="52" t="str">
        <f>HYPERLINK("#일위대가목록!A83","SC0608W700YA →")</f>
        <v>SC0608W700YA →</v>
      </c>
    </row>
    <row r="16" spans="1:61" ht="18.399999999999999" customHeight="1">
      <c r="A16" s="11" t="s">
        <v>4425</v>
      </c>
      <c r="B16" s="2" t="s">
        <v>1951</v>
      </c>
      <c r="C16" s="2">
        <v>1</v>
      </c>
      <c r="D16" s="2" t="s">
        <v>1665</v>
      </c>
      <c r="E16" s="29" t="e">
        <f>일위대가목록!#REF!</f>
        <v>#REF!</v>
      </c>
      <c r="F16" s="29" t="e">
        <f t="shared" si="2"/>
        <v>#REF!</v>
      </c>
      <c r="G16" s="29" t="e">
        <f>일위대가목록!#REF!</f>
        <v>#REF!</v>
      </c>
      <c r="H16" s="29" t="e">
        <f t="shared" si="3"/>
        <v>#REF!</v>
      </c>
      <c r="I16" s="29" t="e">
        <f>일위대가목록!#REF!</f>
        <v>#REF!</v>
      </c>
      <c r="J16" s="29" t="e">
        <f t="shared" si="4"/>
        <v>#REF!</v>
      </c>
      <c r="K16" s="29" t="e">
        <f t="shared" si="1"/>
        <v>#REF!</v>
      </c>
      <c r="L16" s="29" t="e">
        <f t="shared" si="0"/>
        <v>#REF!</v>
      </c>
      <c r="M16" s="20" t="s">
        <v>6232</v>
      </c>
      <c r="N16" t="s">
        <v>6232</v>
      </c>
      <c r="P16" t="s">
        <v>5365</v>
      </c>
      <c r="Q16" t="s">
        <v>6232</v>
      </c>
      <c r="R16" t="s">
        <v>5359</v>
      </c>
      <c r="T16" t="s">
        <v>3860</v>
      </c>
      <c r="Z16" s="29" t="e">
        <f>F252+F256+F257+F258+F259+F260+F261+F262+F263+F264+F265+F266+F267+F268+F269+F270+F271+F272+F273+F274+F275+F276+F277+F278+F279+F280+F281+F282+F283+F284</f>
        <v>#REF!</v>
      </c>
      <c r="AA16" s="29" t="e">
        <f>H252+H256+H257+H258+H259+H260+H261+H262+H263+H264+H265+H266+H267+H268+H269+H270+H271+H272+H273+H274+H275+H276+H277+H278+H279+H280+H281+H282+H283+H284</f>
        <v>#REF!</v>
      </c>
      <c r="AB16" s="29" t="e">
        <f>J252+J256+J257+J258+J259+J260+J261+J262+J263+J264+J265+J266+J267+J268+J269+J270+J271+J272+J273+J274+J275+J276+J277+J278+J279+J280+J281+J282+J283+J284</f>
        <v>#REF!</v>
      </c>
      <c r="BI16" s="52" t="str">
        <f>HYPERLINK("#일위대가목록!A84","SC0608W650 →")</f>
        <v>SC0608W650 →</v>
      </c>
    </row>
    <row r="17" spans="1:61" ht="18.399999999999999" customHeight="1">
      <c r="A17" s="11" t="s">
        <v>929</v>
      </c>
      <c r="B17" s="2" t="s">
        <v>1951</v>
      </c>
      <c r="C17" s="2">
        <v>1</v>
      </c>
      <c r="D17" s="2" t="s">
        <v>1665</v>
      </c>
      <c r="E17" s="29" t="e">
        <f>일위대가목록!#REF!</f>
        <v>#REF!</v>
      </c>
      <c r="F17" s="29" t="e">
        <f t="shared" si="2"/>
        <v>#REF!</v>
      </c>
      <c r="G17" s="29" t="e">
        <f>일위대가목록!#REF!</f>
        <v>#REF!</v>
      </c>
      <c r="H17" s="29" t="e">
        <f t="shared" si="3"/>
        <v>#REF!</v>
      </c>
      <c r="I17" s="29" t="e">
        <f>일위대가목록!#REF!</f>
        <v>#REF!</v>
      </c>
      <c r="J17" s="29" t="e">
        <f t="shared" si="4"/>
        <v>#REF!</v>
      </c>
      <c r="K17" s="29" t="e">
        <f t="shared" si="1"/>
        <v>#REF!</v>
      </c>
      <c r="L17" s="29" t="e">
        <f t="shared" si="0"/>
        <v>#REF!</v>
      </c>
      <c r="M17" s="20" t="s">
        <v>6232</v>
      </c>
      <c r="N17" t="s">
        <v>6232</v>
      </c>
      <c r="P17" t="s">
        <v>3783</v>
      </c>
      <c r="Q17" t="s">
        <v>6232</v>
      </c>
      <c r="R17" t="s">
        <v>5325</v>
      </c>
      <c r="T17" t="s">
        <v>3860</v>
      </c>
      <c r="Z17" s="29" t="e">
        <f>F285+F286+F287+F288+F289+F290+F291+F292+F293+F294+F295+F296+F297+F298+F299+F303+F304+F305+F306+F307+F308+F309+F310+F311+F312+F313+F314+F315+F316+F317</f>
        <v>#REF!</v>
      </c>
      <c r="AA17" s="29" t="e">
        <f>H285+H286+H287+H288+H289+H290+H291+H292+H293+H294+H295+H296+H297+H298+H299+H303+H304+H305+H306+H307+H308+H309+H310+H311+H312+H313+H314+H315+H316+H317</f>
        <v>#REF!</v>
      </c>
      <c r="AB17" s="29" t="e">
        <f>J285+J286+J287+J288+J289+J290+J291+J292+J293+J294+J295+J296+J297+J298+J299+J303+J304+J305+J306+J307+J308+J309+J310+J311+J312+J313+J314+J315+J316+J317</f>
        <v>#REF!</v>
      </c>
      <c r="BI17" s="52" t="str">
        <f>HYPERLINK("#일위대가목록!A85","SC0608W650YA →")</f>
        <v>SC0608W650YA →</v>
      </c>
    </row>
    <row r="18" spans="1:61" ht="18.399999999999999" customHeight="1">
      <c r="A18" s="11" t="s">
        <v>4425</v>
      </c>
      <c r="B18" s="2" t="s">
        <v>6105</v>
      </c>
      <c r="C18" s="2">
        <v>1</v>
      </c>
      <c r="D18" s="2" t="s">
        <v>1665</v>
      </c>
      <c r="E18" s="29" t="e">
        <f>일위대가목록!#REF!</f>
        <v>#REF!</v>
      </c>
      <c r="F18" s="29" t="e">
        <f t="shared" si="2"/>
        <v>#REF!</v>
      </c>
      <c r="G18" s="29" t="e">
        <f>일위대가목록!#REF!</f>
        <v>#REF!</v>
      </c>
      <c r="H18" s="29" t="e">
        <f t="shared" si="3"/>
        <v>#REF!</v>
      </c>
      <c r="I18" s="29" t="e">
        <f>일위대가목록!#REF!</f>
        <v>#REF!</v>
      </c>
      <c r="J18" s="29" t="e">
        <f t="shared" si="4"/>
        <v>#REF!</v>
      </c>
      <c r="K18" s="29" t="e">
        <f t="shared" si="1"/>
        <v>#REF!</v>
      </c>
      <c r="L18" s="29" t="e">
        <f t="shared" si="0"/>
        <v>#REF!</v>
      </c>
      <c r="M18" s="20" t="s">
        <v>6232</v>
      </c>
      <c r="N18" t="s">
        <v>6232</v>
      </c>
      <c r="P18" t="s">
        <v>2196</v>
      </c>
      <c r="Q18" t="s">
        <v>6232</v>
      </c>
      <c r="R18" t="s">
        <v>3720</v>
      </c>
      <c r="T18" t="s">
        <v>3860</v>
      </c>
      <c r="Z18" s="29" t="e">
        <f>F318+F319+F320+F321+F322+F323+F324+F325+F326+F327+F328+F329+F330+F331+F332+F333+F334+F335+F336+F337+F338+F339+F340+F341+F342+F343+F344+F345+F346+F350</f>
        <v>#REF!</v>
      </c>
      <c r="AA18" s="29" t="e">
        <f>H318+H319+H320+H321+H322+H323+H324+H325+H326+H327+H328+H329+H330+H331+H332+H333+H334+H335+H336+H337+H338+H339+H340+H341+H342+H343+H344+H345+H346+H350</f>
        <v>#REF!</v>
      </c>
      <c r="AB18" s="29" t="e">
        <f>J318+J319+J320+J321+J322+J323+J324+J325+J326+J327+J328+J329+J330+J331+J332+J333+J334+J335+J336+J337+J338+J339+J340+J341+J342+J343+J344+J345+J346+J350</f>
        <v>#REF!</v>
      </c>
      <c r="BI18" s="52" t="str">
        <f>HYPERLINK("#일위대가목록!A86","SC0608W600 →")</f>
        <v>SC0608W600 →</v>
      </c>
    </row>
    <row r="19" spans="1:61" ht="18.399999999999999" customHeight="1">
      <c r="A19" s="11" t="s">
        <v>929</v>
      </c>
      <c r="B19" s="2" t="s">
        <v>6105</v>
      </c>
      <c r="C19" s="2">
        <v>1</v>
      </c>
      <c r="D19" s="2" t="s">
        <v>1665</v>
      </c>
      <c r="E19" s="29" t="e">
        <f>일위대가목록!#REF!</f>
        <v>#REF!</v>
      </c>
      <c r="F19" s="29" t="e">
        <f t="shared" si="2"/>
        <v>#REF!</v>
      </c>
      <c r="G19" s="29" t="e">
        <f>일위대가목록!#REF!</f>
        <v>#REF!</v>
      </c>
      <c r="H19" s="29" t="e">
        <f t="shared" si="3"/>
        <v>#REF!</v>
      </c>
      <c r="I19" s="29" t="e">
        <f>일위대가목록!#REF!</f>
        <v>#REF!</v>
      </c>
      <c r="J19" s="29" t="e">
        <f t="shared" si="4"/>
        <v>#REF!</v>
      </c>
      <c r="K19" s="29" t="e">
        <f t="shared" si="1"/>
        <v>#REF!</v>
      </c>
      <c r="L19" s="29" t="e">
        <f t="shared" si="0"/>
        <v>#REF!</v>
      </c>
      <c r="M19" s="20" t="s">
        <v>6232</v>
      </c>
      <c r="N19" t="s">
        <v>6232</v>
      </c>
      <c r="P19" t="s">
        <v>649</v>
      </c>
      <c r="Q19" t="s">
        <v>6232</v>
      </c>
      <c r="R19" t="s">
        <v>5680</v>
      </c>
      <c r="T19" t="s">
        <v>3860</v>
      </c>
      <c r="Z19" s="29" t="e">
        <f>F351+F352+F353+F354+F355+F356+F357+F358+F359+F360+F361+F362+F363+F364+F365+F366+F367+F368+F369+F370+F371+F372+F373+F374+F375+F376+F377+F378+F379+F380</f>
        <v>#REF!</v>
      </c>
      <c r="AA19" s="29" t="e">
        <f>H351+H352+H353+H354+H355+H356+H357+H358+H359+H360+H361+H362+H363+H364+H365+H366+H367+H368+H369+H370+H371+H372+H373+H374+H375+H376+H377+H378+H379+H380</f>
        <v>#REF!</v>
      </c>
      <c r="AB19" s="29" t="e">
        <f>J351+J352+J353+J354+J355+J356+J357+J358+J359+J360+J361+J362+J363+J364+J365+J366+J367+J368+J369+J370+J371+J372+J373+J374+J375+J376+J377+J378+J379+J380</f>
        <v>#REF!</v>
      </c>
      <c r="BI19" s="52" t="str">
        <f>HYPERLINK("#일위대가목록!A87","SC0608W600YA →")</f>
        <v>SC0608W600YA →</v>
      </c>
    </row>
    <row r="20" spans="1:61" ht="18.399999999999999" customHeight="1">
      <c r="A20" s="11" t="s">
        <v>4425</v>
      </c>
      <c r="B20" s="2" t="s">
        <v>1862</v>
      </c>
      <c r="C20" s="2">
        <v>1</v>
      </c>
      <c r="D20" s="2" t="s">
        <v>1665</v>
      </c>
      <c r="E20" s="29" t="e">
        <f>일위대가목록!#REF!</f>
        <v>#REF!</v>
      </c>
      <c r="F20" s="29" t="e">
        <f t="shared" si="2"/>
        <v>#REF!</v>
      </c>
      <c r="G20" s="29" t="e">
        <f>일위대가목록!#REF!</f>
        <v>#REF!</v>
      </c>
      <c r="H20" s="29" t="e">
        <f t="shared" si="3"/>
        <v>#REF!</v>
      </c>
      <c r="I20" s="29" t="e">
        <f>일위대가목록!#REF!</f>
        <v>#REF!</v>
      </c>
      <c r="J20" s="29" t="e">
        <f t="shared" si="4"/>
        <v>#REF!</v>
      </c>
      <c r="K20" s="29" t="e">
        <f t="shared" si="1"/>
        <v>#REF!</v>
      </c>
      <c r="L20" s="29" t="e">
        <f t="shared" si="0"/>
        <v>#REF!</v>
      </c>
      <c r="M20" s="20" t="s">
        <v>6232</v>
      </c>
      <c r="N20" t="s">
        <v>6232</v>
      </c>
      <c r="P20" t="s">
        <v>5291</v>
      </c>
      <c r="Q20" t="s">
        <v>6232</v>
      </c>
      <c r="R20" t="s">
        <v>3211</v>
      </c>
      <c r="T20" t="s">
        <v>3860</v>
      </c>
      <c r="Z20" s="29" t="e">
        <f>F381+F382+F383+F384+F385+F386+F387+F388+F389+F390+F391+F392+F393+F397+F398+F399+F400+F401+F402+F403+F404+F405+F406+F407+F408+F409+F410+F411+F412+F413</f>
        <v>#REF!</v>
      </c>
      <c r="AA20" s="29" t="e">
        <f>H381+H382+H383+H384+H385+H386+H387+H388+H389+H390+H391+H392+H393+H397+H398+H399+H400+H401+H402+H403+H404+H405+H406+H407+H408+H409+H410+H411+H412+H413</f>
        <v>#REF!</v>
      </c>
      <c r="AB20" s="29" t="e">
        <f>J381+J382+J383+J384+J385+J386+J387+J388+J389+J390+J391+J392+J393+J397+J398+J399+J400+J401+J402+J403+J404+J405+J406+J407+J408+J409+J410+J411+J412+J413</f>
        <v>#REF!</v>
      </c>
      <c r="BI20" s="52" t="str">
        <f>HYPERLINK("#일위대가목록!A88","SC0608W550 →")</f>
        <v>SC0608W550 →</v>
      </c>
    </row>
    <row r="21" spans="1:61" ht="18.399999999999999" customHeight="1">
      <c r="A21" s="11" t="s">
        <v>929</v>
      </c>
      <c r="B21" s="2" t="s">
        <v>1862</v>
      </c>
      <c r="C21" s="2">
        <v>1</v>
      </c>
      <c r="D21" s="2" t="s">
        <v>1665</v>
      </c>
      <c r="E21" s="29" t="e">
        <f>일위대가목록!#REF!</f>
        <v>#REF!</v>
      </c>
      <c r="F21" s="29" t="e">
        <f t="shared" si="2"/>
        <v>#REF!</v>
      </c>
      <c r="G21" s="29" t="e">
        <f>일위대가목록!#REF!</f>
        <v>#REF!</v>
      </c>
      <c r="H21" s="29" t="e">
        <f t="shared" si="3"/>
        <v>#REF!</v>
      </c>
      <c r="I21" s="29" t="e">
        <f>일위대가목록!#REF!</f>
        <v>#REF!</v>
      </c>
      <c r="J21" s="29" t="e">
        <f t="shared" si="4"/>
        <v>#REF!</v>
      </c>
      <c r="K21" s="29" t="e">
        <f t="shared" si="1"/>
        <v>#REF!</v>
      </c>
      <c r="L21" s="29" t="e">
        <f t="shared" si="0"/>
        <v>#REF!</v>
      </c>
      <c r="M21" s="20" t="s">
        <v>6232</v>
      </c>
      <c r="N21" t="s">
        <v>6232</v>
      </c>
      <c r="P21" t="s">
        <v>3717</v>
      </c>
      <c r="Q21" t="s">
        <v>6232</v>
      </c>
      <c r="R21" t="s">
        <v>245</v>
      </c>
      <c r="T21" t="s">
        <v>3860</v>
      </c>
      <c r="Z21" s="29" t="e">
        <f>F414+F415+F416+F417+F418+F419+F420+F421+F422+F423+F424+F425+F426+F427+F428+F429+F430+F431+F432+F433+F434+F435+F436+F437+F438+F439+F440+F444+F445+F446</f>
        <v>#REF!</v>
      </c>
      <c r="AA21" s="29" t="e">
        <f>H414+H415+H416+H417+H418+H419+H420+H421+H422+H423+H424+H425+H426+H427+H428+H429+H430+H431+H432+H433+H434+H435+H436+H437+H438+H439+H440+H444+H445+H446</f>
        <v>#REF!</v>
      </c>
      <c r="AB21" s="29" t="e">
        <f>J414+J415+J416+J417+J418+J419+J420+J421+J422+J423+J424+J425+J426+J427+J428+J429+J430+J431+J432+J433+J434+J435+J436+J437+J438+J439+J440+J444+J445+J446</f>
        <v>#REF!</v>
      </c>
      <c r="BI21" s="52" t="str">
        <f>HYPERLINK("#일위대가목록!A89","SC0608W550YA →")</f>
        <v>SC0608W550YA →</v>
      </c>
    </row>
    <row r="22" spans="1:61" ht="18.399999999999999" customHeight="1">
      <c r="A22" s="11" t="s">
        <v>4425</v>
      </c>
      <c r="B22" s="2" t="s">
        <v>524</v>
      </c>
      <c r="C22" s="2">
        <v>1</v>
      </c>
      <c r="D22" s="2" t="s">
        <v>1665</v>
      </c>
      <c r="E22" s="29" t="e">
        <f>일위대가목록!#REF!</f>
        <v>#REF!</v>
      </c>
      <c r="F22" s="29" t="e">
        <f t="shared" si="2"/>
        <v>#REF!</v>
      </c>
      <c r="G22" s="29" t="e">
        <f>일위대가목록!#REF!</f>
        <v>#REF!</v>
      </c>
      <c r="H22" s="29" t="e">
        <f t="shared" si="3"/>
        <v>#REF!</v>
      </c>
      <c r="I22" s="29" t="e">
        <f>일위대가목록!#REF!</f>
        <v>#REF!</v>
      </c>
      <c r="J22" s="29" t="e">
        <f t="shared" si="4"/>
        <v>#REF!</v>
      </c>
      <c r="K22" s="29" t="e">
        <f t="shared" si="1"/>
        <v>#REF!</v>
      </c>
      <c r="L22" s="29" t="e">
        <f t="shared" si="0"/>
        <v>#REF!</v>
      </c>
      <c r="M22" s="20" t="s">
        <v>6232</v>
      </c>
      <c r="N22" t="s">
        <v>6232</v>
      </c>
      <c r="P22" t="s">
        <v>2108</v>
      </c>
      <c r="Q22" t="s">
        <v>6232</v>
      </c>
      <c r="R22" t="s">
        <v>4662</v>
      </c>
      <c r="T22" t="s">
        <v>3860</v>
      </c>
      <c r="Z22" s="29" t="e">
        <f>F447+F448+F449+F450+F451+F452+F453+F454+F455+F456+F457+F458+F459+F460+F461+F462+F463+F464+F465+F469+F470+F471+F472+F473+F474+F475+F476+F477+F478+F479</f>
        <v>#REF!</v>
      </c>
      <c r="AA22" s="29" t="e">
        <f>H447+H448+H449+H450+H451+H452+H453+H454+H455+H456+H457+H458+H459+H460+H461+H462+H463+H464+H465+H469+H470+H471+H472+H473+H474+H475+H476+H477+H478+H479</f>
        <v>#REF!</v>
      </c>
      <c r="AB22" s="29" t="e">
        <f>J447+J448+J449+J450+J451+J452+J453+J454+J455+J456+J457+J458+J459+J460+J461+J462+J463+J464+J465+J469+J470+J471+J472+J473+J474+J475+J476+J477+J478+J479</f>
        <v>#REF!</v>
      </c>
      <c r="BI22" s="52" t="str">
        <f>HYPERLINK("#일위대가목록!A90","SC0608W500 →")</f>
        <v>SC0608W500 →</v>
      </c>
    </row>
    <row r="23" spans="1:61" ht="18.399999999999999" customHeight="1">
      <c r="A23" s="11" t="s">
        <v>929</v>
      </c>
      <c r="B23" s="2" t="s">
        <v>524</v>
      </c>
      <c r="C23" s="2">
        <v>1</v>
      </c>
      <c r="D23" s="2" t="s">
        <v>1665</v>
      </c>
      <c r="E23" s="29" t="e">
        <f>일위대가목록!#REF!</f>
        <v>#REF!</v>
      </c>
      <c r="F23" s="29" t="e">
        <f t="shared" si="2"/>
        <v>#REF!</v>
      </c>
      <c r="G23" s="29" t="e">
        <f>일위대가목록!#REF!</f>
        <v>#REF!</v>
      </c>
      <c r="H23" s="29" t="e">
        <f t="shared" si="3"/>
        <v>#REF!</v>
      </c>
      <c r="I23" s="29" t="e">
        <f>일위대가목록!#REF!</f>
        <v>#REF!</v>
      </c>
      <c r="J23" s="29" t="e">
        <f t="shared" si="4"/>
        <v>#REF!</v>
      </c>
      <c r="K23" s="29" t="e">
        <f t="shared" si="1"/>
        <v>#REF!</v>
      </c>
      <c r="L23" s="29" t="e">
        <f t="shared" si="0"/>
        <v>#REF!</v>
      </c>
      <c r="M23" s="20" t="s">
        <v>6232</v>
      </c>
      <c r="N23" t="s">
        <v>6232</v>
      </c>
      <c r="P23" t="s">
        <v>568</v>
      </c>
      <c r="Q23" t="s">
        <v>6232</v>
      </c>
      <c r="R23" t="s">
        <v>1383</v>
      </c>
      <c r="T23" t="s">
        <v>3860</v>
      </c>
      <c r="Z23" s="29" t="e">
        <f>F480+F481+F482+F483+F484+F485+F486+F487+F488+F489+F490+F491+F492+F493+F494+F495+F496+F497+F498+F499+F500+F501+F502+F503+F504+F505+F506+F507+F508+F509</f>
        <v>#REF!</v>
      </c>
      <c r="AA23" s="29" t="e">
        <f>H480+H481+H482+H483+H484+H485+H486+H487+H488+H489+H490+H491+H492+H493+H494+H495+H496+H497+H498+H499+H500+H501+H502+H503+H504+H505+H506+H507+H508+H509</f>
        <v>#REF!</v>
      </c>
      <c r="AB23" s="29" t="e">
        <f>J480+J481+J482+J483+J484+J485+J486+J487+J488+J489+J490+J491+J492+J493+J494+J495+J496+J497+J498+J499+J500+J501+J502+J503+J504+J505+J506+J507+J508+J509</f>
        <v>#REF!</v>
      </c>
      <c r="BI23" s="52" t="str">
        <f>HYPERLINK("#일위대가목록!A91","SC0608W500YA →")</f>
        <v>SC0608W500YA →</v>
      </c>
    </row>
    <row r="24" spans="1:61" ht="18.399999999999999" customHeight="1">
      <c r="A24" s="11" t="s">
        <v>4425</v>
      </c>
      <c r="B24" s="2" t="s">
        <v>3764</v>
      </c>
      <c r="C24" s="2">
        <v>1</v>
      </c>
      <c r="D24" s="2" t="s">
        <v>1665</v>
      </c>
      <c r="E24" s="29" t="e">
        <f>일위대가목록!#REF!</f>
        <v>#REF!</v>
      </c>
      <c r="F24" s="29" t="e">
        <f t="shared" si="2"/>
        <v>#REF!</v>
      </c>
      <c r="G24" s="29" t="e">
        <f>일위대가목록!#REF!</f>
        <v>#REF!</v>
      </c>
      <c r="H24" s="29" t="e">
        <f t="shared" si="3"/>
        <v>#REF!</v>
      </c>
      <c r="I24" s="29" t="e">
        <f>일위대가목록!#REF!</f>
        <v>#REF!</v>
      </c>
      <c r="J24" s="29" t="e">
        <f t="shared" si="4"/>
        <v>#REF!</v>
      </c>
      <c r="K24" s="29" t="e">
        <f t="shared" si="1"/>
        <v>#REF!</v>
      </c>
      <c r="L24" s="29" t="e">
        <f t="shared" si="0"/>
        <v>#REF!</v>
      </c>
      <c r="M24" s="20" t="s">
        <v>6232</v>
      </c>
      <c r="N24" t="s">
        <v>6232</v>
      </c>
      <c r="P24" t="s">
        <v>5303</v>
      </c>
      <c r="Q24" t="s">
        <v>6232</v>
      </c>
      <c r="R24" t="s">
        <v>4333</v>
      </c>
      <c r="T24" t="s">
        <v>3860</v>
      </c>
      <c r="Z24" s="29" t="e">
        <f>F510+F511+F512+F513+F514+F515+F516+F517+F518+F519+F520+F521+F522+F523+F524+F525+F526+F527+F528+F529+F530+F531+F532+F533+F534+F535+F536+F537+F538+F539</f>
        <v>#REF!</v>
      </c>
      <c r="AA24" s="29" t="e">
        <f>H510+H511+H512+H513+H514+H515+H516+H517+H518+H519+H520+H521+H522+H523+H524+H525+H526+H527+H528+H529+H530+H531+H532+H533+H534+H535+H536+H537+H538+H539</f>
        <v>#REF!</v>
      </c>
      <c r="AB24" s="29" t="e">
        <f>J510+J511+J512+J513+J514+J515+J516+J517+J518+J519+J520+J521+J522+J523+J524+J525+J526+J527+J528+J529+J530+J531+J532+J533+J534+J535+J536+J537+J538+J539</f>
        <v>#REF!</v>
      </c>
      <c r="BI24" s="52" t="str">
        <f>HYPERLINK("#일위대가목록!A92","SC0608W450 →")</f>
        <v>SC0608W450 →</v>
      </c>
    </row>
    <row r="25" spans="1:61" ht="18.399999999999999" customHeight="1">
      <c r="A25" s="11" t="s">
        <v>929</v>
      </c>
      <c r="B25" s="2" t="s">
        <v>3764</v>
      </c>
      <c r="C25" s="2">
        <v>1</v>
      </c>
      <c r="D25" s="2" t="s">
        <v>1665</v>
      </c>
      <c r="E25" s="29" t="e">
        <f>일위대가목록!#REF!</f>
        <v>#REF!</v>
      </c>
      <c r="F25" s="29" t="e">
        <f t="shared" si="2"/>
        <v>#REF!</v>
      </c>
      <c r="G25" s="29" t="e">
        <f>일위대가목록!#REF!</f>
        <v>#REF!</v>
      </c>
      <c r="H25" s="29" t="e">
        <f t="shared" si="3"/>
        <v>#REF!</v>
      </c>
      <c r="I25" s="29" t="e">
        <f>일위대가목록!#REF!</f>
        <v>#REF!</v>
      </c>
      <c r="J25" s="29" t="e">
        <f t="shared" si="4"/>
        <v>#REF!</v>
      </c>
      <c r="K25" s="29" t="e">
        <f t="shared" si="1"/>
        <v>#REF!</v>
      </c>
      <c r="L25" s="29" t="e">
        <f t="shared" si="0"/>
        <v>#REF!</v>
      </c>
      <c r="M25" s="20" t="s">
        <v>6232</v>
      </c>
      <c r="N25" t="s">
        <v>6232</v>
      </c>
      <c r="P25" t="s">
        <v>3768</v>
      </c>
      <c r="Q25" t="s">
        <v>6232</v>
      </c>
      <c r="R25" t="s">
        <v>4517</v>
      </c>
      <c r="T25" t="s">
        <v>3860</v>
      </c>
      <c r="Z25" s="29" t="e">
        <f>F540+F541+F542+F543+F544+F545+F546+F547+F548+F549+F550+F551+F552+F553+F554+F555+F556+F557+F558+F559+F560+F561+F562+F563+F564+F565+F566+F567+F568+F569</f>
        <v>#REF!</v>
      </c>
      <c r="AA25" s="29" t="e">
        <f>H540+H541+H542+H543+H544+H545+H546+H547+H548+H549+H550+H551+H552+H553+H554+H555+H556+H557+H558+H559+H560+H561+H562+H563+H564+H565+H566+H567+H568+H569</f>
        <v>#REF!</v>
      </c>
      <c r="AB25" s="29" t="e">
        <f>J540+J541+J542+J543+J544+J545+J546+J547+J548+J549+J550+J551+J552+J553+J554+J555+J556+J557+J558+J559+J560+J561+J562+J563+J564+J565+J566+J567+J568+J569</f>
        <v>#REF!</v>
      </c>
      <c r="BI25" s="52" t="str">
        <f>HYPERLINK("#일위대가목록!A93","SC0608W450YA →")</f>
        <v>SC0608W450YA →</v>
      </c>
    </row>
    <row r="26" spans="1:61" ht="18.399999999999999" customHeight="1">
      <c r="A26" s="11" t="s">
        <v>4425</v>
      </c>
      <c r="B26" s="2" t="s">
        <v>2715</v>
      </c>
      <c r="C26" s="2">
        <v>1</v>
      </c>
      <c r="D26" s="2" t="s">
        <v>1665</v>
      </c>
      <c r="E26" s="29" t="e">
        <f>일위대가목록!#REF!</f>
        <v>#REF!</v>
      </c>
      <c r="F26" s="29" t="e">
        <f t="shared" si="2"/>
        <v>#REF!</v>
      </c>
      <c r="G26" s="29" t="e">
        <f>일위대가목록!#REF!</f>
        <v>#REF!</v>
      </c>
      <c r="H26" s="29" t="e">
        <f t="shared" si="3"/>
        <v>#REF!</v>
      </c>
      <c r="I26" s="29" t="e">
        <f>일위대가목록!#REF!</f>
        <v>#REF!</v>
      </c>
      <c r="J26" s="29" t="e">
        <f t="shared" si="4"/>
        <v>#REF!</v>
      </c>
      <c r="K26" s="29" t="e">
        <f t="shared" si="1"/>
        <v>#REF!</v>
      </c>
      <c r="L26" s="29" t="e">
        <f t="shared" si="0"/>
        <v>#REF!</v>
      </c>
      <c r="M26" s="20" t="s">
        <v>6232</v>
      </c>
      <c r="N26" t="s">
        <v>6232</v>
      </c>
      <c r="P26" t="s">
        <v>2126</v>
      </c>
      <c r="Q26" t="s">
        <v>6232</v>
      </c>
      <c r="R26" t="s">
        <v>6023</v>
      </c>
      <c r="T26" t="s">
        <v>3860</v>
      </c>
      <c r="Z26" s="29" t="e">
        <f>F570+F571+F572+F573+F574+F575+F576+F577+F578+F579+F580+F581+F582+F583+F584+F585+F586+F587+F588+F589+F590+F591+F592+F593+F594+F595+F596+F597+F598+F599</f>
        <v>#REF!</v>
      </c>
      <c r="AA26" s="29" t="e">
        <f>H570+H571+H572+H573+H574+H575+H576+H577+H578+H579+H580+H581+H582+H583+H584+H585+H586+H587+H588+H589+H590+H591+H592+H593+H594+H595+H596+H597+H598+H599</f>
        <v>#REF!</v>
      </c>
      <c r="AB26" s="29" t="e">
        <f>J570+J571+J572+J573+J574+J575+J576+J577+J578+J579+J580+J581+J582+J583+J584+J585+J586+J587+J588+J589+J590+J591+J592+J593+J594+J595+J596+J597+J598+J599</f>
        <v>#REF!</v>
      </c>
      <c r="BI26" s="52" t="str">
        <f>HYPERLINK("#일위대가목록!A94","SC0608W400 →")</f>
        <v>SC0608W400 →</v>
      </c>
    </row>
    <row r="27" spans="1:61" ht="18.399999999999999" customHeight="1">
      <c r="A27" s="11" t="s">
        <v>929</v>
      </c>
      <c r="B27" s="2" t="s">
        <v>2715</v>
      </c>
      <c r="C27" s="2">
        <v>1</v>
      </c>
      <c r="D27" s="2" t="s">
        <v>1665</v>
      </c>
      <c r="E27" s="29" t="e">
        <f>일위대가목록!#REF!</f>
        <v>#REF!</v>
      </c>
      <c r="F27" s="29" t="e">
        <f t="shared" si="2"/>
        <v>#REF!</v>
      </c>
      <c r="G27" s="29" t="e">
        <f>일위대가목록!#REF!</f>
        <v>#REF!</v>
      </c>
      <c r="H27" s="29" t="e">
        <f t="shared" si="3"/>
        <v>#REF!</v>
      </c>
      <c r="I27" s="29" t="e">
        <f>일위대가목록!#REF!</f>
        <v>#REF!</v>
      </c>
      <c r="J27" s="29" t="e">
        <f t="shared" si="4"/>
        <v>#REF!</v>
      </c>
      <c r="K27" s="29" t="e">
        <f t="shared" si="1"/>
        <v>#REF!</v>
      </c>
      <c r="L27" s="29" t="e">
        <f t="shared" si="0"/>
        <v>#REF!</v>
      </c>
      <c r="M27" s="20" t="s">
        <v>6232</v>
      </c>
      <c r="N27" t="s">
        <v>6232</v>
      </c>
      <c r="P27" t="s">
        <v>615</v>
      </c>
      <c r="Q27" t="s">
        <v>6232</v>
      </c>
      <c r="R27" t="s">
        <v>3331</v>
      </c>
      <c r="T27" t="s">
        <v>3860</v>
      </c>
      <c r="Z27" s="29" t="e">
        <f>F600+F604+F605+F606+F607+F608+F609+F610+F611+F612+F613+F614+F615+F616+F617+F618+F619+F620+F621+F622+F623+F624+F625+F626+F627+F628+F629+F630+F631+F632</f>
        <v>#REF!</v>
      </c>
      <c r="AA27" s="29" t="e">
        <f>H600+H604+H605+H606+H607+H608+H609+H610+H611+H612+H613+H614+H615+H616+H617+H618+H619+H620+H621+H622+H623+H624+H625+H626+H627+H628+H629+H630+H631+H632</f>
        <v>#REF!</v>
      </c>
      <c r="AB27" s="29" t="e">
        <f>J600+J604+J605+J606+J607+J608+J609+J610+J611+J612+J613+J614+J615+J616+J617+J618+J619+J620+J621+J622+J623+J624+J625+J626+J627+J628+J629+J630+J631+J632</f>
        <v>#REF!</v>
      </c>
      <c r="BI27" s="52" t="str">
        <f>HYPERLINK("#일위대가목록!A95","SC0608W400YA →")</f>
        <v>SC0608W400YA →</v>
      </c>
    </row>
    <row r="28" spans="1:61" ht="18.399999999999999" customHeight="1">
      <c r="A28" s="11" t="s">
        <v>4425</v>
      </c>
      <c r="B28" s="2" t="s">
        <v>809</v>
      </c>
      <c r="C28" s="2">
        <v>1</v>
      </c>
      <c r="D28" s="2" t="s">
        <v>1665</v>
      </c>
      <c r="E28" s="29" t="e">
        <f>일위대가목록!#REF!</f>
        <v>#REF!</v>
      </c>
      <c r="F28" s="29" t="e">
        <f t="shared" si="2"/>
        <v>#REF!</v>
      </c>
      <c r="G28" s="29" t="e">
        <f>일위대가목록!#REF!</f>
        <v>#REF!</v>
      </c>
      <c r="H28" s="29" t="e">
        <f t="shared" si="3"/>
        <v>#REF!</v>
      </c>
      <c r="I28" s="29" t="e">
        <f>일위대가목록!#REF!</f>
        <v>#REF!</v>
      </c>
      <c r="J28" s="29" t="e">
        <f t="shared" si="4"/>
        <v>#REF!</v>
      </c>
      <c r="K28" s="29" t="e">
        <f t="shared" si="1"/>
        <v>#REF!</v>
      </c>
      <c r="L28" s="29" t="e">
        <f t="shared" si="0"/>
        <v>#REF!</v>
      </c>
      <c r="M28" s="20" t="s">
        <v>6232</v>
      </c>
      <c r="N28" t="s">
        <v>6232</v>
      </c>
      <c r="P28" t="s">
        <v>5400</v>
      </c>
      <c r="Q28" t="s">
        <v>6232</v>
      </c>
      <c r="R28" t="s">
        <v>1317</v>
      </c>
      <c r="T28" t="s">
        <v>3860</v>
      </c>
      <c r="Z28" s="29" t="e">
        <f>F633+F634+F635+F636+F637+F638+F639+F640+F641+F642+F643+F644+F645+F646+F647+F648+F649+F650+F651+F652+F653+F654+F655+F656+F657+F658+F659+F660+F661+F662</f>
        <v>#REF!</v>
      </c>
      <c r="AA28" s="29" t="e">
        <f>H633+H634+H635+H636+H637+H638+H639+H640+H641+H642+H643+H644+H645+H646+H647+H648+H649+H650+H651+H652+H653+H654+H655+H656+H657+H658+H659+H660+H661+H662</f>
        <v>#REF!</v>
      </c>
      <c r="AB28" s="29" t="e">
        <f>J633+J634+J635+J636+J637+J638+J639+J640+J641+J642+J643+J644+J645+J646+J647+J648+J649+J650+J651+J652+J653+J654+J655+J656+J657+J658+J659+J660+J661+J662</f>
        <v>#REF!</v>
      </c>
      <c r="BI28" s="52" t="str">
        <f>HYPERLINK("#일위대가목록!A96","SC0608W350 →")</f>
        <v>SC0608W350 →</v>
      </c>
    </row>
    <row r="29" spans="1:61" ht="18.399999999999999" customHeight="1">
      <c r="A29" s="11" t="s">
        <v>929</v>
      </c>
      <c r="B29" s="2" t="s">
        <v>809</v>
      </c>
      <c r="C29" s="2">
        <v>1</v>
      </c>
      <c r="D29" s="2" t="s">
        <v>1665</v>
      </c>
      <c r="E29" s="29" t="e">
        <f>일위대가목록!#REF!</f>
        <v>#REF!</v>
      </c>
      <c r="F29" s="29" t="e">
        <f t="shared" si="2"/>
        <v>#REF!</v>
      </c>
      <c r="G29" s="29" t="e">
        <f>일위대가목록!#REF!</f>
        <v>#REF!</v>
      </c>
      <c r="H29" s="29" t="e">
        <f t="shared" si="3"/>
        <v>#REF!</v>
      </c>
      <c r="I29" s="29" t="e">
        <f>일위대가목록!#REF!</f>
        <v>#REF!</v>
      </c>
      <c r="J29" s="29" t="e">
        <f t="shared" si="4"/>
        <v>#REF!</v>
      </c>
      <c r="K29" s="29" t="e">
        <f t="shared" si="1"/>
        <v>#REF!</v>
      </c>
      <c r="L29" s="29" t="e">
        <f t="shared" si="0"/>
        <v>#REF!</v>
      </c>
      <c r="M29" s="20" t="s">
        <v>6232</v>
      </c>
      <c r="N29" t="s">
        <v>6232</v>
      </c>
      <c r="P29" t="s">
        <v>3866</v>
      </c>
      <c r="Q29" t="s">
        <v>6232</v>
      </c>
      <c r="R29" t="s">
        <v>4170</v>
      </c>
      <c r="T29" t="s">
        <v>3860</v>
      </c>
      <c r="Z29" s="29" t="e">
        <f>F663+F664+F665+F666+F667+F668+F669+F670+F671+F672+F673+F674+F675+F676+F677+F678+F679+F680+F681+F682+F683+F684+F685+F686+F687+F688+F689+F690+F691+F692</f>
        <v>#REF!</v>
      </c>
      <c r="AA29" s="29" t="e">
        <f>H663+H664+H665+H666+H667+H668+H669+H670+H671+H672+H673+H674+H675+H676+H677+H678+H679+H680+H681+H682+H683+H684+H685+H686+H687+H688+H689+H690+H691+H692</f>
        <v>#REF!</v>
      </c>
      <c r="AB29" s="29" t="e">
        <f>J663+J664+J665+J666+J667+J668+J669+J670+J671+J672+J673+J674+J675+J676+J677+J678+J679+J680+J681+J682+J683+J684+J685+J686+J687+J688+J689+J690+J691+J692</f>
        <v>#REF!</v>
      </c>
      <c r="BI29" s="52" t="str">
        <f>HYPERLINK("#일위대가목록!A97","SC0608W350YA →")</f>
        <v>SC0608W350YA →</v>
      </c>
    </row>
    <row r="30" spans="1:61" ht="18.399999999999999" customHeight="1">
      <c r="A30" s="11" t="s">
        <v>4425</v>
      </c>
      <c r="B30" s="2" t="s">
        <v>4894</v>
      </c>
      <c r="C30" s="2">
        <v>1</v>
      </c>
      <c r="D30" s="2" t="s">
        <v>1665</v>
      </c>
      <c r="E30" s="29" t="e">
        <f>일위대가목록!#REF!</f>
        <v>#REF!</v>
      </c>
      <c r="F30" s="29" t="e">
        <f t="shared" si="2"/>
        <v>#REF!</v>
      </c>
      <c r="G30" s="29" t="e">
        <f>일위대가목록!#REF!</f>
        <v>#REF!</v>
      </c>
      <c r="H30" s="29" t="e">
        <f t="shared" si="3"/>
        <v>#REF!</v>
      </c>
      <c r="I30" s="29" t="e">
        <f>일위대가목록!#REF!</f>
        <v>#REF!</v>
      </c>
      <c r="J30" s="29" t="e">
        <f t="shared" si="4"/>
        <v>#REF!</v>
      </c>
      <c r="K30" s="29" t="e">
        <f t="shared" si="1"/>
        <v>#REF!</v>
      </c>
      <c r="L30" s="29" t="e">
        <f t="shared" si="0"/>
        <v>#REF!</v>
      </c>
      <c r="M30" s="20" t="s">
        <v>6232</v>
      </c>
      <c r="N30" t="s">
        <v>6232</v>
      </c>
      <c r="P30" t="s">
        <v>2233</v>
      </c>
      <c r="Q30" t="s">
        <v>6232</v>
      </c>
      <c r="R30" t="s">
        <v>2753</v>
      </c>
      <c r="T30" t="s">
        <v>3860</v>
      </c>
      <c r="Z30" s="29" t="e">
        <f>F693+F694+F695+F696+F697+F698+F699+F700+F701+F702+F703+F704+F705+F706+F707+F708+F709+F710+F711+F712+F713+F714+F715+F716+F717+F718+F719+F720+F721+F722</f>
        <v>#REF!</v>
      </c>
      <c r="AA30" s="29" t="e">
        <f>H693+H694+H695+H696+H697+H698+H699+H700+H701+H702+H703+H704+H705+H706+H707+H708+H709+H710+H711+H712+H713+H714+H715+H716+H717+H718+H719+H720+H721+H722</f>
        <v>#REF!</v>
      </c>
      <c r="AB30" s="29" t="e">
        <f>J693+J694+J695+J696+J697+J698+J699+J700+J701+J702+J703+J704+J705+J706+J707+J708+J709+J710+J711+J712+J713+J714+J715+J716+J717+J718+J719+J720+J721+J722</f>
        <v>#REF!</v>
      </c>
      <c r="BI30" s="52" t="str">
        <f>HYPERLINK("#일위대가목록!A98","SC0608W300 →")</f>
        <v>SC0608W300 →</v>
      </c>
    </row>
    <row r="31" spans="1:61" ht="18.399999999999999" customHeight="1">
      <c r="A31" s="11" t="s">
        <v>929</v>
      </c>
      <c r="B31" s="2" t="s">
        <v>4894</v>
      </c>
      <c r="C31" s="2">
        <v>1</v>
      </c>
      <c r="D31" s="2" t="s">
        <v>1665</v>
      </c>
      <c r="E31" s="29" t="e">
        <f>일위대가목록!#REF!</f>
        <v>#REF!</v>
      </c>
      <c r="F31" s="29" t="e">
        <f t="shared" si="2"/>
        <v>#REF!</v>
      </c>
      <c r="G31" s="29" t="e">
        <f>일위대가목록!#REF!</f>
        <v>#REF!</v>
      </c>
      <c r="H31" s="29" t="e">
        <f t="shared" si="3"/>
        <v>#REF!</v>
      </c>
      <c r="I31" s="29" t="e">
        <f>일위대가목록!#REF!</f>
        <v>#REF!</v>
      </c>
      <c r="J31" s="29" t="e">
        <f t="shared" si="4"/>
        <v>#REF!</v>
      </c>
      <c r="K31" s="29" t="e">
        <f t="shared" si="1"/>
        <v>#REF!</v>
      </c>
      <c r="L31" s="29" t="e">
        <f t="shared" si="0"/>
        <v>#REF!</v>
      </c>
      <c r="M31" s="20" t="s">
        <v>6232</v>
      </c>
      <c r="N31" t="s">
        <v>6232</v>
      </c>
      <c r="P31" t="s">
        <v>715</v>
      </c>
      <c r="Q31" t="s">
        <v>6232</v>
      </c>
      <c r="R31" t="s">
        <v>3726</v>
      </c>
      <c r="T31" t="s">
        <v>3860</v>
      </c>
      <c r="Z31" s="29" t="e">
        <f>F723+F724+F725+F726+F727+F728+F729+F730+F731+F732+F733+F734+F735+F739+F740+F741+F742+F743+F744+F745+F746+F747+F748+F749+F750+F754+F755+F756+F757+F758</f>
        <v>#REF!</v>
      </c>
      <c r="AA31" s="29" t="e">
        <f>H723+H724+H725+H726+H727+H728+H729+H730+H731+H732+H733+H734+H735+H739+H740+H741+H742+H743+H744+H745+H746+H747+H748+H749+H750+H754+H755+H756+H757+H758</f>
        <v>#REF!</v>
      </c>
      <c r="AB31" s="29" t="e">
        <f>J723+J724+J725+J726+J727+J728+J729+J730+J731+J732+J733+J734+J735+J739+J740+J741+J742+J743+J744+J745+J746+J747+J748+J749+J750+J754+J755+J756+J757+J758</f>
        <v>#REF!</v>
      </c>
      <c r="BI31" s="52" t="str">
        <f>HYPERLINK("#일위대가목록!A99","SC0608W300YA →")</f>
        <v>SC0608W300YA →</v>
      </c>
    </row>
    <row r="32" spans="1:61" ht="18.399999999999999" customHeight="1">
      <c r="A32" s="11" t="s">
        <v>4425</v>
      </c>
      <c r="B32" s="2" t="s">
        <v>1701</v>
      </c>
      <c r="C32" s="2">
        <v>1</v>
      </c>
      <c r="D32" s="2" t="s">
        <v>1665</v>
      </c>
      <c r="E32" s="29" t="e">
        <f>일위대가목록!#REF!</f>
        <v>#REF!</v>
      </c>
      <c r="F32" s="29" t="e">
        <f t="shared" si="2"/>
        <v>#REF!</v>
      </c>
      <c r="G32" s="29" t="e">
        <f>일위대가목록!#REF!</f>
        <v>#REF!</v>
      </c>
      <c r="H32" s="29" t="e">
        <f t="shared" si="3"/>
        <v>#REF!</v>
      </c>
      <c r="I32" s="29" t="e">
        <f>일위대가목록!#REF!</f>
        <v>#REF!</v>
      </c>
      <c r="J32" s="29" t="e">
        <f t="shared" si="4"/>
        <v>#REF!</v>
      </c>
      <c r="K32" s="29" t="e">
        <f t="shared" si="1"/>
        <v>#REF!</v>
      </c>
      <c r="L32" s="29" t="e">
        <f t="shared" si="0"/>
        <v>#REF!</v>
      </c>
      <c r="M32" s="20" t="s">
        <v>6232</v>
      </c>
      <c r="N32" t="s">
        <v>6232</v>
      </c>
      <c r="P32" t="s">
        <v>5103</v>
      </c>
      <c r="Q32" t="s">
        <v>6232</v>
      </c>
      <c r="R32" t="s">
        <v>6</v>
      </c>
      <c r="T32" t="s">
        <v>3860</v>
      </c>
      <c r="Z32" s="29" t="e">
        <f>F759+F760+F761+F762+F763+F764+F765+F769+F770+F771+F772+F773+F774+F775+F776+F777+F778+F779+F780+F781+F782+F783+F784+F785+F786+F787+F788+F789+F790+F791</f>
        <v>#REF!</v>
      </c>
      <c r="AA32" s="29" t="e">
        <f>H759+H760+H761+H762+H763+H764+H765+H769+H770+H771+H772+H773+H774+H775+H776+H777+H778+H779+H780+H781+H782+H783+H784+H785+H786+H787+H788+H789+H790+H791</f>
        <v>#REF!</v>
      </c>
      <c r="AB32" s="29" t="e">
        <f>J759+J760+J761+J762+J763+J764+J765+J769+J770+J771+J772+J773+J774+J775+J776+J777+J778+J779+J780+J781+J782+J783+J784+J785+J786+J787+J788+J789+J790+J791</f>
        <v>#REF!</v>
      </c>
      <c r="BI32" s="52" t="str">
        <f>HYPERLINK("#일위대가목록!A100","SC0608W250 →")</f>
        <v>SC0608W250 →</v>
      </c>
    </row>
    <row r="33" spans="1:61" ht="18.399999999999999" customHeight="1">
      <c r="A33" s="11" t="s">
        <v>929</v>
      </c>
      <c r="B33" s="2" t="s">
        <v>1701</v>
      </c>
      <c r="C33" s="2">
        <v>1</v>
      </c>
      <c r="D33" s="2" t="s">
        <v>1665</v>
      </c>
      <c r="E33" s="29" t="e">
        <f>일위대가목록!#REF!</f>
        <v>#REF!</v>
      </c>
      <c r="F33" s="29" t="e">
        <f t="shared" si="2"/>
        <v>#REF!</v>
      </c>
      <c r="G33" s="29" t="e">
        <f>일위대가목록!#REF!</f>
        <v>#REF!</v>
      </c>
      <c r="H33" s="29" t="e">
        <f t="shared" si="3"/>
        <v>#REF!</v>
      </c>
      <c r="I33" s="29" t="e">
        <f>일위대가목록!#REF!</f>
        <v>#REF!</v>
      </c>
      <c r="J33" s="29" t="e">
        <f t="shared" si="4"/>
        <v>#REF!</v>
      </c>
      <c r="K33" s="29" t="e">
        <f t="shared" si="1"/>
        <v>#REF!</v>
      </c>
      <c r="L33" s="29" t="e">
        <f t="shared" si="0"/>
        <v>#REF!</v>
      </c>
      <c r="M33" s="20" t="s">
        <v>6232</v>
      </c>
      <c r="N33" t="s">
        <v>6232</v>
      </c>
      <c r="P33" t="s">
        <v>3580</v>
      </c>
      <c r="Q33" t="s">
        <v>6232</v>
      </c>
      <c r="R33" t="s">
        <v>668</v>
      </c>
      <c r="T33" t="s">
        <v>3860</v>
      </c>
      <c r="Z33" s="29" t="e">
        <f>F792+F793+F794+F795+F796+F797+F798+F802+F803+F804+F805+F806+F807+F808+F809+F813+F814+F815+F816+F817+F818+F819+F820+F821+F822+F823+F824+F825+F826+F827</f>
        <v>#REF!</v>
      </c>
      <c r="AA33" s="29" t="e">
        <f>H792+H793+H794+H795+H796+H797+H798+H802+H803+H804+H805+H806+H807+H808+H809+H813+H814+H815+H816+H817+H818+H819+H820+H821+H822+H823+H824+H825+H826+H827</f>
        <v>#REF!</v>
      </c>
      <c r="AB33" s="29" t="e">
        <f>J792+J793+J794+J795+J796+J797+J798+J802+J803+J804+J805+J806+J807+J808+J809+J813+J814+J815+J816+J817+J818+J819+J820+J821+J822+J823+J824+J825+J826+J827</f>
        <v>#REF!</v>
      </c>
      <c r="BI33" s="52" t="str">
        <f>HYPERLINK("#일위대가목록!A101","SC0608W250YA →")</f>
        <v>SC0608W250YA →</v>
      </c>
    </row>
    <row r="34" spans="1:61" ht="18.399999999999999" customHeight="1">
      <c r="A34" s="11" t="s">
        <v>4425</v>
      </c>
      <c r="B34" s="2" t="s">
        <v>4196</v>
      </c>
      <c r="C34" s="2">
        <v>1</v>
      </c>
      <c r="D34" s="2" t="s">
        <v>1665</v>
      </c>
      <c r="E34" s="29" t="e">
        <f>일위대가목록!#REF!</f>
        <v>#REF!</v>
      </c>
      <c r="F34" s="29" t="e">
        <f t="shared" si="2"/>
        <v>#REF!</v>
      </c>
      <c r="G34" s="29" t="e">
        <f>일위대가목록!#REF!</f>
        <v>#REF!</v>
      </c>
      <c r="H34" s="29" t="e">
        <f t="shared" si="3"/>
        <v>#REF!</v>
      </c>
      <c r="I34" s="29" t="e">
        <f>일위대가목록!#REF!</f>
        <v>#REF!</v>
      </c>
      <c r="J34" s="29" t="e">
        <f t="shared" si="4"/>
        <v>#REF!</v>
      </c>
      <c r="K34" s="29" t="e">
        <f t="shared" si="1"/>
        <v>#REF!</v>
      </c>
      <c r="L34" s="29" t="e">
        <f t="shared" si="0"/>
        <v>#REF!</v>
      </c>
      <c r="M34" s="20" t="s">
        <v>6232</v>
      </c>
      <c r="N34" t="s">
        <v>6232</v>
      </c>
      <c r="P34" t="s">
        <v>5764</v>
      </c>
      <c r="Q34" t="s">
        <v>6232</v>
      </c>
      <c r="R34" t="s">
        <v>1652</v>
      </c>
      <c r="T34" t="s">
        <v>3860</v>
      </c>
      <c r="Z34" s="29" t="e">
        <f>F828+F829+F830+F831+F832+F833+F834+F839+F840+F841+F842+F843+F844+F845+F846+F847+F848+F849+F850+F851+F855+F856+F857+F858+F859+F860+F861+F862+F863+F864</f>
        <v>#REF!</v>
      </c>
      <c r="AA34" s="29" t="e">
        <f>H828+H829+H830+H831+H832+H833+H834+H839+H840+H841+H842+H843+H844+H845+H846+H847+H848+H849+H850+H851+H855+H856+H857+H858+H859+H860+H861+H862+H863+H864</f>
        <v>#REF!</v>
      </c>
      <c r="AB34" s="29" t="e">
        <f>J828+J829+J830+J831+J832+J833+J834+J839+J840+J841+J842+J843+J844+J845+J846+J847+J848+J849+J850+J851+J855+J856+J857+J858+J859+J860+J861+J862+J863+J864</f>
        <v>#REF!</v>
      </c>
      <c r="BI34" s="52" t="str">
        <f>HYPERLINK("#일위대가목록!A102","SC0608W200 →")</f>
        <v>SC0608W200 →</v>
      </c>
    </row>
    <row r="35" spans="1:61" ht="18.399999999999999" customHeight="1">
      <c r="A35" s="11" t="s">
        <v>929</v>
      </c>
      <c r="B35" s="2" t="s">
        <v>4196</v>
      </c>
      <c r="C35" s="2">
        <v>1</v>
      </c>
      <c r="D35" s="2" t="s">
        <v>1665</v>
      </c>
      <c r="E35" s="29" t="e">
        <f>일위대가목록!#REF!</f>
        <v>#REF!</v>
      </c>
      <c r="F35" s="29" t="e">
        <f t="shared" si="2"/>
        <v>#REF!</v>
      </c>
      <c r="G35" s="29" t="e">
        <f>일위대가목록!#REF!</f>
        <v>#REF!</v>
      </c>
      <c r="H35" s="29" t="e">
        <f t="shared" si="3"/>
        <v>#REF!</v>
      </c>
      <c r="I35" s="29" t="e">
        <f>일위대가목록!#REF!</f>
        <v>#REF!</v>
      </c>
      <c r="J35" s="29" t="e">
        <f t="shared" si="4"/>
        <v>#REF!</v>
      </c>
      <c r="K35" s="29" t="e">
        <f t="shared" si="1"/>
        <v>#REF!</v>
      </c>
      <c r="L35" s="29" t="e">
        <f t="shared" si="0"/>
        <v>#REF!</v>
      </c>
      <c r="M35" s="20" t="s">
        <v>6232</v>
      </c>
      <c r="N35" t="s">
        <v>6232</v>
      </c>
      <c r="P35" t="s">
        <v>4181</v>
      </c>
      <c r="Q35" t="s">
        <v>6232</v>
      </c>
      <c r="R35" t="s">
        <v>985</v>
      </c>
      <c r="T35" t="s">
        <v>3860</v>
      </c>
      <c r="Z35" s="29" t="e">
        <f>F865+F866+F867+F868+F869+F870+F871+F872+F873+F874+F875+F876+F880+F881+F882+F883+F884+F885+F886+F887+F888+F889+F890+F891+F892+F893+F894+F895+F896+F897</f>
        <v>#REF!</v>
      </c>
      <c r="AA35" s="29" t="e">
        <f>H865+H866+H867+H868+H869+H870+H871+H872+H873+H874+H875+H876+H880+H881+H882+H883+H884+H885+H886+H887+H888+H889+H890+H891+H892+H893+H894+H895+H896+H897</f>
        <v>#REF!</v>
      </c>
      <c r="AB35" s="29" t="e">
        <f>J865+J866+J867+J868+J869+J870+J871+J872+J873+J874+J875+J876+J880+J881+J882+J883+J884+J885+J886+J887+J888+J889+J890+J891+J892+J893+J894+J895+J896+J897</f>
        <v>#REF!</v>
      </c>
      <c r="BI35" s="52" t="str">
        <f>HYPERLINK("#일위대가목록!A103","SC0608W200YA →")</f>
        <v>SC0608W200YA →</v>
      </c>
    </row>
    <row r="36" spans="1:61" ht="18.399999999999999" customHeight="1">
      <c r="A36" s="11" t="s">
        <v>4425</v>
      </c>
      <c r="B36" s="2" t="s">
        <v>4124</v>
      </c>
      <c r="C36" s="2">
        <v>1</v>
      </c>
      <c r="D36" s="2" t="s">
        <v>1665</v>
      </c>
      <c r="E36" s="29" t="e">
        <f>일위대가목록!#REF!</f>
        <v>#REF!</v>
      </c>
      <c r="F36" s="29" t="e">
        <f t="shared" si="2"/>
        <v>#REF!</v>
      </c>
      <c r="G36" s="29" t="e">
        <f>일위대가목록!#REF!</f>
        <v>#REF!</v>
      </c>
      <c r="H36" s="29" t="e">
        <f t="shared" si="3"/>
        <v>#REF!</v>
      </c>
      <c r="I36" s="29" t="e">
        <f>일위대가목록!#REF!</f>
        <v>#REF!</v>
      </c>
      <c r="J36" s="29" t="e">
        <f t="shared" si="4"/>
        <v>#REF!</v>
      </c>
      <c r="K36" s="29" t="e">
        <f t="shared" si="1"/>
        <v>#REF!</v>
      </c>
      <c r="L36" s="29" t="e">
        <f t="shared" si="0"/>
        <v>#REF!</v>
      </c>
      <c r="M36" s="20" t="s">
        <v>6232</v>
      </c>
      <c r="N36" t="s">
        <v>6232</v>
      </c>
      <c r="P36" t="s">
        <v>2678</v>
      </c>
      <c r="Q36" t="s">
        <v>6232</v>
      </c>
      <c r="R36" t="s">
        <v>2159</v>
      </c>
      <c r="T36" t="s">
        <v>3860</v>
      </c>
      <c r="Z36" s="29" t="e">
        <f>F898+F899+F900+F901+F902+F903+F904+F905+F909+F910+F911+F912+F913+F914+F915+F916+F917+F918+F919+F920+F921+F922+F923+F924+F925+F926+F927+F928+F929+F930</f>
        <v>#REF!</v>
      </c>
      <c r="AA36" s="29" t="e">
        <f>H898+H899+H900+H901+H902+H903+H904+H905+H909+H910+H911+H912+H913+H914+H915+H916+H917+H918+H919+H920+H921+H922+H923+H924+H925+H926+H927+H928+H929+H930</f>
        <v>#REF!</v>
      </c>
      <c r="AB36" s="29" t="e">
        <f>J898+J899+J900+J901+J902+J903+J904+J905+J909+J910+J911+J912+J913+J914+J915+J916+J917+J918+J919+J920+J921+J922+J923+J924+J925+J926+J927+J928+J929+J930</f>
        <v>#REF!</v>
      </c>
      <c r="BI36" s="52" t="str">
        <f>HYPERLINK("#일위대가목록!A104","SC0608W150 →")</f>
        <v>SC0608W150 →</v>
      </c>
    </row>
    <row r="37" spans="1:61" ht="18.399999999999999" customHeight="1">
      <c r="A37" s="11" t="s">
        <v>929</v>
      </c>
      <c r="B37" s="2" t="s">
        <v>4124</v>
      </c>
      <c r="C37" s="2">
        <v>1</v>
      </c>
      <c r="D37" s="2" t="s">
        <v>1665</v>
      </c>
      <c r="E37" s="29" t="e">
        <f>일위대가목록!#REF!</f>
        <v>#REF!</v>
      </c>
      <c r="F37" s="29" t="e">
        <f t="shared" si="2"/>
        <v>#REF!</v>
      </c>
      <c r="G37" s="29" t="e">
        <f>일위대가목록!#REF!</f>
        <v>#REF!</v>
      </c>
      <c r="H37" s="29" t="e">
        <f t="shared" si="3"/>
        <v>#REF!</v>
      </c>
      <c r="I37" s="29" t="e">
        <f>일위대가목록!#REF!</f>
        <v>#REF!</v>
      </c>
      <c r="J37" s="29" t="e">
        <f t="shared" si="4"/>
        <v>#REF!</v>
      </c>
      <c r="K37" s="29" t="e">
        <f t="shared" si="1"/>
        <v>#REF!</v>
      </c>
      <c r="L37" s="29" t="e">
        <f t="shared" si="0"/>
        <v>#REF!</v>
      </c>
      <c r="M37" s="20" t="s">
        <v>6232</v>
      </c>
      <c r="N37" t="s">
        <v>6232</v>
      </c>
      <c r="P37" t="s">
        <v>1089</v>
      </c>
      <c r="Q37" t="s">
        <v>6232</v>
      </c>
      <c r="R37" t="s">
        <v>4931</v>
      </c>
      <c r="T37" t="s">
        <v>3860</v>
      </c>
      <c r="Z37" s="29" t="e">
        <f>F931+F932+F933+F934+F935+F936+F937+F938+F939+F940+F941+F942+F943+F944+F950+F951+F952+F953+F954+F955+F956+F957+F958+F959+F960+F961+F962+F963+F964+F965</f>
        <v>#REF!</v>
      </c>
      <c r="AA37" s="29" t="e">
        <f>H931+H932+H933+H934+H935+H936+H937+H938+H939+H940+H941+H942+H943+H944+H950+H951+H952+H953+H954+H955+H956+H957+H958+H959+H960+H961+H962+H963+H964+H965</f>
        <v>#REF!</v>
      </c>
      <c r="AB37" s="29" t="e">
        <f>J931+J932+J933+J934+J935+J936+J937+J938+J939+J940+J941+J942+J943+J944+J950+J951+J952+J953+J954+J955+J956+J957+J958+J959+J960+J961+J962+J963+J964+J965</f>
        <v>#REF!</v>
      </c>
      <c r="BI37" s="52" t="str">
        <f>HYPERLINK("#일위대가목록!A105","SC0608W150YA →")</f>
        <v>SC0608W150YA →</v>
      </c>
    </row>
    <row r="38" spans="1:61" ht="18.399999999999999" customHeight="1">
      <c r="A38" s="11" t="s">
        <v>4425</v>
      </c>
      <c r="B38" s="2" t="s">
        <v>2533</v>
      </c>
      <c r="C38" s="2">
        <v>1</v>
      </c>
      <c r="D38" s="2" t="s">
        <v>1665</v>
      </c>
      <c r="E38" s="29" t="e">
        <f>일위대가목록!#REF!</f>
        <v>#REF!</v>
      </c>
      <c r="F38" s="29" t="e">
        <f t="shared" si="2"/>
        <v>#REF!</v>
      </c>
      <c r="G38" s="29" t="e">
        <f>일위대가목록!#REF!</f>
        <v>#REF!</v>
      </c>
      <c r="H38" s="29" t="e">
        <f t="shared" si="3"/>
        <v>#REF!</v>
      </c>
      <c r="I38" s="29" t="e">
        <f>일위대가목록!#REF!</f>
        <v>#REF!</v>
      </c>
      <c r="J38" s="29" t="e">
        <f t="shared" si="4"/>
        <v>#REF!</v>
      </c>
      <c r="K38" s="29" t="e">
        <f t="shared" si="1"/>
        <v>#REF!</v>
      </c>
      <c r="L38" s="29" t="e">
        <f t="shared" si="0"/>
        <v>#REF!</v>
      </c>
      <c r="M38" s="20" t="s">
        <v>6232</v>
      </c>
      <c r="N38" t="s">
        <v>6232</v>
      </c>
      <c r="P38" t="s">
        <v>5687</v>
      </c>
      <c r="Q38" t="s">
        <v>6232</v>
      </c>
      <c r="R38" t="s">
        <v>418</v>
      </c>
      <c r="T38" t="s">
        <v>3860</v>
      </c>
      <c r="Z38" s="29">
        <f>F966+F967+F968+F969+F970+F971+F975+F976+F977+F978+F979+F980+F981+F982+F983+F984+F985+F986+F987+F988+F989+F990+F991+F992+F993+F994+F995+F996+F1000</f>
        <v>33663140</v>
      </c>
      <c r="AA38" s="29">
        <f>H966+H967+H968+H969+H970+H971+H975+H976+H977+H978+H979+H980+H981+H982+H983+H984+H985+H986+H987+H988+H989+H990+H991+H992+H993+H994+H995+H996+H1000</f>
        <v>0</v>
      </c>
      <c r="AB38" s="29">
        <f>J966+J967+J968+J969+J970+J971+J975+J976+J977+J978+J979+J980+J981+J982+J983+J984+J985+J986+J987+J988+J989+J990+J991+J992+J993+J994+J995+J996+J1000</f>
        <v>0</v>
      </c>
      <c r="BI38" s="52" t="str">
        <f>HYPERLINK("#일위대가목록!A106","SC0608W125 →")</f>
        <v>SC0608W125 →</v>
      </c>
    </row>
    <row r="39" spans="1:61" ht="18.399999999999999" customHeight="1">
      <c r="A39" s="11" t="s">
        <v>929</v>
      </c>
      <c r="B39" s="2" t="s">
        <v>2533</v>
      </c>
      <c r="C39" s="2">
        <v>1</v>
      </c>
      <c r="D39" s="2" t="s">
        <v>1665</v>
      </c>
      <c r="E39" s="29" t="e">
        <f>일위대가목록!#REF!</f>
        <v>#REF!</v>
      </c>
      <c r="F39" s="29" t="e">
        <f t="shared" si="2"/>
        <v>#REF!</v>
      </c>
      <c r="G39" s="29" t="e">
        <f>일위대가목록!#REF!</f>
        <v>#REF!</v>
      </c>
      <c r="H39" s="29" t="e">
        <f t="shared" si="3"/>
        <v>#REF!</v>
      </c>
      <c r="I39" s="29" t="e">
        <f>일위대가목록!#REF!</f>
        <v>#REF!</v>
      </c>
      <c r="J39" s="29" t="e">
        <f t="shared" si="4"/>
        <v>#REF!</v>
      </c>
      <c r="K39" s="29" t="e">
        <f t="shared" si="1"/>
        <v>#REF!</v>
      </c>
      <c r="L39" s="29" t="e">
        <f t="shared" si="0"/>
        <v>#REF!</v>
      </c>
      <c r="M39" s="20" t="s">
        <v>6232</v>
      </c>
      <c r="N39" t="s">
        <v>6232</v>
      </c>
      <c r="P39" t="s">
        <v>4094</v>
      </c>
      <c r="Q39" t="s">
        <v>6232</v>
      </c>
      <c r="R39" t="s">
        <v>3731</v>
      </c>
      <c r="T39" t="s">
        <v>3860</v>
      </c>
      <c r="Z39" s="29">
        <f>F1001+F1002+F1003+F1004+F1005+F1006+F1007+F1008+F1009+F1010+F1011+F1012+F1013+F1014+F1015+F1016+F1017+F1018+F1019+F1020+F1021+F1025+F1026+F1027+F1028</f>
        <v>33732410</v>
      </c>
      <c r="AA39" s="29">
        <f>H1001+H1002+H1003+H1004+H1005+H1006+H1007+H1008+H1009+H1010+H1011+H1012+H1013+H1014+H1015+H1016+H1017+H1018+H1019+H1020+H1021+H1025+H1026+H1027+H1028</f>
        <v>0</v>
      </c>
      <c r="AB39" s="29">
        <f>J1001+J1002+J1003+J1004+J1005+J1006+J1007+J1008+J1009+J1010+J1011+J1012+J1013+J1014+J1015+J1016+J1017+J1018+J1019+J1020+J1021+J1025+J1026+J1027+J1028</f>
        <v>0</v>
      </c>
      <c r="BI39" s="52" t="str">
        <f>HYPERLINK("#일위대가목록!A107","SC0608W125YA →")</f>
        <v>SC0608W125YA →</v>
      </c>
    </row>
    <row r="40" spans="1:61" ht="18.399999999999999" customHeight="1">
      <c r="A40" s="11" t="s">
        <v>4425</v>
      </c>
      <c r="B40" s="2" t="s">
        <v>1572</v>
      </c>
      <c r="C40" s="2">
        <v>1</v>
      </c>
      <c r="D40" s="2" t="s">
        <v>1665</v>
      </c>
      <c r="E40" s="29" t="e">
        <f>일위대가목록!#REF!</f>
        <v>#REF!</v>
      </c>
      <c r="F40" s="29" t="e">
        <f t="shared" si="2"/>
        <v>#REF!</v>
      </c>
      <c r="G40" s="29" t="e">
        <f>일위대가목록!#REF!</f>
        <v>#REF!</v>
      </c>
      <c r="H40" s="29" t="e">
        <f t="shared" si="3"/>
        <v>#REF!</v>
      </c>
      <c r="I40" s="29" t="e">
        <f>일위대가목록!#REF!</f>
        <v>#REF!</v>
      </c>
      <c r="J40" s="29" t="e">
        <f t="shared" si="4"/>
        <v>#REF!</v>
      </c>
      <c r="K40" s="29" t="e">
        <f t="shared" si="1"/>
        <v>#REF!</v>
      </c>
      <c r="L40" s="29" t="e">
        <f t="shared" si="0"/>
        <v>#REF!</v>
      </c>
      <c r="M40" s="20" t="s">
        <v>6232</v>
      </c>
      <c r="N40" t="s">
        <v>6232</v>
      </c>
      <c r="P40" t="s">
        <v>2602</v>
      </c>
      <c r="Q40" t="s">
        <v>6232</v>
      </c>
      <c r="R40" t="s">
        <v>673</v>
      </c>
      <c r="T40" t="s">
        <v>3860</v>
      </c>
      <c r="Z40" s="29">
        <f>F1029+F1030+F1031+F1032+F1033+F1034+F1035+F1036+F1037+F1038+F1039+F1040+F1041+F1042+F1043+F1044+F1045+F1046+F1050+F1051+F1052+F1053+F1054+F1055+F1056</f>
        <v>15519030</v>
      </c>
      <c r="AA40" s="29">
        <f>H1029+H1030+H1031+H1032+H1033+H1034+H1035+H1036+H1037+H1038+H1039+H1040+H1041+H1042+H1043+H1044+H1045+H1046+H1050+H1051+H1052+H1053+H1054+H1055+H1056</f>
        <v>0</v>
      </c>
      <c r="AB40" s="29">
        <f>J1029+J1030+J1031+J1032+J1033+J1034+J1035+J1036+J1037+J1038+J1039+J1040+J1041+J1042+J1043+J1044+J1045+J1046+J1050+J1051+J1052+J1053+J1054+J1055+J1056</f>
        <v>0</v>
      </c>
      <c r="BI40" s="52" t="str">
        <f>HYPERLINK("#일위대가목록!A108","SC0608W100 →")</f>
        <v>SC0608W100 →</v>
      </c>
    </row>
    <row r="41" spans="1:61" ht="18.399999999999999" customHeight="1">
      <c r="A41" s="11" t="s">
        <v>929</v>
      </c>
      <c r="B41" s="2" t="s">
        <v>1572</v>
      </c>
      <c r="C41" s="2">
        <v>1</v>
      </c>
      <c r="D41" s="2" t="s">
        <v>1665</v>
      </c>
      <c r="E41" s="29" t="e">
        <f>일위대가목록!#REF!</f>
        <v>#REF!</v>
      </c>
      <c r="F41" s="29" t="e">
        <f t="shared" si="2"/>
        <v>#REF!</v>
      </c>
      <c r="G41" s="29" t="e">
        <f>일위대가목록!#REF!</f>
        <v>#REF!</v>
      </c>
      <c r="H41" s="29" t="e">
        <f t="shared" si="3"/>
        <v>#REF!</v>
      </c>
      <c r="I41" s="29" t="e">
        <f>일위대가목록!#REF!</f>
        <v>#REF!</v>
      </c>
      <c r="J41" s="29" t="e">
        <f t="shared" si="4"/>
        <v>#REF!</v>
      </c>
      <c r="K41" s="29" t="e">
        <f t="shared" si="1"/>
        <v>#REF!</v>
      </c>
      <c r="L41" s="29" t="e">
        <f t="shared" si="0"/>
        <v>#REF!</v>
      </c>
      <c r="M41" s="20" t="s">
        <v>6232</v>
      </c>
      <c r="N41" t="s">
        <v>6232</v>
      </c>
      <c r="P41" t="s">
        <v>1016</v>
      </c>
      <c r="Q41" t="s">
        <v>6232</v>
      </c>
      <c r="R41" t="s">
        <v>6054</v>
      </c>
      <c r="T41" t="s">
        <v>3860</v>
      </c>
      <c r="Z41" s="29">
        <f>F1057+F1058+F1059+F1060+F1061+F1062+F1063+F1064+F1065+F1066+F1067+F1068+F1069+F1070+F1071+F1072+F1073+F1074+F1075+F1076+F1077+F1078+F1079+F1080+F1081</f>
        <v>13615320</v>
      </c>
      <c r="AA41" s="29">
        <f>H1057+H1058+H1059+H1060+H1061+H1062+H1063+H1064+H1065+H1066+H1067+H1068+H1069+H1070+H1071+H1072+H1073+H1074+H1075+H1076+H1077+H1078+H1079+H1080+H1081</f>
        <v>0</v>
      </c>
      <c r="AB41" s="29">
        <f>J1057+J1058+J1059+J1060+J1061+J1062+J1063+J1064+J1065+J1066+J1067+J1068+J1069+J1070+J1071+J1072+J1073+J1074+J1075+J1076+J1077+J1078+J1079+J1080+J1081</f>
        <v>0</v>
      </c>
      <c r="BI41" s="52" t="str">
        <f>HYPERLINK("#일위대가목록!A109","SC0608W100YA →")</f>
        <v>SC0608W100YA →</v>
      </c>
    </row>
    <row r="42" spans="1:61" ht="18.399999999999999" customHeight="1">
      <c r="A42" s="11" t="s">
        <v>4425</v>
      </c>
      <c r="B42" s="2" t="s">
        <v>1160</v>
      </c>
      <c r="C42" s="2">
        <v>1</v>
      </c>
      <c r="D42" s="2" t="s">
        <v>1665</v>
      </c>
      <c r="E42" s="29" t="e">
        <f>일위대가목록!#REF!</f>
        <v>#REF!</v>
      </c>
      <c r="F42" s="29" t="e">
        <f t="shared" si="2"/>
        <v>#REF!</v>
      </c>
      <c r="G42" s="29" t="e">
        <f>일위대가목록!#REF!</f>
        <v>#REF!</v>
      </c>
      <c r="H42" s="29" t="e">
        <f t="shared" si="3"/>
        <v>#REF!</v>
      </c>
      <c r="I42" s="29" t="e">
        <f>일위대가목록!#REF!</f>
        <v>#REF!</v>
      </c>
      <c r="J42" s="29" t="e">
        <f t="shared" si="4"/>
        <v>#REF!</v>
      </c>
      <c r="K42" s="29" t="e">
        <f t="shared" si="1"/>
        <v>#REF!</v>
      </c>
      <c r="L42" s="29" t="e">
        <f t="shared" si="0"/>
        <v>#REF!</v>
      </c>
      <c r="M42" s="20" t="s">
        <v>6232</v>
      </c>
      <c r="N42" t="s">
        <v>6232</v>
      </c>
      <c r="P42" t="s">
        <v>5581</v>
      </c>
      <c r="Q42" t="s">
        <v>6232</v>
      </c>
      <c r="R42" t="s">
        <v>869</v>
      </c>
      <c r="T42" t="s">
        <v>3860</v>
      </c>
      <c r="Z42" s="29">
        <f>F1082+F1083+F1084+F1085+F1086+F1087+F1088+F1089+F1090+F1091+F1092+F1093+F1094+F1095+F1096+F1097+F1098+F1099+F1100+F1101+F1102+F1103+F1104+F1105+F1106</f>
        <v>20924560</v>
      </c>
      <c r="AA42" s="29">
        <f>H1082+H1083+H1084+H1085+H1086+H1087+H1088+H1089+H1090+H1091+H1092+H1093+H1094+H1095+H1096+H1097+H1098+H1099+H1100+H1101+H1102+H1103+H1104+H1105+H1106</f>
        <v>0</v>
      </c>
      <c r="AB42" s="29">
        <f>J1082+J1083+J1084+J1085+J1086+J1087+J1088+J1089+J1090+J1091+J1092+J1093+J1094+J1095+J1096+J1097+J1098+J1099+J1100+J1101+J1102+J1103+J1104+J1105+J1106</f>
        <v>0</v>
      </c>
      <c r="BI42" s="52" t="str">
        <f>HYPERLINK("#일위대가목록!A110","SC0608W080 →")</f>
        <v>SC0608W080 →</v>
      </c>
    </row>
    <row r="43" spans="1:61" ht="18.399999999999999" customHeight="1">
      <c r="A43" s="11" t="s">
        <v>929</v>
      </c>
      <c r="B43" s="2" t="s">
        <v>1160</v>
      </c>
      <c r="C43" s="2">
        <v>1</v>
      </c>
      <c r="D43" s="2" t="s">
        <v>1665</v>
      </c>
      <c r="E43" s="29" t="e">
        <f>일위대가목록!#REF!</f>
        <v>#REF!</v>
      </c>
      <c r="F43" s="29" t="e">
        <f t="shared" si="2"/>
        <v>#REF!</v>
      </c>
      <c r="G43" s="29" t="e">
        <f>일위대가목록!#REF!</f>
        <v>#REF!</v>
      </c>
      <c r="H43" s="29" t="e">
        <f t="shared" si="3"/>
        <v>#REF!</v>
      </c>
      <c r="I43" s="29" t="e">
        <f>일위대가목록!#REF!</f>
        <v>#REF!</v>
      </c>
      <c r="J43" s="29" t="e">
        <f t="shared" si="4"/>
        <v>#REF!</v>
      </c>
      <c r="K43" s="29" t="e">
        <f t="shared" si="1"/>
        <v>#REF!</v>
      </c>
      <c r="L43" s="29" t="e">
        <f t="shared" si="0"/>
        <v>#REF!</v>
      </c>
      <c r="M43" s="20" t="s">
        <v>6232</v>
      </c>
      <c r="N43" t="s">
        <v>6232</v>
      </c>
      <c r="P43" t="s">
        <v>3999</v>
      </c>
      <c r="Q43" t="s">
        <v>6232</v>
      </c>
      <c r="R43" t="s">
        <v>4053</v>
      </c>
      <c r="T43" t="s">
        <v>3860</v>
      </c>
      <c r="Z43" s="29">
        <f>F1107+F1108+F1109+F1110+F1111+F1112+F1113+F1114+F1115+F1116+F1117+F1118+F1119+F1120+F1121+F1122+F1123+F1124+F1125+F1126+F1127+F1128+F1129+F1130+F1131</f>
        <v>40865620</v>
      </c>
      <c r="AA43" s="29">
        <f>H1107+H1108+H1109+H1110+H1111+H1112+H1113+H1114+H1115+H1116+H1117+H1118+H1119+H1120+H1121+H1122+H1123+H1124+H1125+H1126+H1127+H1128+H1129+H1130+H1131</f>
        <v>0</v>
      </c>
      <c r="AB43" s="29">
        <f>J1107+J1108+J1109+J1110+J1111+J1112+J1113+J1114+J1115+J1116+J1117+J1118+J1119+J1120+J1121+J1122+J1123+J1124+J1125+J1126+J1127+J1128+J1129+J1130+J1131</f>
        <v>0</v>
      </c>
      <c r="BI43" s="52" t="str">
        <f>HYPERLINK("#일위대가목록!A111","SC0608W080YA →")</f>
        <v>SC0608W080YA →</v>
      </c>
    </row>
    <row r="44" spans="1:61" ht="18.399999999999999" customHeight="1">
      <c r="A44" s="11" t="s">
        <v>1544</v>
      </c>
      <c r="B44" s="2" t="s">
        <v>6232</v>
      </c>
      <c r="C44" s="2"/>
      <c r="D44" s="2" t="s">
        <v>6232</v>
      </c>
      <c r="E44" s="1"/>
      <c r="F44" s="29" t="e">
        <f>TRUNC(F43+F42+F41+F40+F39+F38+F37+F36+F35+F34+F33+F32+F31+F30+F29+F28+F27+F26+F25+F24+F23+F22+F21+F20+F19+F18+F17+F16+F15+F14+F13+F12,0)</f>
        <v>#REF!</v>
      </c>
      <c r="G44" s="1"/>
      <c r="H44" s="29" t="e">
        <f>TRUNC(H43+H42+H41+H40+H39+H38+H37+H36+H35+H34+H33+H32+H31+H30+H29+H28+H27+H26+H25+H24+H23+H22+H21+H20+H19+H18+H17+H16+H15+H14+H13+H12,0)</f>
        <v>#REF!</v>
      </c>
      <c r="I44" s="1"/>
      <c r="J44" s="29" t="e">
        <f>TRUNC(J43+J42+J41+J40+J39+J38+J37+J36+J35+J34+J33+J32+J31+J30+J29+J28+J27+J26+J25+J24+J23+J22+J21+J20+J19+J18+J17+J16+J15+J14+J13+J12,0)</f>
        <v>#REF!</v>
      </c>
      <c r="K44" s="29">
        <f t="shared" si="1"/>
        <v>0</v>
      </c>
      <c r="L44" s="29" t="e">
        <f t="shared" si="0"/>
        <v>#REF!</v>
      </c>
      <c r="M44" s="20" t="s">
        <v>6232</v>
      </c>
      <c r="N44" t="s">
        <v>6232</v>
      </c>
      <c r="P44" t="s">
        <v>4372</v>
      </c>
      <c r="Q44" t="s">
        <v>6232</v>
      </c>
      <c r="R44" t="s">
        <v>6232</v>
      </c>
      <c r="Z44" s="29">
        <f>F1132+F1133+F1134+F1135+F1136+F1137+F1138+F1139+F1140+F1141+F1142+F1143+F1144+F1145+F1146+F1147+F1148+F1149+F1150+F1151+F1152+F1153+F1154+F1155+F1156</f>
        <v>62862390</v>
      </c>
      <c r="AA44" s="29">
        <f>H1132+H1133+H1134+H1135+H1136+H1137+H1138+H1139+H1140+H1141+H1142+H1143+H1144+H1145+H1146+H1147+H1148+H1149+H1150+H1151+H1152+H1153+H1154+H1155+H1156</f>
        <v>0</v>
      </c>
      <c r="AB44" s="29">
        <f>J1132+J1133+J1134+J1135+J1136+J1137+J1138+J1139+J1140+J1141+J1142+J1143+J1144+J1145+J1146+J1147+J1148+J1149+J1150+J1151+J1152+J1153+J1154+J1155+J1156</f>
        <v>0</v>
      </c>
    </row>
    <row r="45" spans="1:61" ht="18.399999999999999" customHeight="1">
      <c r="A45" s="11" t="s">
        <v>2495</v>
      </c>
      <c r="B45" s="2" t="s">
        <v>6232</v>
      </c>
      <c r="C45" s="2"/>
      <c r="D45" s="2" t="s">
        <v>6232</v>
      </c>
      <c r="E45" s="1"/>
      <c r="F45" s="29">
        <v>0</v>
      </c>
      <c r="G45" s="1"/>
      <c r="H45" s="29">
        <v>0</v>
      </c>
      <c r="I45" s="1"/>
      <c r="J45" s="29">
        <v>0</v>
      </c>
      <c r="K45" s="29">
        <f t="shared" si="1"/>
        <v>0</v>
      </c>
      <c r="L45" s="29">
        <f t="shared" si="0"/>
        <v>0</v>
      </c>
      <c r="M45" s="20" t="s">
        <v>6232</v>
      </c>
      <c r="N45" t="s">
        <v>6232</v>
      </c>
      <c r="P45" t="s">
        <v>5958</v>
      </c>
      <c r="Q45" t="s">
        <v>6232</v>
      </c>
      <c r="R45" t="s">
        <v>6232</v>
      </c>
      <c r="Z45" s="29">
        <f>F1157+F1158+F1159+F1160+F1161+F1162+F1163+F1164+F1165+F1166+F1167+F1168+F1169+F1170+F1171+F1172+F1173+F1174+F1175+F1176+F1177+F1178+F1179+F1180+F1181</f>
        <v>94784650</v>
      </c>
      <c r="AA45" s="29">
        <f>H1157+H1158+H1159+H1160+H1161+H1162+H1163+H1164+H1165+H1166+H1167+H1168+H1169+H1170+H1171+H1172+H1173+H1174+H1175+H1176+H1177+H1178+H1179+H1180+H1181</f>
        <v>0</v>
      </c>
      <c r="AB45" s="29">
        <f>J1157+J1158+J1159+J1160+J1161+J1162+J1163+J1164+J1165+J1166+J1167+J1168+J1169+J1170+J1171+J1172+J1173+J1174+J1175+J1176+J1177+J1178+J1179+J1180+J1181</f>
        <v>0</v>
      </c>
    </row>
    <row r="46" spans="1:61" ht="18.399999999999999" customHeight="1">
      <c r="A46" s="11" t="s">
        <v>5140</v>
      </c>
      <c r="B46" s="2" t="s">
        <v>6232</v>
      </c>
      <c r="C46" s="2"/>
      <c r="D46" s="2" t="s">
        <v>6232</v>
      </c>
      <c r="E46" s="1"/>
      <c r="F46" s="29">
        <v>0</v>
      </c>
      <c r="G46" s="1"/>
      <c r="H46" s="29">
        <v>0</v>
      </c>
      <c r="I46" s="1"/>
      <c r="J46" s="29">
        <v>0</v>
      </c>
      <c r="K46" s="29">
        <f t="shared" si="1"/>
        <v>0</v>
      </c>
      <c r="L46" s="29">
        <f t="shared" si="0"/>
        <v>0</v>
      </c>
      <c r="M46" s="20" t="s">
        <v>6232</v>
      </c>
      <c r="N46" t="s">
        <v>6232</v>
      </c>
      <c r="P46" t="s">
        <v>1307</v>
      </c>
      <c r="Q46" t="s">
        <v>6232</v>
      </c>
      <c r="R46" t="s">
        <v>6232</v>
      </c>
      <c r="Z46" s="29">
        <f>F1182+F1183+F1184+F1185+F1186+F1187+F1188+F1189+F1190+F1191+F1192+F1193+F1194+F1195+F1196+F1197+F1198+F1199+F1200+F1201+F1202+F1203+F1204+F1205+F1206</f>
        <v>135351250</v>
      </c>
      <c r="AA46" s="29">
        <f>H1182+H1183+H1184+H1185+H1186+H1187+H1188+H1189+H1190+H1191+H1192+H1193+H1194+H1195+H1196+H1197+H1198+H1199+H1200+H1201+H1202+H1203+H1204+H1205+H1206</f>
        <v>0</v>
      </c>
      <c r="AB46" s="29">
        <f>J1182+J1183+J1184+J1185+J1186+J1187+J1188+J1189+J1190+J1191+J1192+J1193+J1194+J1195+J1196+J1197+J1198+J1199+J1200+J1201+J1202+J1203+J1204+J1205+J1206</f>
        <v>0</v>
      </c>
    </row>
    <row r="47" spans="1:61" ht="18.399999999999999" customHeight="1">
      <c r="A47" s="11" t="s">
        <v>5140</v>
      </c>
      <c r="B47" s="2" t="s">
        <v>2823</v>
      </c>
      <c r="C47" s="2">
        <v>1</v>
      </c>
      <c r="D47" s="2" t="s">
        <v>2289</v>
      </c>
      <c r="E47" s="29" t="e">
        <f>일위대가목록!#REF!</f>
        <v>#REF!</v>
      </c>
      <c r="F47" s="29" t="e">
        <f t="shared" ref="F47:F86" si="5">TRUNC(E47*C47,0)</f>
        <v>#REF!</v>
      </c>
      <c r="G47" s="29" t="e">
        <f>일위대가목록!#REF!</f>
        <v>#REF!</v>
      </c>
      <c r="H47" s="29" t="e">
        <f t="shared" ref="H47:H86" si="6">TRUNC(G47*C47,0)</f>
        <v>#REF!</v>
      </c>
      <c r="I47" s="29" t="e">
        <f>일위대가목록!#REF!</f>
        <v>#REF!</v>
      </c>
      <c r="J47" s="29" t="e">
        <f t="shared" ref="J47:J86" si="7">TRUNC(I47*C47,0)</f>
        <v>#REF!</v>
      </c>
      <c r="K47" s="29" t="e">
        <f t="shared" si="1"/>
        <v>#REF!</v>
      </c>
      <c r="L47" s="29" t="e">
        <f t="shared" si="0"/>
        <v>#REF!</v>
      </c>
      <c r="M47" s="20" t="s">
        <v>6232</v>
      </c>
      <c r="N47" t="s">
        <v>6232</v>
      </c>
      <c r="P47" t="s">
        <v>2879</v>
      </c>
      <c r="Q47" t="s">
        <v>6232</v>
      </c>
      <c r="R47" t="s">
        <v>1604</v>
      </c>
      <c r="T47" t="s">
        <v>3860</v>
      </c>
      <c r="Z47" s="29">
        <f>F1207+F1208+F1209+F1210+F1211+F1212+F1213+F1214+F1218+F1219+F1220+F1221+F1222+F1223+F1224+F1225+F1226+F1227+F1228+F1229+F1230+F1231+F1232+F1233+F1234</f>
        <v>59429940</v>
      </c>
      <c r="AA47" s="29">
        <f>H1207+H1208+H1209+H1210+H1211+H1212+H1213+H1214+H1218+H1219+H1220+H1221+H1222+H1223+H1224+H1225+H1226+H1227+H1228+H1229+H1230+H1231+H1232+H1233+H1234</f>
        <v>0</v>
      </c>
      <c r="AB47" s="29">
        <f>J1207+J1208+J1209+J1210+J1211+J1212+J1213+J1214+J1218+J1219+J1220+J1221+J1222+J1223+J1224+J1225+J1226+J1227+J1228+J1229+J1230+J1231+J1232+J1233+J1234</f>
        <v>0</v>
      </c>
      <c r="BI47" s="52" t="str">
        <f>HYPERLINK("#일위대가목록!A112","S00000A750 →")</f>
        <v>S00000A750 →</v>
      </c>
    </row>
    <row r="48" spans="1:61" ht="18.399999999999999" customHeight="1">
      <c r="A48" s="11" t="s">
        <v>5368</v>
      </c>
      <c r="B48" s="2" t="s">
        <v>2823</v>
      </c>
      <c r="C48" s="2">
        <v>1</v>
      </c>
      <c r="D48" s="2" t="s">
        <v>2289</v>
      </c>
      <c r="E48" s="29" t="e">
        <f>일위대가목록!#REF!</f>
        <v>#REF!</v>
      </c>
      <c r="F48" s="29" t="e">
        <f t="shared" si="5"/>
        <v>#REF!</v>
      </c>
      <c r="G48" s="29" t="e">
        <f>일위대가목록!#REF!</f>
        <v>#REF!</v>
      </c>
      <c r="H48" s="29" t="e">
        <f t="shared" si="6"/>
        <v>#REF!</v>
      </c>
      <c r="I48" s="29" t="e">
        <f>일위대가목록!#REF!</f>
        <v>#REF!</v>
      </c>
      <c r="J48" s="29" t="e">
        <f t="shared" si="7"/>
        <v>#REF!</v>
      </c>
      <c r="K48" s="29" t="e">
        <f t="shared" si="1"/>
        <v>#REF!</v>
      </c>
      <c r="L48" s="29" t="e">
        <f t="shared" si="0"/>
        <v>#REF!</v>
      </c>
      <c r="M48" s="20" t="s">
        <v>6232</v>
      </c>
      <c r="N48" t="s">
        <v>6232</v>
      </c>
      <c r="P48" t="s">
        <v>4280</v>
      </c>
      <c r="Q48" t="s">
        <v>6232</v>
      </c>
      <c r="R48" t="s">
        <v>5886</v>
      </c>
      <c r="T48" t="s">
        <v>3860</v>
      </c>
      <c r="Z48" s="29">
        <f>F1235+F1236+F1237+F1238+F1239+F1240+F1241+F1242+F1243+F1244+F1245+F1246+F1247+F1248+F1249+F1250+F1251+F1252+F1253+F1254+F1255+F1256+F1257+F1258+F1259</f>
        <v>16832573</v>
      </c>
      <c r="AA48" s="29">
        <f>H1235+H1236+H1237+H1238+H1239+H1240+H1241+H1242+H1243+H1244+H1245+H1246+H1247+H1248+H1249+H1250+H1251+H1252+H1253+H1254+H1255+H1256+H1257+H1258+H1259</f>
        <v>0</v>
      </c>
      <c r="AB48" s="29">
        <f>J1235+J1236+J1237+J1238+J1239+J1240+J1241+J1242+J1243+J1244+J1245+J1246+J1247+J1248+J1249+J1250+J1251+J1252+J1253+J1254+J1255+J1256+J1257+J1258+J1259</f>
        <v>0</v>
      </c>
      <c r="BI48" s="52" t="str">
        <f>HYPERLINK("#일위대가목록!A113","S00000A750YA →")</f>
        <v>S00000A750YA →</v>
      </c>
    </row>
    <row r="49" spans="1:61" ht="18.399999999999999" customHeight="1">
      <c r="A49" s="11" t="s">
        <v>5140</v>
      </c>
      <c r="B49" s="2" t="s">
        <v>3826</v>
      </c>
      <c r="C49" s="2">
        <v>1</v>
      </c>
      <c r="D49" s="2" t="s">
        <v>2289</v>
      </c>
      <c r="E49" s="29" t="e">
        <f>일위대가목록!#REF!</f>
        <v>#REF!</v>
      </c>
      <c r="F49" s="29" t="e">
        <f t="shared" si="5"/>
        <v>#REF!</v>
      </c>
      <c r="G49" s="29" t="e">
        <f>일위대가목록!#REF!</f>
        <v>#REF!</v>
      </c>
      <c r="H49" s="29" t="e">
        <f t="shared" si="6"/>
        <v>#REF!</v>
      </c>
      <c r="I49" s="29" t="e">
        <f>일위대가목록!#REF!</f>
        <v>#REF!</v>
      </c>
      <c r="J49" s="29" t="e">
        <f t="shared" si="7"/>
        <v>#REF!</v>
      </c>
      <c r="K49" s="29" t="e">
        <f t="shared" si="1"/>
        <v>#REF!</v>
      </c>
      <c r="L49" s="29" t="e">
        <f t="shared" si="0"/>
        <v>#REF!</v>
      </c>
      <c r="M49" s="20" t="s">
        <v>6232</v>
      </c>
      <c r="N49" t="s">
        <v>6232</v>
      </c>
      <c r="P49" t="s">
        <v>5857</v>
      </c>
      <c r="Q49" t="s">
        <v>6232</v>
      </c>
      <c r="R49" t="s">
        <v>154</v>
      </c>
      <c r="T49" t="s">
        <v>3860</v>
      </c>
      <c r="Z49" s="29">
        <f>F1260+F1261+F1262+F1263+F1264+F1265+F1266+F1267+F1268+F1269+F1270+F1271+F1272+F1273+F1274+F1275+F1276+F1277+F1278+F1279+F1280+F1281+F1282+F1283+F1284</f>
        <v>24949092</v>
      </c>
      <c r="AA49" s="29">
        <f>H1260+H1261+H1262+H1263+H1264+H1265+H1266+H1267+H1268+H1269+H1270+H1271+H1272+H1273+H1274+H1275+H1276+H1277+H1278+H1279+H1280+H1281+H1282+H1283+H1284</f>
        <v>0</v>
      </c>
      <c r="AB49" s="29">
        <f>J1260+J1261+J1262+J1263+J1264+J1265+J1266+J1267+J1268+J1269+J1270+J1271+J1272+J1273+J1274+J1275+J1276+J1277+J1278+J1279+J1280+J1281+J1282+J1283+J1284</f>
        <v>0</v>
      </c>
      <c r="BI49" s="52" t="str">
        <f>HYPERLINK("#일위대가목록!A114","S00000A700 →")</f>
        <v>S00000A700 →</v>
      </c>
    </row>
    <row r="50" spans="1:61" ht="18.399999999999999" customHeight="1">
      <c r="A50" s="11" t="s">
        <v>5368</v>
      </c>
      <c r="B50" s="2" t="s">
        <v>3826</v>
      </c>
      <c r="C50" s="2">
        <v>1</v>
      </c>
      <c r="D50" s="2" t="s">
        <v>2289</v>
      </c>
      <c r="E50" s="29" t="e">
        <f>일위대가목록!#REF!</f>
        <v>#REF!</v>
      </c>
      <c r="F50" s="29" t="e">
        <f t="shared" si="5"/>
        <v>#REF!</v>
      </c>
      <c r="G50" s="29" t="e">
        <f>일위대가목록!#REF!</f>
        <v>#REF!</v>
      </c>
      <c r="H50" s="29" t="e">
        <f t="shared" si="6"/>
        <v>#REF!</v>
      </c>
      <c r="I50" s="29" t="e">
        <f>일위대가목록!#REF!</f>
        <v>#REF!</v>
      </c>
      <c r="J50" s="29" t="e">
        <f t="shared" si="7"/>
        <v>#REF!</v>
      </c>
      <c r="K50" s="29" t="e">
        <f t="shared" si="1"/>
        <v>#REF!</v>
      </c>
      <c r="L50" s="29" t="e">
        <f t="shared" si="0"/>
        <v>#REF!</v>
      </c>
      <c r="M50" s="20" t="s">
        <v>6232</v>
      </c>
      <c r="N50" t="s">
        <v>6232</v>
      </c>
      <c r="P50" t="s">
        <v>1194</v>
      </c>
      <c r="Q50" t="s">
        <v>6232</v>
      </c>
      <c r="R50" t="s">
        <v>4658</v>
      </c>
      <c r="T50" t="s">
        <v>3860</v>
      </c>
      <c r="Z50" s="29">
        <f>F1285+F1286+F1287+F1288+F1289+F1290+F1291+F1292+F1293+F1294+F1295+F1296+F1297+F1298+F1299+F1300+F1301+F1302+F1303+F1304+F1305+F1306+F1307+F1308+F1309</f>
        <v>43085964</v>
      </c>
      <c r="AA50" s="29">
        <f>H1285+H1286+H1287+H1288+H1289+H1290+H1291+H1292+H1293+H1294+H1295+H1296+H1297+H1298+H1299+H1300+H1301+H1302+H1303+H1304+H1305+H1306+H1307+H1308+H1309</f>
        <v>0</v>
      </c>
      <c r="AB50" s="29">
        <f>J1285+J1286+J1287+J1288+J1289+J1290+J1291+J1292+J1293+J1294+J1295+J1296+J1297+J1298+J1299+J1300+J1301+J1302+J1303+J1304+J1305+J1306+J1307+J1308+J1309</f>
        <v>0</v>
      </c>
      <c r="BI50" s="52" t="str">
        <f>HYPERLINK("#일위대가목록!A115","S00000A700YA →")</f>
        <v>S00000A700YA →</v>
      </c>
    </row>
    <row r="51" spans="1:61" ht="18.399999999999999" customHeight="1">
      <c r="A51" s="11" t="s">
        <v>5140</v>
      </c>
      <c r="B51" s="2" t="s">
        <v>397</v>
      </c>
      <c r="C51" s="2">
        <v>1</v>
      </c>
      <c r="D51" s="2" t="s">
        <v>2289</v>
      </c>
      <c r="E51" s="29" t="e">
        <f>일위대가목록!#REF!</f>
        <v>#REF!</v>
      </c>
      <c r="F51" s="29" t="e">
        <f t="shared" si="5"/>
        <v>#REF!</v>
      </c>
      <c r="G51" s="29" t="e">
        <f>일위대가목록!#REF!</f>
        <v>#REF!</v>
      </c>
      <c r="H51" s="29" t="e">
        <f t="shared" si="6"/>
        <v>#REF!</v>
      </c>
      <c r="I51" s="29" t="e">
        <f>일위대가목록!#REF!</f>
        <v>#REF!</v>
      </c>
      <c r="J51" s="29" t="e">
        <f t="shared" si="7"/>
        <v>#REF!</v>
      </c>
      <c r="K51" s="29" t="e">
        <f t="shared" si="1"/>
        <v>#REF!</v>
      </c>
      <c r="L51" s="29" t="e">
        <f t="shared" si="0"/>
        <v>#REF!</v>
      </c>
      <c r="M51" s="20" t="s">
        <v>6232</v>
      </c>
      <c r="N51" t="s">
        <v>6232</v>
      </c>
      <c r="P51" t="s">
        <v>2761</v>
      </c>
      <c r="Q51" t="s">
        <v>6232</v>
      </c>
      <c r="R51" t="s">
        <v>2795</v>
      </c>
      <c r="T51" t="s">
        <v>3860</v>
      </c>
      <c r="Z51" s="29">
        <f>F1310+F1311+F1312+F1313+F1314+F1315+F1316+F1317+F1318+F1319+F1320+F1321+F1325+F1326+F1327+F1328+F1329+F1330+F1331+F1332+F1333+F1334+F1335+F1336+F1337</f>
        <v>32145717</v>
      </c>
      <c r="AA51" s="29">
        <f>H1310+H1311+H1312+H1313+H1314+H1315+H1316+H1317+H1318+H1319+H1320+H1321+H1325+H1326+H1327+H1328+H1329+H1330+H1331+H1332+H1333+H1334+H1335+H1336+H1337</f>
        <v>0</v>
      </c>
      <c r="AB51" s="29">
        <f>J1310+J1311+J1312+J1313+J1314+J1315+J1316+J1317+J1318+J1319+J1320+J1321+J1325+J1326+J1327+J1328+J1329+J1330+J1331+J1332+J1333+J1334+J1335+J1336+J1337</f>
        <v>0</v>
      </c>
      <c r="BI51" s="52" t="str">
        <f>HYPERLINK("#일위대가목록!A116","S00000A650 →")</f>
        <v>S00000A650 →</v>
      </c>
    </row>
    <row r="52" spans="1:61" ht="18.399999999999999" customHeight="1">
      <c r="A52" s="11" t="s">
        <v>5368</v>
      </c>
      <c r="B52" s="2" t="s">
        <v>397</v>
      </c>
      <c r="C52" s="2">
        <v>1</v>
      </c>
      <c r="D52" s="2" t="s">
        <v>2289</v>
      </c>
      <c r="E52" s="29" t="e">
        <f>일위대가목록!#REF!</f>
        <v>#REF!</v>
      </c>
      <c r="F52" s="29" t="e">
        <f t="shared" si="5"/>
        <v>#REF!</v>
      </c>
      <c r="G52" s="29" t="e">
        <f>일위대가목록!#REF!</f>
        <v>#REF!</v>
      </c>
      <c r="H52" s="29" t="e">
        <f t="shared" si="6"/>
        <v>#REF!</v>
      </c>
      <c r="I52" s="29" t="e">
        <f>일위대가목록!#REF!</f>
        <v>#REF!</v>
      </c>
      <c r="J52" s="29" t="e">
        <f t="shared" si="7"/>
        <v>#REF!</v>
      </c>
      <c r="K52" s="29" t="e">
        <f t="shared" si="1"/>
        <v>#REF!</v>
      </c>
      <c r="L52" s="29" t="e">
        <f t="shared" si="0"/>
        <v>#REF!</v>
      </c>
      <c r="M52" s="20" t="s">
        <v>6232</v>
      </c>
      <c r="N52" t="s">
        <v>6232</v>
      </c>
      <c r="P52" t="s">
        <v>4533</v>
      </c>
      <c r="Q52" t="s">
        <v>6232</v>
      </c>
      <c r="R52" t="s">
        <v>1592</v>
      </c>
      <c r="T52" t="s">
        <v>3860</v>
      </c>
      <c r="Z52" s="29">
        <f>F1338+F1339+F1340+F1341+F1342+F1343+F1344+F1345+F1346+F1347+F1348+F1349+F1350+F1351+F1352+F1353+F1354+F1355+F1356+F1357+F1358+F1359+F1360+F1361+F1362</f>
        <v>37359350</v>
      </c>
      <c r="AA52" s="29">
        <f>H1338+H1339+H1340+H1341+H1342+H1343+H1344+H1345+H1346+H1347+H1348+H1349+H1350+H1351+H1352+H1353+H1354+H1355+H1356+H1357+H1358+H1359+H1360+H1361+H1362</f>
        <v>0</v>
      </c>
      <c r="AB52" s="29">
        <f>J1338+J1339+J1340+J1341+J1342+J1343+J1344+J1345+J1346+J1347+J1348+J1349+J1350+J1351+J1352+J1353+J1354+J1355+J1356+J1357+J1358+J1359+J1360+J1361+J1362</f>
        <v>0</v>
      </c>
      <c r="BI52" s="52" t="str">
        <f>HYPERLINK("#일위대가목록!A117","S00000A650YA →")</f>
        <v>S00000A650YA →</v>
      </c>
    </row>
    <row r="53" spans="1:61" ht="18.399999999999999" customHeight="1">
      <c r="A53" s="11" t="s">
        <v>5140</v>
      </c>
      <c r="B53" s="2" t="s">
        <v>6105</v>
      </c>
      <c r="C53" s="2">
        <v>1</v>
      </c>
      <c r="D53" s="2" t="s">
        <v>2289</v>
      </c>
      <c r="E53" s="29" t="e">
        <f>일위대가목록!#REF!</f>
        <v>#REF!</v>
      </c>
      <c r="F53" s="29" t="e">
        <f t="shared" si="5"/>
        <v>#REF!</v>
      </c>
      <c r="G53" s="29" t="e">
        <f>일위대가목록!#REF!</f>
        <v>#REF!</v>
      </c>
      <c r="H53" s="29" t="e">
        <f t="shared" si="6"/>
        <v>#REF!</v>
      </c>
      <c r="I53" s="29" t="e">
        <f>일위대가목록!#REF!</f>
        <v>#REF!</v>
      </c>
      <c r="J53" s="29" t="e">
        <f t="shared" si="7"/>
        <v>#REF!</v>
      </c>
      <c r="K53" s="29" t="e">
        <f t="shared" si="1"/>
        <v>#REF!</v>
      </c>
      <c r="L53" s="29" t="e">
        <f t="shared" si="0"/>
        <v>#REF!</v>
      </c>
      <c r="M53" s="20" t="s">
        <v>6232</v>
      </c>
      <c r="N53" t="s">
        <v>6232</v>
      </c>
      <c r="P53" t="s">
        <v>6159</v>
      </c>
      <c r="Q53" t="s">
        <v>6232</v>
      </c>
      <c r="R53" t="s">
        <v>1174</v>
      </c>
      <c r="T53" t="s">
        <v>3860</v>
      </c>
      <c r="Z53" s="29">
        <f>F1363+F1364+F1368+F1369+F1370+F1371+F1372+F1373+F1374+F1375+F1376+F1377+F1378+F1379+F1380+F1381+F1382+F1383+F1384+F1385+F1386+F1387+F1388+F1389+F1393</f>
        <v>18643910</v>
      </c>
      <c r="AA53" s="29">
        <f>H1363+H1364+H1368+H1369+H1370+H1371+H1372+H1373+H1374+H1375+H1376+H1377+H1378+H1379+H1380+H1381+H1382+H1383+H1384+H1385+H1386+H1387+H1388+H1389+H1393</f>
        <v>0</v>
      </c>
      <c r="AB53" s="29">
        <f>J1363+J1364+J1368+J1369+J1370+J1371+J1372+J1373+J1374+J1375+J1376+J1377+J1378+J1379+J1380+J1381+J1382+J1383+J1384+J1385+J1386+J1387+J1388+J1389+J1393</f>
        <v>0</v>
      </c>
      <c r="BI53" s="52" t="str">
        <f>HYPERLINK("#일위대가목록!A118","S00000A600 →")</f>
        <v>S00000A600 →</v>
      </c>
    </row>
    <row r="54" spans="1:61" ht="18.399999999999999" customHeight="1">
      <c r="A54" s="11" t="s">
        <v>5368</v>
      </c>
      <c r="B54" s="2" t="s">
        <v>6105</v>
      </c>
      <c r="C54" s="2">
        <v>1</v>
      </c>
      <c r="D54" s="2" t="s">
        <v>2289</v>
      </c>
      <c r="E54" s="29" t="e">
        <f>일위대가목록!#REF!</f>
        <v>#REF!</v>
      </c>
      <c r="F54" s="29" t="e">
        <f t="shared" si="5"/>
        <v>#REF!</v>
      </c>
      <c r="G54" s="29" t="e">
        <f>일위대가목록!#REF!</f>
        <v>#REF!</v>
      </c>
      <c r="H54" s="29" t="e">
        <f t="shared" si="6"/>
        <v>#REF!</v>
      </c>
      <c r="I54" s="29" t="e">
        <f>일위대가목록!#REF!</f>
        <v>#REF!</v>
      </c>
      <c r="J54" s="29" t="e">
        <f t="shared" si="7"/>
        <v>#REF!</v>
      </c>
      <c r="K54" s="29" t="e">
        <f t="shared" si="1"/>
        <v>#REF!</v>
      </c>
      <c r="L54" s="29" t="e">
        <f t="shared" si="0"/>
        <v>#REF!</v>
      </c>
      <c r="M54" s="20" t="s">
        <v>6232</v>
      </c>
      <c r="N54" t="s">
        <v>6232</v>
      </c>
      <c r="P54" t="s">
        <v>3170</v>
      </c>
      <c r="Q54" t="s">
        <v>6232</v>
      </c>
      <c r="R54" t="s">
        <v>2700</v>
      </c>
      <c r="T54" t="s">
        <v>3860</v>
      </c>
      <c r="Z54" s="29">
        <f>F1394+F1395+F1396+F1397+F1398+F1399+F1400+F1401+F1402+F1403+F1404+F1405+F1406+F1407+F1408+F1409+F1410+F1411+F1412+F1413+F1414+F1418+F1419+F1420+F1421</f>
        <v>6587350</v>
      </c>
      <c r="AA54" s="29">
        <f>H1394+H1395+H1396+H1397+H1398+H1399+H1400+H1401+H1402+H1403+H1404+H1405+H1406+H1407+H1408+H1409+H1410+H1411+H1412+H1413+H1414+H1418+H1419+H1420+H1421</f>
        <v>0</v>
      </c>
      <c r="AB54" s="29">
        <f>J1394+J1395+J1396+J1397+J1398+J1399+J1400+J1401+J1402+J1403+J1404+J1405+J1406+J1407+J1408+J1409+J1410+J1411+J1412+J1413+J1414+J1418+J1419+J1420+J1421</f>
        <v>0</v>
      </c>
      <c r="BI54" s="52" t="str">
        <f>HYPERLINK("#일위대가목록!A119","S00000A600YA →")</f>
        <v>S00000A600YA →</v>
      </c>
    </row>
    <row r="55" spans="1:61" ht="18.399999999999999" customHeight="1">
      <c r="A55" s="11" t="s">
        <v>5140</v>
      </c>
      <c r="B55" s="2" t="s">
        <v>6191</v>
      </c>
      <c r="C55" s="2">
        <v>1</v>
      </c>
      <c r="D55" s="2" t="s">
        <v>2289</v>
      </c>
      <c r="E55" s="29" t="e">
        <f>일위대가목록!#REF!</f>
        <v>#REF!</v>
      </c>
      <c r="F55" s="29" t="e">
        <f t="shared" si="5"/>
        <v>#REF!</v>
      </c>
      <c r="G55" s="29" t="e">
        <f>일위대가목록!#REF!</f>
        <v>#REF!</v>
      </c>
      <c r="H55" s="29" t="e">
        <f t="shared" si="6"/>
        <v>#REF!</v>
      </c>
      <c r="I55" s="29" t="e">
        <f>일위대가목록!#REF!</f>
        <v>#REF!</v>
      </c>
      <c r="J55" s="29" t="e">
        <f t="shared" si="7"/>
        <v>#REF!</v>
      </c>
      <c r="K55" s="29" t="e">
        <f t="shared" si="1"/>
        <v>#REF!</v>
      </c>
      <c r="L55" s="29" t="e">
        <f t="shared" si="0"/>
        <v>#REF!</v>
      </c>
      <c r="M55" s="20" t="s">
        <v>6232</v>
      </c>
      <c r="N55" t="s">
        <v>6232</v>
      </c>
      <c r="P55" t="s">
        <v>4722</v>
      </c>
      <c r="Q55" t="s">
        <v>6232</v>
      </c>
      <c r="R55" t="s">
        <v>1079</v>
      </c>
      <c r="T55" t="s">
        <v>3860</v>
      </c>
      <c r="Z55" s="29">
        <f>F1422+F1423+F1424+F1425+F1426+F1427+F1428+F1429+F1430+F1431+F1432+F1433+F1434+F1435+F1436+F1437+F1438+F1439+F1440+F1441+F1442+F1443+F1444+F1445+F1446</f>
        <v>517389000</v>
      </c>
      <c r="AA55" s="29">
        <f>H1422+H1423+H1424+H1425+H1426+H1427+H1428+H1429+H1430+H1431+H1432+H1433+H1434+H1435+H1436+H1437+H1438+H1439+H1440+H1441+H1442+H1443+H1444+H1445+H1446</f>
        <v>0</v>
      </c>
      <c r="AB55" s="29">
        <f>J1422+J1423+J1424+J1425+J1426+J1427+J1428+J1429+J1430+J1431+J1432+J1433+J1434+J1435+J1436+J1437+J1438+J1439+J1440+J1441+J1442+J1443+J1444+J1445+J1446</f>
        <v>0</v>
      </c>
      <c r="BI55" s="52" t="str">
        <f>HYPERLINK("#일위대가목록!A120","S00000A550 →")</f>
        <v>S00000A550 →</v>
      </c>
    </row>
    <row r="56" spans="1:61" ht="18.399999999999999" customHeight="1">
      <c r="A56" s="11" t="s">
        <v>5368</v>
      </c>
      <c r="B56" s="2" t="s">
        <v>6191</v>
      </c>
      <c r="C56" s="2">
        <v>1</v>
      </c>
      <c r="D56" s="2" t="s">
        <v>2289</v>
      </c>
      <c r="E56" s="29" t="e">
        <f>일위대가목록!#REF!</f>
        <v>#REF!</v>
      </c>
      <c r="F56" s="29" t="e">
        <f t="shared" si="5"/>
        <v>#REF!</v>
      </c>
      <c r="G56" s="29" t="e">
        <f>일위대가목록!#REF!</f>
        <v>#REF!</v>
      </c>
      <c r="H56" s="29" t="e">
        <f t="shared" si="6"/>
        <v>#REF!</v>
      </c>
      <c r="I56" s="29" t="e">
        <f>일위대가목록!#REF!</f>
        <v>#REF!</v>
      </c>
      <c r="J56" s="29" t="e">
        <f t="shared" si="7"/>
        <v>#REF!</v>
      </c>
      <c r="K56" s="29" t="e">
        <f t="shared" si="1"/>
        <v>#REF!</v>
      </c>
      <c r="L56" s="29" t="e">
        <f t="shared" si="0"/>
        <v>#REF!</v>
      </c>
      <c r="M56" s="20" t="s">
        <v>6232</v>
      </c>
      <c r="N56" t="s">
        <v>6232</v>
      </c>
      <c r="P56" t="s">
        <v>38</v>
      </c>
      <c r="Q56" t="s">
        <v>6232</v>
      </c>
      <c r="R56" t="s">
        <v>3536</v>
      </c>
      <c r="T56" t="s">
        <v>3860</v>
      </c>
      <c r="Z56" s="29" t="e">
        <f>F1447+F1448+F1449+F1450+F1451+F1452+F1457+F1458+F1459+F1463+F1464+F1465+F1466+F1467+F1468+F1469+F1470+F1471+F1472+F1473+F1474+F1475+F1476+F1477+F1478</f>
        <v>#REF!</v>
      </c>
      <c r="AA56" s="29" t="e">
        <f>H1447+H1448+H1449+H1450+H1451+H1452+H1457+H1458+H1459+H1463+H1464+H1465+H1466+H1467+H1468+H1469+H1470+H1471+H1472+H1473+H1474+H1475+H1476+H1477+H1478</f>
        <v>#REF!</v>
      </c>
      <c r="AB56" s="29" t="e">
        <f>J1447+J1448+J1449+J1450+J1451+J1452+J1457+J1458+J1459+J1463+J1464+J1465+J1466+J1467+J1468+J1469+J1470+J1471+J1472+J1473+J1474+J1475+J1476+J1477+J1478</f>
        <v>#REF!</v>
      </c>
      <c r="BI56" s="52" t="str">
        <f>HYPERLINK("#일위대가목록!A121","S00000A550YA →")</f>
        <v>S00000A550YA →</v>
      </c>
    </row>
    <row r="57" spans="1:61" ht="18.399999999999999" customHeight="1">
      <c r="A57" s="11" t="s">
        <v>5140</v>
      </c>
      <c r="B57" s="2" t="s">
        <v>524</v>
      </c>
      <c r="C57" s="2">
        <v>1</v>
      </c>
      <c r="D57" s="2" t="s">
        <v>2289</v>
      </c>
      <c r="E57" s="29" t="e">
        <f>일위대가목록!#REF!</f>
        <v>#REF!</v>
      </c>
      <c r="F57" s="29" t="e">
        <f t="shared" si="5"/>
        <v>#REF!</v>
      </c>
      <c r="G57" s="29" t="e">
        <f>일위대가목록!#REF!</f>
        <v>#REF!</v>
      </c>
      <c r="H57" s="29" t="e">
        <f t="shared" si="6"/>
        <v>#REF!</v>
      </c>
      <c r="I57" s="29" t="e">
        <f>일위대가목록!#REF!</f>
        <v>#REF!</v>
      </c>
      <c r="J57" s="29" t="e">
        <f t="shared" si="7"/>
        <v>#REF!</v>
      </c>
      <c r="K57" s="29" t="e">
        <f t="shared" si="1"/>
        <v>#REF!</v>
      </c>
      <c r="L57" s="29" t="e">
        <f t="shared" si="0"/>
        <v>#REF!</v>
      </c>
      <c r="M57" s="20" t="s">
        <v>6232</v>
      </c>
      <c r="N57" t="s">
        <v>6232</v>
      </c>
      <c r="P57" t="s">
        <v>1537</v>
      </c>
      <c r="Q57" t="s">
        <v>6232</v>
      </c>
      <c r="R57" t="s">
        <v>2514</v>
      </c>
      <c r="T57" t="s">
        <v>3860</v>
      </c>
      <c r="Z57" s="29" t="e">
        <f>F1479+F1480+F1485+F1486+F1491</f>
        <v>#REF!</v>
      </c>
      <c r="AA57" s="29" t="e">
        <f>H1479+H1480+H1485+H1486+H1491</f>
        <v>#REF!</v>
      </c>
      <c r="AB57" s="29" t="e">
        <f>J1479+J1480+J1485+J1486+J1491</f>
        <v>#REF!</v>
      </c>
      <c r="BI57" s="52" t="str">
        <f>HYPERLINK("#일위대가목록!A122","S00000A500 →")</f>
        <v>S00000A500 →</v>
      </c>
    </row>
    <row r="58" spans="1:61" ht="18.399999999999999" customHeight="1">
      <c r="A58" s="11" t="s">
        <v>5368</v>
      </c>
      <c r="B58" s="2" t="s">
        <v>524</v>
      </c>
      <c r="C58" s="2">
        <v>1</v>
      </c>
      <c r="D58" s="2" t="s">
        <v>2289</v>
      </c>
      <c r="E58" s="29" t="e">
        <f>일위대가목록!#REF!</f>
        <v>#REF!</v>
      </c>
      <c r="F58" s="29" t="e">
        <f t="shared" si="5"/>
        <v>#REF!</v>
      </c>
      <c r="G58" s="29" t="e">
        <f>일위대가목록!#REF!</f>
        <v>#REF!</v>
      </c>
      <c r="H58" s="29" t="e">
        <f t="shared" si="6"/>
        <v>#REF!</v>
      </c>
      <c r="I58" s="29" t="e">
        <f>일위대가목록!#REF!</f>
        <v>#REF!</v>
      </c>
      <c r="J58" s="29" t="e">
        <f t="shared" si="7"/>
        <v>#REF!</v>
      </c>
      <c r="K58" s="29" t="e">
        <f t="shared" si="1"/>
        <v>#REF!</v>
      </c>
      <c r="L58" s="29" t="e">
        <f t="shared" si="0"/>
        <v>#REF!</v>
      </c>
      <c r="M58" s="20" t="s">
        <v>6232</v>
      </c>
      <c r="N58" t="s">
        <v>6232</v>
      </c>
      <c r="P58" t="s">
        <v>3253</v>
      </c>
      <c r="Q58" t="s">
        <v>6232</v>
      </c>
      <c r="R58" t="s">
        <v>3877</v>
      </c>
      <c r="T58" t="s">
        <v>3860</v>
      </c>
      <c r="BI58" s="52" t="str">
        <f>HYPERLINK("#일위대가목록!A123","S00000A500YA →")</f>
        <v>S00000A500YA →</v>
      </c>
    </row>
    <row r="59" spans="1:61" ht="18.399999999999999" customHeight="1">
      <c r="A59" s="11" t="s">
        <v>5140</v>
      </c>
      <c r="B59" s="2" t="s">
        <v>3764</v>
      </c>
      <c r="C59" s="2">
        <v>1</v>
      </c>
      <c r="D59" s="2" t="s">
        <v>2289</v>
      </c>
      <c r="E59" s="29" t="e">
        <f>일위대가목록!#REF!</f>
        <v>#REF!</v>
      </c>
      <c r="F59" s="29" t="e">
        <f t="shared" si="5"/>
        <v>#REF!</v>
      </c>
      <c r="G59" s="29" t="e">
        <f>일위대가목록!#REF!</f>
        <v>#REF!</v>
      </c>
      <c r="H59" s="29" t="e">
        <f t="shared" si="6"/>
        <v>#REF!</v>
      </c>
      <c r="I59" s="29" t="e">
        <f>일위대가목록!#REF!</f>
        <v>#REF!</v>
      </c>
      <c r="J59" s="29" t="e">
        <f t="shared" si="7"/>
        <v>#REF!</v>
      </c>
      <c r="K59" s="29" t="e">
        <f t="shared" si="1"/>
        <v>#REF!</v>
      </c>
      <c r="L59" s="29" t="e">
        <f t="shared" si="0"/>
        <v>#REF!</v>
      </c>
      <c r="M59" s="20" t="s">
        <v>6232</v>
      </c>
      <c r="N59" t="s">
        <v>6232</v>
      </c>
      <c r="P59" t="s">
        <v>4806</v>
      </c>
      <c r="Q59" t="s">
        <v>6232</v>
      </c>
      <c r="R59" t="s">
        <v>648</v>
      </c>
      <c r="T59" t="s">
        <v>3860</v>
      </c>
      <c r="BI59" s="52" t="str">
        <f>HYPERLINK("#일위대가목록!A124","S00000A450 →")</f>
        <v>S00000A450 →</v>
      </c>
    </row>
    <row r="60" spans="1:61" ht="18.399999999999999" customHeight="1">
      <c r="A60" s="11" t="s">
        <v>5368</v>
      </c>
      <c r="B60" s="2" t="s">
        <v>3764</v>
      </c>
      <c r="C60" s="2">
        <v>1</v>
      </c>
      <c r="D60" s="2" t="s">
        <v>2289</v>
      </c>
      <c r="E60" s="29" t="e">
        <f>일위대가목록!#REF!</f>
        <v>#REF!</v>
      </c>
      <c r="F60" s="29" t="e">
        <f t="shared" si="5"/>
        <v>#REF!</v>
      </c>
      <c r="G60" s="29" t="e">
        <f>일위대가목록!#REF!</f>
        <v>#REF!</v>
      </c>
      <c r="H60" s="29" t="e">
        <f t="shared" si="6"/>
        <v>#REF!</v>
      </c>
      <c r="I60" s="29" t="e">
        <f>일위대가목록!#REF!</f>
        <v>#REF!</v>
      </c>
      <c r="J60" s="29" t="e">
        <f t="shared" si="7"/>
        <v>#REF!</v>
      </c>
      <c r="K60" s="29" t="e">
        <f t="shared" si="1"/>
        <v>#REF!</v>
      </c>
      <c r="L60" s="29" t="e">
        <f t="shared" si="0"/>
        <v>#REF!</v>
      </c>
      <c r="M60" s="20" t="s">
        <v>6232</v>
      </c>
      <c r="N60" t="s">
        <v>6232</v>
      </c>
      <c r="P60" t="s">
        <v>113</v>
      </c>
      <c r="Q60" t="s">
        <v>6232</v>
      </c>
      <c r="R60" t="s">
        <v>839</v>
      </c>
      <c r="T60" t="s">
        <v>3860</v>
      </c>
      <c r="BI60" s="52" t="str">
        <f>HYPERLINK("#일위대가목록!A125","S00000A450YA →")</f>
        <v>S00000A450YA →</v>
      </c>
    </row>
    <row r="61" spans="1:61" ht="18.399999999999999" customHeight="1">
      <c r="A61" s="11" t="s">
        <v>5140</v>
      </c>
      <c r="B61" s="2" t="s">
        <v>2715</v>
      </c>
      <c r="C61" s="2">
        <v>1</v>
      </c>
      <c r="D61" s="2" t="s">
        <v>2289</v>
      </c>
      <c r="E61" s="29" t="e">
        <f>일위대가목록!#REF!</f>
        <v>#REF!</v>
      </c>
      <c r="F61" s="29" t="e">
        <f t="shared" si="5"/>
        <v>#REF!</v>
      </c>
      <c r="G61" s="29" t="e">
        <f>일위대가목록!#REF!</f>
        <v>#REF!</v>
      </c>
      <c r="H61" s="29" t="e">
        <f t="shared" si="6"/>
        <v>#REF!</v>
      </c>
      <c r="I61" s="29" t="e">
        <f>일위대가목록!#REF!</f>
        <v>#REF!</v>
      </c>
      <c r="J61" s="29" t="e">
        <f t="shared" si="7"/>
        <v>#REF!</v>
      </c>
      <c r="K61" s="29" t="e">
        <f t="shared" si="1"/>
        <v>#REF!</v>
      </c>
      <c r="L61" s="29" t="e">
        <f t="shared" si="0"/>
        <v>#REF!</v>
      </c>
      <c r="M61" s="20" t="s">
        <v>6232</v>
      </c>
      <c r="N61" t="s">
        <v>6232</v>
      </c>
      <c r="P61" t="s">
        <v>1625</v>
      </c>
      <c r="Q61" t="s">
        <v>6232</v>
      </c>
      <c r="R61" t="s">
        <v>2293</v>
      </c>
      <c r="T61" t="s">
        <v>3860</v>
      </c>
      <c r="BI61" s="52" t="str">
        <f>HYPERLINK("#일위대가목록!A126","S00000A400 →")</f>
        <v>S00000A400 →</v>
      </c>
    </row>
    <row r="62" spans="1:61" ht="18.399999999999999" customHeight="1">
      <c r="A62" s="11" t="s">
        <v>5368</v>
      </c>
      <c r="B62" s="2" t="s">
        <v>2715</v>
      </c>
      <c r="C62" s="2">
        <v>1</v>
      </c>
      <c r="D62" s="2" t="s">
        <v>2289</v>
      </c>
      <c r="E62" s="29" t="e">
        <f>일위대가목록!#REF!</f>
        <v>#REF!</v>
      </c>
      <c r="F62" s="29" t="e">
        <f t="shared" si="5"/>
        <v>#REF!</v>
      </c>
      <c r="G62" s="29" t="e">
        <f>일위대가목록!#REF!</f>
        <v>#REF!</v>
      </c>
      <c r="H62" s="29" t="e">
        <f t="shared" si="6"/>
        <v>#REF!</v>
      </c>
      <c r="I62" s="29" t="e">
        <f>일위대가목록!#REF!</f>
        <v>#REF!</v>
      </c>
      <c r="J62" s="29" t="e">
        <f t="shared" si="7"/>
        <v>#REF!</v>
      </c>
      <c r="K62" s="29" t="e">
        <f t="shared" si="1"/>
        <v>#REF!</v>
      </c>
      <c r="L62" s="29" t="e">
        <f t="shared" si="0"/>
        <v>#REF!</v>
      </c>
      <c r="M62" s="20" t="s">
        <v>6232</v>
      </c>
      <c r="N62" t="s">
        <v>6232</v>
      </c>
      <c r="P62" t="s">
        <v>3369</v>
      </c>
      <c r="Q62" t="s">
        <v>6232</v>
      </c>
      <c r="R62" t="s">
        <v>364</v>
      </c>
      <c r="T62" t="s">
        <v>3860</v>
      </c>
      <c r="BI62" s="52" t="str">
        <f>HYPERLINK("#일위대가목록!A127","S00000A400YA →")</f>
        <v>S00000A400YA →</v>
      </c>
    </row>
    <row r="63" spans="1:61" ht="18.399999999999999" customHeight="1">
      <c r="A63" s="11" t="s">
        <v>5140</v>
      </c>
      <c r="B63" s="2" t="s">
        <v>809</v>
      </c>
      <c r="C63" s="2">
        <v>1</v>
      </c>
      <c r="D63" s="2" t="s">
        <v>2289</v>
      </c>
      <c r="E63" s="29" t="e">
        <f>일위대가목록!#REF!</f>
        <v>#REF!</v>
      </c>
      <c r="F63" s="29" t="e">
        <f t="shared" si="5"/>
        <v>#REF!</v>
      </c>
      <c r="G63" s="29" t="e">
        <f>일위대가목록!#REF!</f>
        <v>#REF!</v>
      </c>
      <c r="H63" s="29" t="e">
        <f t="shared" si="6"/>
        <v>#REF!</v>
      </c>
      <c r="I63" s="29" t="e">
        <f>일위대가목록!#REF!</f>
        <v>#REF!</v>
      </c>
      <c r="J63" s="29" t="e">
        <f t="shared" si="7"/>
        <v>#REF!</v>
      </c>
      <c r="K63" s="29" t="e">
        <f t="shared" si="1"/>
        <v>#REF!</v>
      </c>
      <c r="L63" s="29" t="e">
        <f t="shared" si="0"/>
        <v>#REF!</v>
      </c>
      <c r="M63" s="20" t="s">
        <v>6232</v>
      </c>
      <c r="N63" t="s">
        <v>6232</v>
      </c>
      <c r="P63" t="s">
        <v>4909</v>
      </c>
      <c r="Q63" t="s">
        <v>6232</v>
      </c>
      <c r="R63" t="s">
        <v>3867</v>
      </c>
      <c r="T63" t="s">
        <v>3860</v>
      </c>
      <c r="BI63" s="52" t="str">
        <f>HYPERLINK("#일위대가목록!A128","S00000A350 →")</f>
        <v>S00000A350 →</v>
      </c>
    </row>
    <row r="64" spans="1:61" ht="18.399999999999999" customHeight="1">
      <c r="A64" s="11" t="s">
        <v>5368</v>
      </c>
      <c r="B64" s="2" t="s">
        <v>809</v>
      </c>
      <c r="C64" s="2">
        <v>1</v>
      </c>
      <c r="D64" s="2" t="s">
        <v>2289</v>
      </c>
      <c r="E64" s="29" t="e">
        <f>일위대가목록!#REF!</f>
        <v>#REF!</v>
      </c>
      <c r="F64" s="29" t="e">
        <f t="shared" si="5"/>
        <v>#REF!</v>
      </c>
      <c r="G64" s="29" t="e">
        <f>일위대가목록!#REF!</f>
        <v>#REF!</v>
      </c>
      <c r="H64" s="29" t="e">
        <f t="shared" si="6"/>
        <v>#REF!</v>
      </c>
      <c r="I64" s="29" t="e">
        <f>일위대가목록!#REF!</f>
        <v>#REF!</v>
      </c>
      <c r="J64" s="29" t="e">
        <f t="shared" si="7"/>
        <v>#REF!</v>
      </c>
      <c r="K64" s="29" t="e">
        <f t="shared" si="1"/>
        <v>#REF!</v>
      </c>
      <c r="L64" s="29" t="e">
        <f t="shared" si="0"/>
        <v>#REF!</v>
      </c>
      <c r="M64" s="20" t="s">
        <v>6232</v>
      </c>
      <c r="N64" t="s">
        <v>6232</v>
      </c>
      <c r="P64" t="s">
        <v>4602</v>
      </c>
      <c r="Q64" t="s">
        <v>6232</v>
      </c>
      <c r="R64" t="s">
        <v>1195</v>
      </c>
      <c r="T64" t="s">
        <v>3860</v>
      </c>
      <c r="BI64" s="52" t="str">
        <f>HYPERLINK("#일위대가목록!A129","S00000A350YA →")</f>
        <v>S00000A350YA →</v>
      </c>
    </row>
    <row r="65" spans="1:61" ht="18.399999999999999" customHeight="1">
      <c r="A65" s="11" t="s">
        <v>5140</v>
      </c>
      <c r="B65" s="2" t="s">
        <v>4894</v>
      </c>
      <c r="C65" s="2">
        <v>1</v>
      </c>
      <c r="D65" s="2" t="s">
        <v>2289</v>
      </c>
      <c r="E65" s="29" t="e">
        <f>일위대가목록!#REF!</f>
        <v>#REF!</v>
      </c>
      <c r="F65" s="29" t="e">
        <f t="shared" si="5"/>
        <v>#REF!</v>
      </c>
      <c r="G65" s="29" t="e">
        <f>일위대가목록!#REF!</f>
        <v>#REF!</v>
      </c>
      <c r="H65" s="29" t="e">
        <f t="shared" si="6"/>
        <v>#REF!</v>
      </c>
      <c r="I65" s="29" t="e">
        <f>일위대가목록!#REF!</f>
        <v>#REF!</v>
      </c>
      <c r="J65" s="29" t="e">
        <f t="shared" si="7"/>
        <v>#REF!</v>
      </c>
      <c r="K65" s="29" t="e">
        <f t="shared" si="1"/>
        <v>#REF!</v>
      </c>
      <c r="L65" s="29" t="e">
        <f t="shared" si="0"/>
        <v>#REF!</v>
      </c>
      <c r="M65" s="20" t="s">
        <v>6232</v>
      </c>
      <c r="N65" t="s">
        <v>6232</v>
      </c>
      <c r="P65" t="s">
        <v>6223</v>
      </c>
      <c r="Q65" t="s">
        <v>6232</v>
      </c>
      <c r="R65" t="s">
        <v>5298</v>
      </c>
      <c r="T65" t="s">
        <v>3860</v>
      </c>
      <c r="BI65" s="52" t="str">
        <f>HYPERLINK("#일위대가목록!A130","S00000A300 →")</f>
        <v>S00000A300 →</v>
      </c>
    </row>
    <row r="66" spans="1:61" ht="18.399999999999999" customHeight="1">
      <c r="A66" s="11" t="s">
        <v>5368</v>
      </c>
      <c r="B66" s="2" t="s">
        <v>4894</v>
      </c>
      <c r="C66" s="2">
        <v>1</v>
      </c>
      <c r="D66" s="2" t="s">
        <v>2289</v>
      </c>
      <c r="E66" s="29" t="e">
        <f>일위대가목록!#REF!</f>
        <v>#REF!</v>
      </c>
      <c r="F66" s="29" t="e">
        <f t="shared" si="5"/>
        <v>#REF!</v>
      </c>
      <c r="G66" s="29" t="e">
        <f>일위대가목록!#REF!</f>
        <v>#REF!</v>
      </c>
      <c r="H66" s="29" t="e">
        <f t="shared" si="6"/>
        <v>#REF!</v>
      </c>
      <c r="I66" s="29" t="e">
        <f>일위대가목록!#REF!</f>
        <v>#REF!</v>
      </c>
      <c r="J66" s="29" t="e">
        <f t="shared" si="7"/>
        <v>#REF!</v>
      </c>
      <c r="K66" s="29" t="e">
        <f t="shared" si="1"/>
        <v>#REF!</v>
      </c>
      <c r="L66" s="29" t="e">
        <f t="shared" si="0"/>
        <v>#REF!</v>
      </c>
      <c r="M66" s="20" t="s">
        <v>6232</v>
      </c>
      <c r="N66" t="s">
        <v>6232</v>
      </c>
      <c r="P66" t="s">
        <v>1447</v>
      </c>
      <c r="Q66" t="s">
        <v>6232</v>
      </c>
      <c r="R66" t="s">
        <v>20</v>
      </c>
      <c r="T66" t="s">
        <v>3860</v>
      </c>
      <c r="BI66" s="52" t="str">
        <f>HYPERLINK("#일위대가목록!A131","S00000A300YA →")</f>
        <v>S00000A300YA →</v>
      </c>
    </row>
    <row r="67" spans="1:61" ht="18.399999999999999" customHeight="1">
      <c r="A67" s="11" t="s">
        <v>5140</v>
      </c>
      <c r="B67" s="2" t="s">
        <v>1701</v>
      </c>
      <c r="C67" s="2">
        <v>1</v>
      </c>
      <c r="D67" s="2" t="s">
        <v>2289</v>
      </c>
      <c r="E67" s="29" t="e">
        <f>일위대가목록!#REF!</f>
        <v>#REF!</v>
      </c>
      <c r="F67" s="29" t="e">
        <f t="shared" si="5"/>
        <v>#REF!</v>
      </c>
      <c r="G67" s="29" t="e">
        <f>일위대가목록!#REF!</f>
        <v>#REF!</v>
      </c>
      <c r="H67" s="29" t="e">
        <f t="shared" si="6"/>
        <v>#REF!</v>
      </c>
      <c r="I67" s="29" t="e">
        <f>일위대가목록!#REF!</f>
        <v>#REF!</v>
      </c>
      <c r="J67" s="29" t="e">
        <f t="shared" si="7"/>
        <v>#REF!</v>
      </c>
      <c r="K67" s="29" t="e">
        <f t="shared" si="1"/>
        <v>#REF!</v>
      </c>
      <c r="L67" s="29" t="e">
        <f t="shared" si="0"/>
        <v>#REF!</v>
      </c>
      <c r="M67" s="20" t="s">
        <v>6232</v>
      </c>
      <c r="N67" t="s">
        <v>6232</v>
      </c>
      <c r="P67" t="s">
        <v>3027</v>
      </c>
      <c r="Q67" t="s">
        <v>6232</v>
      </c>
      <c r="R67" t="s">
        <v>4098</v>
      </c>
      <c r="T67" t="s">
        <v>3860</v>
      </c>
      <c r="BI67" s="52" t="str">
        <f>HYPERLINK("#일위대가목록!A132","S00000A250 →")</f>
        <v>S00000A250 →</v>
      </c>
    </row>
    <row r="68" spans="1:61" ht="18.399999999999999" customHeight="1">
      <c r="A68" s="11" t="s">
        <v>5368</v>
      </c>
      <c r="B68" s="2" t="s">
        <v>1701</v>
      </c>
      <c r="C68" s="2">
        <v>1</v>
      </c>
      <c r="D68" s="2" t="s">
        <v>2289</v>
      </c>
      <c r="E68" s="29" t="e">
        <f>일위대가목록!#REF!</f>
        <v>#REF!</v>
      </c>
      <c r="F68" s="29" t="e">
        <f t="shared" si="5"/>
        <v>#REF!</v>
      </c>
      <c r="G68" s="29" t="e">
        <f>일위대가목록!#REF!</f>
        <v>#REF!</v>
      </c>
      <c r="H68" s="29" t="e">
        <f t="shared" si="6"/>
        <v>#REF!</v>
      </c>
      <c r="I68" s="29" t="e">
        <f>일위대가목록!#REF!</f>
        <v>#REF!</v>
      </c>
      <c r="J68" s="29" t="e">
        <f t="shared" si="7"/>
        <v>#REF!</v>
      </c>
      <c r="K68" s="29" t="e">
        <f t="shared" si="1"/>
        <v>#REF!</v>
      </c>
      <c r="L68" s="29" t="e">
        <f t="shared" si="0"/>
        <v>#REF!</v>
      </c>
      <c r="M68" s="20" t="s">
        <v>6232</v>
      </c>
      <c r="N68" t="s">
        <v>6232</v>
      </c>
      <c r="P68" t="s">
        <v>4503</v>
      </c>
      <c r="Q68" t="s">
        <v>6232</v>
      </c>
      <c r="R68" t="s">
        <v>3125</v>
      </c>
      <c r="T68" t="s">
        <v>3860</v>
      </c>
      <c r="BI68" s="52" t="str">
        <f>HYPERLINK("#일위대가목록!A133","S00000A250YA →")</f>
        <v>S00000A250YA →</v>
      </c>
    </row>
    <row r="69" spans="1:61" ht="18.399999999999999" customHeight="1">
      <c r="A69" s="11" t="s">
        <v>5140</v>
      </c>
      <c r="B69" s="2" t="s">
        <v>4196</v>
      </c>
      <c r="C69" s="2">
        <v>1</v>
      </c>
      <c r="D69" s="2" t="s">
        <v>2289</v>
      </c>
      <c r="E69" s="29" t="e">
        <f>일위대가목록!#REF!</f>
        <v>#REF!</v>
      </c>
      <c r="F69" s="29" t="e">
        <f t="shared" si="5"/>
        <v>#REF!</v>
      </c>
      <c r="G69" s="29" t="e">
        <f>일위대가목록!#REF!</f>
        <v>#REF!</v>
      </c>
      <c r="H69" s="29" t="e">
        <f t="shared" si="6"/>
        <v>#REF!</v>
      </c>
      <c r="I69" s="29" t="e">
        <f>일위대가목록!#REF!</f>
        <v>#REF!</v>
      </c>
      <c r="J69" s="29" t="e">
        <f t="shared" si="7"/>
        <v>#REF!</v>
      </c>
      <c r="K69" s="29" t="e">
        <f t="shared" si="1"/>
        <v>#REF!</v>
      </c>
      <c r="L69" s="29" t="e">
        <f t="shared" si="0"/>
        <v>#REF!</v>
      </c>
      <c r="M69" s="20" t="s">
        <v>6232</v>
      </c>
      <c r="N69" t="s">
        <v>6232</v>
      </c>
      <c r="P69" t="s">
        <v>6115</v>
      </c>
      <c r="Q69" t="s">
        <v>6232</v>
      </c>
      <c r="R69" t="s">
        <v>5763</v>
      </c>
      <c r="T69" t="s">
        <v>3860</v>
      </c>
      <c r="BI69" s="52" t="str">
        <f>HYPERLINK("#일위대가목록!A134","S00000A200 →")</f>
        <v>S00000A200 →</v>
      </c>
    </row>
    <row r="70" spans="1:61" ht="18.399999999999999" customHeight="1">
      <c r="A70" s="11" t="s">
        <v>5368</v>
      </c>
      <c r="B70" s="2" t="s">
        <v>4196</v>
      </c>
      <c r="C70" s="2">
        <v>1</v>
      </c>
      <c r="D70" s="2" t="s">
        <v>2289</v>
      </c>
      <c r="E70" s="29" t="e">
        <f>일위대가목록!#REF!</f>
        <v>#REF!</v>
      </c>
      <c r="F70" s="29" t="e">
        <f t="shared" si="5"/>
        <v>#REF!</v>
      </c>
      <c r="G70" s="29" t="e">
        <f>일위대가목록!#REF!</f>
        <v>#REF!</v>
      </c>
      <c r="H70" s="29" t="e">
        <f t="shared" si="6"/>
        <v>#REF!</v>
      </c>
      <c r="I70" s="29" t="e">
        <f>일위대가목록!#REF!</f>
        <v>#REF!</v>
      </c>
      <c r="J70" s="29" t="e">
        <f t="shared" si="7"/>
        <v>#REF!</v>
      </c>
      <c r="K70" s="29" t="e">
        <f t="shared" si="1"/>
        <v>#REF!</v>
      </c>
      <c r="L70" s="29" t="e">
        <f t="shared" si="0"/>
        <v>#REF!</v>
      </c>
      <c r="M70" s="20" t="s">
        <v>6232</v>
      </c>
      <c r="N70" t="s">
        <v>6232</v>
      </c>
      <c r="P70" t="s">
        <v>1334</v>
      </c>
      <c r="Q70" t="s">
        <v>6232</v>
      </c>
      <c r="R70" t="s">
        <v>4300</v>
      </c>
      <c r="T70" t="s">
        <v>3860</v>
      </c>
      <c r="BI70" s="52" t="str">
        <f>HYPERLINK("#일위대가목록!A135","S00000A200YA →")</f>
        <v>S00000A200YA →</v>
      </c>
    </row>
    <row r="71" spans="1:61" ht="18.399999999999999" customHeight="1">
      <c r="A71" s="11" t="s">
        <v>5140</v>
      </c>
      <c r="B71" s="2" t="s">
        <v>1572</v>
      </c>
      <c r="C71" s="2">
        <v>1</v>
      </c>
      <c r="D71" s="2" t="s">
        <v>2289</v>
      </c>
      <c r="E71" s="29" t="e">
        <f>일위대가목록!#REF!</f>
        <v>#REF!</v>
      </c>
      <c r="F71" s="29" t="e">
        <f t="shared" si="5"/>
        <v>#REF!</v>
      </c>
      <c r="G71" s="29" t="e">
        <f>일위대가목록!#REF!</f>
        <v>#REF!</v>
      </c>
      <c r="H71" s="29" t="e">
        <f t="shared" si="6"/>
        <v>#REF!</v>
      </c>
      <c r="I71" s="29" t="e">
        <f>일위대가목록!#REF!</f>
        <v>#REF!</v>
      </c>
      <c r="J71" s="29" t="e">
        <f t="shared" si="7"/>
        <v>#REF!</v>
      </c>
      <c r="K71" s="29" t="e">
        <f t="shared" si="1"/>
        <v>#REF!</v>
      </c>
      <c r="L71" s="29" t="e">
        <f t="shared" si="0"/>
        <v>#REF!</v>
      </c>
      <c r="M71" s="20" t="s">
        <v>6232</v>
      </c>
      <c r="N71" t="s">
        <v>6232</v>
      </c>
      <c r="P71" t="s">
        <v>2918</v>
      </c>
      <c r="Q71" t="s">
        <v>6232</v>
      </c>
      <c r="R71" t="s">
        <v>4373</v>
      </c>
      <c r="T71" t="s">
        <v>3860</v>
      </c>
      <c r="BI71" s="52" t="str">
        <f>HYPERLINK("#일위대가목록!A136","S00000A100 →")</f>
        <v>S00000A100 →</v>
      </c>
    </row>
    <row r="72" spans="1:61" ht="18.399999999999999" customHeight="1">
      <c r="A72" s="11" t="s">
        <v>5368</v>
      </c>
      <c r="B72" s="2" t="s">
        <v>1572</v>
      </c>
      <c r="C72" s="2">
        <v>1</v>
      </c>
      <c r="D72" s="2" t="s">
        <v>2289</v>
      </c>
      <c r="E72" s="29" t="e">
        <f>일위대가목록!#REF!</f>
        <v>#REF!</v>
      </c>
      <c r="F72" s="29" t="e">
        <f t="shared" si="5"/>
        <v>#REF!</v>
      </c>
      <c r="G72" s="29" t="e">
        <f>일위대가목록!#REF!</f>
        <v>#REF!</v>
      </c>
      <c r="H72" s="29" t="e">
        <f t="shared" si="6"/>
        <v>#REF!</v>
      </c>
      <c r="I72" s="29" t="e">
        <f>일위대가목록!#REF!</f>
        <v>#REF!</v>
      </c>
      <c r="J72" s="29" t="e">
        <f t="shared" si="7"/>
        <v>#REF!</v>
      </c>
      <c r="K72" s="29" t="e">
        <f t="shared" si="1"/>
        <v>#REF!</v>
      </c>
      <c r="L72" s="29" t="e">
        <f t="shared" si="0"/>
        <v>#REF!</v>
      </c>
      <c r="M72" s="20" t="s">
        <v>6232</v>
      </c>
      <c r="N72" t="s">
        <v>6232</v>
      </c>
      <c r="P72" t="s">
        <v>4402</v>
      </c>
      <c r="Q72" t="s">
        <v>6232</v>
      </c>
      <c r="R72" t="s">
        <v>2327</v>
      </c>
      <c r="T72" t="s">
        <v>3860</v>
      </c>
      <c r="BI72" s="52" t="str">
        <f>HYPERLINK("#일위대가목록!A137","S00000A100YA →")</f>
        <v>S00000A100YA →</v>
      </c>
    </row>
    <row r="73" spans="1:61" ht="18.399999999999999" customHeight="1">
      <c r="A73" s="11" t="s">
        <v>5140</v>
      </c>
      <c r="B73" s="2" t="s">
        <v>1160</v>
      </c>
      <c r="C73" s="2">
        <v>1</v>
      </c>
      <c r="D73" s="2" t="s">
        <v>2289</v>
      </c>
      <c r="E73" s="29" t="e">
        <f>일위대가목록!#REF!</f>
        <v>#REF!</v>
      </c>
      <c r="F73" s="29" t="e">
        <f t="shared" si="5"/>
        <v>#REF!</v>
      </c>
      <c r="G73" s="29" t="e">
        <f>일위대가목록!#REF!</f>
        <v>#REF!</v>
      </c>
      <c r="H73" s="29" t="e">
        <f t="shared" si="6"/>
        <v>#REF!</v>
      </c>
      <c r="I73" s="29" t="e">
        <f>일위대가목록!#REF!</f>
        <v>#REF!</v>
      </c>
      <c r="J73" s="29" t="e">
        <f t="shared" si="7"/>
        <v>#REF!</v>
      </c>
      <c r="K73" s="29" t="e">
        <f t="shared" si="1"/>
        <v>#REF!</v>
      </c>
      <c r="L73" s="29" t="e">
        <f t="shared" ref="L73:L136" si="8">F73+H73+J73</f>
        <v>#REF!</v>
      </c>
      <c r="M73" s="20" t="s">
        <v>6232</v>
      </c>
      <c r="N73" t="s">
        <v>6232</v>
      </c>
      <c r="P73" t="s">
        <v>6008</v>
      </c>
      <c r="Q73" t="s">
        <v>6232</v>
      </c>
      <c r="R73" t="s">
        <v>3371</v>
      </c>
      <c r="T73" t="s">
        <v>3860</v>
      </c>
      <c r="BI73" s="52" t="str">
        <f>HYPERLINK("#일위대가목록!A138","S00000A080 →")</f>
        <v>S00000A080 →</v>
      </c>
    </row>
    <row r="74" spans="1:61" ht="18.399999999999999" customHeight="1">
      <c r="A74" s="11" t="s">
        <v>5368</v>
      </c>
      <c r="B74" s="2" t="s">
        <v>1160</v>
      </c>
      <c r="C74" s="2">
        <v>1</v>
      </c>
      <c r="D74" s="2" t="s">
        <v>2289</v>
      </c>
      <c r="E74" s="29" t="e">
        <f>일위대가목록!#REF!</f>
        <v>#REF!</v>
      </c>
      <c r="F74" s="29" t="e">
        <f t="shared" si="5"/>
        <v>#REF!</v>
      </c>
      <c r="G74" s="29" t="e">
        <f>일위대가목록!#REF!</f>
        <v>#REF!</v>
      </c>
      <c r="H74" s="29" t="e">
        <f t="shared" si="6"/>
        <v>#REF!</v>
      </c>
      <c r="I74" s="29" t="e">
        <f>일위대가목록!#REF!</f>
        <v>#REF!</v>
      </c>
      <c r="J74" s="29" t="e">
        <f t="shared" si="7"/>
        <v>#REF!</v>
      </c>
      <c r="K74" s="29" t="e">
        <f t="shared" ref="K74:K137" si="9">E74+G74+I74</f>
        <v>#REF!</v>
      </c>
      <c r="L74" s="29" t="e">
        <f t="shared" si="8"/>
        <v>#REF!</v>
      </c>
      <c r="M74" s="20" t="s">
        <v>6232</v>
      </c>
      <c r="N74" t="s">
        <v>6232</v>
      </c>
      <c r="P74" t="s">
        <v>3323</v>
      </c>
      <c r="Q74" t="s">
        <v>6232</v>
      </c>
      <c r="R74" t="s">
        <v>1509</v>
      </c>
      <c r="T74" t="s">
        <v>3860</v>
      </c>
      <c r="BI74" s="52" t="str">
        <f>HYPERLINK("#일위대가목록!A139","S00000A080YA →")</f>
        <v>S00000A080YA →</v>
      </c>
    </row>
    <row r="75" spans="1:61" ht="18.399999999999999" customHeight="1">
      <c r="A75" s="11" t="s">
        <v>5140</v>
      </c>
      <c r="B75" s="2" t="s">
        <v>3058</v>
      </c>
      <c r="C75" s="2">
        <v>1</v>
      </c>
      <c r="D75" s="2" t="s">
        <v>2289</v>
      </c>
      <c r="E75" s="29" t="e">
        <f>일위대가목록!#REF!</f>
        <v>#REF!</v>
      </c>
      <c r="F75" s="29" t="e">
        <f t="shared" si="5"/>
        <v>#REF!</v>
      </c>
      <c r="G75" s="29" t="e">
        <f>일위대가목록!#REF!</f>
        <v>#REF!</v>
      </c>
      <c r="H75" s="29" t="e">
        <f t="shared" si="6"/>
        <v>#REF!</v>
      </c>
      <c r="I75" s="29" t="e">
        <f>일위대가목록!#REF!</f>
        <v>#REF!</v>
      </c>
      <c r="J75" s="29" t="e">
        <f t="shared" si="7"/>
        <v>#REF!</v>
      </c>
      <c r="K75" s="29" t="e">
        <f t="shared" si="9"/>
        <v>#REF!</v>
      </c>
      <c r="L75" s="29" t="e">
        <f t="shared" si="8"/>
        <v>#REF!</v>
      </c>
      <c r="M75" s="20" t="s">
        <v>6232</v>
      </c>
      <c r="N75" t="s">
        <v>6232</v>
      </c>
      <c r="P75" t="s">
        <v>4867</v>
      </c>
      <c r="Q75" t="s">
        <v>6232</v>
      </c>
      <c r="R75" t="s">
        <v>3351</v>
      </c>
      <c r="T75" t="s">
        <v>3860</v>
      </c>
      <c r="BI75" s="52" t="str">
        <f>HYPERLINK("#일위대가목록!A140","S00000A065 →")</f>
        <v>S00000A065 →</v>
      </c>
    </row>
    <row r="76" spans="1:61" ht="18.399999999999999" customHeight="1">
      <c r="A76" s="11" t="s">
        <v>5368</v>
      </c>
      <c r="B76" s="2" t="s">
        <v>3058</v>
      </c>
      <c r="C76" s="2">
        <v>1</v>
      </c>
      <c r="D76" s="2" t="s">
        <v>2289</v>
      </c>
      <c r="E76" s="29" t="e">
        <f>일위대가목록!#REF!</f>
        <v>#REF!</v>
      </c>
      <c r="F76" s="29" t="e">
        <f t="shared" si="5"/>
        <v>#REF!</v>
      </c>
      <c r="G76" s="29" t="e">
        <f>일위대가목록!#REF!</f>
        <v>#REF!</v>
      </c>
      <c r="H76" s="29" t="e">
        <f t="shared" si="6"/>
        <v>#REF!</v>
      </c>
      <c r="I76" s="29" t="e">
        <f>일위대가목록!#REF!</f>
        <v>#REF!</v>
      </c>
      <c r="J76" s="29" t="e">
        <f t="shared" si="7"/>
        <v>#REF!</v>
      </c>
      <c r="K76" s="29" t="e">
        <f t="shared" si="9"/>
        <v>#REF!</v>
      </c>
      <c r="L76" s="29" t="e">
        <f t="shared" si="8"/>
        <v>#REF!</v>
      </c>
      <c r="M76" s="20" t="s">
        <v>6232</v>
      </c>
      <c r="N76" t="s">
        <v>6232</v>
      </c>
      <c r="P76" t="s">
        <v>253</v>
      </c>
      <c r="Q76" t="s">
        <v>6232</v>
      </c>
      <c r="R76" t="s">
        <v>5620</v>
      </c>
      <c r="T76" t="s">
        <v>3860</v>
      </c>
      <c r="BI76" s="52" t="str">
        <f>HYPERLINK("#일위대가목록!A141","S00000A065YA →")</f>
        <v>S00000A065YA →</v>
      </c>
    </row>
    <row r="77" spans="1:61" ht="18.399999999999999" customHeight="1">
      <c r="A77" s="11" t="s">
        <v>5140</v>
      </c>
      <c r="B77" s="2" t="s">
        <v>2393</v>
      </c>
      <c r="C77" s="2">
        <v>1</v>
      </c>
      <c r="D77" s="2" t="s">
        <v>2289</v>
      </c>
      <c r="E77" s="29" t="e">
        <f>일위대가목록!#REF!</f>
        <v>#REF!</v>
      </c>
      <c r="F77" s="29" t="e">
        <f t="shared" si="5"/>
        <v>#REF!</v>
      </c>
      <c r="G77" s="29" t="e">
        <f>일위대가목록!#REF!</f>
        <v>#REF!</v>
      </c>
      <c r="H77" s="29" t="e">
        <f t="shared" si="6"/>
        <v>#REF!</v>
      </c>
      <c r="I77" s="29" t="e">
        <f>일위대가목록!#REF!</f>
        <v>#REF!</v>
      </c>
      <c r="J77" s="29" t="e">
        <f t="shared" si="7"/>
        <v>#REF!</v>
      </c>
      <c r="K77" s="29" t="e">
        <f t="shared" si="9"/>
        <v>#REF!</v>
      </c>
      <c r="L77" s="29" t="e">
        <f t="shared" si="8"/>
        <v>#REF!</v>
      </c>
      <c r="M77" s="20" t="s">
        <v>6232</v>
      </c>
      <c r="N77" t="s">
        <v>6232</v>
      </c>
      <c r="P77" t="s">
        <v>1778</v>
      </c>
      <c r="Q77" t="s">
        <v>6232</v>
      </c>
      <c r="R77" t="s">
        <v>4804</v>
      </c>
      <c r="T77" t="s">
        <v>3860</v>
      </c>
      <c r="BI77" s="52" t="str">
        <f>HYPERLINK("#일위대가목록!A142","S00000A050 →")</f>
        <v>S00000A050 →</v>
      </c>
    </row>
    <row r="78" spans="1:61" ht="18.399999999999999" customHeight="1">
      <c r="A78" s="11" t="s">
        <v>5368</v>
      </c>
      <c r="B78" s="2" t="s">
        <v>2393</v>
      </c>
      <c r="C78" s="2">
        <v>1</v>
      </c>
      <c r="D78" s="2" t="s">
        <v>2289</v>
      </c>
      <c r="E78" s="29" t="e">
        <f>일위대가목록!#REF!</f>
        <v>#REF!</v>
      </c>
      <c r="F78" s="29" t="e">
        <f t="shared" si="5"/>
        <v>#REF!</v>
      </c>
      <c r="G78" s="29" t="e">
        <f>일위대가목록!#REF!</f>
        <v>#REF!</v>
      </c>
      <c r="H78" s="29" t="e">
        <f t="shared" si="6"/>
        <v>#REF!</v>
      </c>
      <c r="I78" s="29" t="e">
        <f>일위대가목록!#REF!</f>
        <v>#REF!</v>
      </c>
      <c r="J78" s="29" t="e">
        <f t="shared" si="7"/>
        <v>#REF!</v>
      </c>
      <c r="K78" s="29" t="e">
        <f t="shared" si="9"/>
        <v>#REF!</v>
      </c>
      <c r="L78" s="29" t="e">
        <f t="shared" si="8"/>
        <v>#REF!</v>
      </c>
      <c r="M78" s="20" t="s">
        <v>6232</v>
      </c>
      <c r="N78" t="s">
        <v>6232</v>
      </c>
      <c r="P78" t="s">
        <v>3401</v>
      </c>
      <c r="Q78" t="s">
        <v>6232</v>
      </c>
      <c r="R78" t="s">
        <v>5483</v>
      </c>
      <c r="T78" t="s">
        <v>3860</v>
      </c>
      <c r="BI78" s="52" t="str">
        <f>HYPERLINK("#일위대가목록!A143","S00000A050YA →")</f>
        <v>S00000A050YA →</v>
      </c>
    </row>
    <row r="79" spans="1:61" ht="18.399999999999999" customHeight="1">
      <c r="A79" s="11" t="s">
        <v>5140</v>
      </c>
      <c r="B79" s="2" t="s">
        <v>2012</v>
      </c>
      <c r="C79" s="2">
        <v>1</v>
      </c>
      <c r="D79" s="2" t="s">
        <v>2289</v>
      </c>
      <c r="E79" s="29" t="e">
        <f>일위대가목록!#REF!</f>
        <v>#REF!</v>
      </c>
      <c r="F79" s="29" t="e">
        <f t="shared" si="5"/>
        <v>#REF!</v>
      </c>
      <c r="G79" s="29" t="e">
        <f>일위대가목록!#REF!</f>
        <v>#REF!</v>
      </c>
      <c r="H79" s="29" t="e">
        <f t="shared" si="6"/>
        <v>#REF!</v>
      </c>
      <c r="I79" s="29" t="e">
        <f>일위대가목록!#REF!</f>
        <v>#REF!</v>
      </c>
      <c r="J79" s="29" t="e">
        <f t="shared" si="7"/>
        <v>#REF!</v>
      </c>
      <c r="K79" s="29" t="e">
        <f t="shared" si="9"/>
        <v>#REF!</v>
      </c>
      <c r="L79" s="29" t="e">
        <f t="shared" si="8"/>
        <v>#REF!</v>
      </c>
      <c r="M79" s="20" t="s">
        <v>6232</v>
      </c>
      <c r="N79" t="s">
        <v>6232</v>
      </c>
      <c r="P79" t="s">
        <v>4940</v>
      </c>
      <c r="Q79" t="s">
        <v>6232</v>
      </c>
      <c r="R79" t="s">
        <v>3257</v>
      </c>
      <c r="T79" t="s">
        <v>3860</v>
      </c>
      <c r="BI79" s="52" t="str">
        <f>HYPERLINK("#일위대가목록!A144","S00000A040 →")</f>
        <v>S00000A040 →</v>
      </c>
    </row>
    <row r="80" spans="1:61" ht="18.399999999999999" customHeight="1">
      <c r="A80" s="11" t="s">
        <v>5368</v>
      </c>
      <c r="B80" s="2" t="s">
        <v>2012</v>
      </c>
      <c r="C80" s="2">
        <v>1</v>
      </c>
      <c r="D80" s="2" t="s">
        <v>2289</v>
      </c>
      <c r="E80" s="29" t="e">
        <f>일위대가목록!#REF!</f>
        <v>#REF!</v>
      </c>
      <c r="F80" s="29" t="e">
        <f t="shared" si="5"/>
        <v>#REF!</v>
      </c>
      <c r="G80" s="29" t="e">
        <f>일위대가목록!#REF!</f>
        <v>#REF!</v>
      </c>
      <c r="H80" s="29" t="e">
        <f t="shared" si="6"/>
        <v>#REF!</v>
      </c>
      <c r="I80" s="29" t="e">
        <f>일위대가목록!#REF!</f>
        <v>#REF!</v>
      </c>
      <c r="J80" s="29" t="e">
        <f t="shared" si="7"/>
        <v>#REF!</v>
      </c>
      <c r="K80" s="29" t="e">
        <f t="shared" si="9"/>
        <v>#REF!</v>
      </c>
      <c r="L80" s="29" t="e">
        <f t="shared" si="8"/>
        <v>#REF!</v>
      </c>
      <c r="M80" s="20" t="s">
        <v>6232</v>
      </c>
      <c r="N80" t="s">
        <v>6232</v>
      </c>
      <c r="P80" t="s">
        <v>344</v>
      </c>
      <c r="Q80" t="s">
        <v>6232</v>
      </c>
      <c r="R80" t="s">
        <v>3255</v>
      </c>
      <c r="T80" t="s">
        <v>3860</v>
      </c>
      <c r="BI80" s="52" t="str">
        <f>HYPERLINK("#일위대가목록!A145","S00000A040YA →")</f>
        <v>S00000A040YA →</v>
      </c>
    </row>
    <row r="81" spans="1:61" ht="18.399999999999999" customHeight="1">
      <c r="A81" s="11" t="s">
        <v>5140</v>
      </c>
      <c r="B81" s="2" t="s">
        <v>1993</v>
      </c>
      <c r="C81" s="2">
        <v>1</v>
      </c>
      <c r="D81" s="2" t="s">
        <v>2289</v>
      </c>
      <c r="E81" s="29" t="e">
        <f>일위대가목록!#REF!</f>
        <v>#REF!</v>
      </c>
      <c r="F81" s="29" t="e">
        <f t="shared" si="5"/>
        <v>#REF!</v>
      </c>
      <c r="G81" s="29" t="e">
        <f>일위대가목록!#REF!</f>
        <v>#REF!</v>
      </c>
      <c r="H81" s="29" t="e">
        <f t="shared" si="6"/>
        <v>#REF!</v>
      </c>
      <c r="I81" s="29" t="e">
        <f>일위대가목록!#REF!</f>
        <v>#REF!</v>
      </c>
      <c r="J81" s="29" t="e">
        <f t="shared" si="7"/>
        <v>#REF!</v>
      </c>
      <c r="K81" s="29" t="e">
        <f t="shared" si="9"/>
        <v>#REF!</v>
      </c>
      <c r="L81" s="29" t="e">
        <f t="shared" si="8"/>
        <v>#REF!</v>
      </c>
      <c r="M81" s="20" t="s">
        <v>6232</v>
      </c>
      <c r="N81" t="s">
        <v>6232</v>
      </c>
      <c r="P81" t="s">
        <v>1867</v>
      </c>
      <c r="Q81" t="s">
        <v>6232</v>
      </c>
      <c r="R81" t="s">
        <v>2630</v>
      </c>
      <c r="T81" t="s">
        <v>3860</v>
      </c>
      <c r="BI81" s="52" t="str">
        <f>HYPERLINK("#일위대가목록!A146","S00000A032 →")</f>
        <v>S00000A032 →</v>
      </c>
    </row>
    <row r="82" spans="1:61" ht="18.399999999999999" customHeight="1">
      <c r="A82" s="11" t="s">
        <v>5368</v>
      </c>
      <c r="B82" s="2" t="s">
        <v>1993</v>
      </c>
      <c r="C82" s="2">
        <v>1</v>
      </c>
      <c r="D82" s="2" t="s">
        <v>2289</v>
      </c>
      <c r="E82" s="29" t="e">
        <f>일위대가목록!#REF!</f>
        <v>#REF!</v>
      </c>
      <c r="F82" s="29" t="e">
        <f t="shared" si="5"/>
        <v>#REF!</v>
      </c>
      <c r="G82" s="29" t="e">
        <f>일위대가목록!#REF!</f>
        <v>#REF!</v>
      </c>
      <c r="H82" s="29" t="e">
        <f t="shared" si="6"/>
        <v>#REF!</v>
      </c>
      <c r="I82" s="29" t="e">
        <f>일위대가목록!#REF!</f>
        <v>#REF!</v>
      </c>
      <c r="J82" s="29" t="e">
        <f t="shared" si="7"/>
        <v>#REF!</v>
      </c>
      <c r="K82" s="29" t="e">
        <f t="shared" si="9"/>
        <v>#REF!</v>
      </c>
      <c r="L82" s="29" t="e">
        <f t="shared" si="8"/>
        <v>#REF!</v>
      </c>
      <c r="M82" s="20" t="s">
        <v>6232</v>
      </c>
      <c r="N82" t="s">
        <v>6232</v>
      </c>
      <c r="P82" t="s">
        <v>3107</v>
      </c>
      <c r="Q82" t="s">
        <v>6232</v>
      </c>
      <c r="R82" t="s">
        <v>1923</v>
      </c>
      <c r="T82" t="s">
        <v>3860</v>
      </c>
      <c r="BI82" s="52" t="str">
        <f>HYPERLINK("#일위대가목록!A147","S00000A032YA →")</f>
        <v>S00000A032YA →</v>
      </c>
    </row>
    <row r="83" spans="1:61" ht="18.399999999999999" customHeight="1">
      <c r="A83" s="11" t="s">
        <v>5140</v>
      </c>
      <c r="B83" s="2" t="s">
        <v>3967</v>
      </c>
      <c r="C83" s="2">
        <v>1</v>
      </c>
      <c r="D83" s="2" t="s">
        <v>2289</v>
      </c>
      <c r="E83" s="29" t="e">
        <f>일위대가목록!#REF!</f>
        <v>#REF!</v>
      </c>
      <c r="F83" s="29" t="e">
        <f t="shared" si="5"/>
        <v>#REF!</v>
      </c>
      <c r="G83" s="29" t="e">
        <f>일위대가목록!#REF!</f>
        <v>#REF!</v>
      </c>
      <c r="H83" s="29" t="e">
        <f t="shared" si="6"/>
        <v>#REF!</v>
      </c>
      <c r="I83" s="29" t="e">
        <f>일위대가목록!#REF!</f>
        <v>#REF!</v>
      </c>
      <c r="J83" s="29" t="e">
        <f t="shared" si="7"/>
        <v>#REF!</v>
      </c>
      <c r="K83" s="29" t="e">
        <f t="shared" si="9"/>
        <v>#REF!</v>
      </c>
      <c r="L83" s="29" t="e">
        <f t="shared" si="8"/>
        <v>#REF!</v>
      </c>
      <c r="M83" s="20" t="s">
        <v>6232</v>
      </c>
      <c r="N83" t="s">
        <v>6232</v>
      </c>
      <c r="P83" t="s">
        <v>4657</v>
      </c>
      <c r="Q83" t="s">
        <v>6232</v>
      </c>
      <c r="R83" t="s">
        <v>3429</v>
      </c>
      <c r="T83" t="s">
        <v>3860</v>
      </c>
      <c r="BI83" s="52" t="str">
        <f>HYPERLINK("#일위대가목록!A148","S00000A025 →")</f>
        <v>S00000A025 →</v>
      </c>
    </row>
    <row r="84" spans="1:61" ht="18.399999999999999" customHeight="1">
      <c r="A84" s="11" t="s">
        <v>5368</v>
      </c>
      <c r="B84" s="2" t="s">
        <v>3967</v>
      </c>
      <c r="C84" s="2">
        <v>1</v>
      </c>
      <c r="D84" s="2" t="s">
        <v>2289</v>
      </c>
      <c r="E84" s="29" t="e">
        <f>일위대가목록!#REF!</f>
        <v>#REF!</v>
      </c>
      <c r="F84" s="29" t="e">
        <f t="shared" si="5"/>
        <v>#REF!</v>
      </c>
      <c r="G84" s="29" t="e">
        <f>일위대가목록!#REF!</f>
        <v>#REF!</v>
      </c>
      <c r="H84" s="29" t="e">
        <f t="shared" si="6"/>
        <v>#REF!</v>
      </c>
      <c r="I84" s="29" t="e">
        <f>일위대가목록!#REF!</f>
        <v>#REF!</v>
      </c>
      <c r="J84" s="29" t="e">
        <f t="shared" si="7"/>
        <v>#REF!</v>
      </c>
      <c r="K84" s="29" t="e">
        <f t="shared" si="9"/>
        <v>#REF!</v>
      </c>
      <c r="L84" s="29" t="e">
        <f t="shared" si="8"/>
        <v>#REF!</v>
      </c>
      <c r="M84" s="20" t="s">
        <v>6232</v>
      </c>
      <c r="N84" t="s">
        <v>6232</v>
      </c>
      <c r="P84" t="s">
        <v>2402</v>
      </c>
      <c r="Q84" t="s">
        <v>6232</v>
      </c>
      <c r="R84" t="s">
        <v>4293</v>
      </c>
      <c r="T84" t="s">
        <v>3860</v>
      </c>
      <c r="BI84" s="52" t="str">
        <f>HYPERLINK("#일위대가목록!A149","S00000A025YA →")</f>
        <v>S00000A025YA →</v>
      </c>
    </row>
    <row r="85" spans="1:61" ht="18.399999999999999" customHeight="1">
      <c r="A85" s="11" t="s">
        <v>5140</v>
      </c>
      <c r="B85" s="2" t="s">
        <v>5596</v>
      </c>
      <c r="C85" s="2">
        <v>1</v>
      </c>
      <c r="D85" s="2" t="s">
        <v>2289</v>
      </c>
      <c r="E85" s="29" t="e">
        <f>일위대가목록!#REF!</f>
        <v>#REF!</v>
      </c>
      <c r="F85" s="29" t="e">
        <f t="shared" si="5"/>
        <v>#REF!</v>
      </c>
      <c r="G85" s="29" t="e">
        <f>일위대가목록!#REF!</f>
        <v>#REF!</v>
      </c>
      <c r="H85" s="29" t="e">
        <f t="shared" si="6"/>
        <v>#REF!</v>
      </c>
      <c r="I85" s="29" t="e">
        <f>일위대가목록!#REF!</f>
        <v>#REF!</v>
      </c>
      <c r="J85" s="29" t="e">
        <f t="shared" si="7"/>
        <v>#REF!</v>
      </c>
      <c r="K85" s="29" t="e">
        <f t="shared" si="9"/>
        <v>#REF!</v>
      </c>
      <c r="L85" s="29" t="e">
        <f t="shared" si="8"/>
        <v>#REF!</v>
      </c>
      <c r="M85" s="20" t="s">
        <v>6232</v>
      </c>
      <c r="N85" t="s">
        <v>6232</v>
      </c>
      <c r="P85" t="s">
        <v>830</v>
      </c>
      <c r="Q85" t="s">
        <v>6232</v>
      </c>
      <c r="R85" t="s">
        <v>41</v>
      </c>
      <c r="T85" t="s">
        <v>3860</v>
      </c>
      <c r="BI85" s="52" t="str">
        <f>HYPERLINK("#일위대가목록!A150","S00000A020 →")</f>
        <v>S00000A020 →</v>
      </c>
    </row>
    <row r="86" spans="1:61" ht="18.399999999999999" customHeight="1">
      <c r="A86" s="11" t="s">
        <v>5368</v>
      </c>
      <c r="B86" s="2" t="s">
        <v>5596</v>
      </c>
      <c r="C86" s="2">
        <v>1</v>
      </c>
      <c r="D86" s="2" t="s">
        <v>2289</v>
      </c>
      <c r="E86" s="29" t="e">
        <f>일위대가목록!#REF!</f>
        <v>#REF!</v>
      </c>
      <c r="F86" s="29" t="e">
        <f t="shared" si="5"/>
        <v>#REF!</v>
      </c>
      <c r="G86" s="29" t="e">
        <f>일위대가목록!#REF!</f>
        <v>#REF!</v>
      </c>
      <c r="H86" s="29" t="e">
        <f t="shared" si="6"/>
        <v>#REF!</v>
      </c>
      <c r="I86" s="29" t="e">
        <f>일위대가목록!#REF!</f>
        <v>#REF!</v>
      </c>
      <c r="J86" s="29" t="e">
        <f t="shared" si="7"/>
        <v>#REF!</v>
      </c>
      <c r="K86" s="29" t="e">
        <f t="shared" si="9"/>
        <v>#REF!</v>
      </c>
      <c r="L86" s="29" t="e">
        <f t="shared" si="8"/>
        <v>#REF!</v>
      </c>
      <c r="M86" s="20" t="s">
        <v>6232</v>
      </c>
      <c r="N86" t="s">
        <v>6232</v>
      </c>
      <c r="P86" t="s">
        <v>5472</v>
      </c>
      <c r="Q86" t="s">
        <v>6232</v>
      </c>
      <c r="R86" t="s">
        <v>2192</v>
      </c>
      <c r="T86" t="s">
        <v>3860</v>
      </c>
      <c r="BI86" s="52" t="str">
        <f>HYPERLINK("#일위대가목록!A151","S00000A020YA →")</f>
        <v>S00000A020YA →</v>
      </c>
    </row>
    <row r="87" spans="1:61" ht="18.399999999999999" customHeight="1">
      <c r="A87" s="11" t="s">
        <v>1544</v>
      </c>
      <c r="B87" s="2" t="s">
        <v>6232</v>
      </c>
      <c r="C87" s="2"/>
      <c r="D87" s="2" t="s">
        <v>6232</v>
      </c>
      <c r="E87" s="1"/>
      <c r="F87" s="29" t="e">
        <f>TRUNC(SUM(AF87:AF88),0)</f>
        <v>#REF!</v>
      </c>
      <c r="G87" s="1"/>
      <c r="H87" s="29" t="e">
        <f>TRUNC(SUM(AG87:AG88),0)</f>
        <v>#REF!</v>
      </c>
      <c r="I87" s="1"/>
      <c r="J87" s="29" t="e">
        <f>TRUNC(SUM(AH87:AH88),0)</f>
        <v>#REF!</v>
      </c>
      <c r="K87" s="29">
        <f t="shared" si="9"/>
        <v>0</v>
      </c>
      <c r="L87" s="29" t="e">
        <f t="shared" si="8"/>
        <v>#REF!</v>
      </c>
      <c r="M87" s="20" t="s">
        <v>6232</v>
      </c>
      <c r="N87" t="s">
        <v>6232</v>
      </c>
      <c r="P87" t="s">
        <v>3891</v>
      </c>
      <c r="Q87" t="s">
        <v>6232</v>
      </c>
      <c r="R87" t="s">
        <v>6232</v>
      </c>
      <c r="AF87" s="29" t="e">
        <f>F86+F85+F84+F83+F82+F81+F80+F79+F78+F77+F76+F75+F74+F73+F72+F71+F70+F69+F68+F67+F66+F65+F64+F63+F62+F61+F60+F59+F58+F57+F56+F55+F54+F53+F52+F51+F50</f>
        <v>#REF!</v>
      </c>
      <c r="AG87" s="29" t="e">
        <f>H86+H85+H84+H83+H82+H81+H80+H79+H78+H77+H76+H75+H74+H73+H72+H71+H70+H69+H68+H67+H66+H65+H64+H63+H62+H61+H60+H59+H58+H57+H56+H55+H54+H53+H52+H51+H50</f>
        <v>#REF!</v>
      </c>
      <c r="AH87" s="29" t="e">
        <f>J86+J85+J84+J83+J82+J81+J80+J79+J78+J77+J76+J75+J74+J73+J72+J71+J70+J69+J68+J67+J66+J65+J64+J63+J62+J61+J60+J59+J58+J57+J56+J55+J54+J53+J52+J51+J50</f>
        <v>#REF!</v>
      </c>
    </row>
    <row r="88" spans="1:61" ht="18.399999999999999" customHeight="1">
      <c r="A88" s="11" t="s">
        <v>2495</v>
      </c>
      <c r="B88" s="2" t="s">
        <v>6232</v>
      </c>
      <c r="C88" s="2"/>
      <c r="D88" s="2" t="s">
        <v>6232</v>
      </c>
      <c r="E88" s="1"/>
      <c r="F88" s="29">
        <v>0</v>
      </c>
      <c r="G88" s="1"/>
      <c r="H88" s="29">
        <v>0</v>
      </c>
      <c r="I88" s="1"/>
      <c r="J88" s="29">
        <v>0</v>
      </c>
      <c r="K88" s="29">
        <f t="shared" si="9"/>
        <v>0</v>
      </c>
      <c r="L88" s="29">
        <f t="shared" si="8"/>
        <v>0</v>
      </c>
      <c r="M88" s="20" t="s">
        <v>6232</v>
      </c>
      <c r="N88" t="s">
        <v>6232</v>
      </c>
      <c r="P88" t="s">
        <v>2494</v>
      </c>
      <c r="Q88" t="s">
        <v>6232</v>
      </c>
      <c r="R88" t="s">
        <v>6232</v>
      </c>
      <c r="AF88" s="29" t="e">
        <f>F49+F48+F47</f>
        <v>#REF!</v>
      </c>
      <c r="AG88" s="29" t="e">
        <f>H49+H48+H47</f>
        <v>#REF!</v>
      </c>
      <c r="AH88" s="29" t="e">
        <f>J49+J48+J47</f>
        <v>#REF!</v>
      </c>
    </row>
    <row r="89" spans="1:61" ht="18.399999999999999" customHeight="1">
      <c r="A89" s="11" t="s">
        <v>2961</v>
      </c>
      <c r="B89" s="2" t="s">
        <v>6232</v>
      </c>
      <c r="C89" s="2"/>
      <c r="D89" s="2" t="s">
        <v>6232</v>
      </c>
      <c r="E89" s="1"/>
      <c r="F89" s="29">
        <v>0</v>
      </c>
      <c r="G89" s="1"/>
      <c r="H89" s="29">
        <v>0</v>
      </c>
      <c r="I89" s="1"/>
      <c r="J89" s="29">
        <v>0</v>
      </c>
      <c r="K89" s="29">
        <f t="shared" si="9"/>
        <v>0</v>
      </c>
      <c r="L89" s="29">
        <f t="shared" si="8"/>
        <v>0</v>
      </c>
      <c r="M89" s="20" t="s">
        <v>6232</v>
      </c>
      <c r="N89" t="s">
        <v>6232</v>
      </c>
      <c r="P89" t="s">
        <v>920</v>
      </c>
      <c r="Q89" t="s">
        <v>6232</v>
      </c>
      <c r="R89" t="s">
        <v>6232</v>
      </c>
    </row>
    <row r="90" spans="1:61" ht="18.399999999999999" customHeight="1">
      <c r="A90" s="11" t="s">
        <v>2961</v>
      </c>
      <c r="B90" s="2" t="s">
        <v>2823</v>
      </c>
      <c r="C90" s="2">
        <v>1</v>
      </c>
      <c r="D90" s="2" t="s">
        <v>3670</v>
      </c>
      <c r="E90" s="29" t="e">
        <f>일위대가목록!#REF!</f>
        <v>#REF!</v>
      </c>
      <c r="F90" s="29" t="e">
        <f t="shared" ref="F90:F111" si="10">TRUNC(E90*C90,0)</f>
        <v>#REF!</v>
      </c>
      <c r="G90" s="29" t="e">
        <f>일위대가목록!#REF!</f>
        <v>#REF!</v>
      </c>
      <c r="H90" s="29" t="e">
        <f t="shared" ref="H90:H111" si="11">TRUNC(G90*C90,0)</f>
        <v>#REF!</v>
      </c>
      <c r="I90" s="29" t="e">
        <f>일위대가목록!#REF!</f>
        <v>#REF!</v>
      </c>
      <c r="J90" s="29" t="e">
        <f t="shared" ref="J90:J111" si="12">TRUNC(I90*C90,0)</f>
        <v>#REF!</v>
      </c>
      <c r="K90" s="29" t="e">
        <f t="shared" si="9"/>
        <v>#REF!</v>
      </c>
      <c r="L90" s="29" t="e">
        <f t="shared" si="8"/>
        <v>#REF!</v>
      </c>
      <c r="M90" s="20" t="s">
        <v>6232</v>
      </c>
      <c r="N90" t="s">
        <v>6232</v>
      </c>
      <c r="P90" t="s">
        <v>5567</v>
      </c>
      <c r="Q90" t="s">
        <v>6232</v>
      </c>
      <c r="R90" t="s">
        <v>3648</v>
      </c>
      <c r="T90" t="s">
        <v>5235</v>
      </c>
      <c r="BI90" s="52" t="str">
        <f>HYPERLINK("#일위대가목록!A3","SS00200W750 →")</f>
        <v>SS00200W750 →</v>
      </c>
    </row>
    <row r="91" spans="1:61" ht="18.399999999999999" customHeight="1">
      <c r="A91" s="11" t="s">
        <v>2961</v>
      </c>
      <c r="B91" s="2" t="s">
        <v>3826</v>
      </c>
      <c r="C91" s="2">
        <v>1</v>
      </c>
      <c r="D91" s="2" t="s">
        <v>3670</v>
      </c>
      <c r="E91" s="29" t="e">
        <f>일위대가목록!#REF!</f>
        <v>#REF!</v>
      </c>
      <c r="F91" s="29" t="e">
        <f t="shared" si="10"/>
        <v>#REF!</v>
      </c>
      <c r="G91" s="29" t="e">
        <f>일위대가목록!#REF!</f>
        <v>#REF!</v>
      </c>
      <c r="H91" s="29" t="e">
        <f t="shared" si="11"/>
        <v>#REF!</v>
      </c>
      <c r="I91" s="29" t="e">
        <f>일위대가목록!#REF!</f>
        <v>#REF!</v>
      </c>
      <c r="J91" s="29" t="e">
        <f t="shared" si="12"/>
        <v>#REF!</v>
      </c>
      <c r="K91" s="29" t="e">
        <f t="shared" si="9"/>
        <v>#REF!</v>
      </c>
      <c r="L91" s="29" t="e">
        <f t="shared" si="8"/>
        <v>#REF!</v>
      </c>
      <c r="M91" s="20" t="s">
        <v>6232</v>
      </c>
      <c r="N91" t="s">
        <v>6232</v>
      </c>
      <c r="P91" t="s">
        <v>3982</v>
      </c>
      <c r="Q91" t="s">
        <v>6232</v>
      </c>
      <c r="R91" t="s">
        <v>5126</v>
      </c>
      <c r="T91" t="s">
        <v>5235</v>
      </c>
      <c r="BI91" s="52" t="str">
        <f>HYPERLINK("#일위대가목록!A4","SS00200W700 →")</f>
        <v>SS00200W700 →</v>
      </c>
    </row>
    <row r="92" spans="1:61" ht="18.399999999999999" customHeight="1">
      <c r="A92" s="11" t="s">
        <v>2961</v>
      </c>
      <c r="B92" s="2" t="s">
        <v>397</v>
      </c>
      <c r="C92" s="2">
        <v>1</v>
      </c>
      <c r="D92" s="2" t="s">
        <v>3670</v>
      </c>
      <c r="E92" s="29" t="e">
        <f>일위대가목록!#REF!</f>
        <v>#REF!</v>
      </c>
      <c r="F92" s="29" t="e">
        <f t="shared" si="10"/>
        <v>#REF!</v>
      </c>
      <c r="G92" s="29" t="e">
        <f>일위대가목록!#REF!</f>
        <v>#REF!</v>
      </c>
      <c r="H92" s="29" t="e">
        <f t="shared" si="11"/>
        <v>#REF!</v>
      </c>
      <c r="I92" s="29" t="e">
        <f>일위대가목록!#REF!</f>
        <v>#REF!</v>
      </c>
      <c r="J92" s="29" t="e">
        <f t="shared" si="12"/>
        <v>#REF!</v>
      </c>
      <c r="K92" s="29" t="e">
        <f t="shared" si="9"/>
        <v>#REF!</v>
      </c>
      <c r="L92" s="29" t="e">
        <f t="shared" si="8"/>
        <v>#REF!</v>
      </c>
      <c r="M92" s="20" t="s">
        <v>6232</v>
      </c>
      <c r="N92" t="s">
        <v>6232</v>
      </c>
      <c r="P92" t="s">
        <v>2588</v>
      </c>
      <c r="Q92" t="s">
        <v>6232</v>
      </c>
      <c r="R92" t="s">
        <v>3902</v>
      </c>
      <c r="T92" t="s">
        <v>5235</v>
      </c>
      <c r="BI92" s="52" t="str">
        <f>HYPERLINK("#일위대가목록!A5","SS00200W650 →")</f>
        <v>SS00200W650 →</v>
      </c>
    </row>
    <row r="93" spans="1:61" ht="18.399999999999999" customHeight="1">
      <c r="A93" s="11" t="s">
        <v>2961</v>
      </c>
      <c r="B93" s="2" t="s">
        <v>6105</v>
      </c>
      <c r="C93" s="2">
        <v>1</v>
      </c>
      <c r="D93" s="2" t="s">
        <v>3670</v>
      </c>
      <c r="E93" s="29" t="e">
        <f>일위대가목록!#REF!</f>
        <v>#REF!</v>
      </c>
      <c r="F93" s="29" t="e">
        <f t="shared" si="10"/>
        <v>#REF!</v>
      </c>
      <c r="G93" s="29" t="e">
        <f>일위대가목록!#REF!</f>
        <v>#REF!</v>
      </c>
      <c r="H93" s="29" t="e">
        <f t="shared" si="11"/>
        <v>#REF!</v>
      </c>
      <c r="I93" s="29" t="e">
        <f>일위대가목록!#REF!</f>
        <v>#REF!</v>
      </c>
      <c r="J93" s="29" t="e">
        <f t="shared" si="12"/>
        <v>#REF!</v>
      </c>
      <c r="K93" s="29" t="e">
        <f t="shared" si="9"/>
        <v>#REF!</v>
      </c>
      <c r="L93" s="29" t="e">
        <f t="shared" si="8"/>
        <v>#REF!</v>
      </c>
      <c r="M93" s="20" t="s">
        <v>6232</v>
      </c>
      <c r="N93" t="s">
        <v>6232</v>
      </c>
      <c r="P93" t="s">
        <v>1006</v>
      </c>
      <c r="Q93" t="s">
        <v>6232</v>
      </c>
      <c r="R93" t="s">
        <v>5563</v>
      </c>
      <c r="T93" t="s">
        <v>5235</v>
      </c>
      <c r="BI93" s="52" t="str">
        <f>HYPERLINK("#일위대가목록!A6","SS00200W600 →")</f>
        <v>SS00200W600 →</v>
      </c>
    </row>
    <row r="94" spans="1:61" ht="18.399999999999999" customHeight="1">
      <c r="A94" s="11" t="s">
        <v>2961</v>
      </c>
      <c r="B94" s="2" t="s">
        <v>6191</v>
      </c>
      <c r="C94" s="2">
        <v>1</v>
      </c>
      <c r="D94" s="2" t="s">
        <v>3670</v>
      </c>
      <c r="E94" s="29" t="e">
        <f>일위대가목록!#REF!</f>
        <v>#REF!</v>
      </c>
      <c r="F94" s="29" t="e">
        <f t="shared" si="10"/>
        <v>#REF!</v>
      </c>
      <c r="G94" s="29" t="e">
        <f>일위대가목록!#REF!</f>
        <v>#REF!</v>
      </c>
      <c r="H94" s="29" t="e">
        <f t="shared" si="11"/>
        <v>#REF!</v>
      </c>
      <c r="I94" s="29" t="e">
        <f>일위대가목록!#REF!</f>
        <v>#REF!</v>
      </c>
      <c r="J94" s="29" t="e">
        <f t="shared" si="12"/>
        <v>#REF!</v>
      </c>
      <c r="K94" s="29" t="e">
        <f t="shared" si="9"/>
        <v>#REF!</v>
      </c>
      <c r="L94" s="29" t="e">
        <f t="shared" si="8"/>
        <v>#REF!</v>
      </c>
      <c r="M94" s="20" t="s">
        <v>6232</v>
      </c>
      <c r="N94" t="s">
        <v>6232</v>
      </c>
      <c r="P94" t="s">
        <v>2040</v>
      </c>
      <c r="Q94" t="s">
        <v>6232</v>
      </c>
      <c r="R94" t="s">
        <v>6037</v>
      </c>
      <c r="T94" t="s">
        <v>5235</v>
      </c>
      <c r="BI94" s="52" t="str">
        <f>HYPERLINK("#일위대가목록!A7","SS00200W550 →")</f>
        <v>SS00200W550 →</v>
      </c>
    </row>
    <row r="95" spans="1:61" ht="18.399999999999999" customHeight="1">
      <c r="A95" s="11" t="s">
        <v>2961</v>
      </c>
      <c r="B95" s="2" t="s">
        <v>524</v>
      </c>
      <c r="C95" s="2">
        <v>1</v>
      </c>
      <c r="D95" s="2" t="s">
        <v>3670</v>
      </c>
      <c r="E95" s="29" t="e">
        <f>일위대가목록!#REF!</f>
        <v>#REF!</v>
      </c>
      <c r="F95" s="29" t="e">
        <f t="shared" si="10"/>
        <v>#REF!</v>
      </c>
      <c r="G95" s="29" t="e">
        <f>일위대가목록!#REF!</f>
        <v>#REF!</v>
      </c>
      <c r="H95" s="29" t="e">
        <f t="shared" si="11"/>
        <v>#REF!</v>
      </c>
      <c r="I95" s="29" t="e">
        <f>일위대가목록!#REF!</f>
        <v>#REF!</v>
      </c>
      <c r="J95" s="29" t="e">
        <f t="shared" si="12"/>
        <v>#REF!</v>
      </c>
      <c r="K95" s="29" t="e">
        <f t="shared" si="9"/>
        <v>#REF!</v>
      </c>
      <c r="L95" s="29" t="e">
        <f t="shared" si="8"/>
        <v>#REF!</v>
      </c>
      <c r="M95" s="20" t="s">
        <v>6232</v>
      </c>
      <c r="N95" t="s">
        <v>6232</v>
      </c>
      <c r="P95" t="s">
        <v>531</v>
      </c>
      <c r="Q95" t="s">
        <v>6232</v>
      </c>
      <c r="R95" t="s">
        <v>4571</v>
      </c>
      <c r="T95" t="s">
        <v>5235</v>
      </c>
      <c r="BI95" s="52" t="str">
        <f>HYPERLINK("#일위대가목록!A8","SS00200W500 →")</f>
        <v>SS00200W500 →</v>
      </c>
    </row>
    <row r="96" spans="1:61" ht="18.399999999999999" customHeight="1">
      <c r="A96" s="11" t="s">
        <v>2961</v>
      </c>
      <c r="B96" s="2" t="s">
        <v>3764</v>
      </c>
      <c r="C96" s="2">
        <v>1</v>
      </c>
      <c r="D96" s="2" t="s">
        <v>3670</v>
      </c>
      <c r="E96" s="29" t="e">
        <f>일위대가목록!#REF!</f>
        <v>#REF!</v>
      </c>
      <c r="F96" s="29" t="e">
        <f t="shared" si="10"/>
        <v>#REF!</v>
      </c>
      <c r="G96" s="29" t="e">
        <f>일위대가목록!#REF!</f>
        <v>#REF!</v>
      </c>
      <c r="H96" s="29" t="e">
        <f t="shared" si="11"/>
        <v>#REF!</v>
      </c>
      <c r="I96" s="29" t="e">
        <f>일위대가목록!#REF!</f>
        <v>#REF!</v>
      </c>
      <c r="J96" s="29" t="e">
        <f t="shared" si="12"/>
        <v>#REF!</v>
      </c>
      <c r="K96" s="29" t="e">
        <f t="shared" si="9"/>
        <v>#REF!</v>
      </c>
      <c r="L96" s="29" t="e">
        <f t="shared" si="8"/>
        <v>#REF!</v>
      </c>
      <c r="M96" s="20" t="s">
        <v>6232</v>
      </c>
      <c r="N96" t="s">
        <v>6232</v>
      </c>
      <c r="P96" t="s">
        <v>5197</v>
      </c>
      <c r="Q96" t="s">
        <v>6232</v>
      </c>
      <c r="R96" t="s">
        <v>5028</v>
      </c>
      <c r="T96" t="s">
        <v>5235</v>
      </c>
      <c r="BI96" s="52" t="str">
        <f>HYPERLINK("#일위대가목록!A9","SS00200W450 →")</f>
        <v>SS00200W450 →</v>
      </c>
    </row>
    <row r="97" spans="1:61" ht="18.399999999999999" customHeight="1">
      <c r="A97" s="11" t="s">
        <v>2961</v>
      </c>
      <c r="B97" s="2" t="s">
        <v>2715</v>
      </c>
      <c r="C97" s="2">
        <v>1</v>
      </c>
      <c r="D97" s="2" t="s">
        <v>3670</v>
      </c>
      <c r="E97" s="29" t="e">
        <f>일위대가목록!#REF!</f>
        <v>#REF!</v>
      </c>
      <c r="F97" s="29" t="e">
        <f t="shared" si="10"/>
        <v>#REF!</v>
      </c>
      <c r="G97" s="29" t="e">
        <f>일위대가목록!#REF!</f>
        <v>#REF!</v>
      </c>
      <c r="H97" s="29" t="e">
        <f t="shared" si="11"/>
        <v>#REF!</v>
      </c>
      <c r="I97" s="29" t="e">
        <f>일위대가목록!#REF!</f>
        <v>#REF!</v>
      </c>
      <c r="J97" s="29" t="e">
        <f t="shared" si="12"/>
        <v>#REF!</v>
      </c>
      <c r="K97" s="29" t="e">
        <f t="shared" si="9"/>
        <v>#REF!</v>
      </c>
      <c r="L97" s="29" t="e">
        <f t="shared" si="8"/>
        <v>#REF!</v>
      </c>
      <c r="M97" s="20" t="s">
        <v>6232</v>
      </c>
      <c r="N97" t="s">
        <v>6232</v>
      </c>
      <c r="P97" t="s">
        <v>3685</v>
      </c>
      <c r="Q97" t="s">
        <v>6232</v>
      </c>
      <c r="R97" t="s">
        <v>3339</v>
      </c>
      <c r="T97" t="s">
        <v>5235</v>
      </c>
      <c r="BI97" s="52" t="str">
        <f>HYPERLINK("#일위대가목록!A10","SS00200W400 →")</f>
        <v>SS00200W400 →</v>
      </c>
    </row>
    <row r="98" spans="1:61" ht="18.399999999999999" customHeight="1">
      <c r="A98" s="11" t="s">
        <v>2961</v>
      </c>
      <c r="B98" s="2" t="s">
        <v>809</v>
      </c>
      <c r="C98" s="2">
        <v>1</v>
      </c>
      <c r="D98" s="2" t="s">
        <v>3670</v>
      </c>
      <c r="E98" s="29" t="e">
        <f>일위대가목록!#REF!</f>
        <v>#REF!</v>
      </c>
      <c r="F98" s="29" t="e">
        <f t="shared" si="10"/>
        <v>#REF!</v>
      </c>
      <c r="G98" s="29" t="e">
        <f>일위대가목록!#REF!</f>
        <v>#REF!</v>
      </c>
      <c r="H98" s="29" t="e">
        <f t="shared" si="11"/>
        <v>#REF!</v>
      </c>
      <c r="I98" s="29" t="e">
        <f>일위대가목록!#REF!</f>
        <v>#REF!</v>
      </c>
      <c r="J98" s="29" t="e">
        <f t="shared" si="12"/>
        <v>#REF!</v>
      </c>
      <c r="K98" s="29" t="e">
        <f t="shared" si="9"/>
        <v>#REF!</v>
      </c>
      <c r="L98" s="29" t="e">
        <f t="shared" si="8"/>
        <v>#REF!</v>
      </c>
      <c r="M98" s="20" t="s">
        <v>6232</v>
      </c>
      <c r="N98" t="s">
        <v>6232</v>
      </c>
      <c r="P98" t="s">
        <v>1912</v>
      </c>
      <c r="Q98" t="s">
        <v>6232</v>
      </c>
      <c r="R98" t="s">
        <v>1781</v>
      </c>
      <c r="T98" t="s">
        <v>5235</v>
      </c>
      <c r="BI98" s="52" t="str">
        <f>HYPERLINK("#일위대가목록!A11","SS00200W350 →")</f>
        <v>SS00200W350 →</v>
      </c>
    </row>
    <row r="99" spans="1:61" ht="18.399999999999999" customHeight="1">
      <c r="A99" s="11" t="s">
        <v>2961</v>
      </c>
      <c r="B99" s="2" t="s">
        <v>4894</v>
      </c>
      <c r="C99" s="2">
        <v>1</v>
      </c>
      <c r="D99" s="2" t="s">
        <v>3670</v>
      </c>
      <c r="E99" s="29" t="e">
        <f>일위대가목록!#REF!</f>
        <v>#REF!</v>
      </c>
      <c r="F99" s="29" t="e">
        <f t="shared" si="10"/>
        <v>#REF!</v>
      </c>
      <c r="G99" s="29" t="e">
        <f>일위대가목록!#REF!</f>
        <v>#REF!</v>
      </c>
      <c r="H99" s="29" t="e">
        <f t="shared" si="11"/>
        <v>#REF!</v>
      </c>
      <c r="I99" s="29" t="e">
        <f>일위대가목록!#REF!</f>
        <v>#REF!</v>
      </c>
      <c r="J99" s="29" t="e">
        <f t="shared" si="12"/>
        <v>#REF!</v>
      </c>
      <c r="K99" s="29" t="e">
        <f t="shared" si="9"/>
        <v>#REF!</v>
      </c>
      <c r="L99" s="29" t="e">
        <f t="shared" si="8"/>
        <v>#REF!</v>
      </c>
      <c r="M99" s="20" t="s">
        <v>6232</v>
      </c>
      <c r="N99" t="s">
        <v>6232</v>
      </c>
      <c r="P99" t="s">
        <v>400</v>
      </c>
      <c r="Q99" t="s">
        <v>6232</v>
      </c>
      <c r="R99" t="s">
        <v>340</v>
      </c>
      <c r="T99" t="s">
        <v>5235</v>
      </c>
      <c r="BI99" s="52" t="str">
        <f>HYPERLINK("#일위대가목록!A12","SS00200W300 →")</f>
        <v>SS00200W300 →</v>
      </c>
    </row>
    <row r="100" spans="1:61" ht="18.399999999999999" customHeight="1">
      <c r="A100" s="11" t="s">
        <v>2961</v>
      </c>
      <c r="B100" s="2" t="s">
        <v>1701</v>
      </c>
      <c r="C100" s="2">
        <v>1</v>
      </c>
      <c r="D100" s="2" t="s">
        <v>3670</v>
      </c>
      <c r="E100" s="29" t="e">
        <f>일위대가목록!#REF!</f>
        <v>#REF!</v>
      </c>
      <c r="F100" s="29" t="e">
        <f t="shared" si="10"/>
        <v>#REF!</v>
      </c>
      <c r="G100" s="29" t="e">
        <f>일위대가목록!#REF!</f>
        <v>#REF!</v>
      </c>
      <c r="H100" s="29" t="e">
        <f t="shared" si="11"/>
        <v>#REF!</v>
      </c>
      <c r="I100" s="29" t="e">
        <f>일위대가목록!#REF!</f>
        <v>#REF!</v>
      </c>
      <c r="J100" s="29" t="e">
        <f t="shared" si="12"/>
        <v>#REF!</v>
      </c>
      <c r="K100" s="29" t="e">
        <f t="shared" si="9"/>
        <v>#REF!</v>
      </c>
      <c r="L100" s="29" t="e">
        <f t="shared" si="8"/>
        <v>#REF!</v>
      </c>
      <c r="M100" s="20" t="s">
        <v>6232</v>
      </c>
      <c r="N100" t="s">
        <v>6232</v>
      </c>
      <c r="P100" t="s">
        <v>5091</v>
      </c>
      <c r="Q100" t="s">
        <v>6232</v>
      </c>
      <c r="R100" t="s">
        <v>3017</v>
      </c>
      <c r="T100" t="s">
        <v>5235</v>
      </c>
      <c r="BI100" s="52" t="str">
        <f>HYPERLINK("#일위대가목록!A13","SS00200W250 →")</f>
        <v>SS00200W250 →</v>
      </c>
    </row>
    <row r="101" spans="1:61" ht="18.399999999999999" customHeight="1">
      <c r="A101" s="11" t="s">
        <v>2961</v>
      </c>
      <c r="B101" s="2" t="s">
        <v>4196</v>
      </c>
      <c r="C101" s="2">
        <v>1</v>
      </c>
      <c r="D101" s="2" t="s">
        <v>3670</v>
      </c>
      <c r="E101" s="29" t="e">
        <f>일위대가목록!#REF!</f>
        <v>#REF!</v>
      </c>
      <c r="F101" s="29" t="e">
        <f t="shared" si="10"/>
        <v>#REF!</v>
      </c>
      <c r="G101" s="29" t="e">
        <f>일위대가목록!#REF!</f>
        <v>#REF!</v>
      </c>
      <c r="H101" s="29" t="e">
        <f t="shared" si="11"/>
        <v>#REF!</v>
      </c>
      <c r="I101" s="29" t="e">
        <f>일위대가목록!#REF!</f>
        <v>#REF!</v>
      </c>
      <c r="J101" s="29" t="e">
        <f t="shared" si="12"/>
        <v>#REF!</v>
      </c>
      <c r="K101" s="29" t="e">
        <f t="shared" si="9"/>
        <v>#REF!</v>
      </c>
      <c r="L101" s="29" t="e">
        <f t="shared" si="8"/>
        <v>#REF!</v>
      </c>
      <c r="M101" s="20" t="s">
        <v>6232</v>
      </c>
      <c r="N101" t="s">
        <v>6232</v>
      </c>
      <c r="P101" t="s">
        <v>3566</v>
      </c>
      <c r="Q101" t="s">
        <v>6232</v>
      </c>
      <c r="R101" t="s">
        <v>1341</v>
      </c>
      <c r="T101" t="s">
        <v>5235</v>
      </c>
      <c r="BI101" s="52" t="str">
        <f>HYPERLINK("#일위대가목록!A14","SS00200W200 →")</f>
        <v>SS00200W200 →</v>
      </c>
    </row>
    <row r="102" spans="1:61" ht="18.399999999999999" customHeight="1">
      <c r="A102" s="11" t="s">
        <v>2961</v>
      </c>
      <c r="B102" s="2" t="s">
        <v>4124</v>
      </c>
      <c r="C102" s="2">
        <v>1</v>
      </c>
      <c r="D102" s="2" t="s">
        <v>3670</v>
      </c>
      <c r="E102" s="29" t="e">
        <f>일위대가목록!#REF!</f>
        <v>#REF!</v>
      </c>
      <c r="F102" s="29" t="e">
        <f t="shared" si="10"/>
        <v>#REF!</v>
      </c>
      <c r="G102" s="29" t="e">
        <f>일위대가목록!#REF!</f>
        <v>#REF!</v>
      </c>
      <c r="H102" s="29" t="e">
        <f t="shared" si="11"/>
        <v>#REF!</v>
      </c>
      <c r="I102" s="29" t="e">
        <f>일위대가목록!#REF!</f>
        <v>#REF!</v>
      </c>
      <c r="J102" s="29" t="e">
        <f t="shared" si="12"/>
        <v>#REF!</v>
      </c>
      <c r="K102" s="29" t="e">
        <f t="shared" si="9"/>
        <v>#REF!</v>
      </c>
      <c r="L102" s="29" t="e">
        <f t="shared" si="8"/>
        <v>#REF!</v>
      </c>
      <c r="M102" s="20" t="s">
        <v>6232</v>
      </c>
      <c r="N102" t="s">
        <v>6232</v>
      </c>
      <c r="P102" t="s">
        <v>2217</v>
      </c>
      <c r="Q102" t="s">
        <v>6232</v>
      </c>
      <c r="R102" t="s">
        <v>871</v>
      </c>
      <c r="T102" t="s">
        <v>5235</v>
      </c>
      <c r="BI102" s="52" t="str">
        <f>HYPERLINK("#일위대가목록!A15","SS00200W150 →")</f>
        <v>SS00200W150 →</v>
      </c>
    </row>
    <row r="103" spans="1:61" ht="18.399999999999999" customHeight="1">
      <c r="A103" s="11" t="s">
        <v>2961</v>
      </c>
      <c r="B103" s="2" t="s">
        <v>2533</v>
      </c>
      <c r="C103" s="2">
        <v>1</v>
      </c>
      <c r="D103" s="2" t="s">
        <v>3670</v>
      </c>
      <c r="E103" s="29" t="e">
        <f>일위대가목록!#REF!</f>
        <v>#REF!</v>
      </c>
      <c r="F103" s="29" t="e">
        <f t="shared" si="10"/>
        <v>#REF!</v>
      </c>
      <c r="G103" s="29" t="e">
        <f>일위대가목록!#REF!</f>
        <v>#REF!</v>
      </c>
      <c r="H103" s="29" t="e">
        <f t="shared" si="11"/>
        <v>#REF!</v>
      </c>
      <c r="I103" s="29" t="e">
        <f>일위대가목록!#REF!</f>
        <v>#REF!</v>
      </c>
      <c r="J103" s="29" t="e">
        <f t="shared" si="12"/>
        <v>#REF!</v>
      </c>
      <c r="K103" s="29" t="e">
        <f t="shared" si="9"/>
        <v>#REF!</v>
      </c>
      <c r="L103" s="29" t="e">
        <f t="shared" si="8"/>
        <v>#REF!</v>
      </c>
      <c r="M103" s="20" t="s">
        <v>6232</v>
      </c>
      <c r="N103" t="s">
        <v>6232</v>
      </c>
      <c r="P103" t="s">
        <v>702</v>
      </c>
      <c r="Q103" t="s">
        <v>6232</v>
      </c>
      <c r="R103" t="s">
        <v>2625</v>
      </c>
      <c r="T103" t="s">
        <v>5235</v>
      </c>
      <c r="BI103" s="52" t="str">
        <f>HYPERLINK("#일위대가목록!A16","SS00200W125 →")</f>
        <v>SS00200W125 →</v>
      </c>
    </row>
    <row r="104" spans="1:61" ht="18.399999999999999" customHeight="1">
      <c r="A104" s="11" t="s">
        <v>2961</v>
      </c>
      <c r="B104" s="2" t="s">
        <v>1572</v>
      </c>
      <c r="C104" s="2">
        <v>1</v>
      </c>
      <c r="D104" s="2" t="s">
        <v>3670</v>
      </c>
      <c r="E104" s="29" t="e">
        <f>일위대가목록!#REF!</f>
        <v>#REF!</v>
      </c>
      <c r="F104" s="29" t="e">
        <f t="shared" si="10"/>
        <v>#REF!</v>
      </c>
      <c r="G104" s="29" t="e">
        <f>일위대가목록!#REF!</f>
        <v>#REF!</v>
      </c>
      <c r="H104" s="29" t="e">
        <f t="shared" si="11"/>
        <v>#REF!</v>
      </c>
      <c r="I104" s="29" t="e">
        <f>일위대가목록!#REF!</f>
        <v>#REF!</v>
      </c>
      <c r="J104" s="29" t="e">
        <f t="shared" si="12"/>
        <v>#REF!</v>
      </c>
      <c r="K104" s="29" t="e">
        <f t="shared" si="9"/>
        <v>#REF!</v>
      </c>
      <c r="L104" s="29" t="e">
        <f t="shared" si="8"/>
        <v>#REF!</v>
      </c>
      <c r="M104" s="20" t="s">
        <v>6232</v>
      </c>
      <c r="N104" t="s">
        <v>6232</v>
      </c>
      <c r="P104" t="s">
        <v>284</v>
      </c>
      <c r="Q104" t="s">
        <v>6232</v>
      </c>
      <c r="R104" t="s">
        <v>2361</v>
      </c>
      <c r="T104" t="s">
        <v>5235</v>
      </c>
      <c r="BI104" s="52" t="str">
        <f>HYPERLINK("#일위대가목록!A17","SS00200W100 →")</f>
        <v>SS00200W100 →</v>
      </c>
    </row>
    <row r="105" spans="1:61" ht="18.399999999999999" customHeight="1">
      <c r="A105" s="11" t="s">
        <v>2961</v>
      </c>
      <c r="B105" s="2" t="s">
        <v>1160</v>
      </c>
      <c r="C105" s="2">
        <v>1</v>
      </c>
      <c r="D105" s="2" t="s">
        <v>3670</v>
      </c>
      <c r="E105" s="29" t="e">
        <f>일위대가목록!#REF!</f>
        <v>#REF!</v>
      </c>
      <c r="F105" s="29" t="e">
        <f t="shared" si="10"/>
        <v>#REF!</v>
      </c>
      <c r="G105" s="29" t="e">
        <f>일위대가목록!#REF!</f>
        <v>#REF!</v>
      </c>
      <c r="H105" s="29" t="e">
        <f t="shared" si="11"/>
        <v>#REF!</v>
      </c>
      <c r="I105" s="29" t="e">
        <f>일위대가목록!#REF!</f>
        <v>#REF!</v>
      </c>
      <c r="J105" s="29" t="e">
        <f t="shared" si="12"/>
        <v>#REF!</v>
      </c>
      <c r="K105" s="29" t="e">
        <f t="shared" si="9"/>
        <v>#REF!</v>
      </c>
      <c r="L105" s="29" t="e">
        <f t="shared" si="8"/>
        <v>#REF!</v>
      </c>
      <c r="M105" s="20" t="s">
        <v>6232</v>
      </c>
      <c r="N105" t="s">
        <v>6232</v>
      </c>
      <c r="P105" t="s">
        <v>1819</v>
      </c>
      <c r="Q105" t="s">
        <v>6232</v>
      </c>
      <c r="R105" t="s">
        <v>2267</v>
      </c>
      <c r="T105" t="s">
        <v>5235</v>
      </c>
      <c r="BI105" s="52" t="str">
        <f>HYPERLINK("#일위대가목록!A18","SS00200W080 →")</f>
        <v>SS00200W080 →</v>
      </c>
    </row>
    <row r="106" spans="1:61" ht="18.399999999999999" customHeight="1">
      <c r="A106" s="11" t="s">
        <v>2961</v>
      </c>
      <c r="B106" s="2" t="s">
        <v>3058</v>
      </c>
      <c r="C106" s="2">
        <v>1</v>
      </c>
      <c r="D106" s="2" t="s">
        <v>3670</v>
      </c>
      <c r="E106" s="29" t="e">
        <f>일위대가목록!#REF!</f>
        <v>#REF!</v>
      </c>
      <c r="F106" s="29" t="e">
        <f t="shared" si="10"/>
        <v>#REF!</v>
      </c>
      <c r="G106" s="29" t="e">
        <f>일위대가목록!#REF!</f>
        <v>#REF!</v>
      </c>
      <c r="H106" s="29" t="e">
        <f t="shared" si="11"/>
        <v>#REF!</v>
      </c>
      <c r="I106" s="29" t="e">
        <f>일위대가목록!#REF!</f>
        <v>#REF!</v>
      </c>
      <c r="J106" s="29" t="e">
        <f t="shared" si="12"/>
        <v>#REF!</v>
      </c>
      <c r="K106" s="29" t="e">
        <f t="shared" si="9"/>
        <v>#REF!</v>
      </c>
      <c r="L106" s="29" t="e">
        <f t="shared" si="8"/>
        <v>#REF!</v>
      </c>
      <c r="M106" s="20" t="s">
        <v>6232</v>
      </c>
      <c r="N106" t="s">
        <v>6232</v>
      </c>
      <c r="P106" t="s">
        <v>3451</v>
      </c>
      <c r="Q106" t="s">
        <v>6232</v>
      </c>
      <c r="R106" t="s">
        <v>2304</v>
      </c>
      <c r="T106" t="s">
        <v>5235</v>
      </c>
      <c r="BI106" s="52" t="str">
        <f>HYPERLINK("#일위대가목록!A19","SS00200W065 →")</f>
        <v>SS00200W065 →</v>
      </c>
    </row>
    <row r="107" spans="1:61" ht="18.399999999999999" customHeight="1">
      <c r="A107" s="11" t="s">
        <v>2961</v>
      </c>
      <c r="B107" s="2" t="s">
        <v>2393</v>
      </c>
      <c r="C107" s="2">
        <v>1</v>
      </c>
      <c r="D107" s="2" t="s">
        <v>3670</v>
      </c>
      <c r="E107" s="29" t="e">
        <f>일위대가목록!#REF!</f>
        <v>#REF!</v>
      </c>
      <c r="F107" s="29" t="e">
        <f t="shared" si="10"/>
        <v>#REF!</v>
      </c>
      <c r="G107" s="29" t="e">
        <f>일위대가목록!#REF!</f>
        <v>#REF!</v>
      </c>
      <c r="H107" s="29" t="e">
        <f t="shared" si="11"/>
        <v>#REF!</v>
      </c>
      <c r="I107" s="29" t="e">
        <f>일위대가목록!#REF!</f>
        <v>#REF!</v>
      </c>
      <c r="J107" s="29" t="e">
        <f t="shared" si="12"/>
        <v>#REF!</v>
      </c>
      <c r="K107" s="29" t="e">
        <f t="shared" si="9"/>
        <v>#REF!</v>
      </c>
      <c r="L107" s="29" t="e">
        <f t="shared" si="8"/>
        <v>#REF!</v>
      </c>
      <c r="M107" s="20" t="s">
        <v>6232</v>
      </c>
      <c r="N107" t="s">
        <v>6232</v>
      </c>
      <c r="P107" t="s">
        <v>4994</v>
      </c>
      <c r="Q107" t="s">
        <v>6232</v>
      </c>
      <c r="R107" t="s">
        <v>465</v>
      </c>
      <c r="T107" t="s">
        <v>5235</v>
      </c>
      <c r="BI107" s="52" t="str">
        <f>HYPERLINK("#일위대가목록!A20","SS00200W050 →")</f>
        <v>SS00200W050 →</v>
      </c>
    </row>
    <row r="108" spans="1:61" ht="18.399999999999999" customHeight="1">
      <c r="A108" s="11" t="s">
        <v>2961</v>
      </c>
      <c r="B108" s="2" t="s">
        <v>2012</v>
      </c>
      <c r="C108" s="2">
        <v>1</v>
      </c>
      <c r="D108" s="2" t="s">
        <v>3670</v>
      </c>
      <c r="E108" s="29" t="e">
        <f>일위대가목록!#REF!</f>
        <v>#REF!</v>
      </c>
      <c r="F108" s="29" t="e">
        <f t="shared" si="10"/>
        <v>#REF!</v>
      </c>
      <c r="G108" s="29" t="e">
        <f>일위대가목록!#REF!</f>
        <v>#REF!</v>
      </c>
      <c r="H108" s="29" t="e">
        <f t="shared" si="11"/>
        <v>#REF!</v>
      </c>
      <c r="I108" s="29" t="e">
        <f>일위대가목록!#REF!</f>
        <v>#REF!</v>
      </c>
      <c r="J108" s="29" t="e">
        <f t="shared" si="12"/>
        <v>#REF!</v>
      </c>
      <c r="K108" s="29" t="e">
        <f t="shared" si="9"/>
        <v>#REF!</v>
      </c>
      <c r="L108" s="29" t="e">
        <f t="shared" si="8"/>
        <v>#REF!</v>
      </c>
      <c r="M108" s="20" t="s">
        <v>6232</v>
      </c>
      <c r="N108" t="s">
        <v>6232</v>
      </c>
      <c r="P108" t="s">
        <v>216</v>
      </c>
      <c r="Q108" t="s">
        <v>6232</v>
      </c>
      <c r="R108" t="s">
        <v>1961</v>
      </c>
      <c r="T108" t="s">
        <v>5235</v>
      </c>
      <c r="BI108" s="52" t="str">
        <f>HYPERLINK("#일위대가목록!A21","SS00200W040 →")</f>
        <v>SS00200W040 →</v>
      </c>
    </row>
    <row r="109" spans="1:61" ht="18.399999999999999" customHeight="1">
      <c r="A109" s="11" t="s">
        <v>2961</v>
      </c>
      <c r="B109" s="2" t="s">
        <v>1993</v>
      </c>
      <c r="C109" s="2">
        <v>1</v>
      </c>
      <c r="D109" s="2" t="s">
        <v>3670</v>
      </c>
      <c r="E109" s="29" t="e">
        <f>일위대가목록!#REF!</f>
        <v>#REF!</v>
      </c>
      <c r="F109" s="29" t="e">
        <f t="shared" si="10"/>
        <v>#REF!</v>
      </c>
      <c r="G109" s="29" t="e">
        <f>일위대가목록!#REF!</f>
        <v>#REF!</v>
      </c>
      <c r="H109" s="29" t="e">
        <f t="shared" si="11"/>
        <v>#REF!</v>
      </c>
      <c r="I109" s="29" t="e">
        <f>일위대가목록!#REF!</f>
        <v>#REF!</v>
      </c>
      <c r="J109" s="29" t="e">
        <f t="shared" si="12"/>
        <v>#REF!</v>
      </c>
      <c r="K109" s="29" t="e">
        <f t="shared" si="9"/>
        <v>#REF!</v>
      </c>
      <c r="L109" s="29" t="e">
        <f t="shared" si="8"/>
        <v>#REF!</v>
      </c>
      <c r="M109" s="20" t="s">
        <v>6232</v>
      </c>
      <c r="N109" t="s">
        <v>6232</v>
      </c>
      <c r="P109" t="s">
        <v>1733</v>
      </c>
      <c r="Q109" t="s">
        <v>6232</v>
      </c>
      <c r="R109" t="s">
        <v>4492</v>
      </c>
      <c r="T109" t="s">
        <v>5235</v>
      </c>
      <c r="BI109" s="52" t="str">
        <f>HYPERLINK("#일위대가목록!A22","SS00200W032 →")</f>
        <v>SS00200W032 →</v>
      </c>
    </row>
    <row r="110" spans="1:61" ht="18.399999999999999" customHeight="1">
      <c r="A110" s="11" t="s">
        <v>2961</v>
      </c>
      <c r="B110" s="2" t="s">
        <v>3967</v>
      </c>
      <c r="C110" s="2">
        <v>1</v>
      </c>
      <c r="D110" s="2" t="s">
        <v>3670</v>
      </c>
      <c r="E110" s="29" t="e">
        <f>일위대가목록!#REF!</f>
        <v>#REF!</v>
      </c>
      <c r="F110" s="29" t="e">
        <f t="shared" si="10"/>
        <v>#REF!</v>
      </c>
      <c r="G110" s="29" t="e">
        <f>일위대가목록!#REF!</f>
        <v>#REF!</v>
      </c>
      <c r="H110" s="29" t="e">
        <f t="shared" si="11"/>
        <v>#REF!</v>
      </c>
      <c r="I110" s="29" t="e">
        <f>일위대가목록!#REF!</f>
        <v>#REF!</v>
      </c>
      <c r="J110" s="29" t="e">
        <f t="shared" si="12"/>
        <v>#REF!</v>
      </c>
      <c r="K110" s="29" t="e">
        <f t="shared" si="9"/>
        <v>#REF!</v>
      </c>
      <c r="L110" s="29" t="e">
        <f t="shared" si="8"/>
        <v>#REF!</v>
      </c>
      <c r="M110" s="20" t="s">
        <v>6232</v>
      </c>
      <c r="N110" t="s">
        <v>6232</v>
      </c>
      <c r="P110" t="s">
        <v>3380</v>
      </c>
      <c r="Q110" t="s">
        <v>6232</v>
      </c>
      <c r="R110" t="s">
        <v>2182</v>
      </c>
      <c r="T110" t="s">
        <v>5235</v>
      </c>
      <c r="BI110" s="52" t="str">
        <f>HYPERLINK("#일위대가목록!A23","SS00200W025 →")</f>
        <v>SS00200W025 →</v>
      </c>
    </row>
    <row r="111" spans="1:61" ht="18.399999999999999" customHeight="1">
      <c r="A111" s="11" t="s">
        <v>2961</v>
      </c>
      <c r="B111" s="2" t="s">
        <v>5596</v>
      </c>
      <c r="C111" s="2">
        <v>1</v>
      </c>
      <c r="D111" s="2" t="s">
        <v>3670</v>
      </c>
      <c r="E111" s="29" t="e">
        <f>일위대가목록!#REF!</f>
        <v>#REF!</v>
      </c>
      <c r="F111" s="29" t="e">
        <f t="shared" si="10"/>
        <v>#REF!</v>
      </c>
      <c r="G111" s="29" t="e">
        <f>일위대가목록!#REF!</f>
        <v>#REF!</v>
      </c>
      <c r="H111" s="29" t="e">
        <f t="shared" si="11"/>
        <v>#REF!</v>
      </c>
      <c r="I111" s="29" t="e">
        <f>일위대가목록!#REF!</f>
        <v>#REF!</v>
      </c>
      <c r="J111" s="29" t="e">
        <f t="shared" si="12"/>
        <v>#REF!</v>
      </c>
      <c r="K111" s="29" t="e">
        <f t="shared" si="9"/>
        <v>#REF!</v>
      </c>
      <c r="L111" s="29" t="e">
        <f t="shared" si="8"/>
        <v>#REF!</v>
      </c>
      <c r="M111" s="20" t="s">
        <v>6232</v>
      </c>
      <c r="N111" t="s">
        <v>6232</v>
      </c>
      <c r="P111" t="s">
        <v>4918</v>
      </c>
      <c r="Q111" t="s">
        <v>6232</v>
      </c>
      <c r="R111" t="s">
        <v>5164</v>
      </c>
      <c r="T111" t="s">
        <v>5235</v>
      </c>
      <c r="BI111" s="52" t="str">
        <f>HYPERLINK("#일위대가목록!A24","SS00200W020 →")</f>
        <v>SS00200W020 →</v>
      </c>
    </row>
    <row r="112" spans="1:61" ht="18.399999999999999" customHeight="1">
      <c r="A112" s="11" t="s">
        <v>1544</v>
      </c>
      <c r="B112" s="2" t="s">
        <v>6232</v>
      </c>
      <c r="C112" s="2"/>
      <c r="D112" s="2" t="s">
        <v>6232</v>
      </c>
      <c r="E112" s="1"/>
      <c r="F112" s="29" t="e">
        <f>TRUNC(F111+F110+F109+F108+F107+F106+F105+F104+F103+F102+F101+F100+F99+F98+F97+F96+F95+F94+F93+F92+F91+F90,0)</f>
        <v>#REF!</v>
      </c>
      <c r="G112" s="1"/>
      <c r="H112" s="29" t="e">
        <f>TRUNC(H111+H110+H109+H108+H107+H106+H105+H104+H103+H102+H101+H100+H99+H98+H97+H96+H95+H94+H93+H92+H91+H90,0)</f>
        <v>#REF!</v>
      </c>
      <c r="I112" s="1"/>
      <c r="J112" s="29" t="e">
        <f>TRUNC(J111+J110+J109+J108+J107+J106+J105+J104+J103+J102+J101+J100+J99+J98+J97+J96+J95+J94+J93+J92+J91+J90,0)</f>
        <v>#REF!</v>
      </c>
      <c r="K112" s="29">
        <f t="shared" si="9"/>
        <v>0</v>
      </c>
      <c r="L112" s="29" t="e">
        <f t="shared" si="8"/>
        <v>#REF!</v>
      </c>
      <c r="M112" s="20" t="s">
        <v>6232</v>
      </c>
      <c r="N112" t="s">
        <v>6232</v>
      </c>
      <c r="P112" t="s">
        <v>125</v>
      </c>
      <c r="Q112" t="s">
        <v>6232</v>
      </c>
      <c r="R112" t="s">
        <v>6232</v>
      </c>
    </row>
    <row r="113" spans="1:61" ht="18.399999999999999" customHeight="1">
      <c r="A113" s="11" t="s">
        <v>2495</v>
      </c>
      <c r="B113" s="2" t="s">
        <v>6232</v>
      </c>
      <c r="C113" s="2"/>
      <c r="D113" s="2" t="s">
        <v>6232</v>
      </c>
      <c r="E113" s="1"/>
      <c r="F113" s="29">
        <v>0</v>
      </c>
      <c r="G113" s="1"/>
      <c r="H113" s="29">
        <v>0</v>
      </c>
      <c r="I113" s="1"/>
      <c r="J113" s="29">
        <v>0</v>
      </c>
      <c r="K113" s="29">
        <f t="shared" si="9"/>
        <v>0</v>
      </c>
      <c r="L113" s="29">
        <f t="shared" si="8"/>
        <v>0</v>
      </c>
      <c r="M113" s="20" t="s">
        <v>6232</v>
      </c>
      <c r="N113" t="s">
        <v>6232</v>
      </c>
      <c r="P113" t="s">
        <v>1637</v>
      </c>
      <c r="Q113" t="s">
        <v>6232</v>
      </c>
      <c r="R113" t="s">
        <v>6232</v>
      </c>
    </row>
    <row r="114" spans="1:61" ht="18.399999999999999" customHeight="1">
      <c r="A114" s="11" t="s">
        <v>1578</v>
      </c>
      <c r="B114" s="2" t="s">
        <v>6232</v>
      </c>
      <c r="C114" s="2"/>
      <c r="D114" s="2" t="s">
        <v>6232</v>
      </c>
      <c r="E114" s="1"/>
      <c r="F114" s="29">
        <v>0</v>
      </c>
      <c r="G114" s="1"/>
      <c r="H114" s="29">
        <v>0</v>
      </c>
      <c r="I114" s="1"/>
      <c r="J114" s="29">
        <v>0</v>
      </c>
      <c r="K114" s="29">
        <f t="shared" si="9"/>
        <v>0</v>
      </c>
      <c r="L114" s="29">
        <f t="shared" si="8"/>
        <v>0</v>
      </c>
      <c r="M114" s="20" t="s">
        <v>6232</v>
      </c>
      <c r="N114" t="s">
        <v>6232</v>
      </c>
      <c r="P114" t="s">
        <v>1394</v>
      </c>
      <c r="Q114" t="s">
        <v>6232</v>
      </c>
      <c r="R114" t="s">
        <v>6232</v>
      </c>
    </row>
    <row r="115" spans="1:61" ht="18.399999999999999" customHeight="1">
      <c r="A115" s="11" t="s">
        <v>1578</v>
      </c>
      <c r="B115" s="2" t="s">
        <v>2823</v>
      </c>
      <c r="C115" s="2">
        <v>1</v>
      </c>
      <c r="D115" s="2" t="s">
        <v>2289</v>
      </c>
      <c r="E115" s="29" t="e">
        <f>일위대가목록!#REF!</f>
        <v>#REF!</v>
      </c>
      <c r="F115" s="29" t="e">
        <f t="shared" ref="F115:F158" si="13">TRUNC(E115*C115,0)</f>
        <v>#REF!</v>
      </c>
      <c r="G115" s="29" t="e">
        <f>일위대가목록!#REF!</f>
        <v>#REF!</v>
      </c>
      <c r="H115" s="29" t="e">
        <f t="shared" ref="H115:H158" si="14">TRUNC(G115*C115,0)</f>
        <v>#REF!</v>
      </c>
      <c r="I115" s="29" t="e">
        <f>일위대가목록!#REF!</f>
        <v>#REF!</v>
      </c>
      <c r="J115" s="29" t="e">
        <f t="shared" ref="J115:J158" si="15">TRUNC(I115*C115,0)</f>
        <v>#REF!</v>
      </c>
      <c r="K115" s="29" t="e">
        <f t="shared" si="9"/>
        <v>#REF!</v>
      </c>
      <c r="L115" s="29" t="e">
        <f t="shared" si="8"/>
        <v>#REF!</v>
      </c>
      <c r="M115" s="20" t="s">
        <v>6232</v>
      </c>
      <c r="N115" t="s">
        <v>6232</v>
      </c>
      <c r="P115" t="s">
        <v>2947</v>
      </c>
      <c r="Q115" t="s">
        <v>6232</v>
      </c>
      <c r="R115" t="s">
        <v>4969</v>
      </c>
      <c r="T115" t="s">
        <v>3860</v>
      </c>
      <c r="BI115" s="52" t="str">
        <f>HYPERLINK("#일위대가목록!A152","S02001W750 →")</f>
        <v>S02001W750 →</v>
      </c>
    </row>
    <row r="116" spans="1:61" ht="18.399999999999999" customHeight="1">
      <c r="A116" s="11" t="s">
        <v>123</v>
      </c>
      <c r="B116" s="2" t="s">
        <v>2823</v>
      </c>
      <c r="C116" s="2">
        <v>1</v>
      </c>
      <c r="D116" s="2" t="s">
        <v>2289</v>
      </c>
      <c r="E116" s="29" t="e">
        <f>일위대가목록!#REF!</f>
        <v>#REF!</v>
      </c>
      <c r="F116" s="29" t="e">
        <f t="shared" si="13"/>
        <v>#REF!</v>
      </c>
      <c r="G116" s="29" t="e">
        <f>일위대가목록!#REF!</f>
        <v>#REF!</v>
      </c>
      <c r="H116" s="29" t="e">
        <f t="shared" si="14"/>
        <v>#REF!</v>
      </c>
      <c r="I116" s="29" t="e">
        <f>일위대가목록!#REF!</f>
        <v>#REF!</v>
      </c>
      <c r="J116" s="29" t="e">
        <f t="shared" si="15"/>
        <v>#REF!</v>
      </c>
      <c r="K116" s="29" t="e">
        <f t="shared" si="9"/>
        <v>#REF!</v>
      </c>
      <c r="L116" s="29" t="e">
        <f t="shared" si="8"/>
        <v>#REF!</v>
      </c>
      <c r="M116" s="20" t="s">
        <v>6232</v>
      </c>
      <c r="N116" t="s">
        <v>6232</v>
      </c>
      <c r="P116" t="s">
        <v>4456</v>
      </c>
      <c r="Q116" t="s">
        <v>6232</v>
      </c>
      <c r="R116" t="s">
        <v>6168</v>
      </c>
      <c r="T116" t="s">
        <v>3860</v>
      </c>
      <c r="BI116" s="52" t="str">
        <f>HYPERLINK("#일위대가목록!A153","S02001W750YA →")</f>
        <v>S02001W750YA →</v>
      </c>
    </row>
    <row r="117" spans="1:61" ht="18.399999999999999" customHeight="1">
      <c r="A117" s="11" t="s">
        <v>1578</v>
      </c>
      <c r="B117" s="2" t="s">
        <v>3826</v>
      </c>
      <c r="C117" s="2">
        <v>1</v>
      </c>
      <c r="D117" s="2" t="s">
        <v>2289</v>
      </c>
      <c r="E117" s="29" t="e">
        <f>일위대가목록!#REF!</f>
        <v>#REF!</v>
      </c>
      <c r="F117" s="29" t="e">
        <f t="shared" si="13"/>
        <v>#REF!</v>
      </c>
      <c r="G117" s="29" t="e">
        <f>일위대가목록!#REF!</f>
        <v>#REF!</v>
      </c>
      <c r="H117" s="29" t="e">
        <f t="shared" si="14"/>
        <v>#REF!</v>
      </c>
      <c r="I117" s="29" t="e">
        <f>일위대가목록!#REF!</f>
        <v>#REF!</v>
      </c>
      <c r="J117" s="29" t="e">
        <f t="shared" si="15"/>
        <v>#REF!</v>
      </c>
      <c r="K117" s="29" t="e">
        <f t="shared" si="9"/>
        <v>#REF!</v>
      </c>
      <c r="L117" s="29" t="e">
        <f t="shared" si="8"/>
        <v>#REF!</v>
      </c>
      <c r="M117" s="20" t="s">
        <v>6232</v>
      </c>
      <c r="N117" t="s">
        <v>6232</v>
      </c>
      <c r="P117" t="s">
        <v>6055</v>
      </c>
      <c r="Q117" t="s">
        <v>6232</v>
      </c>
      <c r="R117" t="s">
        <v>3301</v>
      </c>
      <c r="T117" t="s">
        <v>3860</v>
      </c>
      <c r="BI117" s="52" t="str">
        <f>HYPERLINK("#일위대가목록!A154","S02001W700 →")</f>
        <v>S02001W700 →</v>
      </c>
    </row>
    <row r="118" spans="1:61" ht="18.399999999999999" customHeight="1">
      <c r="A118" s="11" t="s">
        <v>123</v>
      </c>
      <c r="B118" s="2" t="s">
        <v>3826</v>
      </c>
      <c r="C118" s="2">
        <v>1</v>
      </c>
      <c r="D118" s="2" t="s">
        <v>2289</v>
      </c>
      <c r="E118" s="29" t="e">
        <f>일위대가목록!#REF!</f>
        <v>#REF!</v>
      </c>
      <c r="F118" s="29" t="e">
        <f t="shared" si="13"/>
        <v>#REF!</v>
      </c>
      <c r="G118" s="29" t="e">
        <f>일위대가목록!#REF!</f>
        <v>#REF!</v>
      </c>
      <c r="H118" s="29" t="e">
        <f t="shared" si="14"/>
        <v>#REF!</v>
      </c>
      <c r="I118" s="29" t="e">
        <f>일위대가목록!#REF!</f>
        <v>#REF!</v>
      </c>
      <c r="J118" s="29" t="e">
        <f t="shared" si="15"/>
        <v>#REF!</v>
      </c>
      <c r="K118" s="29" t="e">
        <f t="shared" si="9"/>
        <v>#REF!</v>
      </c>
      <c r="L118" s="29" t="e">
        <f t="shared" si="8"/>
        <v>#REF!</v>
      </c>
      <c r="M118" s="20" t="s">
        <v>6232</v>
      </c>
      <c r="N118" t="s">
        <v>6232</v>
      </c>
      <c r="P118" t="s">
        <v>1497</v>
      </c>
      <c r="Q118" t="s">
        <v>6232</v>
      </c>
      <c r="R118" t="s">
        <v>5016</v>
      </c>
      <c r="T118" t="s">
        <v>3860</v>
      </c>
      <c r="BI118" s="52" t="str">
        <f>HYPERLINK("#일위대가목록!A155","S02001W700YA →")</f>
        <v>S02001W700YA →</v>
      </c>
    </row>
    <row r="119" spans="1:61" ht="18.399999999999999" customHeight="1">
      <c r="A119" s="11" t="s">
        <v>1578</v>
      </c>
      <c r="B119" s="2" t="s">
        <v>397</v>
      </c>
      <c r="C119" s="2">
        <v>1</v>
      </c>
      <c r="D119" s="2" t="s">
        <v>2289</v>
      </c>
      <c r="E119" s="29" t="e">
        <f>일위대가목록!#REF!</f>
        <v>#REF!</v>
      </c>
      <c r="F119" s="29" t="e">
        <f t="shared" si="13"/>
        <v>#REF!</v>
      </c>
      <c r="G119" s="29" t="e">
        <f>일위대가목록!#REF!</f>
        <v>#REF!</v>
      </c>
      <c r="H119" s="29" t="e">
        <f t="shared" si="14"/>
        <v>#REF!</v>
      </c>
      <c r="I119" s="29" t="e">
        <f>일위대가목록!#REF!</f>
        <v>#REF!</v>
      </c>
      <c r="J119" s="29" t="e">
        <f t="shared" si="15"/>
        <v>#REF!</v>
      </c>
      <c r="K119" s="29" t="e">
        <f t="shared" si="9"/>
        <v>#REF!</v>
      </c>
      <c r="L119" s="29" t="e">
        <f t="shared" si="8"/>
        <v>#REF!</v>
      </c>
      <c r="M119" s="20" t="s">
        <v>6232</v>
      </c>
      <c r="N119" t="s">
        <v>6232</v>
      </c>
      <c r="P119" t="s">
        <v>3071</v>
      </c>
      <c r="Q119" t="s">
        <v>6232</v>
      </c>
      <c r="R119" t="s">
        <v>6083</v>
      </c>
      <c r="T119" t="s">
        <v>3860</v>
      </c>
      <c r="BI119" s="52" t="str">
        <f>HYPERLINK("#일위대가목록!A156","S02001W650 →")</f>
        <v>S02001W650 →</v>
      </c>
    </row>
    <row r="120" spans="1:61" ht="18.399999999999999" customHeight="1">
      <c r="A120" s="11" t="s">
        <v>123</v>
      </c>
      <c r="B120" s="2" t="s">
        <v>397</v>
      </c>
      <c r="C120" s="2">
        <v>1</v>
      </c>
      <c r="D120" s="2" t="s">
        <v>2289</v>
      </c>
      <c r="E120" s="29" t="e">
        <f>일위대가목록!#REF!</f>
        <v>#REF!</v>
      </c>
      <c r="F120" s="29" t="e">
        <f t="shared" si="13"/>
        <v>#REF!</v>
      </c>
      <c r="G120" s="29" t="e">
        <f>일위대가목록!#REF!</f>
        <v>#REF!</v>
      </c>
      <c r="H120" s="29" t="e">
        <f t="shared" si="14"/>
        <v>#REF!</v>
      </c>
      <c r="I120" s="29" t="e">
        <f>일위대가목록!#REF!</f>
        <v>#REF!</v>
      </c>
      <c r="J120" s="29" t="e">
        <f t="shared" si="15"/>
        <v>#REF!</v>
      </c>
      <c r="K120" s="29" t="e">
        <f t="shared" si="9"/>
        <v>#REF!</v>
      </c>
      <c r="L120" s="29" t="e">
        <f t="shared" si="8"/>
        <v>#REF!</v>
      </c>
      <c r="M120" s="20" t="s">
        <v>6232</v>
      </c>
      <c r="N120" t="s">
        <v>6232</v>
      </c>
      <c r="P120" t="s">
        <v>4553</v>
      </c>
      <c r="Q120" t="s">
        <v>6232</v>
      </c>
      <c r="R120" t="s">
        <v>1849</v>
      </c>
      <c r="T120" t="s">
        <v>3860</v>
      </c>
      <c r="BI120" s="52" t="str">
        <f>HYPERLINK("#일위대가목록!A157","S02001W650YA →")</f>
        <v>S02001W650YA →</v>
      </c>
    </row>
    <row r="121" spans="1:61" ht="18.399999999999999" customHeight="1">
      <c r="A121" s="11" t="s">
        <v>1578</v>
      </c>
      <c r="B121" s="2" t="s">
        <v>6105</v>
      </c>
      <c r="C121" s="2">
        <v>1</v>
      </c>
      <c r="D121" s="2" t="s">
        <v>2289</v>
      </c>
      <c r="E121" s="29" t="e">
        <f>일위대가목록!#REF!</f>
        <v>#REF!</v>
      </c>
      <c r="F121" s="29" t="e">
        <f t="shared" si="13"/>
        <v>#REF!</v>
      </c>
      <c r="G121" s="29" t="e">
        <f>일위대가목록!#REF!</f>
        <v>#REF!</v>
      </c>
      <c r="H121" s="29" t="e">
        <f t="shared" si="14"/>
        <v>#REF!</v>
      </c>
      <c r="I121" s="29" t="e">
        <f>일위대가목록!#REF!</f>
        <v>#REF!</v>
      </c>
      <c r="J121" s="29" t="e">
        <f t="shared" si="15"/>
        <v>#REF!</v>
      </c>
      <c r="K121" s="29" t="e">
        <f t="shared" si="9"/>
        <v>#REF!</v>
      </c>
      <c r="L121" s="29" t="e">
        <f t="shared" si="8"/>
        <v>#REF!</v>
      </c>
      <c r="M121" s="20" t="s">
        <v>6232</v>
      </c>
      <c r="N121" t="s">
        <v>6232</v>
      </c>
      <c r="P121" t="s">
        <v>6169</v>
      </c>
      <c r="Q121" t="s">
        <v>6232</v>
      </c>
      <c r="R121" t="s">
        <v>4628</v>
      </c>
      <c r="T121" t="s">
        <v>3860</v>
      </c>
      <c r="BI121" s="52" t="str">
        <f>HYPERLINK("#일위대가목록!A158","S02001W600 →")</f>
        <v>S02001W600 →</v>
      </c>
    </row>
    <row r="122" spans="1:61" ht="18.399999999999999" customHeight="1">
      <c r="A122" s="11" t="s">
        <v>123</v>
      </c>
      <c r="B122" s="2" t="s">
        <v>6105</v>
      </c>
      <c r="C122" s="2">
        <v>1</v>
      </c>
      <c r="D122" s="2" t="s">
        <v>2289</v>
      </c>
      <c r="E122" s="29" t="e">
        <f>일위대가목록!#REF!</f>
        <v>#REF!</v>
      </c>
      <c r="F122" s="29" t="e">
        <f t="shared" si="13"/>
        <v>#REF!</v>
      </c>
      <c r="G122" s="29" t="e">
        <f>일위대가목록!#REF!</f>
        <v>#REF!</v>
      </c>
      <c r="H122" s="29" t="e">
        <f t="shared" si="14"/>
        <v>#REF!</v>
      </c>
      <c r="I122" s="29" t="e">
        <f>일위대가목록!#REF!</f>
        <v>#REF!</v>
      </c>
      <c r="J122" s="29" t="e">
        <f t="shared" si="15"/>
        <v>#REF!</v>
      </c>
      <c r="K122" s="29" t="e">
        <f t="shared" si="9"/>
        <v>#REF!</v>
      </c>
      <c r="L122" s="29" t="e">
        <f t="shared" si="8"/>
        <v>#REF!</v>
      </c>
      <c r="M122" s="20" t="s">
        <v>6232</v>
      </c>
      <c r="N122" t="s">
        <v>6232</v>
      </c>
      <c r="P122" t="s">
        <v>1212</v>
      </c>
      <c r="Q122" t="s">
        <v>6232</v>
      </c>
      <c r="R122" t="s">
        <v>3066</v>
      </c>
      <c r="T122" t="s">
        <v>3860</v>
      </c>
      <c r="BI122" s="52" t="str">
        <f>HYPERLINK("#일위대가목록!A159","S02001W600YA →")</f>
        <v>S02001W600YA →</v>
      </c>
    </row>
    <row r="123" spans="1:61" ht="18.399999999999999" customHeight="1">
      <c r="A123" s="11" t="s">
        <v>1578</v>
      </c>
      <c r="B123" s="2" t="s">
        <v>6191</v>
      </c>
      <c r="C123" s="2">
        <v>1</v>
      </c>
      <c r="D123" s="2" t="s">
        <v>2289</v>
      </c>
      <c r="E123" s="29" t="e">
        <f>일위대가목록!#REF!</f>
        <v>#REF!</v>
      </c>
      <c r="F123" s="29" t="e">
        <f t="shared" si="13"/>
        <v>#REF!</v>
      </c>
      <c r="G123" s="29" t="e">
        <f>일위대가목록!#REF!</f>
        <v>#REF!</v>
      </c>
      <c r="H123" s="29" t="e">
        <f t="shared" si="14"/>
        <v>#REF!</v>
      </c>
      <c r="I123" s="29" t="e">
        <f>일위대가목록!#REF!</f>
        <v>#REF!</v>
      </c>
      <c r="J123" s="29" t="e">
        <f t="shared" si="15"/>
        <v>#REF!</v>
      </c>
      <c r="K123" s="29" t="e">
        <f t="shared" si="9"/>
        <v>#REF!</v>
      </c>
      <c r="L123" s="29" t="e">
        <f t="shared" si="8"/>
        <v>#REF!</v>
      </c>
      <c r="M123" s="20" t="s">
        <v>6232</v>
      </c>
      <c r="N123" t="s">
        <v>6232</v>
      </c>
      <c r="P123" t="s">
        <v>2769</v>
      </c>
      <c r="Q123" t="s">
        <v>6232</v>
      </c>
      <c r="R123" t="s">
        <v>3977</v>
      </c>
      <c r="T123" t="s">
        <v>3860</v>
      </c>
      <c r="BI123" s="52" t="str">
        <f>HYPERLINK("#일위대가목록!A160","S02001W550 →")</f>
        <v>S02001W550 →</v>
      </c>
    </row>
    <row r="124" spans="1:61" ht="18.399999999999999" customHeight="1">
      <c r="A124" s="11" t="s">
        <v>123</v>
      </c>
      <c r="B124" s="2" t="s">
        <v>6191</v>
      </c>
      <c r="C124" s="2">
        <v>1</v>
      </c>
      <c r="D124" s="2" t="s">
        <v>2289</v>
      </c>
      <c r="E124" s="29" t="e">
        <f>일위대가목록!#REF!</f>
        <v>#REF!</v>
      </c>
      <c r="F124" s="29" t="e">
        <f t="shared" si="13"/>
        <v>#REF!</v>
      </c>
      <c r="G124" s="29" t="e">
        <f>일위대가목록!#REF!</f>
        <v>#REF!</v>
      </c>
      <c r="H124" s="29" t="e">
        <f t="shared" si="14"/>
        <v>#REF!</v>
      </c>
      <c r="I124" s="29" t="e">
        <f>일위대가목록!#REF!</f>
        <v>#REF!</v>
      </c>
      <c r="J124" s="29" t="e">
        <f t="shared" si="15"/>
        <v>#REF!</v>
      </c>
      <c r="K124" s="29" t="e">
        <f t="shared" si="9"/>
        <v>#REF!</v>
      </c>
      <c r="L124" s="29" t="e">
        <f t="shared" si="8"/>
        <v>#REF!</v>
      </c>
      <c r="M124" s="20" t="s">
        <v>6232</v>
      </c>
      <c r="N124" t="s">
        <v>6232</v>
      </c>
      <c r="P124" t="s">
        <v>4620</v>
      </c>
      <c r="Q124" t="s">
        <v>6232</v>
      </c>
      <c r="R124" t="s">
        <v>3814</v>
      </c>
      <c r="T124" t="s">
        <v>3860</v>
      </c>
      <c r="BI124" s="52" t="str">
        <f>HYPERLINK("#일위대가목록!A161","S02001W550YA →")</f>
        <v>S02001W550YA →</v>
      </c>
    </row>
    <row r="125" spans="1:61" ht="18.399999999999999" customHeight="1">
      <c r="A125" s="11" t="s">
        <v>1578</v>
      </c>
      <c r="B125" s="2" t="s">
        <v>524</v>
      </c>
      <c r="C125" s="2">
        <v>1</v>
      </c>
      <c r="D125" s="2" t="s">
        <v>2289</v>
      </c>
      <c r="E125" s="29" t="e">
        <f>일위대가목록!#REF!</f>
        <v>#REF!</v>
      </c>
      <c r="F125" s="29" t="e">
        <f t="shared" si="13"/>
        <v>#REF!</v>
      </c>
      <c r="G125" s="29" t="e">
        <f>일위대가목록!#REF!</f>
        <v>#REF!</v>
      </c>
      <c r="H125" s="29" t="e">
        <f t="shared" si="14"/>
        <v>#REF!</v>
      </c>
      <c r="I125" s="29" t="e">
        <f>일위대가목록!#REF!</f>
        <v>#REF!</v>
      </c>
      <c r="J125" s="29" t="e">
        <f t="shared" si="15"/>
        <v>#REF!</v>
      </c>
      <c r="K125" s="29" t="e">
        <f t="shared" si="9"/>
        <v>#REF!</v>
      </c>
      <c r="L125" s="29" t="e">
        <f t="shared" si="8"/>
        <v>#REF!</v>
      </c>
      <c r="M125" s="20" t="s">
        <v>6232</v>
      </c>
      <c r="N125" t="s">
        <v>6232</v>
      </c>
      <c r="P125" t="s">
        <v>6184</v>
      </c>
      <c r="Q125" t="s">
        <v>6232</v>
      </c>
      <c r="R125" t="s">
        <v>5591</v>
      </c>
      <c r="T125" t="s">
        <v>3860</v>
      </c>
      <c r="BI125" s="52" t="str">
        <f>HYPERLINK("#일위대가목록!A162","S02001W500 →")</f>
        <v>S02001W500 →</v>
      </c>
    </row>
    <row r="126" spans="1:61" ht="18.399999999999999" customHeight="1">
      <c r="A126" s="11" t="s">
        <v>123</v>
      </c>
      <c r="B126" s="2" t="s">
        <v>524</v>
      </c>
      <c r="C126" s="2">
        <v>1</v>
      </c>
      <c r="D126" s="2" t="s">
        <v>2289</v>
      </c>
      <c r="E126" s="29" t="e">
        <f>일위대가목록!#REF!</f>
        <v>#REF!</v>
      </c>
      <c r="F126" s="29" t="e">
        <f t="shared" si="13"/>
        <v>#REF!</v>
      </c>
      <c r="G126" s="29" t="e">
        <f>일위대가목록!#REF!</f>
        <v>#REF!</v>
      </c>
      <c r="H126" s="29" t="e">
        <f t="shared" si="14"/>
        <v>#REF!</v>
      </c>
      <c r="I126" s="29" t="e">
        <f>일위대가목록!#REF!</f>
        <v>#REF!</v>
      </c>
      <c r="J126" s="29" t="e">
        <f t="shared" si="15"/>
        <v>#REF!</v>
      </c>
      <c r="K126" s="29" t="e">
        <f t="shared" si="9"/>
        <v>#REF!</v>
      </c>
      <c r="L126" s="29" t="e">
        <f t="shared" si="8"/>
        <v>#REF!</v>
      </c>
      <c r="M126" s="20" t="s">
        <v>6232</v>
      </c>
      <c r="N126" t="s">
        <v>6232</v>
      </c>
      <c r="P126" t="s">
        <v>1461</v>
      </c>
      <c r="Q126" t="s">
        <v>6232</v>
      </c>
      <c r="R126" t="s">
        <v>4246</v>
      </c>
      <c r="T126" t="s">
        <v>3860</v>
      </c>
      <c r="BI126" s="52" t="str">
        <f>HYPERLINK("#일위대가목록!A163","S02001W500YA →")</f>
        <v>S02001W500YA →</v>
      </c>
    </row>
    <row r="127" spans="1:61" ht="18.399999999999999" customHeight="1">
      <c r="A127" s="11" t="s">
        <v>1578</v>
      </c>
      <c r="B127" s="2" t="s">
        <v>3764</v>
      </c>
      <c r="C127" s="2">
        <v>1</v>
      </c>
      <c r="D127" s="2" t="s">
        <v>2289</v>
      </c>
      <c r="E127" s="29" t="e">
        <f>일위대가목록!#REF!</f>
        <v>#REF!</v>
      </c>
      <c r="F127" s="29" t="e">
        <f t="shared" si="13"/>
        <v>#REF!</v>
      </c>
      <c r="G127" s="29" t="e">
        <f>일위대가목록!#REF!</f>
        <v>#REF!</v>
      </c>
      <c r="H127" s="29" t="e">
        <f t="shared" si="14"/>
        <v>#REF!</v>
      </c>
      <c r="I127" s="29" t="e">
        <f>일위대가목록!#REF!</f>
        <v>#REF!</v>
      </c>
      <c r="J127" s="29" t="e">
        <f t="shared" si="15"/>
        <v>#REF!</v>
      </c>
      <c r="K127" s="29" t="e">
        <f t="shared" si="9"/>
        <v>#REF!</v>
      </c>
      <c r="L127" s="29" t="e">
        <f t="shared" si="8"/>
        <v>#REF!</v>
      </c>
      <c r="M127" s="20" t="s">
        <v>6232</v>
      </c>
      <c r="N127" t="s">
        <v>6232</v>
      </c>
      <c r="P127" t="s">
        <v>2979</v>
      </c>
      <c r="Q127" t="s">
        <v>6232</v>
      </c>
      <c r="R127" t="s">
        <v>3596</v>
      </c>
      <c r="T127" t="s">
        <v>3860</v>
      </c>
      <c r="BI127" s="52" t="str">
        <f>HYPERLINK("#일위대가목록!A164","S02001W450 →")</f>
        <v>S02001W450 →</v>
      </c>
    </row>
    <row r="128" spans="1:61" ht="18.399999999999999" customHeight="1">
      <c r="A128" s="11" t="s">
        <v>123</v>
      </c>
      <c r="B128" s="2" t="s">
        <v>3764</v>
      </c>
      <c r="C128" s="2">
        <v>1</v>
      </c>
      <c r="D128" s="2" t="s">
        <v>2289</v>
      </c>
      <c r="E128" s="29" t="e">
        <f>일위대가목록!#REF!</f>
        <v>#REF!</v>
      </c>
      <c r="F128" s="29" t="e">
        <f t="shared" si="13"/>
        <v>#REF!</v>
      </c>
      <c r="G128" s="29" t="e">
        <f>일위대가목록!#REF!</f>
        <v>#REF!</v>
      </c>
      <c r="H128" s="29" t="e">
        <f t="shared" si="14"/>
        <v>#REF!</v>
      </c>
      <c r="I128" s="29" t="e">
        <f>일위대가목록!#REF!</f>
        <v>#REF!</v>
      </c>
      <c r="J128" s="29" t="e">
        <f t="shared" si="15"/>
        <v>#REF!</v>
      </c>
      <c r="K128" s="29" t="e">
        <f t="shared" si="9"/>
        <v>#REF!</v>
      </c>
      <c r="L128" s="29" t="e">
        <f t="shared" si="8"/>
        <v>#REF!</v>
      </c>
      <c r="M128" s="20" t="s">
        <v>6232</v>
      </c>
      <c r="N128" t="s">
        <v>6232</v>
      </c>
      <c r="P128" t="s">
        <v>4531</v>
      </c>
      <c r="Q128" t="s">
        <v>6232</v>
      </c>
      <c r="R128" t="s">
        <v>1078</v>
      </c>
      <c r="T128" t="s">
        <v>3860</v>
      </c>
      <c r="BI128" s="52" t="str">
        <f>HYPERLINK("#일위대가목록!A165","S02001W450YA →")</f>
        <v>S02001W450YA →</v>
      </c>
    </row>
    <row r="129" spans="1:61" ht="18.399999999999999" customHeight="1">
      <c r="A129" s="11" t="s">
        <v>1578</v>
      </c>
      <c r="B129" s="2" t="s">
        <v>2715</v>
      </c>
      <c r="C129" s="2">
        <v>1</v>
      </c>
      <c r="D129" s="2" t="s">
        <v>2289</v>
      </c>
      <c r="E129" s="29" t="e">
        <f>일위대가목록!#REF!</f>
        <v>#REF!</v>
      </c>
      <c r="F129" s="29" t="e">
        <f t="shared" si="13"/>
        <v>#REF!</v>
      </c>
      <c r="G129" s="29" t="e">
        <f>일위대가목록!#REF!</f>
        <v>#REF!</v>
      </c>
      <c r="H129" s="29" t="e">
        <f t="shared" si="14"/>
        <v>#REF!</v>
      </c>
      <c r="I129" s="29" t="e">
        <f>일위대가목록!#REF!</f>
        <v>#REF!</v>
      </c>
      <c r="J129" s="29" t="e">
        <f t="shared" si="15"/>
        <v>#REF!</v>
      </c>
      <c r="K129" s="29" t="e">
        <f t="shared" si="9"/>
        <v>#REF!</v>
      </c>
      <c r="L129" s="29" t="e">
        <f t="shared" si="8"/>
        <v>#REF!</v>
      </c>
      <c r="M129" s="20" t="s">
        <v>6232</v>
      </c>
      <c r="N129" t="s">
        <v>6232</v>
      </c>
      <c r="P129" t="s">
        <v>6090</v>
      </c>
      <c r="Q129" t="s">
        <v>6232</v>
      </c>
      <c r="R129" t="s">
        <v>5069</v>
      </c>
      <c r="T129" t="s">
        <v>3860</v>
      </c>
      <c r="BI129" s="52" t="str">
        <f>HYPERLINK("#일위대가목록!A166","S02001W400 →")</f>
        <v>S02001W400 →</v>
      </c>
    </row>
    <row r="130" spans="1:61" ht="18.399999999999999" customHeight="1">
      <c r="A130" s="11" t="s">
        <v>123</v>
      </c>
      <c r="B130" s="2" t="s">
        <v>2715</v>
      </c>
      <c r="C130" s="2">
        <v>1</v>
      </c>
      <c r="D130" s="2" t="s">
        <v>2289</v>
      </c>
      <c r="E130" s="29" t="e">
        <f>일위대가목록!#REF!</f>
        <v>#REF!</v>
      </c>
      <c r="F130" s="29" t="e">
        <f t="shared" si="13"/>
        <v>#REF!</v>
      </c>
      <c r="G130" s="29" t="e">
        <f>일위대가목록!#REF!</f>
        <v>#REF!</v>
      </c>
      <c r="H130" s="29" t="e">
        <f t="shared" si="14"/>
        <v>#REF!</v>
      </c>
      <c r="I130" s="29" t="e">
        <f>일위대가목록!#REF!</f>
        <v>#REF!</v>
      </c>
      <c r="J130" s="29" t="e">
        <f t="shared" si="15"/>
        <v>#REF!</v>
      </c>
      <c r="K130" s="29" t="e">
        <f t="shared" si="9"/>
        <v>#REF!</v>
      </c>
      <c r="L130" s="29" t="e">
        <f t="shared" si="8"/>
        <v>#REF!</v>
      </c>
      <c r="M130" s="20" t="s">
        <v>6232</v>
      </c>
      <c r="N130" t="s">
        <v>6232</v>
      </c>
      <c r="P130" t="s">
        <v>1375</v>
      </c>
      <c r="Q130" t="s">
        <v>6232</v>
      </c>
      <c r="R130" t="s">
        <v>754</v>
      </c>
      <c r="T130" t="s">
        <v>3860</v>
      </c>
      <c r="BI130" s="52" t="str">
        <f>HYPERLINK("#일위대가목록!A167","S02001W400YA →")</f>
        <v>S02001W400YA →</v>
      </c>
    </row>
    <row r="131" spans="1:61" ht="18.399999999999999" customHeight="1">
      <c r="A131" s="11" t="s">
        <v>1578</v>
      </c>
      <c r="B131" s="2" t="s">
        <v>809</v>
      </c>
      <c r="C131" s="2">
        <v>1</v>
      </c>
      <c r="D131" s="2" t="s">
        <v>2289</v>
      </c>
      <c r="E131" s="29" t="e">
        <f>일위대가목록!#REF!</f>
        <v>#REF!</v>
      </c>
      <c r="F131" s="29" t="e">
        <f t="shared" si="13"/>
        <v>#REF!</v>
      </c>
      <c r="G131" s="29" t="e">
        <f>일위대가목록!#REF!</f>
        <v>#REF!</v>
      </c>
      <c r="H131" s="29" t="e">
        <f t="shared" si="14"/>
        <v>#REF!</v>
      </c>
      <c r="I131" s="29" t="e">
        <f>일위대가목록!#REF!</f>
        <v>#REF!</v>
      </c>
      <c r="J131" s="29" t="e">
        <f t="shared" si="15"/>
        <v>#REF!</v>
      </c>
      <c r="K131" s="29" t="e">
        <f t="shared" si="9"/>
        <v>#REF!</v>
      </c>
      <c r="L131" s="29" t="e">
        <f t="shared" si="8"/>
        <v>#REF!</v>
      </c>
      <c r="M131" s="20" t="s">
        <v>6232</v>
      </c>
      <c r="N131" t="s">
        <v>6232</v>
      </c>
      <c r="P131" t="s">
        <v>2903</v>
      </c>
      <c r="Q131" t="s">
        <v>6232</v>
      </c>
      <c r="R131" t="s">
        <v>420</v>
      </c>
      <c r="T131" t="s">
        <v>3860</v>
      </c>
      <c r="BI131" s="52" t="str">
        <f>HYPERLINK("#일위대가목록!A168","S02001W350 →")</f>
        <v>S02001W350 →</v>
      </c>
    </row>
    <row r="132" spans="1:61" ht="18.399999999999999" customHeight="1">
      <c r="A132" s="11" t="s">
        <v>123</v>
      </c>
      <c r="B132" s="2" t="s">
        <v>809</v>
      </c>
      <c r="C132" s="2">
        <v>1</v>
      </c>
      <c r="D132" s="2" t="s">
        <v>2289</v>
      </c>
      <c r="E132" s="29" t="e">
        <f>일위대가목록!#REF!</f>
        <v>#REF!</v>
      </c>
      <c r="F132" s="29" t="e">
        <f t="shared" si="13"/>
        <v>#REF!</v>
      </c>
      <c r="G132" s="29" t="e">
        <f>일위대가목록!#REF!</f>
        <v>#REF!</v>
      </c>
      <c r="H132" s="29" t="e">
        <f t="shared" si="14"/>
        <v>#REF!</v>
      </c>
      <c r="I132" s="29" t="e">
        <f>일위대가목록!#REF!</f>
        <v>#REF!</v>
      </c>
      <c r="J132" s="29" t="e">
        <f t="shared" si="15"/>
        <v>#REF!</v>
      </c>
      <c r="K132" s="29" t="e">
        <f t="shared" si="9"/>
        <v>#REF!</v>
      </c>
      <c r="L132" s="29" t="e">
        <f t="shared" si="8"/>
        <v>#REF!</v>
      </c>
      <c r="M132" s="20" t="s">
        <v>6232</v>
      </c>
      <c r="N132" t="s">
        <v>6232</v>
      </c>
      <c r="P132" t="s">
        <v>4439</v>
      </c>
      <c r="Q132" t="s">
        <v>6232</v>
      </c>
      <c r="R132" t="s">
        <v>1456</v>
      </c>
      <c r="T132" t="s">
        <v>3860</v>
      </c>
      <c r="BI132" s="52" t="str">
        <f>HYPERLINK("#일위대가목록!A169","S02001W350YA →")</f>
        <v>S02001W350YA →</v>
      </c>
    </row>
    <row r="133" spans="1:61" ht="18.399999999999999" customHeight="1">
      <c r="A133" s="11" t="s">
        <v>1578</v>
      </c>
      <c r="B133" s="2" t="s">
        <v>4894</v>
      </c>
      <c r="C133" s="2">
        <v>1</v>
      </c>
      <c r="D133" s="2" t="s">
        <v>2289</v>
      </c>
      <c r="E133" s="29" t="e">
        <f>일위대가목록!#REF!</f>
        <v>#REF!</v>
      </c>
      <c r="F133" s="29" t="e">
        <f t="shared" si="13"/>
        <v>#REF!</v>
      </c>
      <c r="G133" s="29" t="e">
        <f>일위대가목록!#REF!</f>
        <v>#REF!</v>
      </c>
      <c r="H133" s="29" t="e">
        <f t="shared" si="14"/>
        <v>#REF!</v>
      </c>
      <c r="I133" s="29" t="e">
        <f>일위대가목록!#REF!</f>
        <v>#REF!</v>
      </c>
      <c r="J133" s="29" t="e">
        <f t="shared" si="15"/>
        <v>#REF!</v>
      </c>
      <c r="K133" s="29" t="e">
        <f t="shared" si="9"/>
        <v>#REF!</v>
      </c>
      <c r="L133" s="29" t="e">
        <f t="shared" si="8"/>
        <v>#REF!</v>
      </c>
      <c r="M133" s="20" t="s">
        <v>6232</v>
      </c>
      <c r="N133" t="s">
        <v>6232</v>
      </c>
      <c r="P133" t="s">
        <v>5983</v>
      </c>
      <c r="Q133" t="s">
        <v>6232</v>
      </c>
      <c r="R133" t="s">
        <v>2018</v>
      </c>
      <c r="T133" t="s">
        <v>3860</v>
      </c>
      <c r="BI133" s="52" t="str">
        <f>HYPERLINK("#일위대가목록!A170","S02001W300 →")</f>
        <v>S02001W300 →</v>
      </c>
    </row>
    <row r="134" spans="1:61" ht="18.399999999999999" customHeight="1">
      <c r="A134" s="11" t="s">
        <v>123</v>
      </c>
      <c r="B134" s="2" t="s">
        <v>4894</v>
      </c>
      <c r="C134" s="2">
        <v>1</v>
      </c>
      <c r="D134" s="2" t="s">
        <v>2289</v>
      </c>
      <c r="E134" s="29" t="e">
        <f>일위대가목록!#REF!</f>
        <v>#REF!</v>
      </c>
      <c r="F134" s="29" t="e">
        <f t="shared" si="13"/>
        <v>#REF!</v>
      </c>
      <c r="G134" s="29" t="e">
        <f>일위대가목록!#REF!</f>
        <v>#REF!</v>
      </c>
      <c r="H134" s="29" t="e">
        <f t="shared" si="14"/>
        <v>#REF!</v>
      </c>
      <c r="I134" s="29" t="e">
        <f>일위대가목록!#REF!</f>
        <v>#REF!</v>
      </c>
      <c r="J134" s="29" t="e">
        <f t="shared" si="15"/>
        <v>#REF!</v>
      </c>
      <c r="K134" s="29" t="e">
        <f t="shared" si="9"/>
        <v>#REF!</v>
      </c>
      <c r="L134" s="29" t="e">
        <f t="shared" si="8"/>
        <v>#REF!</v>
      </c>
      <c r="M134" s="20" t="s">
        <v>6232</v>
      </c>
      <c r="N134" t="s">
        <v>6232</v>
      </c>
      <c r="P134" t="s">
        <v>3286</v>
      </c>
      <c r="Q134" t="s">
        <v>6232</v>
      </c>
      <c r="R134" t="s">
        <v>361</v>
      </c>
      <c r="T134" t="s">
        <v>3860</v>
      </c>
      <c r="BI134" s="52" t="str">
        <f>HYPERLINK("#일위대가목록!A171","S02001W300YA →")</f>
        <v>S02001W300YA →</v>
      </c>
    </row>
    <row r="135" spans="1:61" ht="18.399999999999999" customHeight="1">
      <c r="A135" s="11" t="s">
        <v>1578</v>
      </c>
      <c r="B135" s="2" t="s">
        <v>1701</v>
      </c>
      <c r="C135" s="2">
        <v>1</v>
      </c>
      <c r="D135" s="2" t="s">
        <v>2289</v>
      </c>
      <c r="E135" s="29" t="e">
        <f>일위대가목록!#REF!</f>
        <v>#REF!</v>
      </c>
      <c r="F135" s="29" t="e">
        <f t="shared" si="13"/>
        <v>#REF!</v>
      </c>
      <c r="G135" s="29" t="e">
        <f>일위대가목록!#REF!</f>
        <v>#REF!</v>
      </c>
      <c r="H135" s="29" t="e">
        <f t="shared" si="14"/>
        <v>#REF!</v>
      </c>
      <c r="I135" s="29" t="e">
        <f>일위대가목록!#REF!</f>
        <v>#REF!</v>
      </c>
      <c r="J135" s="29" t="e">
        <f t="shared" si="15"/>
        <v>#REF!</v>
      </c>
      <c r="K135" s="29" t="e">
        <f t="shared" si="9"/>
        <v>#REF!</v>
      </c>
      <c r="L135" s="29" t="e">
        <f t="shared" si="8"/>
        <v>#REF!</v>
      </c>
      <c r="M135" s="20" t="s">
        <v>6232</v>
      </c>
      <c r="N135" t="s">
        <v>6232</v>
      </c>
      <c r="P135" t="s">
        <v>4879</v>
      </c>
      <c r="Q135" t="s">
        <v>6232</v>
      </c>
      <c r="R135" t="s">
        <v>940</v>
      </c>
      <c r="T135" t="s">
        <v>3860</v>
      </c>
      <c r="BI135" s="52" t="str">
        <f>HYPERLINK("#일위대가목록!A172","S02001W250 →")</f>
        <v>S02001W250 →</v>
      </c>
    </row>
    <row r="136" spans="1:61" ht="18.399999999999999" customHeight="1">
      <c r="A136" s="11" t="s">
        <v>123</v>
      </c>
      <c r="B136" s="2" t="s">
        <v>1701</v>
      </c>
      <c r="C136" s="2">
        <v>1</v>
      </c>
      <c r="D136" s="2" t="s">
        <v>2289</v>
      </c>
      <c r="E136" s="29" t="e">
        <f>일위대가목록!#REF!</f>
        <v>#REF!</v>
      </c>
      <c r="F136" s="29" t="e">
        <f t="shared" si="13"/>
        <v>#REF!</v>
      </c>
      <c r="G136" s="29" t="e">
        <f>일위대가목록!#REF!</f>
        <v>#REF!</v>
      </c>
      <c r="H136" s="29" t="e">
        <f t="shared" si="14"/>
        <v>#REF!</v>
      </c>
      <c r="I136" s="29" t="e">
        <f>일위대가목록!#REF!</f>
        <v>#REF!</v>
      </c>
      <c r="J136" s="29" t="e">
        <f t="shared" si="15"/>
        <v>#REF!</v>
      </c>
      <c r="K136" s="29" t="e">
        <f t="shared" si="9"/>
        <v>#REF!</v>
      </c>
      <c r="L136" s="29" t="e">
        <f t="shared" si="8"/>
        <v>#REF!</v>
      </c>
      <c r="M136" s="20" t="s">
        <v>6232</v>
      </c>
      <c r="N136" t="s">
        <v>6232</v>
      </c>
      <c r="P136" t="s">
        <v>227</v>
      </c>
      <c r="Q136" t="s">
        <v>6232</v>
      </c>
      <c r="R136" t="s">
        <v>3408</v>
      </c>
      <c r="T136" t="s">
        <v>3860</v>
      </c>
      <c r="BI136" s="52" t="str">
        <f>HYPERLINK("#일위대가목록!A173","S02001W250YA →")</f>
        <v>S02001W250YA →</v>
      </c>
    </row>
    <row r="137" spans="1:61" ht="18.399999999999999" customHeight="1">
      <c r="A137" s="11" t="s">
        <v>1578</v>
      </c>
      <c r="B137" s="2" t="s">
        <v>4196</v>
      </c>
      <c r="C137" s="2">
        <v>1</v>
      </c>
      <c r="D137" s="2" t="s">
        <v>2289</v>
      </c>
      <c r="E137" s="29" t="e">
        <f>일위대가목록!#REF!</f>
        <v>#REF!</v>
      </c>
      <c r="F137" s="29" t="e">
        <f t="shared" si="13"/>
        <v>#REF!</v>
      </c>
      <c r="G137" s="29" t="e">
        <f>일위대가목록!#REF!</f>
        <v>#REF!</v>
      </c>
      <c r="H137" s="29" t="e">
        <f t="shared" si="14"/>
        <v>#REF!</v>
      </c>
      <c r="I137" s="29" t="e">
        <f>일위대가목록!#REF!</f>
        <v>#REF!</v>
      </c>
      <c r="J137" s="29" t="e">
        <f t="shared" si="15"/>
        <v>#REF!</v>
      </c>
      <c r="K137" s="29" t="e">
        <f t="shared" si="9"/>
        <v>#REF!</v>
      </c>
      <c r="L137" s="29" t="e">
        <f t="shared" ref="L137:L200" si="16">F137+H137+J137</f>
        <v>#REF!</v>
      </c>
      <c r="M137" s="20" t="s">
        <v>6232</v>
      </c>
      <c r="N137" t="s">
        <v>6232</v>
      </c>
      <c r="P137" t="s">
        <v>1791</v>
      </c>
      <c r="Q137" t="s">
        <v>6232</v>
      </c>
      <c r="R137" t="s">
        <v>2389</v>
      </c>
      <c r="T137" t="s">
        <v>3860</v>
      </c>
      <c r="BI137" s="52" t="str">
        <f>HYPERLINK("#일위대가목록!A174","S02001W200 →")</f>
        <v>S02001W200 →</v>
      </c>
    </row>
    <row r="138" spans="1:61" ht="18.399999999999999" customHeight="1">
      <c r="A138" s="11" t="s">
        <v>123</v>
      </c>
      <c r="B138" s="2" t="s">
        <v>4196</v>
      </c>
      <c r="C138" s="2">
        <v>1</v>
      </c>
      <c r="D138" s="2" t="s">
        <v>2289</v>
      </c>
      <c r="E138" s="29" t="e">
        <f>일위대가목록!#REF!</f>
        <v>#REF!</v>
      </c>
      <c r="F138" s="29" t="e">
        <f t="shared" si="13"/>
        <v>#REF!</v>
      </c>
      <c r="G138" s="29" t="e">
        <f>일위대가목록!#REF!</f>
        <v>#REF!</v>
      </c>
      <c r="H138" s="29" t="e">
        <f t="shared" si="14"/>
        <v>#REF!</v>
      </c>
      <c r="I138" s="29" t="e">
        <f>일위대가목록!#REF!</f>
        <v>#REF!</v>
      </c>
      <c r="J138" s="29" t="e">
        <f t="shared" si="15"/>
        <v>#REF!</v>
      </c>
      <c r="K138" s="29" t="e">
        <f t="shared" ref="K138:K201" si="17">E138+G138+I138</f>
        <v>#REF!</v>
      </c>
      <c r="L138" s="29" t="e">
        <f t="shared" si="16"/>
        <v>#REF!</v>
      </c>
      <c r="M138" s="20" t="s">
        <v>6232</v>
      </c>
      <c r="N138" t="s">
        <v>6232</v>
      </c>
      <c r="P138" t="s">
        <v>3395</v>
      </c>
      <c r="Q138" t="s">
        <v>6232</v>
      </c>
      <c r="R138" t="s">
        <v>4633</v>
      </c>
      <c r="T138" t="s">
        <v>3860</v>
      </c>
      <c r="BI138" s="52" t="str">
        <f>HYPERLINK("#일위대가목록!A175","S02001W200YA →")</f>
        <v>S02001W200YA →</v>
      </c>
    </row>
    <row r="139" spans="1:61" ht="18.399999999999999" customHeight="1">
      <c r="A139" s="11" t="s">
        <v>1578</v>
      </c>
      <c r="B139" s="2" t="s">
        <v>4124</v>
      </c>
      <c r="C139" s="2">
        <v>1</v>
      </c>
      <c r="D139" s="2" t="s">
        <v>2289</v>
      </c>
      <c r="E139" s="29" t="e">
        <f>일위대가목록!#REF!</f>
        <v>#REF!</v>
      </c>
      <c r="F139" s="29" t="e">
        <f t="shared" si="13"/>
        <v>#REF!</v>
      </c>
      <c r="G139" s="29" t="e">
        <f>일위대가목록!#REF!</f>
        <v>#REF!</v>
      </c>
      <c r="H139" s="29" t="e">
        <f t="shared" si="14"/>
        <v>#REF!</v>
      </c>
      <c r="I139" s="29" t="e">
        <f>일위대가목록!#REF!</f>
        <v>#REF!</v>
      </c>
      <c r="J139" s="29" t="e">
        <f t="shared" si="15"/>
        <v>#REF!</v>
      </c>
      <c r="K139" s="29" t="e">
        <f t="shared" si="17"/>
        <v>#REF!</v>
      </c>
      <c r="L139" s="29" t="e">
        <f t="shared" si="16"/>
        <v>#REF!</v>
      </c>
      <c r="M139" s="20" t="s">
        <v>6232</v>
      </c>
      <c r="N139" t="s">
        <v>6232</v>
      </c>
      <c r="P139" t="s">
        <v>4987</v>
      </c>
      <c r="Q139" t="s">
        <v>6232</v>
      </c>
      <c r="R139" t="s">
        <v>3063</v>
      </c>
      <c r="T139" t="s">
        <v>3860</v>
      </c>
      <c r="BI139" s="52" t="str">
        <f>HYPERLINK("#일위대가목록!A176","S02001W150 →")</f>
        <v>S02001W150 →</v>
      </c>
    </row>
    <row r="140" spans="1:61" ht="18.399999999999999" customHeight="1">
      <c r="A140" s="11" t="s">
        <v>123</v>
      </c>
      <c r="B140" s="2" t="s">
        <v>4124</v>
      </c>
      <c r="C140" s="2">
        <v>1</v>
      </c>
      <c r="D140" s="2" t="s">
        <v>2289</v>
      </c>
      <c r="E140" s="29" t="e">
        <f>일위대가목록!#REF!</f>
        <v>#REF!</v>
      </c>
      <c r="F140" s="29" t="e">
        <f t="shared" si="13"/>
        <v>#REF!</v>
      </c>
      <c r="G140" s="29" t="e">
        <f>일위대가목록!#REF!</f>
        <v>#REF!</v>
      </c>
      <c r="H140" s="29" t="e">
        <f t="shared" si="14"/>
        <v>#REF!</v>
      </c>
      <c r="I140" s="29" t="e">
        <f>일위대가목록!#REF!</f>
        <v>#REF!</v>
      </c>
      <c r="J140" s="29" t="e">
        <f t="shared" si="15"/>
        <v>#REF!</v>
      </c>
      <c r="K140" s="29" t="e">
        <f t="shared" si="17"/>
        <v>#REF!</v>
      </c>
      <c r="L140" s="29" t="e">
        <f t="shared" si="16"/>
        <v>#REF!</v>
      </c>
      <c r="M140" s="20" t="s">
        <v>6232</v>
      </c>
      <c r="N140" t="s">
        <v>6232</v>
      </c>
      <c r="P140" t="s">
        <v>329</v>
      </c>
      <c r="Q140" t="s">
        <v>6232</v>
      </c>
      <c r="R140" t="s">
        <v>2242</v>
      </c>
      <c r="T140" t="s">
        <v>3860</v>
      </c>
      <c r="BI140" s="52" t="str">
        <f>HYPERLINK("#일위대가목록!A177","S02001W150YA →")</f>
        <v>S02001W150YA →</v>
      </c>
    </row>
    <row r="141" spans="1:61" ht="18.399999999999999" customHeight="1">
      <c r="A141" s="11" t="s">
        <v>1578</v>
      </c>
      <c r="B141" s="2" t="s">
        <v>2533</v>
      </c>
      <c r="C141" s="2">
        <v>1</v>
      </c>
      <c r="D141" s="2" t="s">
        <v>2289</v>
      </c>
      <c r="E141" s="29" t="e">
        <f>일위대가목록!#REF!</f>
        <v>#REF!</v>
      </c>
      <c r="F141" s="29" t="e">
        <f t="shared" si="13"/>
        <v>#REF!</v>
      </c>
      <c r="G141" s="29" t="e">
        <f>일위대가목록!#REF!</f>
        <v>#REF!</v>
      </c>
      <c r="H141" s="29" t="e">
        <f t="shared" si="14"/>
        <v>#REF!</v>
      </c>
      <c r="I141" s="29" t="e">
        <f>일위대가목록!#REF!</f>
        <v>#REF!</v>
      </c>
      <c r="J141" s="29" t="e">
        <f t="shared" si="15"/>
        <v>#REF!</v>
      </c>
      <c r="K141" s="29" t="e">
        <f t="shared" si="17"/>
        <v>#REF!</v>
      </c>
      <c r="L141" s="29" t="e">
        <f t="shared" si="16"/>
        <v>#REF!</v>
      </c>
      <c r="M141" s="20" t="s">
        <v>6232</v>
      </c>
      <c r="N141" t="s">
        <v>6232</v>
      </c>
      <c r="P141" t="s">
        <v>1902</v>
      </c>
      <c r="Q141" t="s">
        <v>6232</v>
      </c>
      <c r="R141" t="s">
        <v>1315</v>
      </c>
      <c r="T141" t="s">
        <v>3860</v>
      </c>
      <c r="BI141" s="52" t="str">
        <f>HYPERLINK("#일위대가목록!A178","S02001W125 →")</f>
        <v>S02001W125 →</v>
      </c>
    </row>
    <row r="142" spans="1:61" ht="18.399999999999999" customHeight="1">
      <c r="A142" s="11" t="s">
        <v>123</v>
      </c>
      <c r="B142" s="2" t="s">
        <v>2533</v>
      </c>
      <c r="C142" s="2">
        <v>1</v>
      </c>
      <c r="D142" s="2" t="s">
        <v>2289</v>
      </c>
      <c r="E142" s="29" t="e">
        <f>일위대가목록!#REF!</f>
        <v>#REF!</v>
      </c>
      <c r="F142" s="29" t="e">
        <f t="shared" si="13"/>
        <v>#REF!</v>
      </c>
      <c r="G142" s="29" t="e">
        <f>일위대가목록!#REF!</f>
        <v>#REF!</v>
      </c>
      <c r="H142" s="29" t="e">
        <f t="shared" si="14"/>
        <v>#REF!</v>
      </c>
      <c r="I142" s="29" t="e">
        <f>일위대가목록!#REF!</f>
        <v>#REF!</v>
      </c>
      <c r="J142" s="29" t="e">
        <f t="shared" si="15"/>
        <v>#REF!</v>
      </c>
      <c r="K142" s="29" t="e">
        <f t="shared" si="17"/>
        <v>#REF!</v>
      </c>
      <c r="L142" s="29" t="e">
        <f t="shared" si="16"/>
        <v>#REF!</v>
      </c>
      <c r="M142" s="20" t="s">
        <v>6232</v>
      </c>
      <c r="N142" t="s">
        <v>6232</v>
      </c>
      <c r="P142" t="s">
        <v>3092</v>
      </c>
      <c r="Q142" t="s">
        <v>6232</v>
      </c>
      <c r="R142" t="s">
        <v>358</v>
      </c>
      <c r="T142" t="s">
        <v>3860</v>
      </c>
      <c r="BI142" s="52" t="str">
        <f>HYPERLINK("#일위대가목록!A179","S02001W125YA →")</f>
        <v>S02001W125YA →</v>
      </c>
    </row>
    <row r="143" spans="1:61" ht="18.399999999999999" customHeight="1">
      <c r="A143" s="11" t="s">
        <v>1578</v>
      </c>
      <c r="B143" s="2" t="s">
        <v>1572</v>
      </c>
      <c r="C143" s="2">
        <v>1</v>
      </c>
      <c r="D143" s="2" t="s">
        <v>2289</v>
      </c>
      <c r="E143" s="29" t="e">
        <f>일위대가목록!#REF!</f>
        <v>#REF!</v>
      </c>
      <c r="F143" s="29" t="e">
        <f t="shared" si="13"/>
        <v>#REF!</v>
      </c>
      <c r="G143" s="29" t="e">
        <f>일위대가목록!#REF!</f>
        <v>#REF!</v>
      </c>
      <c r="H143" s="29" t="e">
        <f t="shared" si="14"/>
        <v>#REF!</v>
      </c>
      <c r="I143" s="29" t="e">
        <f>일위대가목록!#REF!</f>
        <v>#REF!</v>
      </c>
      <c r="J143" s="29" t="e">
        <f t="shared" si="15"/>
        <v>#REF!</v>
      </c>
      <c r="K143" s="29" t="e">
        <f t="shared" si="17"/>
        <v>#REF!</v>
      </c>
      <c r="L143" s="29" t="e">
        <f t="shared" si="16"/>
        <v>#REF!</v>
      </c>
      <c r="M143" s="20" t="s">
        <v>6232</v>
      </c>
      <c r="N143" t="s">
        <v>6232</v>
      </c>
      <c r="P143" t="s">
        <v>4702</v>
      </c>
      <c r="Q143" t="s">
        <v>6232</v>
      </c>
      <c r="R143" t="s">
        <v>1404</v>
      </c>
      <c r="T143" t="s">
        <v>3860</v>
      </c>
      <c r="BI143" s="52" t="str">
        <f>HYPERLINK("#일위대가목록!A180","S02001W100 →")</f>
        <v>S02001W100 →</v>
      </c>
    </row>
    <row r="144" spans="1:61" ht="18.399999999999999" customHeight="1">
      <c r="A144" s="11" t="s">
        <v>123</v>
      </c>
      <c r="B144" s="2" t="s">
        <v>1572</v>
      </c>
      <c r="C144" s="2">
        <v>1</v>
      </c>
      <c r="D144" s="2" t="s">
        <v>2289</v>
      </c>
      <c r="E144" s="29" t="e">
        <f>일위대가목록!#REF!</f>
        <v>#REF!</v>
      </c>
      <c r="F144" s="29" t="e">
        <f t="shared" si="13"/>
        <v>#REF!</v>
      </c>
      <c r="G144" s="29" t="e">
        <f>일위대가목록!#REF!</f>
        <v>#REF!</v>
      </c>
      <c r="H144" s="29" t="e">
        <f t="shared" si="14"/>
        <v>#REF!</v>
      </c>
      <c r="I144" s="29" t="e">
        <f>일위대가목록!#REF!</f>
        <v>#REF!</v>
      </c>
      <c r="J144" s="29" t="e">
        <f t="shared" si="15"/>
        <v>#REF!</v>
      </c>
      <c r="K144" s="29" t="e">
        <f t="shared" si="17"/>
        <v>#REF!</v>
      </c>
      <c r="L144" s="29" t="e">
        <f t="shared" si="16"/>
        <v>#REF!</v>
      </c>
      <c r="M144" s="20" t="s">
        <v>6232</v>
      </c>
      <c r="N144" t="s">
        <v>6232</v>
      </c>
      <c r="P144" t="s">
        <v>5079</v>
      </c>
      <c r="Q144" t="s">
        <v>6232</v>
      </c>
      <c r="R144" t="s">
        <v>2687</v>
      </c>
      <c r="T144" t="s">
        <v>3860</v>
      </c>
      <c r="BI144" s="52" t="str">
        <f>HYPERLINK("#일위대가목록!A181","S02001W100YA →")</f>
        <v>S02001W100YA →</v>
      </c>
    </row>
    <row r="145" spans="1:61" ht="18.399999999999999" customHeight="1">
      <c r="A145" s="11" t="s">
        <v>1578</v>
      </c>
      <c r="B145" s="2" t="s">
        <v>1160</v>
      </c>
      <c r="C145" s="2">
        <v>1</v>
      </c>
      <c r="D145" s="2" t="s">
        <v>2289</v>
      </c>
      <c r="E145" s="29" t="e">
        <f>일위대가목록!#REF!</f>
        <v>#REF!</v>
      </c>
      <c r="F145" s="29" t="e">
        <f t="shared" si="13"/>
        <v>#REF!</v>
      </c>
      <c r="G145" s="29" t="e">
        <f>일위대가목록!#REF!</f>
        <v>#REF!</v>
      </c>
      <c r="H145" s="29" t="e">
        <f t="shared" si="14"/>
        <v>#REF!</v>
      </c>
      <c r="I145" s="29" t="e">
        <f>일위대가목록!#REF!</f>
        <v>#REF!</v>
      </c>
      <c r="J145" s="29" t="e">
        <f t="shared" si="15"/>
        <v>#REF!</v>
      </c>
      <c r="K145" s="29" t="e">
        <f t="shared" si="17"/>
        <v>#REF!</v>
      </c>
      <c r="L145" s="29" t="e">
        <f t="shared" si="16"/>
        <v>#REF!</v>
      </c>
      <c r="M145" s="20" t="s">
        <v>6232</v>
      </c>
      <c r="N145" t="s">
        <v>6232</v>
      </c>
      <c r="P145" t="s">
        <v>3490</v>
      </c>
      <c r="Q145" t="s">
        <v>6232</v>
      </c>
      <c r="R145" t="s">
        <v>116</v>
      </c>
      <c r="T145" t="s">
        <v>3860</v>
      </c>
      <c r="BI145" s="52" t="str">
        <f>HYPERLINK("#일위대가목록!A182","S02001W080 →")</f>
        <v>S02001W080 →</v>
      </c>
    </row>
    <row r="146" spans="1:61" ht="18.399999999999999" customHeight="1">
      <c r="A146" s="11" t="s">
        <v>123</v>
      </c>
      <c r="B146" s="2" t="s">
        <v>1160</v>
      </c>
      <c r="C146" s="2">
        <v>1</v>
      </c>
      <c r="D146" s="2" t="s">
        <v>2289</v>
      </c>
      <c r="E146" s="29" t="e">
        <f>일위대가목록!#REF!</f>
        <v>#REF!</v>
      </c>
      <c r="F146" s="29" t="e">
        <f t="shared" si="13"/>
        <v>#REF!</v>
      </c>
      <c r="G146" s="29" t="e">
        <f>일위대가목록!#REF!</f>
        <v>#REF!</v>
      </c>
      <c r="H146" s="29" t="e">
        <f t="shared" si="14"/>
        <v>#REF!</v>
      </c>
      <c r="I146" s="29" t="e">
        <f>일위대가목록!#REF!</f>
        <v>#REF!</v>
      </c>
      <c r="J146" s="29" t="e">
        <f t="shared" si="15"/>
        <v>#REF!</v>
      </c>
      <c r="K146" s="29" t="e">
        <f t="shared" si="17"/>
        <v>#REF!</v>
      </c>
      <c r="L146" s="29" t="e">
        <f t="shared" si="16"/>
        <v>#REF!</v>
      </c>
      <c r="M146" s="20" t="s">
        <v>6232</v>
      </c>
      <c r="N146" t="s">
        <v>6232</v>
      </c>
      <c r="P146" t="s">
        <v>1999</v>
      </c>
      <c r="Q146" t="s">
        <v>6232</v>
      </c>
      <c r="R146" t="s">
        <v>1158</v>
      </c>
      <c r="T146" t="s">
        <v>3860</v>
      </c>
      <c r="BI146" s="52" t="str">
        <f>HYPERLINK("#일위대가목록!A183","S02001W080YA →")</f>
        <v>S02001W080YA →</v>
      </c>
    </row>
    <row r="147" spans="1:61" ht="18.399999999999999" customHeight="1">
      <c r="A147" s="11" t="s">
        <v>1578</v>
      </c>
      <c r="B147" s="2" t="s">
        <v>3058</v>
      </c>
      <c r="C147" s="2">
        <v>1</v>
      </c>
      <c r="D147" s="2" t="s">
        <v>2289</v>
      </c>
      <c r="E147" s="29" t="e">
        <f>일위대가목록!#REF!</f>
        <v>#REF!</v>
      </c>
      <c r="F147" s="29" t="e">
        <f t="shared" si="13"/>
        <v>#REF!</v>
      </c>
      <c r="G147" s="29" t="e">
        <f>일위대가목록!#REF!</f>
        <v>#REF!</v>
      </c>
      <c r="H147" s="29" t="e">
        <f t="shared" si="14"/>
        <v>#REF!</v>
      </c>
      <c r="I147" s="29" t="e">
        <f>일위대가목록!#REF!</f>
        <v>#REF!</v>
      </c>
      <c r="J147" s="29" t="e">
        <f t="shared" si="15"/>
        <v>#REF!</v>
      </c>
      <c r="K147" s="29" t="e">
        <f t="shared" si="17"/>
        <v>#REF!</v>
      </c>
      <c r="L147" s="29" t="e">
        <f t="shared" si="16"/>
        <v>#REF!</v>
      </c>
      <c r="M147" s="20" t="s">
        <v>6232</v>
      </c>
      <c r="N147" t="s">
        <v>6232</v>
      </c>
      <c r="P147" t="s">
        <v>447</v>
      </c>
      <c r="Q147" t="s">
        <v>6232</v>
      </c>
      <c r="R147" t="s">
        <v>96</v>
      </c>
      <c r="T147" t="s">
        <v>3860</v>
      </c>
      <c r="BI147" s="52" t="str">
        <f>HYPERLINK("#일위대가목록!A184","S02001W065 →")</f>
        <v>S02001W065 →</v>
      </c>
    </row>
    <row r="148" spans="1:61" ht="18.399999999999999" customHeight="1">
      <c r="A148" s="11" t="s">
        <v>123</v>
      </c>
      <c r="B148" s="2" t="s">
        <v>3058</v>
      </c>
      <c r="C148" s="2">
        <v>1</v>
      </c>
      <c r="D148" s="2" t="s">
        <v>2289</v>
      </c>
      <c r="E148" s="29" t="e">
        <f>일위대가목록!#REF!</f>
        <v>#REF!</v>
      </c>
      <c r="F148" s="29" t="e">
        <f t="shared" si="13"/>
        <v>#REF!</v>
      </c>
      <c r="G148" s="29" t="e">
        <f>일위대가목록!#REF!</f>
        <v>#REF!</v>
      </c>
      <c r="H148" s="29" t="e">
        <f t="shared" si="14"/>
        <v>#REF!</v>
      </c>
      <c r="I148" s="29" t="e">
        <f>일위대가목록!#REF!</f>
        <v>#REF!</v>
      </c>
      <c r="J148" s="29" t="e">
        <f t="shared" si="15"/>
        <v>#REF!</v>
      </c>
      <c r="K148" s="29" t="e">
        <f t="shared" si="17"/>
        <v>#REF!</v>
      </c>
      <c r="L148" s="29" t="e">
        <f t="shared" si="16"/>
        <v>#REF!</v>
      </c>
      <c r="M148" s="20" t="s">
        <v>6232</v>
      </c>
      <c r="N148" t="s">
        <v>6232</v>
      </c>
      <c r="P148" t="s">
        <v>5174</v>
      </c>
      <c r="Q148" t="s">
        <v>6232</v>
      </c>
      <c r="R148" t="s">
        <v>5646</v>
      </c>
      <c r="T148" t="s">
        <v>3860</v>
      </c>
      <c r="BI148" s="52" t="str">
        <f>HYPERLINK("#일위대가목록!A185","S02001W065YA →")</f>
        <v>S02001W065YA →</v>
      </c>
    </row>
    <row r="149" spans="1:61" ht="18.399999999999999" customHeight="1">
      <c r="A149" s="11" t="s">
        <v>1578</v>
      </c>
      <c r="B149" s="2" t="s">
        <v>2393</v>
      </c>
      <c r="C149" s="2">
        <v>1</v>
      </c>
      <c r="D149" s="2" t="s">
        <v>2289</v>
      </c>
      <c r="E149" s="29" t="e">
        <f>일위대가목록!#REF!</f>
        <v>#REF!</v>
      </c>
      <c r="F149" s="29" t="e">
        <f t="shared" si="13"/>
        <v>#REF!</v>
      </c>
      <c r="G149" s="29" t="e">
        <f>일위대가목록!#REF!</f>
        <v>#REF!</v>
      </c>
      <c r="H149" s="29" t="e">
        <f t="shared" si="14"/>
        <v>#REF!</v>
      </c>
      <c r="I149" s="29" t="e">
        <f>일위대가목록!#REF!</f>
        <v>#REF!</v>
      </c>
      <c r="J149" s="29" t="e">
        <f t="shared" si="15"/>
        <v>#REF!</v>
      </c>
      <c r="K149" s="29" t="e">
        <f t="shared" si="17"/>
        <v>#REF!</v>
      </c>
      <c r="L149" s="29" t="e">
        <f t="shared" si="16"/>
        <v>#REF!</v>
      </c>
      <c r="M149" s="20" t="s">
        <v>6232</v>
      </c>
      <c r="N149" t="s">
        <v>6232</v>
      </c>
      <c r="P149" t="s">
        <v>3588</v>
      </c>
      <c r="Q149" t="s">
        <v>6232</v>
      </c>
      <c r="R149" t="s">
        <v>1714</v>
      </c>
      <c r="T149" t="s">
        <v>3860</v>
      </c>
      <c r="BI149" s="52" t="str">
        <f>HYPERLINK("#일위대가목록!A186","S02001W050 →")</f>
        <v>S02001W050 →</v>
      </c>
    </row>
    <row r="150" spans="1:61" ht="18.399999999999999" customHeight="1">
      <c r="A150" s="11" t="s">
        <v>123</v>
      </c>
      <c r="B150" s="2" t="s">
        <v>2393</v>
      </c>
      <c r="C150" s="2">
        <v>1</v>
      </c>
      <c r="D150" s="2" t="s">
        <v>2289</v>
      </c>
      <c r="E150" s="29" t="e">
        <f>일위대가목록!#REF!</f>
        <v>#REF!</v>
      </c>
      <c r="F150" s="29" t="e">
        <f t="shared" si="13"/>
        <v>#REF!</v>
      </c>
      <c r="G150" s="29" t="e">
        <f>일위대가목록!#REF!</f>
        <v>#REF!</v>
      </c>
      <c r="H150" s="29" t="e">
        <f t="shared" si="14"/>
        <v>#REF!</v>
      </c>
      <c r="I150" s="29" t="e">
        <f>일위대가목록!#REF!</f>
        <v>#REF!</v>
      </c>
      <c r="J150" s="29" t="e">
        <f t="shared" si="15"/>
        <v>#REF!</v>
      </c>
      <c r="K150" s="29" t="e">
        <f t="shared" si="17"/>
        <v>#REF!</v>
      </c>
      <c r="L150" s="29" t="e">
        <f t="shared" si="16"/>
        <v>#REF!</v>
      </c>
      <c r="M150" s="20" t="s">
        <v>6232</v>
      </c>
      <c r="N150" t="s">
        <v>6232</v>
      </c>
      <c r="P150" t="s">
        <v>2094</v>
      </c>
      <c r="Q150" t="s">
        <v>6232</v>
      </c>
      <c r="R150" t="s">
        <v>5770</v>
      </c>
      <c r="T150" t="s">
        <v>3860</v>
      </c>
      <c r="BI150" s="52" t="str">
        <f>HYPERLINK("#일위대가목록!A187","S02001W050YA →")</f>
        <v>S02001W050YA →</v>
      </c>
    </row>
    <row r="151" spans="1:61" ht="18.399999999999999" customHeight="1">
      <c r="A151" s="11" t="s">
        <v>1578</v>
      </c>
      <c r="B151" s="2" t="s">
        <v>2012</v>
      </c>
      <c r="C151" s="2">
        <v>1</v>
      </c>
      <c r="D151" s="2" t="s">
        <v>2289</v>
      </c>
      <c r="E151" s="29" t="e">
        <f>일위대가목록!#REF!</f>
        <v>#REF!</v>
      </c>
      <c r="F151" s="29" t="e">
        <f t="shared" si="13"/>
        <v>#REF!</v>
      </c>
      <c r="G151" s="29" t="e">
        <f>일위대가목록!#REF!</f>
        <v>#REF!</v>
      </c>
      <c r="H151" s="29" t="e">
        <f t="shared" si="14"/>
        <v>#REF!</v>
      </c>
      <c r="I151" s="29" t="e">
        <f>일위대가목록!#REF!</f>
        <v>#REF!</v>
      </c>
      <c r="J151" s="29" t="e">
        <f t="shared" si="15"/>
        <v>#REF!</v>
      </c>
      <c r="K151" s="29" t="e">
        <f t="shared" si="17"/>
        <v>#REF!</v>
      </c>
      <c r="L151" s="29" t="e">
        <f t="shared" si="16"/>
        <v>#REF!</v>
      </c>
      <c r="M151" s="20" t="s">
        <v>6232</v>
      </c>
      <c r="N151" t="s">
        <v>6232</v>
      </c>
      <c r="P151" t="s">
        <v>553</v>
      </c>
      <c r="Q151" t="s">
        <v>6232</v>
      </c>
      <c r="R151" t="s">
        <v>207</v>
      </c>
      <c r="T151" t="s">
        <v>3860</v>
      </c>
      <c r="BI151" s="52" t="str">
        <f>HYPERLINK("#일위대가목록!A188","S02001W040 →")</f>
        <v>S02001W040 →</v>
      </c>
    </row>
    <row r="152" spans="1:61" ht="18.399999999999999" customHeight="1">
      <c r="A152" s="11" t="s">
        <v>123</v>
      </c>
      <c r="B152" s="2" t="s">
        <v>2012</v>
      </c>
      <c r="C152" s="2">
        <v>1</v>
      </c>
      <c r="D152" s="2" t="s">
        <v>2289</v>
      </c>
      <c r="E152" s="29" t="e">
        <f>일위대가목록!#REF!</f>
        <v>#REF!</v>
      </c>
      <c r="F152" s="29" t="e">
        <f t="shared" si="13"/>
        <v>#REF!</v>
      </c>
      <c r="G152" s="29" t="e">
        <f>일위대가목록!#REF!</f>
        <v>#REF!</v>
      </c>
      <c r="H152" s="29" t="e">
        <f t="shared" si="14"/>
        <v>#REF!</v>
      </c>
      <c r="I152" s="29" t="e">
        <f>일위대가목록!#REF!</f>
        <v>#REF!</v>
      </c>
      <c r="J152" s="29" t="e">
        <f t="shared" si="15"/>
        <v>#REF!</v>
      </c>
      <c r="K152" s="29" t="e">
        <f t="shared" si="17"/>
        <v>#REF!</v>
      </c>
      <c r="L152" s="29" t="e">
        <f t="shared" si="16"/>
        <v>#REF!</v>
      </c>
      <c r="M152" s="20" t="s">
        <v>6232</v>
      </c>
      <c r="N152" t="s">
        <v>6232</v>
      </c>
      <c r="P152" t="s">
        <v>5273</v>
      </c>
      <c r="Q152" t="s">
        <v>6232</v>
      </c>
      <c r="R152" t="s">
        <v>3275</v>
      </c>
      <c r="T152" t="s">
        <v>3860</v>
      </c>
      <c r="BI152" s="52" t="str">
        <f>HYPERLINK("#일위대가목록!A189","S02001W040YA →")</f>
        <v>S02001W040YA →</v>
      </c>
    </row>
    <row r="153" spans="1:61" ht="18.399999999999999" customHeight="1">
      <c r="A153" s="11" t="s">
        <v>1578</v>
      </c>
      <c r="B153" s="2" t="s">
        <v>1993</v>
      </c>
      <c r="C153" s="2">
        <v>1</v>
      </c>
      <c r="D153" s="2" t="s">
        <v>2289</v>
      </c>
      <c r="E153" s="29" t="e">
        <f>일위대가목록!#REF!</f>
        <v>#REF!</v>
      </c>
      <c r="F153" s="29" t="e">
        <f t="shared" si="13"/>
        <v>#REF!</v>
      </c>
      <c r="G153" s="29" t="e">
        <f>일위대가목록!#REF!</f>
        <v>#REF!</v>
      </c>
      <c r="H153" s="29" t="e">
        <f t="shared" si="14"/>
        <v>#REF!</v>
      </c>
      <c r="I153" s="29" t="e">
        <f>일위대가목록!#REF!</f>
        <v>#REF!</v>
      </c>
      <c r="J153" s="29" t="e">
        <f t="shared" si="15"/>
        <v>#REF!</v>
      </c>
      <c r="K153" s="29" t="e">
        <f t="shared" si="17"/>
        <v>#REF!</v>
      </c>
      <c r="L153" s="29" t="e">
        <f t="shared" si="16"/>
        <v>#REF!</v>
      </c>
      <c r="M153" s="20" t="s">
        <v>6232</v>
      </c>
      <c r="N153" t="s">
        <v>6232</v>
      </c>
      <c r="P153" t="s">
        <v>3703</v>
      </c>
      <c r="Q153" t="s">
        <v>6232</v>
      </c>
      <c r="R153" t="s">
        <v>5503</v>
      </c>
      <c r="T153" t="s">
        <v>3860</v>
      </c>
      <c r="BI153" s="52" t="str">
        <f>HYPERLINK("#일위대가목록!A190","S02001W032 →")</f>
        <v>S02001W032 →</v>
      </c>
    </row>
    <row r="154" spans="1:61" ht="18.399999999999999" customHeight="1">
      <c r="A154" s="11" t="s">
        <v>123</v>
      </c>
      <c r="B154" s="2" t="s">
        <v>1993</v>
      </c>
      <c r="C154" s="2">
        <v>1</v>
      </c>
      <c r="D154" s="2" t="s">
        <v>2289</v>
      </c>
      <c r="E154" s="29" t="e">
        <f>일위대가목록!#REF!</f>
        <v>#REF!</v>
      </c>
      <c r="F154" s="29" t="e">
        <f t="shared" si="13"/>
        <v>#REF!</v>
      </c>
      <c r="G154" s="29" t="e">
        <f>일위대가목록!#REF!</f>
        <v>#REF!</v>
      </c>
      <c r="H154" s="29" t="e">
        <f t="shared" si="14"/>
        <v>#REF!</v>
      </c>
      <c r="I154" s="29" t="e">
        <f>일위대가목록!#REF!</f>
        <v>#REF!</v>
      </c>
      <c r="J154" s="29" t="e">
        <f t="shared" si="15"/>
        <v>#REF!</v>
      </c>
      <c r="K154" s="29" t="e">
        <f t="shared" si="17"/>
        <v>#REF!</v>
      </c>
      <c r="L154" s="29" t="e">
        <f t="shared" si="16"/>
        <v>#REF!</v>
      </c>
      <c r="M154" s="20" t="s">
        <v>6232</v>
      </c>
      <c r="N154" t="s">
        <v>6232</v>
      </c>
      <c r="P154" t="s">
        <v>5602</v>
      </c>
      <c r="Q154" t="s">
        <v>6232</v>
      </c>
      <c r="R154" t="s">
        <v>2305</v>
      </c>
      <c r="T154" t="s">
        <v>3860</v>
      </c>
      <c r="BI154" s="52" t="str">
        <f>HYPERLINK("#일위대가목록!A191","S02001W032YA →")</f>
        <v>S02001W032YA →</v>
      </c>
    </row>
    <row r="155" spans="1:61" ht="18.399999999999999" customHeight="1">
      <c r="A155" s="11" t="s">
        <v>1578</v>
      </c>
      <c r="B155" s="2" t="s">
        <v>3967</v>
      </c>
      <c r="C155" s="2">
        <v>1</v>
      </c>
      <c r="D155" s="2" t="s">
        <v>2289</v>
      </c>
      <c r="E155" s="29" t="e">
        <f>일위대가목록!#REF!</f>
        <v>#REF!</v>
      </c>
      <c r="F155" s="29" t="e">
        <f t="shared" si="13"/>
        <v>#REF!</v>
      </c>
      <c r="G155" s="29" t="e">
        <f>일위대가목록!#REF!</f>
        <v>#REF!</v>
      </c>
      <c r="H155" s="29" t="e">
        <f t="shared" si="14"/>
        <v>#REF!</v>
      </c>
      <c r="I155" s="29" t="e">
        <f>일위대가목록!#REF!</f>
        <v>#REF!</v>
      </c>
      <c r="J155" s="29" t="e">
        <f t="shared" si="15"/>
        <v>#REF!</v>
      </c>
      <c r="K155" s="29" t="e">
        <f t="shared" si="17"/>
        <v>#REF!</v>
      </c>
      <c r="L155" s="29" t="e">
        <f t="shared" si="16"/>
        <v>#REF!</v>
      </c>
      <c r="M155" s="20" t="s">
        <v>6232</v>
      </c>
      <c r="N155" t="s">
        <v>6232</v>
      </c>
      <c r="P155" t="s">
        <v>4078</v>
      </c>
      <c r="Q155" t="s">
        <v>6232</v>
      </c>
      <c r="R155" t="s">
        <v>4</v>
      </c>
      <c r="T155" t="s">
        <v>3860</v>
      </c>
      <c r="BI155" s="52" t="str">
        <f>HYPERLINK("#일위대가목록!A192","S02001W025 →")</f>
        <v>S02001W025 →</v>
      </c>
    </row>
    <row r="156" spans="1:61" ht="18.399999999999999" customHeight="1">
      <c r="A156" s="11" t="s">
        <v>123</v>
      </c>
      <c r="B156" s="2" t="s">
        <v>3967</v>
      </c>
      <c r="C156" s="2">
        <v>1</v>
      </c>
      <c r="D156" s="2" t="s">
        <v>2289</v>
      </c>
      <c r="E156" s="29" t="e">
        <f>일위대가목록!#REF!</f>
        <v>#REF!</v>
      </c>
      <c r="F156" s="29" t="e">
        <f t="shared" si="13"/>
        <v>#REF!</v>
      </c>
      <c r="G156" s="29" t="e">
        <f>일위대가목록!#REF!</f>
        <v>#REF!</v>
      </c>
      <c r="H156" s="29" t="e">
        <f t="shared" si="14"/>
        <v>#REF!</v>
      </c>
      <c r="I156" s="29" t="e">
        <f>일위대가목록!#REF!</f>
        <v>#REF!</v>
      </c>
      <c r="J156" s="29" t="e">
        <f t="shared" si="15"/>
        <v>#REF!</v>
      </c>
      <c r="K156" s="29" t="e">
        <f t="shared" si="17"/>
        <v>#REF!</v>
      </c>
      <c r="L156" s="29" t="e">
        <f t="shared" si="16"/>
        <v>#REF!</v>
      </c>
      <c r="M156" s="20" t="s">
        <v>6232</v>
      </c>
      <c r="N156" t="s">
        <v>6232</v>
      </c>
      <c r="P156" t="s">
        <v>2437</v>
      </c>
      <c r="Q156" t="s">
        <v>6232</v>
      </c>
      <c r="R156" t="s">
        <v>4626</v>
      </c>
      <c r="T156" t="s">
        <v>3860</v>
      </c>
      <c r="BI156" s="52" t="str">
        <f>HYPERLINK("#일위대가목록!A193","S02001W025YA →")</f>
        <v>S02001W025YA →</v>
      </c>
    </row>
    <row r="157" spans="1:61" ht="18.399999999999999" customHeight="1">
      <c r="A157" s="11" t="s">
        <v>1578</v>
      </c>
      <c r="B157" s="2" t="s">
        <v>5596</v>
      </c>
      <c r="C157" s="2">
        <v>1</v>
      </c>
      <c r="D157" s="2" t="s">
        <v>2289</v>
      </c>
      <c r="E157" s="29" t="e">
        <f>일위대가목록!#REF!</f>
        <v>#REF!</v>
      </c>
      <c r="F157" s="29" t="e">
        <f t="shared" si="13"/>
        <v>#REF!</v>
      </c>
      <c r="G157" s="29" t="e">
        <f>일위대가목록!#REF!</f>
        <v>#REF!</v>
      </c>
      <c r="H157" s="29" t="e">
        <f t="shared" si="14"/>
        <v>#REF!</v>
      </c>
      <c r="I157" s="29" t="e">
        <f>일위대가목록!#REF!</f>
        <v>#REF!</v>
      </c>
      <c r="J157" s="29" t="e">
        <f t="shared" si="15"/>
        <v>#REF!</v>
      </c>
      <c r="K157" s="29" t="e">
        <f t="shared" si="17"/>
        <v>#REF!</v>
      </c>
      <c r="L157" s="29" t="e">
        <f t="shared" si="16"/>
        <v>#REF!</v>
      </c>
      <c r="M157" s="20" t="s">
        <v>6232</v>
      </c>
      <c r="N157" t="s">
        <v>6232</v>
      </c>
      <c r="P157" t="s">
        <v>901</v>
      </c>
      <c r="Q157" t="s">
        <v>6232</v>
      </c>
      <c r="R157" t="s">
        <v>3465</v>
      </c>
      <c r="T157" t="s">
        <v>3860</v>
      </c>
      <c r="BI157" s="52" t="str">
        <f>HYPERLINK("#일위대가목록!A194","S02001W020 →")</f>
        <v>S02001W020 →</v>
      </c>
    </row>
    <row r="158" spans="1:61" ht="18.399999999999999" customHeight="1">
      <c r="A158" s="11" t="s">
        <v>123</v>
      </c>
      <c r="B158" s="2" t="s">
        <v>5596</v>
      </c>
      <c r="C158" s="2">
        <v>1</v>
      </c>
      <c r="D158" s="2" t="s">
        <v>2289</v>
      </c>
      <c r="E158" s="29" t="e">
        <f>일위대가목록!#REF!</f>
        <v>#REF!</v>
      </c>
      <c r="F158" s="29" t="e">
        <f t="shared" si="13"/>
        <v>#REF!</v>
      </c>
      <c r="G158" s="29" t="e">
        <f>일위대가목록!#REF!</f>
        <v>#REF!</v>
      </c>
      <c r="H158" s="29" t="e">
        <f t="shared" si="14"/>
        <v>#REF!</v>
      </c>
      <c r="I158" s="29" t="e">
        <f>일위대가목록!#REF!</f>
        <v>#REF!</v>
      </c>
      <c r="J158" s="29" t="e">
        <f t="shared" si="15"/>
        <v>#REF!</v>
      </c>
      <c r="K158" s="29" t="e">
        <f t="shared" si="17"/>
        <v>#REF!</v>
      </c>
      <c r="L158" s="29" t="e">
        <f t="shared" si="16"/>
        <v>#REF!</v>
      </c>
      <c r="M158" s="20" t="s">
        <v>6232</v>
      </c>
      <c r="N158" t="s">
        <v>6232</v>
      </c>
      <c r="P158" t="s">
        <v>5480</v>
      </c>
      <c r="Q158" t="s">
        <v>6232</v>
      </c>
      <c r="R158" t="s">
        <v>2015</v>
      </c>
      <c r="T158" t="s">
        <v>3860</v>
      </c>
      <c r="BI158" s="52" t="str">
        <f>HYPERLINK("#일위대가목록!A195","S02001W020YA →")</f>
        <v>S02001W020YA →</v>
      </c>
    </row>
    <row r="159" spans="1:61" ht="18.399999999999999" customHeight="1">
      <c r="A159" s="11" t="s">
        <v>1544</v>
      </c>
      <c r="B159" s="2" t="s">
        <v>6232</v>
      </c>
      <c r="C159" s="2"/>
      <c r="D159" s="2" t="s">
        <v>6232</v>
      </c>
      <c r="E159" s="1"/>
      <c r="F159" s="29" t="e">
        <f>TRUNC(SUM(AF159:AF160),0)</f>
        <v>#REF!</v>
      </c>
      <c r="G159" s="1"/>
      <c r="H159" s="29" t="e">
        <f>TRUNC(SUM(AG159:AG160),0)</f>
        <v>#REF!</v>
      </c>
      <c r="I159" s="1"/>
      <c r="J159" s="29" t="e">
        <f>TRUNC(SUM(AH159:AH160),0)</f>
        <v>#REF!</v>
      </c>
      <c r="K159" s="29">
        <f t="shared" si="17"/>
        <v>0</v>
      </c>
      <c r="L159" s="29" t="e">
        <f t="shared" si="16"/>
        <v>#REF!</v>
      </c>
      <c r="M159" s="20" t="s">
        <v>6232</v>
      </c>
      <c r="N159" t="s">
        <v>6232</v>
      </c>
      <c r="P159" t="s">
        <v>3963</v>
      </c>
      <c r="Q159" t="s">
        <v>6232</v>
      </c>
      <c r="R159" t="s">
        <v>6232</v>
      </c>
      <c r="AF159" s="29" t="e">
        <f>F158+F157+F156+F155+F154+F153+F152+F151+F150+F149+F148+F147+F146+F145+F144+F143+F142+F141+F140+F139+F138+F137+F136+F135+F134+F133+F132+F131+F130+F129</f>
        <v>#REF!</v>
      </c>
      <c r="AG159" s="29" t="e">
        <f>H158+H157+H156+H155+H154+H153+H152+H151+H150+H149+H148+H147+H146+H145+H144+H143+H142+H141+H140+H139+H138+H137+H136+H135+H134+H133+H132+H131+H130+H129</f>
        <v>#REF!</v>
      </c>
      <c r="AH159" s="29" t="e">
        <f>J158+J157+J156+J155+J154+J153+J152+J151+J150+J149+J148+J147+J146+J145+J144+J143+J142+J141+J140+J139+J138+J137+J136+J135+J134+J133+J132+J131+J130+J129</f>
        <v>#REF!</v>
      </c>
    </row>
    <row r="160" spans="1:61" ht="18.399999999999999" customHeight="1">
      <c r="A160" s="11" t="s">
        <v>2495</v>
      </c>
      <c r="B160" s="2" t="s">
        <v>6232</v>
      </c>
      <c r="C160" s="2"/>
      <c r="D160" s="2" t="s">
        <v>6232</v>
      </c>
      <c r="E160" s="1"/>
      <c r="F160" s="29">
        <v>0</v>
      </c>
      <c r="G160" s="1"/>
      <c r="H160" s="29">
        <v>0</v>
      </c>
      <c r="I160" s="1"/>
      <c r="J160" s="29">
        <v>0</v>
      </c>
      <c r="K160" s="29">
        <f t="shared" si="17"/>
        <v>0</v>
      </c>
      <c r="L160" s="29">
        <f t="shared" si="16"/>
        <v>0</v>
      </c>
      <c r="M160" s="20" t="s">
        <v>6232</v>
      </c>
      <c r="N160" t="s">
        <v>6232</v>
      </c>
      <c r="P160" t="s">
        <v>2313</v>
      </c>
      <c r="Q160" t="s">
        <v>6232</v>
      </c>
      <c r="R160" t="s">
        <v>6232</v>
      </c>
      <c r="AF160" s="29" t="e">
        <f>F128+F127+F126+F125+F124+F123+F122+F121+F120+F119+F118+F117+F116+F115</f>
        <v>#REF!</v>
      </c>
      <c r="AG160" s="29" t="e">
        <f>H128+H127+H126+H125+H124+H123+H122+H121+H120+H119+H118+H117+H116+H115</f>
        <v>#REF!</v>
      </c>
      <c r="AH160" s="29" t="e">
        <f>J128+J127+J126+J125+J124+J123+J122+J121+J120+J119+J118+J117+J116+J115</f>
        <v>#REF!</v>
      </c>
    </row>
    <row r="161" spans="1:61" ht="18.399999999999999" customHeight="1">
      <c r="A161" s="11" t="s">
        <v>4231</v>
      </c>
      <c r="B161" s="2" t="s">
        <v>6232</v>
      </c>
      <c r="C161" s="2"/>
      <c r="D161" s="2" t="s">
        <v>6232</v>
      </c>
      <c r="E161" s="1"/>
      <c r="F161" s="29">
        <v>0</v>
      </c>
      <c r="G161" s="1"/>
      <c r="H161" s="29">
        <v>0</v>
      </c>
      <c r="I161" s="1"/>
      <c r="J161" s="29">
        <v>0</v>
      </c>
      <c r="K161" s="29">
        <f t="shared" si="17"/>
        <v>0</v>
      </c>
      <c r="L161" s="29">
        <f t="shared" si="16"/>
        <v>0</v>
      </c>
      <c r="M161" s="20" t="s">
        <v>6232</v>
      </c>
      <c r="N161" t="s">
        <v>6232</v>
      </c>
      <c r="P161" t="s">
        <v>777</v>
      </c>
      <c r="Q161" t="s">
        <v>6232</v>
      </c>
      <c r="R161" t="s">
        <v>6232</v>
      </c>
    </row>
    <row r="162" spans="1:61" ht="18.399999999999999" customHeight="1">
      <c r="A162" s="11" t="s">
        <v>4231</v>
      </c>
      <c r="B162" s="2" t="s">
        <v>3254</v>
      </c>
      <c r="C162" s="2">
        <v>1</v>
      </c>
      <c r="D162" s="2" t="s">
        <v>2289</v>
      </c>
      <c r="E162" s="29" t="e">
        <f>일위대가목록!#REF!</f>
        <v>#REF!</v>
      </c>
      <c r="F162" s="29" t="e">
        <f t="shared" ref="F162:F205" si="18">TRUNC(E162*C162,0)</f>
        <v>#REF!</v>
      </c>
      <c r="G162" s="29" t="e">
        <f>일위대가목록!#REF!</f>
        <v>#REF!</v>
      </c>
      <c r="H162" s="29" t="e">
        <f t="shared" ref="H162:H205" si="19">TRUNC(G162*C162,0)</f>
        <v>#REF!</v>
      </c>
      <c r="I162" s="29" t="e">
        <f>일위대가목록!#REF!</f>
        <v>#REF!</v>
      </c>
      <c r="J162" s="29" t="e">
        <f t="shared" ref="J162:J205" si="20">TRUNC(I162*C162,0)</f>
        <v>#REF!</v>
      </c>
      <c r="K162" s="29" t="e">
        <f t="shared" si="17"/>
        <v>#REF!</v>
      </c>
      <c r="L162" s="29" t="e">
        <f t="shared" si="16"/>
        <v>#REF!</v>
      </c>
      <c r="M162" s="20" t="s">
        <v>6232</v>
      </c>
      <c r="N162" t="s">
        <v>6232</v>
      </c>
      <c r="P162" t="s">
        <v>5780</v>
      </c>
      <c r="Q162" t="s">
        <v>6232</v>
      </c>
      <c r="R162" t="s">
        <v>317</v>
      </c>
      <c r="T162" t="s">
        <v>3860</v>
      </c>
      <c r="BI162" s="52" t="str">
        <f>HYPERLINK("#일위대가목록!A196","S13030W750 →")</f>
        <v>S13030W750 →</v>
      </c>
    </row>
    <row r="163" spans="1:61" ht="18.399999999999999" customHeight="1">
      <c r="A163" s="11" t="s">
        <v>355</v>
      </c>
      <c r="B163" s="2" t="s">
        <v>3254</v>
      </c>
      <c r="C163" s="2">
        <v>1</v>
      </c>
      <c r="D163" s="2" t="s">
        <v>2289</v>
      </c>
      <c r="E163" s="29" t="e">
        <f>일위대가목록!#REF!</f>
        <v>#REF!</v>
      </c>
      <c r="F163" s="29" t="e">
        <f t="shared" si="18"/>
        <v>#REF!</v>
      </c>
      <c r="G163" s="29" t="e">
        <f>일위대가목록!#REF!</f>
        <v>#REF!</v>
      </c>
      <c r="H163" s="29" t="e">
        <f t="shared" si="19"/>
        <v>#REF!</v>
      </c>
      <c r="I163" s="29" t="e">
        <f>일위대가목록!#REF!</f>
        <v>#REF!</v>
      </c>
      <c r="J163" s="29" t="e">
        <f t="shared" si="20"/>
        <v>#REF!</v>
      </c>
      <c r="K163" s="29" t="e">
        <f t="shared" si="17"/>
        <v>#REF!</v>
      </c>
      <c r="L163" s="29" t="e">
        <f t="shared" si="16"/>
        <v>#REF!</v>
      </c>
      <c r="M163" s="20" t="s">
        <v>6232</v>
      </c>
      <c r="N163" t="s">
        <v>6232</v>
      </c>
      <c r="P163" t="s">
        <v>4250</v>
      </c>
      <c r="Q163" t="s">
        <v>6232</v>
      </c>
      <c r="R163" t="s">
        <v>2008</v>
      </c>
      <c r="T163" t="s">
        <v>3860</v>
      </c>
      <c r="BI163" s="52" t="str">
        <f>HYPERLINK("#일위대가목록!A197","S13030W750YA →")</f>
        <v>S13030W750YA →</v>
      </c>
    </row>
    <row r="164" spans="1:61" ht="18.399999999999999" customHeight="1">
      <c r="A164" s="11" t="s">
        <v>4231</v>
      </c>
      <c r="B164" s="2" t="s">
        <v>6225</v>
      </c>
      <c r="C164" s="2">
        <v>1</v>
      </c>
      <c r="D164" s="2" t="s">
        <v>2289</v>
      </c>
      <c r="E164" s="29" t="e">
        <f>일위대가목록!#REF!</f>
        <v>#REF!</v>
      </c>
      <c r="F164" s="29" t="e">
        <f t="shared" si="18"/>
        <v>#REF!</v>
      </c>
      <c r="G164" s="29" t="e">
        <f>일위대가목록!#REF!</f>
        <v>#REF!</v>
      </c>
      <c r="H164" s="29" t="e">
        <f t="shared" si="19"/>
        <v>#REF!</v>
      </c>
      <c r="I164" s="29" t="e">
        <f>일위대가목록!#REF!</f>
        <v>#REF!</v>
      </c>
      <c r="J164" s="29" t="e">
        <f t="shared" si="20"/>
        <v>#REF!</v>
      </c>
      <c r="K164" s="29" t="e">
        <f t="shared" si="17"/>
        <v>#REF!</v>
      </c>
      <c r="L164" s="29" t="e">
        <f t="shared" si="16"/>
        <v>#REF!</v>
      </c>
      <c r="M164" s="20" t="s">
        <v>6232</v>
      </c>
      <c r="N164" t="s">
        <v>6232</v>
      </c>
      <c r="P164" t="s">
        <v>5334</v>
      </c>
      <c r="Q164" t="s">
        <v>6232</v>
      </c>
      <c r="R164" t="s">
        <v>1799</v>
      </c>
      <c r="T164" t="s">
        <v>3860</v>
      </c>
      <c r="BI164" s="52" t="str">
        <f>HYPERLINK("#일위대가목록!A198","S13030W700 →")</f>
        <v>S13030W700 →</v>
      </c>
    </row>
    <row r="165" spans="1:61" ht="18.399999999999999" customHeight="1">
      <c r="A165" s="11" t="s">
        <v>355</v>
      </c>
      <c r="B165" s="2" t="s">
        <v>6225</v>
      </c>
      <c r="C165" s="2">
        <v>1</v>
      </c>
      <c r="D165" s="2" t="s">
        <v>2289</v>
      </c>
      <c r="E165" s="29" t="e">
        <f>일위대가목록!#REF!</f>
        <v>#REF!</v>
      </c>
      <c r="F165" s="29" t="e">
        <f t="shared" si="18"/>
        <v>#REF!</v>
      </c>
      <c r="G165" s="29" t="e">
        <f>일위대가목록!#REF!</f>
        <v>#REF!</v>
      </c>
      <c r="H165" s="29" t="e">
        <f t="shared" si="19"/>
        <v>#REF!</v>
      </c>
      <c r="I165" s="29" t="e">
        <f>일위대가목록!#REF!</f>
        <v>#REF!</v>
      </c>
      <c r="J165" s="29" t="e">
        <f t="shared" si="20"/>
        <v>#REF!</v>
      </c>
      <c r="K165" s="29" t="e">
        <f t="shared" si="17"/>
        <v>#REF!</v>
      </c>
      <c r="L165" s="29" t="e">
        <f t="shared" si="16"/>
        <v>#REF!</v>
      </c>
      <c r="M165" s="20" t="s">
        <v>6232</v>
      </c>
      <c r="N165" t="s">
        <v>6232</v>
      </c>
      <c r="P165" t="s">
        <v>3758</v>
      </c>
      <c r="Q165" t="s">
        <v>6232</v>
      </c>
      <c r="R165" t="s">
        <v>2488</v>
      </c>
      <c r="T165" t="s">
        <v>3860</v>
      </c>
      <c r="BI165" s="52" t="str">
        <f>HYPERLINK("#일위대가목록!A199","S13030W700YA →")</f>
        <v>S13030W700YA →</v>
      </c>
    </row>
    <row r="166" spans="1:61" ht="18.399999999999999" customHeight="1">
      <c r="A166" s="11" t="s">
        <v>4231</v>
      </c>
      <c r="B166" s="2" t="s">
        <v>384</v>
      </c>
      <c r="C166" s="2">
        <v>1</v>
      </c>
      <c r="D166" s="2" t="s">
        <v>2289</v>
      </c>
      <c r="E166" s="29" t="e">
        <f>일위대가목록!#REF!</f>
        <v>#REF!</v>
      </c>
      <c r="F166" s="29" t="e">
        <f t="shared" si="18"/>
        <v>#REF!</v>
      </c>
      <c r="G166" s="29" t="e">
        <f>일위대가목록!#REF!</f>
        <v>#REF!</v>
      </c>
      <c r="H166" s="29" t="e">
        <f t="shared" si="19"/>
        <v>#REF!</v>
      </c>
      <c r="I166" s="29" t="e">
        <f>일위대가목록!#REF!</f>
        <v>#REF!</v>
      </c>
      <c r="J166" s="29" t="e">
        <f t="shared" si="20"/>
        <v>#REF!</v>
      </c>
      <c r="K166" s="29" t="e">
        <f t="shared" si="17"/>
        <v>#REF!</v>
      </c>
      <c r="L166" s="29" t="e">
        <f t="shared" si="16"/>
        <v>#REF!</v>
      </c>
      <c r="M166" s="20" t="s">
        <v>6232</v>
      </c>
      <c r="N166" t="s">
        <v>6232</v>
      </c>
      <c r="P166" t="s">
        <v>2149</v>
      </c>
      <c r="Q166" t="s">
        <v>6232</v>
      </c>
      <c r="R166" t="s">
        <v>1363</v>
      </c>
      <c r="T166" t="s">
        <v>3860</v>
      </c>
      <c r="BI166" s="52" t="str">
        <f>HYPERLINK("#일위대가목록!A200","S13030W650 →")</f>
        <v>S13030W650 →</v>
      </c>
    </row>
    <row r="167" spans="1:61" ht="18.399999999999999" customHeight="1">
      <c r="A167" s="11" t="s">
        <v>355</v>
      </c>
      <c r="B167" s="2" t="s">
        <v>384</v>
      </c>
      <c r="C167" s="2">
        <v>1</v>
      </c>
      <c r="D167" s="2" t="s">
        <v>2289</v>
      </c>
      <c r="E167" s="29" t="e">
        <f>일위대가목록!#REF!</f>
        <v>#REF!</v>
      </c>
      <c r="F167" s="29" t="e">
        <f t="shared" si="18"/>
        <v>#REF!</v>
      </c>
      <c r="G167" s="29" t="e">
        <f>일위대가목록!#REF!</f>
        <v>#REF!</v>
      </c>
      <c r="H167" s="29" t="e">
        <f t="shared" si="19"/>
        <v>#REF!</v>
      </c>
      <c r="I167" s="29" t="e">
        <f>일위대가목록!#REF!</f>
        <v>#REF!</v>
      </c>
      <c r="J167" s="29" t="e">
        <f t="shared" si="20"/>
        <v>#REF!</v>
      </c>
      <c r="K167" s="29" t="e">
        <f t="shared" si="17"/>
        <v>#REF!</v>
      </c>
      <c r="L167" s="29" t="e">
        <f t="shared" si="16"/>
        <v>#REF!</v>
      </c>
      <c r="M167" s="20" t="s">
        <v>6232</v>
      </c>
      <c r="N167" t="s">
        <v>6232</v>
      </c>
      <c r="P167" t="s">
        <v>606</v>
      </c>
      <c r="Q167" t="s">
        <v>6232</v>
      </c>
      <c r="R167" t="s">
        <v>5539</v>
      </c>
      <c r="T167" t="s">
        <v>3860</v>
      </c>
      <c r="BI167" s="52" t="str">
        <f>HYPERLINK("#일위대가목록!A201","S13030W650YA →")</f>
        <v>S13030W650YA →</v>
      </c>
    </row>
    <row r="168" spans="1:61" ht="18.399999999999999" customHeight="1">
      <c r="A168" s="11" t="s">
        <v>4231</v>
      </c>
      <c r="B168" s="2" t="s">
        <v>2517</v>
      </c>
      <c r="C168" s="2">
        <v>1</v>
      </c>
      <c r="D168" s="2" t="s">
        <v>2289</v>
      </c>
      <c r="E168" s="29" t="e">
        <f>일위대가목록!#REF!</f>
        <v>#REF!</v>
      </c>
      <c r="F168" s="29" t="e">
        <f t="shared" si="18"/>
        <v>#REF!</v>
      </c>
      <c r="G168" s="29" t="e">
        <f>일위대가목록!#REF!</f>
        <v>#REF!</v>
      </c>
      <c r="H168" s="29" t="e">
        <f t="shared" si="19"/>
        <v>#REF!</v>
      </c>
      <c r="I168" s="29" t="e">
        <f>일위대가목록!#REF!</f>
        <v>#REF!</v>
      </c>
      <c r="J168" s="29" t="e">
        <f t="shared" si="20"/>
        <v>#REF!</v>
      </c>
      <c r="K168" s="29" t="e">
        <f t="shared" si="17"/>
        <v>#REF!</v>
      </c>
      <c r="L168" s="29" t="e">
        <f t="shared" si="16"/>
        <v>#REF!</v>
      </c>
      <c r="M168" s="20" t="s">
        <v>6232</v>
      </c>
      <c r="N168" t="s">
        <v>6232</v>
      </c>
      <c r="P168" t="s">
        <v>5407</v>
      </c>
      <c r="Q168" t="s">
        <v>6232</v>
      </c>
      <c r="R168" t="s">
        <v>2995</v>
      </c>
      <c r="T168" t="s">
        <v>3860</v>
      </c>
      <c r="BI168" s="52" t="str">
        <f>HYPERLINK("#일위대가목록!A202","S13030W600 →")</f>
        <v>S13030W600 →</v>
      </c>
    </row>
    <row r="169" spans="1:61" ht="18.399999999999999" customHeight="1">
      <c r="A169" s="11" t="s">
        <v>355</v>
      </c>
      <c r="B169" s="2" t="s">
        <v>2517</v>
      </c>
      <c r="C169" s="2">
        <v>1</v>
      </c>
      <c r="D169" s="2" t="s">
        <v>2289</v>
      </c>
      <c r="E169" s="29" t="e">
        <f>일위대가목록!#REF!</f>
        <v>#REF!</v>
      </c>
      <c r="F169" s="29" t="e">
        <f t="shared" si="18"/>
        <v>#REF!</v>
      </c>
      <c r="G169" s="29" t="e">
        <f>일위대가목록!#REF!</f>
        <v>#REF!</v>
      </c>
      <c r="H169" s="29" t="e">
        <f t="shared" si="19"/>
        <v>#REF!</v>
      </c>
      <c r="I169" s="29" t="e">
        <f>일위대가목록!#REF!</f>
        <v>#REF!</v>
      </c>
      <c r="J169" s="29" t="e">
        <f t="shared" si="20"/>
        <v>#REF!</v>
      </c>
      <c r="K169" s="29" t="e">
        <f t="shared" si="17"/>
        <v>#REF!</v>
      </c>
      <c r="L169" s="29" t="e">
        <f t="shared" si="16"/>
        <v>#REF!</v>
      </c>
      <c r="M169" s="20" t="s">
        <v>6232</v>
      </c>
      <c r="N169" t="s">
        <v>6232</v>
      </c>
      <c r="P169" t="s">
        <v>3825</v>
      </c>
      <c r="Q169" t="s">
        <v>6232</v>
      </c>
      <c r="R169" t="s">
        <v>5204</v>
      </c>
      <c r="T169" t="s">
        <v>3860</v>
      </c>
      <c r="BI169" s="52" t="str">
        <f>HYPERLINK("#일위대가목록!A203","S13030W600YA →")</f>
        <v>S13030W600YA →</v>
      </c>
    </row>
    <row r="170" spans="1:61" ht="18.399999999999999" customHeight="1">
      <c r="A170" s="11" t="s">
        <v>4231</v>
      </c>
      <c r="B170" s="2" t="s">
        <v>5654</v>
      </c>
      <c r="C170" s="2">
        <v>1</v>
      </c>
      <c r="D170" s="2" t="s">
        <v>2289</v>
      </c>
      <c r="E170" s="29" t="e">
        <f>일위대가목록!#REF!</f>
        <v>#REF!</v>
      </c>
      <c r="F170" s="29" t="e">
        <f t="shared" si="18"/>
        <v>#REF!</v>
      </c>
      <c r="G170" s="29" t="e">
        <f>일위대가목록!#REF!</f>
        <v>#REF!</v>
      </c>
      <c r="H170" s="29" t="e">
        <f t="shared" si="19"/>
        <v>#REF!</v>
      </c>
      <c r="I170" s="29" t="e">
        <f>일위대가목록!#REF!</f>
        <v>#REF!</v>
      </c>
      <c r="J170" s="29" t="e">
        <f t="shared" si="20"/>
        <v>#REF!</v>
      </c>
      <c r="K170" s="29" t="e">
        <f t="shared" si="17"/>
        <v>#REF!</v>
      </c>
      <c r="L170" s="29" t="e">
        <f t="shared" si="16"/>
        <v>#REF!</v>
      </c>
      <c r="M170" s="20" t="s">
        <v>6232</v>
      </c>
      <c r="N170" t="s">
        <v>6232</v>
      </c>
      <c r="P170" t="s">
        <v>2247</v>
      </c>
      <c r="Q170" t="s">
        <v>6232</v>
      </c>
      <c r="R170" t="s">
        <v>2330</v>
      </c>
      <c r="T170" t="s">
        <v>3860</v>
      </c>
      <c r="BI170" s="52" t="str">
        <f>HYPERLINK("#일위대가목록!A204","S13030W550 →")</f>
        <v>S13030W550 →</v>
      </c>
    </row>
    <row r="171" spans="1:61" ht="18.399999999999999" customHeight="1">
      <c r="A171" s="11" t="s">
        <v>355</v>
      </c>
      <c r="B171" s="2" t="s">
        <v>5654</v>
      </c>
      <c r="C171" s="2">
        <v>1</v>
      </c>
      <c r="D171" s="2" t="s">
        <v>2289</v>
      </c>
      <c r="E171" s="29" t="e">
        <f>일위대가목록!#REF!</f>
        <v>#REF!</v>
      </c>
      <c r="F171" s="29" t="e">
        <f t="shared" si="18"/>
        <v>#REF!</v>
      </c>
      <c r="G171" s="29" t="e">
        <f>일위대가목록!#REF!</f>
        <v>#REF!</v>
      </c>
      <c r="H171" s="29" t="e">
        <f t="shared" si="19"/>
        <v>#REF!</v>
      </c>
      <c r="I171" s="29" t="e">
        <f>일위대가목록!#REF!</f>
        <v>#REF!</v>
      </c>
      <c r="J171" s="29" t="e">
        <f t="shared" si="20"/>
        <v>#REF!</v>
      </c>
      <c r="K171" s="29" t="e">
        <f t="shared" si="17"/>
        <v>#REF!</v>
      </c>
      <c r="L171" s="29" t="e">
        <f t="shared" si="16"/>
        <v>#REF!</v>
      </c>
      <c r="M171" s="20" t="s">
        <v>6232</v>
      </c>
      <c r="N171" t="s">
        <v>6232</v>
      </c>
      <c r="P171" t="s">
        <v>678</v>
      </c>
      <c r="Q171" t="s">
        <v>6232</v>
      </c>
      <c r="R171" t="s">
        <v>1256</v>
      </c>
      <c r="T171" t="s">
        <v>3860</v>
      </c>
      <c r="BI171" s="52" t="str">
        <f>HYPERLINK("#일위대가목록!A205","S13030W550YA →")</f>
        <v>S13030W550YA →</v>
      </c>
    </row>
    <row r="172" spans="1:61" ht="18.399999999999999" customHeight="1">
      <c r="A172" s="11" t="s">
        <v>4231</v>
      </c>
      <c r="B172" s="2" t="s">
        <v>3482</v>
      </c>
      <c r="C172" s="2">
        <v>1</v>
      </c>
      <c r="D172" s="2" t="s">
        <v>2289</v>
      </c>
      <c r="E172" s="29" t="e">
        <f>일위대가목록!#REF!</f>
        <v>#REF!</v>
      </c>
      <c r="F172" s="29" t="e">
        <f t="shared" si="18"/>
        <v>#REF!</v>
      </c>
      <c r="G172" s="29" t="e">
        <f>일위대가목록!#REF!</f>
        <v>#REF!</v>
      </c>
      <c r="H172" s="29" t="e">
        <f t="shared" si="19"/>
        <v>#REF!</v>
      </c>
      <c r="I172" s="29" t="e">
        <f>일위대가목록!#REF!</f>
        <v>#REF!</v>
      </c>
      <c r="J172" s="29" t="e">
        <f t="shared" si="20"/>
        <v>#REF!</v>
      </c>
      <c r="K172" s="29" t="e">
        <f t="shared" si="17"/>
        <v>#REF!</v>
      </c>
      <c r="L172" s="29" t="e">
        <f t="shared" si="16"/>
        <v>#REF!</v>
      </c>
      <c r="M172" s="20" t="s">
        <v>6232</v>
      </c>
      <c r="N172" t="s">
        <v>6232</v>
      </c>
      <c r="P172" t="s">
        <v>5118</v>
      </c>
      <c r="Q172" t="s">
        <v>6232</v>
      </c>
      <c r="R172" t="s">
        <v>894</v>
      </c>
      <c r="T172" t="s">
        <v>3860</v>
      </c>
      <c r="BI172" s="52" t="str">
        <f>HYPERLINK("#일위대가목록!A206","S13030W500 →")</f>
        <v>S13030W500 →</v>
      </c>
    </row>
    <row r="173" spans="1:61" ht="18.399999999999999" customHeight="1">
      <c r="A173" s="11" t="s">
        <v>355</v>
      </c>
      <c r="B173" s="2" t="s">
        <v>3482</v>
      </c>
      <c r="C173" s="2">
        <v>1</v>
      </c>
      <c r="D173" s="2" t="s">
        <v>2289</v>
      </c>
      <c r="E173" s="29" t="e">
        <f>일위대가목록!#REF!</f>
        <v>#REF!</v>
      </c>
      <c r="F173" s="29" t="e">
        <f t="shared" si="18"/>
        <v>#REF!</v>
      </c>
      <c r="G173" s="29" t="e">
        <f>일위대가목록!#REF!</f>
        <v>#REF!</v>
      </c>
      <c r="H173" s="29" t="e">
        <f t="shared" si="19"/>
        <v>#REF!</v>
      </c>
      <c r="I173" s="29" t="e">
        <f>일위대가목록!#REF!</f>
        <v>#REF!</v>
      </c>
      <c r="J173" s="29" t="e">
        <f t="shared" si="20"/>
        <v>#REF!</v>
      </c>
      <c r="K173" s="29" t="e">
        <f t="shared" si="17"/>
        <v>#REF!</v>
      </c>
      <c r="L173" s="29" t="e">
        <f t="shared" si="16"/>
        <v>#REF!</v>
      </c>
      <c r="M173" s="20" t="s">
        <v>6232</v>
      </c>
      <c r="N173" t="s">
        <v>6232</v>
      </c>
      <c r="P173" t="s">
        <v>3527</v>
      </c>
      <c r="Q173" t="s">
        <v>6232</v>
      </c>
      <c r="R173" t="s">
        <v>150</v>
      </c>
      <c r="T173" t="s">
        <v>3860</v>
      </c>
      <c r="BI173" s="52" t="str">
        <f>HYPERLINK("#일위대가목록!A207","S13030W500YA →")</f>
        <v>S13030W500YA →</v>
      </c>
    </row>
    <row r="174" spans="1:61" ht="18.399999999999999" customHeight="1">
      <c r="A174" s="11" t="s">
        <v>4231</v>
      </c>
      <c r="B174" s="2" t="s">
        <v>3070</v>
      </c>
      <c r="C174" s="2">
        <v>1</v>
      </c>
      <c r="D174" s="2" t="s">
        <v>2289</v>
      </c>
      <c r="E174" s="29" t="e">
        <f>일위대가목록!#REF!</f>
        <v>#REF!</v>
      </c>
      <c r="F174" s="29" t="e">
        <f t="shared" si="18"/>
        <v>#REF!</v>
      </c>
      <c r="G174" s="29" t="e">
        <f>일위대가목록!#REF!</f>
        <v>#REF!</v>
      </c>
      <c r="H174" s="29" t="e">
        <f t="shared" si="19"/>
        <v>#REF!</v>
      </c>
      <c r="I174" s="29" t="e">
        <f>일위대가목록!#REF!</f>
        <v>#REF!</v>
      </c>
      <c r="J174" s="29" t="e">
        <f t="shared" si="20"/>
        <v>#REF!</v>
      </c>
      <c r="K174" s="29" t="e">
        <f t="shared" si="17"/>
        <v>#REF!</v>
      </c>
      <c r="L174" s="29" t="e">
        <f t="shared" si="16"/>
        <v>#REF!</v>
      </c>
      <c r="M174" s="20" t="s">
        <v>6232</v>
      </c>
      <c r="N174" t="s">
        <v>6232</v>
      </c>
      <c r="P174" t="s">
        <v>5746</v>
      </c>
      <c r="Q174" t="s">
        <v>6232</v>
      </c>
      <c r="R174" t="s">
        <v>2110</v>
      </c>
      <c r="T174" t="s">
        <v>3860</v>
      </c>
      <c r="BI174" s="52" t="str">
        <f>HYPERLINK("#일위대가목록!A208","S13030W450 →")</f>
        <v>S13030W450 →</v>
      </c>
    </row>
    <row r="175" spans="1:61" ht="18.399999999999999" customHeight="1">
      <c r="A175" s="11" t="s">
        <v>355</v>
      </c>
      <c r="B175" s="2" t="s">
        <v>3070</v>
      </c>
      <c r="C175" s="2">
        <v>1</v>
      </c>
      <c r="D175" s="2" t="s">
        <v>2289</v>
      </c>
      <c r="E175" s="29" t="e">
        <f>일위대가목록!#REF!</f>
        <v>#REF!</v>
      </c>
      <c r="F175" s="29" t="e">
        <f t="shared" si="18"/>
        <v>#REF!</v>
      </c>
      <c r="G175" s="29" t="e">
        <f>일위대가목록!#REF!</f>
        <v>#REF!</v>
      </c>
      <c r="H175" s="29" t="e">
        <f t="shared" si="19"/>
        <v>#REF!</v>
      </c>
      <c r="I175" s="29" t="e">
        <f>일위대가목록!#REF!</f>
        <v>#REF!</v>
      </c>
      <c r="J175" s="29" t="e">
        <f t="shared" si="20"/>
        <v>#REF!</v>
      </c>
      <c r="K175" s="29" t="e">
        <f t="shared" si="17"/>
        <v>#REF!</v>
      </c>
      <c r="L175" s="29" t="e">
        <f t="shared" si="16"/>
        <v>#REF!</v>
      </c>
      <c r="M175" s="20" t="s">
        <v>6232</v>
      </c>
      <c r="N175" t="s">
        <v>6232</v>
      </c>
      <c r="P175" t="s">
        <v>4219</v>
      </c>
      <c r="Q175" t="s">
        <v>6232</v>
      </c>
      <c r="R175" t="s">
        <v>3185</v>
      </c>
      <c r="T175" t="s">
        <v>3860</v>
      </c>
      <c r="BI175" s="52" t="str">
        <f>HYPERLINK("#일위대가목록!A209","S13030W450YA →")</f>
        <v>S13030W450YA →</v>
      </c>
    </row>
    <row r="176" spans="1:61" ht="18.399999999999999" customHeight="1">
      <c r="A176" s="11" t="s">
        <v>4231</v>
      </c>
      <c r="B176" s="2" t="s">
        <v>162</v>
      </c>
      <c r="C176" s="2">
        <v>1</v>
      </c>
      <c r="D176" s="2" t="s">
        <v>2289</v>
      </c>
      <c r="E176" s="29" t="e">
        <f>일위대가목록!#REF!</f>
        <v>#REF!</v>
      </c>
      <c r="F176" s="29" t="e">
        <f t="shared" si="18"/>
        <v>#REF!</v>
      </c>
      <c r="G176" s="29" t="e">
        <f>일위대가목록!#REF!</f>
        <v>#REF!</v>
      </c>
      <c r="H176" s="29" t="e">
        <f t="shared" si="19"/>
        <v>#REF!</v>
      </c>
      <c r="I176" s="29" t="e">
        <f>일위대가목록!#REF!</f>
        <v>#REF!</v>
      </c>
      <c r="J176" s="29" t="e">
        <f t="shared" si="20"/>
        <v>#REF!</v>
      </c>
      <c r="K176" s="29" t="e">
        <f t="shared" si="17"/>
        <v>#REF!</v>
      </c>
      <c r="L176" s="29" t="e">
        <f t="shared" si="16"/>
        <v>#REF!</v>
      </c>
      <c r="M176" s="20" t="s">
        <v>6232</v>
      </c>
      <c r="N176" t="s">
        <v>6232</v>
      </c>
      <c r="P176" t="s">
        <v>2664</v>
      </c>
      <c r="Q176" t="s">
        <v>6232</v>
      </c>
      <c r="R176" t="s">
        <v>436</v>
      </c>
      <c r="T176" t="s">
        <v>3860</v>
      </c>
      <c r="BI176" s="52" t="str">
        <f>HYPERLINK("#일위대가목록!A210","S13030W400 →")</f>
        <v>S13030W400 →</v>
      </c>
    </row>
    <row r="177" spans="1:61" ht="18.399999999999999" customHeight="1">
      <c r="A177" s="11" t="s">
        <v>355</v>
      </c>
      <c r="B177" s="2" t="s">
        <v>162</v>
      </c>
      <c r="C177" s="2">
        <v>1</v>
      </c>
      <c r="D177" s="2" t="s">
        <v>2289</v>
      </c>
      <c r="E177" s="29" t="e">
        <f>일위대가목록!#REF!</f>
        <v>#REF!</v>
      </c>
      <c r="F177" s="29" t="e">
        <f t="shared" si="18"/>
        <v>#REF!</v>
      </c>
      <c r="G177" s="29" t="e">
        <f>일위대가목록!#REF!</f>
        <v>#REF!</v>
      </c>
      <c r="H177" s="29" t="e">
        <f t="shared" si="19"/>
        <v>#REF!</v>
      </c>
      <c r="I177" s="29" t="e">
        <f>일위대가목록!#REF!</f>
        <v>#REF!</v>
      </c>
      <c r="J177" s="29" t="e">
        <f t="shared" si="20"/>
        <v>#REF!</v>
      </c>
      <c r="K177" s="29" t="e">
        <f t="shared" si="17"/>
        <v>#REF!</v>
      </c>
      <c r="L177" s="29" t="e">
        <f t="shared" si="16"/>
        <v>#REF!</v>
      </c>
      <c r="M177" s="20" t="s">
        <v>6232</v>
      </c>
      <c r="N177" t="s">
        <v>6232</v>
      </c>
      <c r="P177" t="s">
        <v>1144</v>
      </c>
      <c r="Q177" t="s">
        <v>6232</v>
      </c>
      <c r="R177" t="s">
        <v>4411</v>
      </c>
      <c r="T177" t="s">
        <v>3860</v>
      </c>
      <c r="BI177" s="52" t="str">
        <f>HYPERLINK("#일위대가목록!A211","S13030W400YA →")</f>
        <v>S13030W400YA →</v>
      </c>
    </row>
    <row r="178" spans="1:61" ht="18.399999999999999" customHeight="1">
      <c r="A178" s="11" t="s">
        <v>4231</v>
      </c>
      <c r="B178" s="2" t="s">
        <v>2151</v>
      </c>
      <c r="C178" s="2">
        <v>1</v>
      </c>
      <c r="D178" s="2" t="s">
        <v>2289</v>
      </c>
      <c r="E178" s="29" t="e">
        <f>일위대가목록!#REF!</f>
        <v>#REF!</v>
      </c>
      <c r="F178" s="29" t="e">
        <f t="shared" si="18"/>
        <v>#REF!</v>
      </c>
      <c r="G178" s="29" t="e">
        <f>일위대가목록!#REF!</f>
        <v>#REF!</v>
      </c>
      <c r="H178" s="29" t="e">
        <f t="shared" si="19"/>
        <v>#REF!</v>
      </c>
      <c r="I178" s="29" t="e">
        <f>일위대가목록!#REF!</f>
        <v>#REF!</v>
      </c>
      <c r="J178" s="29" t="e">
        <f t="shared" si="20"/>
        <v>#REF!</v>
      </c>
      <c r="K178" s="29" t="e">
        <f t="shared" si="17"/>
        <v>#REF!</v>
      </c>
      <c r="L178" s="29" t="e">
        <f t="shared" si="16"/>
        <v>#REF!</v>
      </c>
      <c r="M178" s="20" t="s">
        <v>6232</v>
      </c>
      <c r="N178" t="s">
        <v>6232</v>
      </c>
      <c r="P178" t="s">
        <v>5653</v>
      </c>
      <c r="Q178" t="s">
        <v>6232</v>
      </c>
      <c r="R178" t="s">
        <v>5104</v>
      </c>
      <c r="T178" t="s">
        <v>3860</v>
      </c>
      <c r="BI178" s="52" t="str">
        <f>HYPERLINK("#일위대가목록!A212","S13030W350 →")</f>
        <v>S13030W350 →</v>
      </c>
    </row>
    <row r="179" spans="1:61" ht="18.399999999999999" customHeight="1">
      <c r="A179" s="11" t="s">
        <v>355</v>
      </c>
      <c r="B179" s="2" t="s">
        <v>2151</v>
      </c>
      <c r="C179" s="2">
        <v>1</v>
      </c>
      <c r="D179" s="2" t="s">
        <v>2289</v>
      </c>
      <c r="E179" s="29" t="e">
        <f>일위대가목록!#REF!</f>
        <v>#REF!</v>
      </c>
      <c r="F179" s="29" t="e">
        <f t="shared" si="18"/>
        <v>#REF!</v>
      </c>
      <c r="G179" s="29" t="e">
        <f>일위대가목록!#REF!</f>
        <v>#REF!</v>
      </c>
      <c r="H179" s="29" t="e">
        <f t="shared" si="19"/>
        <v>#REF!</v>
      </c>
      <c r="I179" s="29" t="e">
        <f>일위대가목록!#REF!</f>
        <v>#REF!</v>
      </c>
      <c r="J179" s="29" t="e">
        <f t="shared" si="20"/>
        <v>#REF!</v>
      </c>
      <c r="K179" s="29" t="e">
        <f t="shared" si="17"/>
        <v>#REF!</v>
      </c>
      <c r="L179" s="29" t="e">
        <f t="shared" si="16"/>
        <v>#REF!</v>
      </c>
      <c r="M179" s="20" t="s">
        <v>6232</v>
      </c>
      <c r="N179" t="s">
        <v>6232</v>
      </c>
      <c r="P179" t="s">
        <v>4108</v>
      </c>
      <c r="Q179" t="s">
        <v>6232</v>
      </c>
      <c r="R179" t="s">
        <v>3601</v>
      </c>
      <c r="T179" t="s">
        <v>3860</v>
      </c>
      <c r="BI179" s="52" t="str">
        <f>HYPERLINK("#일위대가목록!A213","S13030W350YA →")</f>
        <v>S13030W350YA →</v>
      </c>
    </row>
    <row r="180" spans="1:61" ht="18.399999999999999" customHeight="1">
      <c r="A180" s="11" t="s">
        <v>4231</v>
      </c>
      <c r="B180" s="2" t="s">
        <v>785</v>
      </c>
      <c r="C180" s="2">
        <v>1</v>
      </c>
      <c r="D180" s="2" t="s">
        <v>2289</v>
      </c>
      <c r="E180" s="29" t="e">
        <f>일위대가목록!#REF!</f>
        <v>#REF!</v>
      </c>
      <c r="F180" s="29" t="e">
        <f t="shared" si="18"/>
        <v>#REF!</v>
      </c>
      <c r="G180" s="29" t="e">
        <f>일위대가목록!#REF!</f>
        <v>#REF!</v>
      </c>
      <c r="H180" s="29" t="e">
        <f t="shared" si="19"/>
        <v>#REF!</v>
      </c>
      <c r="I180" s="29" t="e">
        <f>일위대가목록!#REF!</f>
        <v>#REF!</v>
      </c>
      <c r="J180" s="29" t="e">
        <f t="shared" si="20"/>
        <v>#REF!</v>
      </c>
      <c r="K180" s="29" t="e">
        <f t="shared" si="17"/>
        <v>#REF!</v>
      </c>
      <c r="L180" s="29" t="e">
        <f t="shared" si="16"/>
        <v>#REF!</v>
      </c>
      <c r="M180" s="20" t="s">
        <v>6232</v>
      </c>
      <c r="N180" t="s">
        <v>6232</v>
      </c>
      <c r="P180" t="s">
        <v>2555</v>
      </c>
      <c r="Q180" t="s">
        <v>6232</v>
      </c>
      <c r="R180" t="s">
        <v>3674</v>
      </c>
      <c r="T180" t="s">
        <v>3860</v>
      </c>
      <c r="BI180" s="52" t="str">
        <f>HYPERLINK("#일위대가목록!A214","S13030W300 →")</f>
        <v>S13030W300 →</v>
      </c>
    </row>
    <row r="181" spans="1:61" ht="18.399999999999999" customHeight="1">
      <c r="A181" s="11" t="s">
        <v>355</v>
      </c>
      <c r="B181" s="2" t="s">
        <v>785</v>
      </c>
      <c r="C181" s="2">
        <v>1</v>
      </c>
      <c r="D181" s="2" t="s">
        <v>2289</v>
      </c>
      <c r="E181" s="29" t="e">
        <f>일위대가목록!#REF!</f>
        <v>#REF!</v>
      </c>
      <c r="F181" s="29" t="e">
        <f t="shared" si="18"/>
        <v>#REF!</v>
      </c>
      <c r="G181" s="29" t="e">
        <f>일위대가목록!#REF!</f>
        <v>#REF!</v>
      </c>
      <c r="H181" s="29" t="e">
        <f t="shared" si="19"/>
        <v>#REF!</v>
      </c>
      <c r="I181" s="29" t="e">
        <f>일위대가목록!#REF!</f>
        <v>#REF!</v>
      </c>
      <c r="J181" s="29" t="e">
        <f t="shared" si="20"/>
        <v>#REF!</v>
      </c>
      <c r="K181" s="29" t="e">
        <f t="shared" si="17"/>
        <v>#REF!</v>
      </c>
      <c r="L181" s="29" t="e">
        <f t="shared" si="16"/>
        <v>#REF!</v>
      </c>
      <c r="M181" s="20" t="s">
        <v>6232</v>
      </c>
      <c r="N181" t="s">
        <v>6232</v>
      </c>
      <c r="P181" t="s">
        <v>1033</v>
      </c>
      <c r="Q181" t="s">
        <v>6232</v>
      </c>
      <c r="R181" t="s">
        <v>4052</v>
      </c>
      <c r="T181" t="s">
        <v>3860</v>
      </c>
      <c r="BI181" s="52" t="str">
        <f>HYPERLINK("#일위대가목록!A215","S13030W300YA →")</f>
        <v>S13030W300YA →</v>
      </c>
    </row>
    <row r="182" spans="1:61" ht="18.399999999999999" customHeight="1">
      <c r="A182" s="11" t="s">
        <v>4231</v>
      </c>
      <c r="B182" s="2" t="s">
        <v>4997</v>
      </c>
      <c r="C182" s="2">
        <v>1</v>
      </c>
      <c r="D182" s="2" t="s">
        <v>2289</v>
      </c>
      <c r="E182" s="29" t="e">
        <f>일위대가목록!#REF!</f>
        <v>#REF!</v>
      </c>
      <c r="F182" s="29" t="e">
        <f t="shared" si="18"/>
        <v>#REF!</v>
      </c>
      <c r="G182" s="29" t="e">
        <f>일위대가목록!#REF!</f>
        <v>#REF!</v>
      </c>
      <c r="H182" s="29" t="e">
        <f t="shared" si="19"/>
        <v>#REF!</v>
      </c>
      <c r="I182" s="29" t="e">
        <f>일위대가목록!#REF!</f>
        <v>#REF!</v>
      </c>
      <c r="J182" s="29" t="e">
        <f t="shared" si="20"/>
        <v>#REF!</v>
      </c>
      <c r="K182" s="29" t="e">
        <f t="shared" si="17"/>
        <v>#REF!</v>
      </c>
      <c r="L182" s="29" t="e">
        <f t="shared" si="16"/>
        <v>#REF!</v>
      </c>
      <c r="M182" s="20" t="s">
        <v>6232</v>
      </c>
      <c r="N182" t="s">
        <v>6232</v>
      </c>
      <c r="P182" t="s">
        <v>5540</v>
      </c>
      <c r="Q182" t="s">
        <v>6232</v>
      </c>
      <c r="R182" t="s">
        <v>5580</v>
      </c>
      <c r="T182" t="s">
        <v>3860</v>
      </c>
      <c r="BI182" s="52" t="str">
        <f>HYPERLINK("#일위대가목록!A216","S13030W250 →")</f>
        <v>S13030W250 →</v>
      </c>
    </row>
    <row r="183" spans="1:61" ht="18.399999999999999" customHeight="1">
      <c r="A183" s="11" t="s">
        <v>355</v>
      </c>
      <c r="B183" s="2" t="s">
        <v>4997</v>
      </c>
      <c r="C183" s="2">
        <v>1</v>
      </c>
      <c r="D183" s="2" t="s">
        <v>2289</v>
      </c>
      <c r="E183" s="29" t="e">
        <f>일위대가목록!#REF!</f>
        <v>#REF!</v>
      </c>
      <c r="F183" s="29" t="e">
        <f t="shared" si="18"/>
        <v>#REF!</v>
      </c>
      <c r="G183" s="29" t="e">
        <f>일위대가목록!#REF!</f>
        <v>#REF!</v>
      </c>
      <c r="H183" s="29" t="e">
        <f t="shared" si="19"/>
        <v>#REF!</v>
      </c>
      <c r="I183" s="29" t="e">
        <f>일위대가목록!#REF!</f>
        <v>#REF!</v>
      </c>
      <c r="J183" s="29" t="e">
        <f t="shared" si="20"/>
        <v>#REF!</v>
      </c>
      <c r="K183" s="29" t="e">
        <f t="shared" si="17"/>
        <v>#REF!</v>
      </c>
      <c r="L183" s="29" t="e">
        <f t="shared" si="16"/>
        <v>#REF!</v>
      </c>
      <c r="M183" s="20" t="s">
        <v>6232</v>
      </c>
      <c r="N183" t="s">
        <v>6232</v>
      </c>
      <c r="P183" t="s">
        <v>4020</v>
      </c>
      <c r="Q183" t="s">
        <v>6232</v>
      </c>
      <c r="R183" t="s">
        <v>879</v>
      </c>
      <c r="T183" t="s">
        <v>3860</v>
      </c>
      <c r="BI183" s="52" t="str">
        <f>HYPERLINK("#일위대가목록!A217","S13030W250YA →")</f>
        <v>S13030W250YA →</v>
      </c>
    </row>
    <row r="184" spans="1:61" ht="18.399999999999999" customHeight="1">
      <c r="A184" s="11" t="s">
        <v>4231</v>
      </c>
      <c r="B184" s="2" t="s">
        <v>4421</v>
      </c>
      <c r="C184" s="2">
        <v>1</v>
      </c>
      <c r="D184" s="2" t="s">
        <v>2289</v>
      </c>
      <c r="E184" s="29" t="e">
        <f>일위대가목록!#REF!</f>
        <v>#REF!</v>
      </c>
      <c r="F184" s="29" t="e">
        <f t="shared" si="18"/>
        <v>#REF!</v>
      </c>
      <c r="G184" s="29" t="e">
        <f>일위대가목록!#REF!</f>
        <v>#REF!</v>
      </c>
      <c r="H184" s="29" t="e">
        <f t="shared" si="19"/>
        <v>#REF!</v>
      </c>
      <c r="I184" s="29" t="e">
        <f>일위대가목록!#REF!</f>
        <v>#REF!</v>
      </c>
      <c r="J184" s="29" t="e">
        <f t="shared" si="20"/>
        <v>#REF!</v>
      </c>
      <c r="K184" s="29" t="e">
        <f t="shared" si="17"/>
        <v>#REF!</v>
      </c>
      <c r="L184" s="29" t="e">
        <f t="shared" si="16"/>
        <v>#REF!</v>
      </c>
      <c r="M184" s="20" t="s">
        <v>6232</v>
      </c>
      <c r="N184" t="s">
        <v>6232</v>
      </c>
      <c r="P184" t="s">
        <v>5311</v>
      </c>
      <c r="Q184" t="s">
        <v>6232</v>
      </c>
      <c r="R184" t="s">
        <v>3880</v>
      </c>
      <c r="T184" t="s">
        <v>3860</v>
      </c>
      <c r="BI184" s="52" t="str">
        <f>HYPERLINK("#일위대가목록!A218","S13030W200 →")</f>
        <v>S13030W200 →</v>
      </c>
    </row>
    <row r="185" spans="1:61" ht="18.399999999999999" customHeight="1">
      <c r="A185" s="11" t="s">
        <v>355</v>
      </c>
      <c r="B185" s="2" t="s">
        <v>4421</v>
      </c>
      <c r="C185" s="2">
        <v>1</v>
      </c>
      <c r="D185" s="2" t="s">
        <v>2289</v>
      </c>
      <c r="E185" s="29" t="e">
        <f>일위대가목록!#REF!</f>
        <v>#REF!</v>
      </c>
      <c r="F185" s="29" t="e">
        <f t="shared" si="18"/>
        <v>#REF!</v>
      </c>
      <c r="G185" s="29" t="e">
        <f>일위대가목록!#REF!</f>
        <v>#REF!</v>
      </c>
      <c r="H185" s="29" t="e">
        <f t="shared" si="19"/>
        <v>#REF!</v>
      </c>
      <c r="I185" s="29" t="e">
        <f>일위대가목록!#REF!</f>
        <v>#REF!</v>
      </c>
      <c r="J185" s="29" t="e">
        <f t="shared" si="20"/>
        <v>#REF!</v>
      </c>
      <c r="K185" s="29" t="e">
        <f t="shared" si="17"/>
        <v>#REF!</v>
      </c>
      <c r="L185" s="29" t="e">
        <f t="shared" si="16"/>
        <v>#REF!</v>
      </c>
      <c r="M185" s="20" t="s">
        <v>6232</v>
      </c>
      <c r="N185" t="s">
        <v>6232</v>
      </c>
      <c r="P185" t="s">
        <v>3774</v>
      </c>
      <c r="Q185" t="s">
        <v>6232</v>
      </c>
      <c r="R185" t="s">
        <v>552</v>
      </c>
      <c r="T185" t="s">
        <v>3860</v>
      </c>
      <c r="BI185" s="52" t="str">
        <f>HYPERLINK("#일위대가목록!A219","S13030W200YA →")</f>
        <v>S13030W200YA →</v>
      </c>
    </row>
    <row r="186" spans="1:61" ht="18.399999999999999" customHeight="1">
      <c r="A186" s="11" t="s">
        <v>4231</v>
      </c>
      <c r="B186" s="2" t="s">
        <v>1309</v>
      </c>
      <c r="C186" s="2">
        <v>1</v>
      </c>
      <c r="D186" s="2" t="s">
        <v>2289</v>
      </c>
      <c r="E186" s="29" t="e">
        <f>일위대가목록!#REF!</f>
        <v>#REF!</v>
      </c>
      <c r="F186" s="29" t="e">
        <f t="shared" si="18"/>
        <v>#REF!</v>
      </c>
      <c r="G186" s="29" t="e">
        <f>일위대가목록!#REF!</f>
        <v>#REF!</v>
      </c>
      <c r="H186" s="29" t="e">
        <f t="shared" si="19"/>
        <v>#REF!</v>
      </c>
      <c r="I186" s="29" t="e">
        <f>일위대가목록!#REF!</f>
        <v>#REF!</v>
      </c>
      <c r="J186" s="29" t="e">
        <f t="shared" si="20"/>
        <v>#REF!</v>
      </c>
      <c r="K186" s="29" t="e">
        <f t="shared" si="17"/>
        <v>#REF!</v>
      </c>
      <c r="L186" s="29" t="e">
        <f t="shared" si="16"/>
        <v>#REF!</v>
      </c>
      <c r="M186" s="20" t="s">
        <v>6232</v>
      </c>
      <c r="N186" t="s">
        <v>6232</v>
      </c>
      <c r="P186" t="s">
        <v>2134</v>
      </c>
      <c r="Q186" t="s">
        <v>6232</v>
      </c>
      <c r="R186" t="s">
        <v>4535</v>
      </c>
      <c r="T186" t="s">
        <v>3860</v>
      </c>
      <c r="BI186" s="52" t="str">
        <f>HYPERLINK("#일위대가목록!A220","S13030W150 →")</f>
        <v>S13030W150 →</v>
      </c>
    </row>
    <row r="187" spans="1:61" ht="18.399999999999999" customHeight="1">
      <c r="A187" s="11" t="s">
        <v>355</v>
      </c>
      <c r="B187" s="2" t="s">
        <v>1309</v>
      </c>
      <c r="C187" s="2">
        <v>1</v>
      </c>
      <c r="D187" s="2" t="s">
        <v>2289</v>
      </c>
      <c r="E187" s="29" t="e">
        <f>일위대가목록!#REF!</f>
        <v>#REF!</v>
      </c>
      <c r="F187" s="29" t="e">
        <f t="shared" si="18"/>
        <v>#REF!</v>
      </c>
      <c r="G187" s="29" t="e">
        <f>일위대가목록!#REF!</f>
        <v>#REF!</v>
      </c>
      <c r="H187" s="29" t="e">
        <f t="shared" si="19"/>
        <v>#REF!</v>
      </c>
      <c r="I187" s="29" t="e">
        <f>일위대가목록!#REF!</f>
        <v>#REF!</v>
      </c>
      <c r="J187" s="29" t="e">
        <f t="shared" si="20"/>
        <v>#REF!</v>
      </c>
      <c r="K187" s="29" t="e">
        <f t="shared" si="17"/>
        <v>#REF!</v>
      </c>
      <c r="L187" s="29" t="e">
        <f t="shared" si="16"/>
        <v>#REF!</v>
      </c>
      <c r="M187" s="20" t="s">
        <v>6232</v>
      </c>
      <c r="N187" t="s">
        <v>6232</v>
      </c>
      <c r="P187" t="s">
        <v>634</v>
      </c>
      <c r="Q187" t="s">
        <v>6232</v>
      </c>
      <c r="R187" t="s">
        <v>5948</v>
      </c>
      <c r="T187" t="s">
        <v>3860</v>
      </c>
      <c r="BI187" s="52" t="str">
        <f>HYPERLINK("#일위대가목록!A221","S13030W150YA →")</f>
        <v>S13030W150YA →</v>
      </c>
    </row>
    <row r="188" spans="1:61" ht="18.399999999999999" customHeight="1">
      <c r="A188" s="11" t="s">
        <v>4231</v>
      </c>
      <c r="B188" s="2" t="s">
        <v>3105</v>
      </c>
      <c r="C188" s="2">
        <v>1</v>
      </c>
      <c r="D188" s="2" t="s">
        <v>2289</v>
      </c>
      <c r="E188" s="29" t="e">
        <f>일위대가목록!#REF!</f>
        <v>#REF!</v>
      </c>
      <c r="F188" s="29" t="e">
        <f t="shared" si="18"/>
        <v>#REF!</v>
      </c>
      <c r="G188" s="29" t="e">
        <f>일위대가목록!#REF!</f>
        <v>#REF!</v>
      </c>
      <c r="H188" s="29" t="e">
        <f t="shared" si="19"/>
        <v>#REF!</v>
      </c>
      <c r="I188" s="29" t="e">
        <f>일위대가목록!#REF!</f>
        <v>#REF!</v>
      </c>
      <c r="J188" s="29" t="e">
        <f t="shared" si="20"/>
        <v>#REF!</v>
      </c>
      <c r="K188" s="29" t="e">
        <f t="shared" si="17"/>
        <v>#REF!</v>
      </c>
      <c r="L188" s="29" t="e">
        <f t="shared" si="16"/>
        <v>#REF!</v>
      </c>
      <c r="M188" s="20" t="s">
        <v>6232</v>
      </c>
      <c r="N188" t="s">
        <v>6232</v>
      </c>
      <c r="P188" t="s">
        <v>5396</v>
      </c>
      <c r="Q188" t="s">
        <v>6232</v>
      </c>
      <c r="R188" t="s">
        <v>5936</v>
      </c>
      <c r="T188" t="s">
        <v>3860</v>
      </c>
      <c r="BI188" s="52" t="str">
        <f>HYPERLINK("#일위대가목록!A222","S13030W125 →")</f>
        <v>S13030W125 →</v>
      </c>
    </row>
    <row r="189" spans="1:61" ht="18.399999999999999" customHeight="1">
      <c r="A189" s="11" t="s">
        <v>355</v>
      </c>
      <c r="B189" s="2" t="s">
        <v>3105</v>
      </c>
      <c r="C189" s="2">
        <v>1</v>
      </c>
      <c r="D189" s="2" t="s">
        <v>2289</v>
      </c>
      <c r="E189" s="29" t="e">
        <f>일위대가목록!#REF!</f>
        <v>#REF!</v>
      </c>
      <c r="F189" s="29" t="e">
        <f t="shared" si="18"/>
        <v>#REF!</v>
      </c>
      <c r="G189" s="29" t="e">
        <f>일위대가목록!#REF!</f>
        <v>#REF!</v>
      </c>
      <c r="H189" s="29" t="e">
        <f t="shared" si="19"/>
        <v>#REF!</v>
      </c>
      <c r="I189" s="29" t="e">
        <f>일위대가목록!#REF!</f>
        <v>#REF!</v>
      </c>
      <c r="J189" s="29" t="e">
        <f t="shared" si="20"/>
        <v>#REF!</v>
      </c>
      <c r="K189" s="29" t="e">
        <f t="shared" si="17"/>
        <v>#REF!</v>
      </c>
      <c r="L189" s="29" t="e">
        <f t="shared" si="16"/>
        <v>#REF!</v>
      </c>
      <c r="M189" s="20" t="s">
        <v>6232</v>
      </c>
      <c r="N189" t="s">
        <v>6232</v>
      </c>
      <c r="P189" t="s">
        <v>3854</v>
      </c>
      <c r="Q189" t="s">
        <v>6232</v>
      </c>
      <c r="R189" t="s">
        <v>4045</v>
      </c>
      <c r="T189" t="s">
        <v>3860</v>
      </c>
      <c r="BI189" s="52" t="str">
        <f>HYPERLINK("#일위대가목록!A223","S13030W125YA →")</f>
        <v>S13030W125YA →</v>
      </c>
    </row>
    <row r="190" spans="1:61" ht="18.399999999999999" customHeight="1">
      <c r="A190" s="11" t="s">
        <v>4231</v>
      </c>
      <c r="B190" s="2" t="s">
        <v>1858</v>
      </c>
      <c r="C190" s="2">
        <v>1</v>
      </c>
      <c r="D190" s="2" t="s">
        <v>2289</v>
      </c>
      <c r="E190" s="29" t="e">
        <f>일위대가목록!#REF!</f>
        <v>#REF!</v>
      </c>
      <c r="F190" s="29" t="e">
        <f t="shared" si="18"/>
        <v>#REF!</v>
      </c>
      <c r="G190" s="29" t="e">
        <f>일위대가목록!#REF!</f>
        <v>#REF!</v>
      </c>
      <c r="H190" s="29" t="e">
        <f t="shared" si="19"/>
        <v>#REF!</v>
      </c>
      <c r="I190" s="29" t="e">
        <f>일위대가목록!#REF!</f>
        <v>#REF!</v>
      </c>
      <c r="J190" s="29" t="e">
        <f t="shared" si="20"/>
        <v>#REF!</v>
      </c>
      <c r="K190" s="29" t="e">
        <f t="shared" si="17"/>
        <v>#REF!</v>
      </c>
      <c r="L190" s="29" t="e">
        <f t="shared" si="16"/>
        <v>#REF!</v>
      </c>
      <c r="M190" s="20" t="s">
        <v>6232</v>
      </c>
      <c r="N190" t="s">
        <v>6232</v>
      </c>
      <c r="P190" t="s">
        <v>2206</v>
      </c>
      <c r="Q190" t="s">
        <v>6232</v>
      </c>
      <c r="R190" t="s">
        <v>6068</v>
      </c>
      <c r="T190" t="s">
        <v>3860</v>
      </c>
      <c r="BI190" s="52" t="str">
        <f>HYPERLINK("#일위대가목록!A224","S13030W100 →")</f>
        <v>S13030W100 →</v>
      </c>
    </row>
    <row r="191" spans="1:61" ht="18.399999999999999" customHeight="1">
      <c r="A191" s="11" t="s">
        <v>355</v>
      </c>
      <c r="B191" s="2" t="s">
        <v>1858</v>
      </c>
      <c r="C191" s="2">
        <v>1</v>
      </c>
      <c r="D191" s="2" t="s">
        <v>2289</v>
      </c>
      <c r="E191" s="29" t="e">
        <f>일위대가목록!#REF!</f>
        <v>#REF!</v>
      </c>
      <c r="F191" s="29" t="e">
        <f t="shared" si="18"/>
        <v>#REF!</v>
      </c>
      <c r="G191" s="29" t="e">
        <f>일위대가목록!#REF!</f>
        <v>#REF!</v>
      </c>
      <c r="H191" s="29" t="e">
        <f t="shared" si="19"/>
        <v>#REF!</v>
      </c>
      <c r="I191" s="29" t="e">
        <f>일위대가목록!#REF!</f>
        <v>#REF!</v>
      </c>
      <c r="J191" s="29" t="e">
        <f t="shared" si="20"/>
        <v>#REF!</v>
      </c>
      <c r="K191" s="29" t="e">
        <f t="shared" si="17"/>
        <v>#REF!</v>
      </c>
      <c r="L191" s="29" t="e">
        <f t="shared" si="16"/>
        <v>#REF!</v>
      </c>
      <c r="M191" s="20" t="s">
        <v>6232</v>
      </c>
      <c r="N191" t="s">
        <v>6232</v>
      </c>
      <c r="P191" t="s">
        <v>700</v>
      </c>
      <c r="Q191" t="s">
        <v>6232</v>
      </c>
      <c r="R191" t="s">
        <v>4805</v>
      </c>
      <c r="T191" t="s">
        <v>3860</v>
      </c>
      <c r="BI191" s="52" t="str">
        <f>HYPERLINK("#일위대가목록!A225","S13030W100YA →")</f>
        <v>S13030W100YA →</v>
      </c>
    </row>
    <row r="192" spans="1:61" ht="18.399999999999999" customHeight="1">
      <c r="A192" s="11" t="s">
        <v>4231</v>
      </c>
      <c r="B192" s="2" t="s">
        <v>4534</v>
      </c>
      <c r="C192" s="2">
        <v>1</v>
      </c>
      <c r="D192" s="2" t="s">
        <v>2289</v>
      </c>
      <c r="E192" s="29" t="e">
        <f>일위대가목록!#REF!</f>
        <v>#REF!</v>
      </c>
      <c r="F192" s="29" t="e">
        <f t="shared" si="18"/>
        <v>#REF!</v>
      </c>
      <c r="G192" s="29" t="e">
        <f>일위대가목록!#REF!</f>
        <v>#REF!</v>
      </c>
      <c r="H192" s="29" t="e">
        <f t="shared" si="19"/>
        <v>#REF!</v>
      </c>
      <c r="I192" s="29" t="e">
        <f>일위대가목록!#REF!</f>
        <v>#REF!</v>
      </c>
      <c r="J192" s="29" t="e">
        <f t="shared" si="20"/>
        <v>#REF!</v>
      </c>
      <c r="K192" s="29" t="e">
        <f t="shared" si="17"/>
        <v>#REF!</v>
      </c>
      <c r="L192" s="29" t="e">
        <f t="shared" si="16"/>
        <v>#REF!</v>
      </c>
      <c r="M192" s="20" t="s">
        <v>6232</v>
      </c>
      <c r="N192" t="s">
        <v>6232</v>
      </c>
      <c r="P192" t="s">
        <v>5086</v>
      </c>
      <c r="Q192" t="s">
        <v>6232</v>
      </c>
      <c r="R192" t="s">
        <v>4807</v>
      </c>
      <c r="T192" t="s">
        <v>3860</v>
      </c>
      <c r="BI192" s="52" t="str">
        <f>HYPERLINK("#일위대가목록!A226","S13030W080 →")</f>
        <v>S13030W080 →</v>
      </c>
    </row>
    <row r="193" spans="1:61" ht="18.399999999999999" customHeight="1">
      <c r="A193" s="11" t="s">
        <v>355</v>
      </c>
      <c r="B193" s="2" t="s">
        <v>4534</v>
      </c>
      <c r="C193" s="2">
        <v>1</v>
      </c>
      <c r="D193" s="2" t="s">
        <v>2289</v>
      </c>
      <c r="E193" s="29" t="e">
        <f>일위대가목록!#REF!</f>
        <v>#REF!</v>
      </c>
      <c r="F193" s="29" t="e">
        <f t="shared" si="18"/>
        <v>#REF!</v>
      </c>
      <c r="G193" s="29" t="e">
        <f>일위대가목록!#REF!</f>
        <v>#REF!</v>
      </c>
      <c r="H193" s="29" t="e">
        <f t="shared" si="19"/>
        <v>#REF!</v>
      </c>
      <c r="I193" s="29" t="e">
        <f>일위대가목록!#REF!</f>
        <v>#REF!</v>
      </c>
      <c r="J193" s="29" t="e">
        <f t="shared" si="20"/>
        <v>#REF!</v>
      </c>
      <c r="K193" s="29" t="e">
        <f t="shared" si="17"/>
        <v>#REF!</v>
      </c>
      <c r="L193" s="29" t="e">
        <f t="shared" si="16"/>
        <v>#REF!</v>
      </c>
      <c r="M193" s="20" t="s">
        <v>6232</v>
      </c>
      <c r="N193" t="s">
        <v>6232</v>
      </c>
      <c r="P193" t="s">
        <v>3553</v>
      </c>
      <c r="Q193" t="s">
        <v>6232</v>
      </c>
      <c r="R193" t="s">
        <v>3721</v>
      </c>
      <c r="T193" t="s">
        <v>3860</v>
      </c>
      <c r="BI193" s="52" t="str">
        <f>HYPERLINK("#일위대가목록!A227","S13030W080YA →")</f>
        <v>S13030W080YA →</v>
      </c>
    </row>
    <row r="194" spans="1:61" ht="18.399999999999999" customHeight="1">
      <c r="A194" s="11" t="s">
        <v>4231</v>
      </c>
      <c r="B194" s="2" t="s">
        <v>3531</v>
      </c>
      <c r="C194" s="2">
        <v>1</v>
      </c>
      <c r="D194" s="2" t="s">
        <v>2289</v>
      </c>
      <c r="E194" s="29" t="e">
        <f>일위대가목록!#REF!</f>
        <v>#REF!</v>
      </c>
      <c r="F194" s="29" t="e">
        <f t="shared" si="18"/>
        <v>#REF!</v>
      </c>
      <c r="G194" s="29" t="e">
        <f>일위대가목록!#REF!</f>
        <v>#REF!</v>
      </c>
      <c r="H194" s="29" t="e">
        <f t="shared" si="19"/>
        <v>#REF!</v>
      </c>
      <c r="I194" s="29" t="e">
        <f>일위대가목록!#REF!</f>
        <v>#REF!</v>
      </c>
      <c r="J194" s="29" t="e">
        <f t="shared" si="20"/>
        <v>#REF!</v>
      </c>
      <c r="K194" s="29" t="e">
        <f t="shared" si="17"/>
        <v>#REF!</v>
      </c>
      <c r="L194" s="29" t="e">
        <f t="shared" si="16"/>
        <v>#REF!</v>
      </c>
      <c r="M194" s="20" t="s">
        <v>6232</v>
      </c>
      <c r="N194" t="s">
        <v>6232</v>
      </c>
      <c r="P194" t="s">
        <v>5773</v>
      </c>
      <c r="Q194" t="s">
        <v>6232</v>
      </c>
      <c r="R194" t="s">
        <v>4837</v>
      </c>
      <c r="T194" t="s">
        <v>3860</v>
      </c>
      <c r="BI194" s="52" t="str">
        <f>HYPERLINK("#일위대가목록!A228","S13030W065 →")</f>
        <v>S13030W065 →</v>
      </c>
    </row>
    <row r="195" spans="1:61" ht="18.399999999999999" customHeight="1">
      <c r="A195" s="11" t="s">
        <v>355</v>
      </c>
      <c r="B195" s="2" t="s">
        <v>3531</v>
      </c>
      <c r="C195" s="2">
        <v>1</v>
      </c>
      <c r="D195" s="2" t="s">
        <v>2289</v>
      </c>
      <c r="E195" s="29" t="e">
        <f>일위대가목록!#REF!</f>
        <v>#REF!</v>
      </c>
      <c r="F195" s="29" t="e">
        <f t="shared" si="18"/>
        <v>#REF!</v>
      </c>
      <c r="G195" s="29" t="e">
        <f>일위대가목록!#REF!</f>
        <v>#REF!</v>
      </c>
      <c r="H195" s="29" t="e">
        <f t="shared" si="19"/>
        <v>#REF!</v>
      </c>
      <c r="I195" s="29" t="e">
        <f>일위대가목록!#REF!</f>
        <v>#REF!</v>
      </c>
      <c r="J195" s="29" t="e">
        <f t="shared" si="20"/>
        <v>#REF!</v>
      </c>
      <c r="K195" s="29" t="e">
        <f t="shared" si="17"/>
        <v>#REF!</v>
      </c>
      <c r="L195" s="29" t="e">
        <f t="shared" si="16"/>
        <v>#REF!</v>
      </c>
      <c r="M195" s="20" t="s">
        <v>6232</v>
      </c>
      <c r="N195" t="s">
        <v>6232</v>
      </c>
      <c r="P195" t="s">
        <v>4200</v>
      </c>
      <c r="Q195" t="s">
        <v>6232</v>
      </c>
      <c r="R195" t="s">
        <v>1557</v>
      </c>
      <c r="T195" t="s">
        <v>3860</v>
      </c>
      <c r="BI195" s="52" t="str">
        <f>HYPERLINK("#일위대가목록!A229","S13030W065YA →")</f>
        <v>S13030W065YA →</v>
      </c>
    </row>
    <row r="196" spans="1:61" ht="18.399999999999999" customHeight="1">
      <c r="A196" s="11" t="s">
        <v>4231</v>
      </c>
      <c r="B196" s="2" t="s">
        <v>2942</v>
      </c>
      <c r="C196" s="2">
        <v>1</v>
      </c>
      <c r="D196" s="2" t="s">
        <v>2289</v>
      </c>
      <c r="E196" s="29" t="e">
        <f>일위대가목록!#REF!</f>
        <v>#REF!</v>
      </c>
      <c r="F196" s="29" t="e">
        <f t="shared" si="18"/>
        <v>#REF!</v>
      </c>
      <c r="G196" s="29" t="e">
        <f>일위대가목록!#REF!</f>
        <v>#REF!</v>
      </c>
      <c r="H196" s="29" t="e">
        <f t="shared" si="19"/>
        <v>#REF!</v>
      </c>
      <c r="I196" s="29" t="e">
        <f>일위대가목록!#REF!</f>
        <v>#REF!</v>
      </c>
      <c r="J196" s="29" t="e">
        <f t="shared" si="20"/>
        <v>#REF!</v>
      </c>
      <c r="K196" s="29" t="e">
        <f t="shared" si="17"/>
        <v>#REF!</v>
      </c>
      <c r="L196" s="29" t="e">
        <f t="shared" si="16"/>
        <v>#REF!</v>
      </c>
      <c r="M196" s="20" t="s">
        <v>6232</v>
      </c>
      <c r="N196" t="s">
        <v>6232</v>
      </c>
      <c r="P196" t="s">
        <v>2686</v>
      </c>
      <c r="Q196" t="s">
        <v>6232</v>
      </c>
      <c r="R196" t="s">
        <v>3368</v>
      </c>
      <c r="T196" t="s">
        <v>3860</v>
      </c>
      <c r="BI196" s="52" t="str">
        <f>HYPERLINK("#일위대가목록!A230","S13030W050 →")</f>
        <v>S13030W050 →</v>
      </c>
    </row>
    <row r="197" spans="1:61" ht="18.399999999999999" customHeight="1">
      <c r="A197" s="11" t="s">
        <v>355</v>
      </c>
      <c r="B197" s="2" t="s">
        <v>2942</v>
      </c>
      <c r="C197" s="2">
        <v>1</v>
      </c>
      <c r="D197" s="2" t="s">
        <v>2289</v>
      </c>
      <c r="E197" s="29" t="e">
        <f>일위대가목록!#REF!</f>
        <v>#REF!</v>
      </c>
      <c r="F197" s="29" t="e">
        <f t="shared" si="18"/>
        <v>#REF!</v>
      </c>
      <c r="G197" s="29" t="e">
        <f>일위대가목록!#REF!</f>
        <v>#REF!</v>
      </c>
      <c r="H197" s="29" t="e">
        <f t="shared" si="19"/>
        <v>#REF!</v>
      </c>
      <c r="I197" s="29" t="e">
        <f>일위대가목록!#REF!</f>
        <v>#REF!</v>
      </c>
      <c r="J197" s="29" t="e">
        <f t="shared" si="20"/>
        <v>#REF!</v>
      </c>
      <c r="K197" s="29" t="e">
        <f t="shared" si="17"/>
        <v>#REF!</v>
      </c>
      <c r="L197" s="29" t="e">
        <f t="shared" si="16"/>
        <v>#REF!</v>
      </c>
      <c r="M197" s="20" t="s">
        <v>6232</v>
      </c>
      <c r="N197" t="s">
        <v>6232</v>
      </c>
      <c r="P197" t="s">
        <v>1096</v>
      </c>
      <c r="Q197" t="s">
        <v>6232</v>
      </c>
      <c r="R197" t="s">
        <v>1630</v>
      </c>
      <c r="T197" t="s">
        <v>3860</v>
      </c>
      <c r="BI197" s="52" t="str">
        <f>HYPERLINK("#일위대가목록!A231","S13030W050YA →")</f>
        <v>S13030W050YA →</v>
      </c>
    </row>
    <row r="198" spans="1:61" ht="18.399999999999999" customHeight="1">
      <c r="A198" s="11" t="s">
        <v>4231</v>
      </c>
      <c r="B198" s="2" t="s">
        <v>2253</v>
      </c>
      <c r="C198" s="2">
        <v>1</v>
      </c>
      <c r="D198" s="2" t="s">
        <v>2289</v>
      </c>
      <c r="E198" s="29" t="e">
        <f>일위대가목록!#REF!</f>
        <v>#REF!</v>
      </c>
      <c r="F198" s="29" t="e">
        <f t="shared" si="18"/>
        <v>#REF!</v>
      </c>
      <c r="G198" s="29" t="e">
        <f>일위대가목록!#REF!</f>
        <v>#REF!</v>
      </c>
      <c r="H198" s="29" t="e">
        <f t="shared" si="19"/>
        <v>#REF!</v>
      </c>
      <c r="I198" s="29" t="e">
        <f>일위대가목록!#REF!</f>
        <v>#REF!</v>
      </c>
      <c r="J198" s="29" t="e">
        <f t="shared" si="20"/>
        <v>#REF!</v>
      </c>
      <c r="K198" s="29" t="e">
        <f t="shared" si="17"/>
        <v>#REF!</v>
      </c>
      <c r="L198" s="29" t="e">
        <f t="shared" si="16"/>
        <v>#REF!</v>
      </c>
      <c r="M198" s="20" t="s">
        <v>6232</v>
      </c>
      <c r="N198" t="s">
        <v>6232</v>
      </c>
      <c r="P198" t="s">
        <v>5673</v>
      </c>
      <c r="Q198" t="s">
        <v>6232</v>
      </c>
      <c r="R198" t="s">
        <v>4908</v>
      </c>
      <c r="T198" t="s">
        <v>3860</v>
      </c>
      <c r="BI198" s="52" t="str">
        <f>HYPERLINK("#일위대가목록!A232","S13030W040 →")</f>
        <v>S13030W040 →</v>
      </c>
    </row>
    <row r="199" spans="1:61" ht="18.399999999999999" customHeight="1">
      <c r="A199" s="11" t="s">
        <v>355</v>
      </c>
      <c r="B199" s="2" t="s">
        <v>2253</v>
      </c>
      <c r="C199" s="2">
        <v>1</v>
      </c>
      <c r="D199" s="2" t="s">
        <v>2289</v>
      </c>
      <c r="E199" s="29" t="e">
        <f>일위대가목록!#REF!</f>
        <v>#REF!</v>
      </c>
      <c r="F199" s="29" t="e">
        <f t="shared" si="18"/>
        <v>#REF!</v>
      </c>
      <c r="G199" s="29" t="e">
        <f>일위대가목록!#REF!</f>
        <v>#REF!</v>
      </c>
      <c r="H199" s="29" t="e">
        <f t="shared" si="19"/>
        <v>#REF!</v>
      </c>
      <c r="I199" s="29" t="e">
        <f>일위대가목록!#REF!</f>
        <v>#REF!</v>
      </c>
      <c r="J199" s="29" t="e">
        <f t="shared" si="20"/>
        <v>#REF!</v>
      </c>
      <c r="K199" s="29" t="e">
        <f t="shared" si="17"/>
        <v>#REF!</v>
      </c>
      <c r="L199" s="29" t="e">
        <f t="shared" si="16"/>
        <v>#REF!</v>
      </c>
      <c r="M199" s="20" t="s">
        <v>6232</v>
      </c>
      <c r="N199" t="s">
        <v>6232</v>
      </c>
      <c r="P199" t="s">
        <v>4087</v>
      </c>
      <c r="Q199" t="s">
        <v>6232</v>
      </c>
      <c r="R199" t="s">
        <v>799</v>
      </c>
      <c r="T199" t="s">
        <v>3860</v>
      </c>
      <c r="BI199" s="52" t="str">
        <f>HYPERLINK("#일위대가목록!A233","S13030W040YA →")</f>
        <v>S13030W040YA →</v>
      </c>
    </row>
    <row r="200" spans="1:61" ht="18.399999999999999" customHeight="1">
      <c r="A200" s="11" t="s">
        <v>4231</v>
      </c>
      <c r="B200" s="2" t="s">
        <v>4141</v>
      </c>
      <c r="C200" s="2">
        <v>1</v>
      </c>
      <c r="D200" s="2" t="s">
        <v>2289</v>
      </c>
      <c r="E200" s="29" t="e">
        <f>일위대가목록!#REF!</f>
        <v>#REF!</v>
      </c>
      <c r="F200" s="29" t="e">
        <f t="shared" si="18"/>
        <v>#REF!</v>
      </c>
      <c r="G200" s="29" t="e">
        <f>일위대가목록!#REF!</f>
        <v>#REF!</v>
      </c>
      <c r="H200" s="29" t="e">
        <f t="shared" si="19"/>
        <v>#REF!</v>
      </c>
      <c r="I200" s="29" t="e">
        <f>일위대가목록!#REF!</f>
        <v>#REF!</v>
      </c>
      <c r="J200" s="29" t="e">
        <f t="shared" si="20"/>
        <v>#REF!</v>
      </c>
      <c r="K200" s="29" t="e">
        <f t="shared" si="17"/>
        <v>#REF!</v>
      </c>
      <c r="L200" s="29" t="e">
        <f t="shared" si="16"/>
        <v>#REF!</v>
      </c>
      <c r="M200" s="20" t="s">
        <v>6232</v>
      </c>
      <c r="N200" t="s">
        <v>6232</v>
      </c>
      <c r="P200" t="s">
        <v>2595</v>
      </c>
      <c r="Q200" t="s">
        <v>6232</v>
      </c>
      <c r="R200" t="s">
        <v>798</v>
      </c>
      <c r="T200" t="s">
        <v>3860</v>
      </c>
      <c r="BI200" s="52" t="str">
        <f>HYPERLINK("#일위대가목록!A234","S13030W032 →")</f>
        <v>S13030W032 →</v>
      </c>
    </row>
    <row r="201" spans="1:61" ht="18.399999999999999" customHeight="1">
      <c r="A201" s="11" t="s">
        <v>355</v>
      </c>
      <c r="B201" s="2" t="s">
        <v>4141</v>
      </c>
      <c r="C201" s="2">
        <v>1</v>
      </c>
      <c r="D201" s="2" t="s">
        <v>2289</v>
      </c>
      <c r="E201" s="29" t="e">
        <f>일위대가목록!#REF!</f>
        <v>#REF!</v>
      </c>
      <c r="F201" s="29" t="e">
        <f t="shared" si="18"/>
        <v>#REF!</v>
      </c>
      <c r="G201" s="29" t="e">
        <f>일위대가목록!#REF!</f>
        <v>#REF!</v>
      </c>
      <c r="H201" s="29" t="e">
        <f t="shared" si="19"/>
        <v>#REF!</v>
      </c>
      <c r="I201" s="29" t="e">
        <f>일위대가목록!#REF!</f>
        <v>#REF!</v>
      </c>
      <c r="J201" s="29" t="e">
        <f t="shared" si="20"/>
        <v>#REF!</v>
      </c>
      <c r="K201" s="29" t="e">
        <f t="shared" si="17"/>
        <v>#REF!</v>
      </c>
      <c r="L201" s="29" t="e">
        <f t="shared" ref="L201:L264" si="21">F201+H201+J201</f>
        <v>#REF!</v>
      </c>
      <c r="M201" s="20" t="s">
        <v>6232</v>
      </c>
      <c r="N201" t="s">
        <v>6232</v>
      </c>
      <c r="P201" t="s">
        <v>1007</v>
      </c>
      <c r="Q201" t="s">
        <v>6232</v>
      </c>
      <c r="R201" t="s">
        <v>5975</v>
      </c>
      <c r="T201" t="s">
        <v>3860</v>
      </c>
      <c r="BI201" s="52" t="str">
        <f>HYPERLINK("#일위대가목록!A235","S13030W032YA →")</f>
        <v>S13030W032YA →</v>
      </c>
    </row>
    <row r="202" spans="1:61" ht="18.399999999999999" customHeight="1">
      <c r="A202" s="11" t="s">
        <v>4231</v>
      </c>
      <c r="B202" s="2" t="s">
        <v>4961</v>
      </c>
      <c r="C202" s="2">
        <v>1</v>
      </c>
      <c r="D202" s="2" t="s">
        <v>2289</v>
      </c>
      <c r="E202" s="29" t="e">
        <f>일위대가목록!#REF!</f>
        <v>#REF!</v>
      </c>
      <c r="F202" s="29" t="e">
        <f t="shared" si="18"/>
        <v>#REF!</v>
      </c>
      <c r="G202" s="29" t="e">
        <f>일위대가목록!#REF!</f>
        <v>#REF!</v>
      </c>
      <c r="H202" s="29" t="e">
        <f t="shared" si="19"/>
        <v>#REF!</v>
      </c>
      <c r="I202" s="29" t="e">
        <f>일위대가목록!#REF!</f>
        <v>#REF!</v>
      </c>
      <c r="J202" s="29" t="e">
        <f t="shared" si="20"/>
        <v>#REF!</v>
      </c>
      <c r="K202" s="29" t="e">
        <f t="shared" ref="K202:K265" si="22">E202+G202+I202</f>
        <v>#REF!</v>
      </c>
      <c r="L202" s="29" t="e">
        <f t="shared" si="21"/>
        <v>#REF!</v>
      </c>
      <c r="M202" s="20" t="s">
        <v>6232</v>
      </c>
      <c r="N202" t="s">
        <v>6232</v>
      </c>
      <c r="P202" t="s">
        <v>5569</v>
      </c>
      <c r="Q202" t="s">
        <v>6232</v>
      </c>
      <c r="R202" t="s">
        <v>4727</v>
      </c>
      <c r="T202" t="s">
        <v>3860</v>
      </c>
      <c r="BI202" s="52" t="str">
        <f>HYPERLINK("#일위대가목록!A236","S13030W025 →")</f>
        <v>S13030W025 →</v>
      </c>
    </row>
    <row r="203" spans="1:61" ht="18.399999999999999" customHeight="1">
      <c r="A203" s="11" t="s">
        <v>355</v>
      </c>
      <c r="B203" s="2" t="s">
        <v>4961</v>
      </c>
      <c r="C203" s="2">
        <v>1</v>
      </c>
      <c r="D203" s="2" t="s">
        <v>2289</v>
      </c>
      <c r="E203" s="29" t="e">
        <f>일위대가목록!#REF!</f>
        <v>#REF!</v>
      </c>
      <c r="F203" s="29" t="e">
        <f t="shared" si="18"/>
        <v>#REF!</v>
      </c>
      <c r="G203" s="29" t="e">
        <f>일위대가목록!#REF!</f>
        <v>#REF!</v>
      </c>
      <c r="H203" s="29" t="e">
        <f t="shared" si="19"/>
        <v>#REF!</v>
      </c>
      <c r="I203" s="29" t="e">
        <f>일위대가목록!#REF!</f>
        <v>#REF!</v>
      </c>
      <c r="J203" s="29" t="e">
        <f t="shared" si="20"/>
        <v>#REF!</v>
      </c>
      <c r="K203" s="29" t="e">
        <f t="shared" si="22"/>
        <v>#REF!</v>
      </c>
      <c r="L203" s="29" t="e">
        <f t="shared" si="21"/>
        <v>#REF!</v>
      </c>
      <c r="M203" s="20" t="s">
        <v>6232</v>
      </c>
      <c r="N203" t="s">
        <v>6232</v>
      </c>
      <c r="P203" t="s">
        <v>3997</v>
      </c>
      <c r="Q203" t="s">
        <v>6232</v>
      </c>
      <c r="R203" t="s">
        <v>546</v>
      </c>
      <c r="T203" t="s">
        <v>3860</v>
      </c>
      <c r="BI203" s="52" t="str">
        <f>HYPERLINK("#일위대가목록!A237","S13030W025YA →")</f>
        <v>S13030W025YA →</v>
      </c>
    </row>
    <row r="204" spans="1:61" ht="18.399999999999999" customHeight="1">
      <c r="A204" s="11" t="s">
        <v>4231</v>
      </c>
      <c r="B204" s="2" t="s">
        <v>302</v>
      </c>
      <c r="C204" s="2">
        <v>1</v>
      </c>
      <c r="D204" s="2" t="s">
        <v>2289</v>
      </c>
      <c r="E204" s="29" t="e">
        <f>일위대가목록!#REF!</f>
        <v>#REF!</v>
      </c>
      <c r="F204" s="29" t="e">
        <f t="shared" si="18"/>
        <v>#REF!</v>
      </c>
      <c r="G204" s="29" t="e">
        <f>일위대가목록!#REF!</f>
        <v>#REF!</v>
      </c>
      <c r="H204" s="29" t="e">
        <f t="shared" si="19"/>
        <v>#REF!</v>
      </c>
      <c r="I204" s="29" t="e">
        <f>일위대가목록!#REF!</f>
        <v>#REF!</v>
      </c>
      <c r="J204" s="29" t="e">
        <f t="shared" si="20"/>
        <v>#REF!</v>
      </c>
      <c r="K204" s="29" t="e">
        <f t="shared" si="22"/>
        <v>#REF!</v>
      </c>
      <c r="L204" s="29" t="e">
        <f t="shared" si="21"/>
        <v>#REF!</v>
      </c>
      <c r="M204" s="20" t="s">
        <v>6232</v>
      </c>
      <c r="N204" t="s">
        <v>6232</v>
      </c>
      <c r="P204" t="s">
        <v>4371</v>
      </c>
      <c r="Q204" t="s">
        <v>6232</v>
      </c>
      <c r="R204" t="s">
        <v>1830</v>
      </c>
      <c r="T204" t="s">
        <v>3860</v>
      </c>
      <c r="BI204" s="52" t="str">
        <f>HYPERLINK("#일위대가목록!A238","S13030W020 →")</f>
        <v>S13030W020 →</v>
      </c>
    </row>
    <row r="205" spans="1:61" ht="18.399999999999999" customHeight="1">
      <c r="A205" s="11" t="s">
        <v>355</v>
      </c>
      <c r="B205" s="2" t="s">
        <v>302</v>
      </c>
      <c r="C205" s="2">
        <v>1</v>
      </c>
      <c r="D205" s="2" t="s">
        <v>2289</v>
      </c>
      <c r="E205" s="29" t="e">
        <f>일위대가목록!#REF!</f>
        <v>#REF!</v>
      </c>
      <c r="F205" s="29" t="e">
        <f t="shared" si="18"/>
        <v>#REF!</v>
      </c>
      <c r="G205" s="29" t="e">
        <f>일위대가목록!#REF!</f>
        <v>#REF!</v>
      </c>
      <c r="H205" s="29" t="e">
        <f t="shared" si="19"/>
        <v>#REF!</v>
      </c>
      <c r="I205" s="29" t="e">
        <f>일위대가목록!#REF!</f>
        <v>#REF!</v>
      </c>
      <c r="J205" s="29" t="e">
        <f t="shared" si="20"/>
        <v>#REF!</v>
      </c>
      <c r="K205" s="29" t="e">
        <f t="shared" si="22"/>
        <v>#REF!</v>
      </c>
      <c r="L205" s="29" t="e">
        <f t="shared" si="21"/>
        <v>#REF!</v>
      </c>
      <c r="M205" s="20" t="s">
        <v>6232</v>
      </c>
      <c r="N205" t="s">
        <v>6232</v>
      </c>
      <c r="P205" t="s">
        <v>5952</v>
      </c>
      <c r="Q205" t="s">
        <v>6232</v>
      </c>
      <c r="R205" t="s">
        <v>6181</v>
      </c>
      <c r="T205" t="s">
        <v>3860</v>
      </c>
      <c r="BI205" s="52" t="str">
        <f>HYPERLINK("#일위대가목록!A239","S13030W020YA →")</f>
        <v>S13030W020YA →</v>
      </c>
    </row>
    <row r="206" spans="1:61" ht="18.399999999999999" customHeight="1">
      <c r="A206" s="11" t="s">
        <v>1544</v>
      </c>
      <c r="B206" s="2" t="s">
        <v>6232</v>
      </c>
      <c r="C206" s="2"/>
      <c r="D206" s="2" t="s">
        <v>6232</v>
      </c>
      <c r="E206" s="1"/>
      <c r="F206" s="29" t="e">
        <f>TRUNC(SUM(AF206:AF207),0)</f>
        <v>#REF!</v>
      </c>
      <c r="G206" s="1"/>
      <c r="H206" s="29" t="e">
        <f>TRUNC(SUM(AG206:AG207),0)</f>
        <v>#REF!</v>
      </c>
      <c r="I206" s="1"/>
      <c r="J206" s="29" t="e">
        <f>TRUNC(SUM(AH206:AH207),0)</f>
        <v>#REF!</v>
      </c>
      <c r="K206" s="29">
        <f t="shared" si="22"/>
        <v>0</v>
      </c>
      <c r="L206" s="29" t="e">
        <f t="shared" si="21"/>
        <v>#REF!</v>
      </c>
      <c r="M206" s="20" t="s">
        <v>6232</v>
      </c>
      <c r="N206" t="s">
        <v>6232</v>
      </c>
      <c r="P206" t="s">
        <v>1290</v>
      </c>
      <c r="Q206" t="s">
        <v>6232</v>
      </c>
      <c r="R206" t="s">
        <v>6232</v>
      </c>
      <c r="AF206" s="29" t="e">
        <f>F205+F204+F203+F202+F201+F200+F199+F198+F197+F196+F195+F194+F193+F192+F191+F190+F189+F188+F187+F186+F185+F184+F183+F182+F181+F180+F179+F178+F177+F176</f>
        <v>#REF!</v>
      </c>
      <c r="AG206" s="29" t="e">
        <f>H205+H204+H203+H202+H201+H200+H199+H198+H197+H196+H195+H194+H193+H192+H191+H190+H189+H188+H187+H186+H185+H184+H183+H182+H181+H180+H179+H178+H177+H176</f>
        <v>#REF!</v>
      </c>
      <c r="AH206" s="29" t="e">
        <f>J205+J204+J203+J202+J201+J200+J199+J198+J197+J196+J195+J194+J193+J192+J191+J190+J189+J188+J187+J186+J185+J184+J183+J182+J181+J180+J179+J178+J177+J176</f>
        <v>#REF!</v>
      </c>
    </row>
    <row r="207" spans="1:61" ht="18.399999999999999" customHeight="1">
      <c r="A207" s="11" t="s">
        <v>2495</v>
      </c>
      <c r="B207" s="2" t="s">
        <v>6232</v>
      </c>
      <c r="C207" s="2"/>
      <c r="D207" s="2" t="s">
        <v>6232</v>
      </c>
      <c r="E207" s="1"/>
      <c r="F207" s="29">
        <v>0</v>
      </c>
      <c r="G207" s="1"/>
      <c r="H207" s="29">
        <v>0</v>
      </c>
      <c r="I207" s="1"/>
      <c r="J207" s="29">
        <v>0</v>
      </c>
      <c r="K207" s="29">
        <f t="shared" si="22"/>
        <v>0</v>
      </c>
      <c r="L207" s="29">
        <f t="shared" si="21"/>
        <v>0</v>
      </c>
      <c r="M207" s="20" t="s">
        <v>6232</v>
      </c>
      <c r="N207" t="s">
        <v>6232</v>
      </c>
      <c r="P207" t="s">
        <v>2868</v>
      </c>
      <c r="Q207" t="s">
        <v>6232</v>
      </c>
      <c r="R207" t="s">
        <v>6232</v>
      </c>
      <c r="AF207" s="29" t="e">
        <f>F175+F174+F173+F172+F171+F170+F169+F168+F167+F166+F165+F164+F163+F162</f>
        <v>#REF!</v>
      </c>
      <c r="AG207" s="29" t="e">
        <f>H175+H174+H173+H172+H171+H170+H169+H168+H167+H166+H165+H164+H163+H162</f>
        <v>#REF!</v>
      </c>
      <c r="AH207" s="29" t="e">
        <f>J175+J174+J173+J172+J171+J170+J169+J168+J167+J166+J165+J164+J163+J162</f>
        <v>#REF!</v>
      </c>
    </row>
    <row r="208" spans="1:61" ht="18.399999999999999" customHeight="1">
      <c r="A208" s="11" t="s">
        <v>2045</v>
      </c>
      <c r="B208" s="2" t="s">
        <v>6232</v>
      </c>
      <c r="C208" s="2"/>
      <c r="D208" s="2" t="s">
        <v>6232</v>
      </c>
      <c r="E208" s="1"/>
      <c r="F208" s="29">
        <v>0</v>
      </c>
      <c r="G208" s="1"/>
      <c r="H208" s="29">
        <v>0</v>
      </c>
      <c r="I208" s="1"/>
      <c r="J208" s="29">
        <v>0</v>
      </c>
      <c r="K208" s="29">
        <f t="shared" si="22"/>
        <v>0</v>
      </c>
      <c r="L208" s="29">
        <f t="shared" si="21"/>
        <v>0</v>
      </c>
      <c r="M208" s="20" t="s">
        <v>6232</v>
      </c>
      <c r="N208" t="s">
        <v>6232</v>
      </c>
      <c r="P208" t="s">
        <v>4295</v>
      </c>
      <c r="Q208" t="s">
        <v>6232</v>
      </c>
      <c r="R208" t="s">
        <v>6232</v>
      </c>
    </row>
    <row r="209" spans="1:61" ht="18.399999999999999" customHeight="1">
      <c r="A209" s="11" t="s">
        <v>2045</v>
      </c>
      <c r="B209" s="2" t="s">
        <v>2823</v>
      </c>
      <c r="C209" s="2">
        <v>1</v>
      </c>
      <c r="D209" s="2" t="s">
        <v>6149</v>
      </c>
      <c r="E209" s="29" t="e">
        <f>일위대가목록!#REF!</f>
        <v>#REF!</v>
      </c>
      <c r="F209" s="29" t="e">
        <f t="shared" ref="F209:F252" si="23">TRUNC(E209*C209,0)</f>
        <v>#REF!</v>
      </c>
      <c r="G209" s="29" t="e">
        <f>일위대가목록!#REF!</f>
        <v>#REF!</v>
      </c>
      <c r="H209" s="29" t="e">
        <f t="shared" ref="H209:H252" si="24">TRUNC(G209*C209,0)</f>
        <v>#REF!</v>
      </c>
      <c r="I209" s="29" t="e">
        <f>일위대가목록!#REF!</f>
        <v>#REF!</v>
      </c>
      <c r="J209" s="29" t="e">
        <f t="shared" ref="J209:J252" si="25">TRUNC(I209*C209,0)</f>
        <v>#REF!</v>
      </c>
      <c r="K209" s="29" t="e">
        <f t="shared" si="22"/>
        <v>#REF!</v>
      </c>
      <c r="L209" s="29" t="e">
        <f t="shared" si="21"/>
        <v>#REF!</v>
      </c>
      <c r="M209" s="20" t="s">
        <v>6232</v>
      </c>
      <c r="N209" t="s">
        <v>6232</v>
      </c>
      <c r="P209" t="s">
        <v>5858</v>
      </c>
      <c r="Q209" t="s">
        <v>6232</v>
      </c>
      <c r="R209" t="s">
        <v>701</v>
      </c>
      <c r="T209" t="s">
        <v>3860</v>
      </c>
      <c r="BI209" s="52" t="str">
        <f>HYPERLINK("#일위대가목록!A240","S02002W750 →")</f>
        <v>S02002W750 →</v>
      </c>
    </row>
    <row r="210" spans="1:61" ht="18.399999999999999" customHeight="1">
      <c r="A210" s="11" t="s">
        <v>6142</v>
      </c>
      <c r="B210" s="2" t="s">
        <v>2823</v>
      </c>
      <c r="C210" s="2">
        <v>1</v>
      </c>
      <c r="D210" s="2" t="s">
        <v>6149</v>
      </c>
      <c r="E210" s="29" t="e">
        <f>일위대가목록!#REF!</f>
        <v>#REF!</v>
      </c>
      <c r="F210" s="29" t="e">
        <f t="shared" si="23"/>
        <v>#REF!</v>
      </c>
      <c r="G210" s="29" t="e">
        <f>일위대가목록!#REF!</f>
        <v>#REF!</v>
      </c>
      <c r="H210" s="29" t="e">
        <f t="shared" si="24"/>
        <v>#REF!</v>
      </c>
      <c r="I210" s="29" t="e">
        <f>일위대가목록!#REF!</f>
        <v>#REF!</v>
      </c>
      <c r="J210" s="29" t="e">
        <f t="shared" si="25"/>
        <v>#REF!</v>
      </c>
      <c r="K210" s="29" t="e">
        <f t="shared" si="22"/>
        <v>#REF!</v>
      </c>
      <c r="L210" s="29" t="e">
        <f t="shared" si="21"/>
        <v>#REF!</v>
      </c>
      <c r="M210" s="20" t="s">
        <v>6232</v>
      </c>
      <c r="N210" t="s">
        <v>6232</v>
      </c>
      <c r="P210" t="s">
        <v>1216</v>
      </c>
      <c r="Q210" t="s">
        <v>6232</v>
      </c>
      <c r="R210" t="s">
        <v>2331</v>
      </c>
      <c r="T210" t="s">
        <v>3860</v>
      </c>
      <c r="BI210" s="52" t="str">
        <f>HYPERLINK("#일위대가목록!A241","S02002W750YA →")</f>
        <v>S02002W750YA →</v>
      </c>
    </row>
    <row r="211" spans="1:61" ht="18.399999999999999" customHeight="1">
      <c r="A211" s="11" t="s">
        <v>2045</v>
      </c>
      <c r="B211" s="2" t="s">
        <v>3826</v>
      </c>
      <c r="C211" s="2">
        <v>1</v>
      </c>
      <c r="D211" s="2" t="s">
        <v>6149</v>
      </c>
      <c r="E211" s="29" t="e">
        <f>일위대가목록!#REF!</f>
        <v>#REF!</v>
      </c>
      <c r="F211" s="29" t="e">
        <f t="shared" si="23"/>
        <v>#REF!</v>
      </c>
      <c r="G211" s="29" t="e">
        <f>일위대가목록!#REF!</f>
        <v>#REF!</v>
      </c>
      <c r="H211" s="29" t="e">
        <f t="shared" si="24"/>
        <v>#REF!</v>
      </c>
      <c r="I211" s="29" t="e">
        <f>일위대가목록!#REF!</f>
        <v>#REF!</v>
      </c>
      <c r="J211" s="29" t="e">
        <f t="shared" si="25"/>
        <v>#REF!</v>
      </c>
      <c r="K211" s="29" t="e">
        <f t="shared" si="22"/>
        <v>#REF!</v>
      </c>
      <c r="L211" s="29" t="e">
        <f t="shared" si="21"/>
        <v>#REF!</v>
      </c>
      <c r="M211" s="20" t="s">
        <v>6232</v>
      </c>
      <c r="N211" t="s">
        <v>6232</v>
      </c>
      <c r="P211" t="s">
        <v>2778</v>
      </c>
      <c r="Q211" t="s">
        <v>6232</v>
      </c>
      <c r="R211" t="s">
        <v>2131</v>
      </c>
      <c r="T211" t="s">
        <v>3860</v>
      </c>
      <c r="BI211" s="52" t="str">
        <f>HYPERLINK("#일위대가목록!A242","S02002W700 →")</f>
        <v>S02002W700 →</v>
      </c>
    </row>
    <row r="212" spans="1:61" ht="18.399999999999999" customHeight="1">
      <c r="A212" s="11" t="s">
        <v>6142</v>
      </c>
      <c r="B212" s="2" t="s">
        <v>3826</v>
      </c>
      <c r="C212" s="2">
        <v>1</v>
      </c>
      <c r="D212" s="2" t="s">
        <v>6149</v>
      </c>
      <c r="E212" s="29" t="e">
        <f>일위대가목록!#REF!</f>
        <v>#REF!</v>
      </c>
      <c r="F212" s="29" t="e">
        <f t="shared" si="23"/>
        <v>#REF!</v>
      </c>
      <c r="G212" s="29" t="e">
        <f>일위대가목록!#REF!</f>
        <v>#REF!</v>
      </c>
      <c r="H212" s="29" t="e">
        <f t="shared" si="24"/>
        <v>#REF!</v>
      </c>
      <c r="I212" s="29" t="e">
        <f>일위대가목록!#REF!</f>
        <v>#REF!</v>
      </c>
      <c r="J212" s="29" t="e">
        <f t="shared" si="25"/>
        <v>#REF!</v>
      </c>
      <c r="K212" s="29" t="e">
        <f t="shared" si="22"/>
        <v>#REF!</v>
      </c>
      <c r="L212" s="29" t="e">
        <f t="shared" si="21"/>
        <v>#REF!</v>
      </c>
      <c r="M212" s="20" t="s">
        <v>6232</v>
      </c>
      <c r="N212" t="s">
        <v>6232</v>
      </c>
      <c r="P212" t="s">
        <v>4567</v>
      </c>
      <c r="Q212" t="s">
        <v>6232</v>
      </c>
      <c r="R212" t="s">
        <v>1963</v>
      </c>
      <c r="T212" t="s">
        <v>3860</v>
      </c>
      <c r="BI212" s="52" t="str">
        <f>HYPERLINK("#일위대가목록!A243","S02002W700YA →")</f>
        <v>S02002W700YA →</v>
      </c>
    </row>
    <row r="213" spans="1:61" ht="18.399999999999999" customHeight="1">
      <c r="A213" s="11" t="s">
        <v>2045</v>
      </c>
      <c r="B213" s="2" t="s">
        <v>397</v>
      </c>
      <c r="C213" s="2">
        <v>1</v>
      </c>
      <c r="D213" s="2" t="s">
        <v>6149</v>
      </c>
      <c r="E213" s="29" t="e">
        <f>일위대가목록!#REF!</f>
        <v>#REF!</v>
      </c>
      <c r="F213" s="29" t="e">
        <f t="shared" si="23"/>
        <v>#REF!</v>
      </c>
      <c r="G213" s="29" t="e">
        <f>일위대가목록!#REF!</f>
        <v>#REF!</v>
      </c>
      <c r="H213" s="29" t="e">
        <f t="shared" si="24"/>
        <v>#REF!</v>
      </c>
      <c r="I213" s="29" t="e">
        <f>일위대가목록!#REF!</f>
        <v>#REF!</v>
      </c>
      <c r="J213" s="29" t="e">
        <f t="shared" si="25"/>
        <v>#REF!</v>
      </c>
      <c r="K213" s="29" t="e">
        <f t="shared" si="22"/>
        <v>#REF!</v>
      </c>
      <c r="L213" s="29" t="e">
        <f t="shared" si="21"/>
        <v>#REF!</v>
      </c>
      <c r="M213" s="20" t="s">
        <v>6232</v>
      </c>
      <c r="N213" t="s">
        <v>6232</v>
      </c>
      <c r="P213" t="s">
        <v>6171</v>
      </c>
      <c r="Q213" t="s">
        <v>6232</v>
      </c>
      <c r="R213" t="s">
        <v>1005</v>
      </c>
      <c r="T213" t="s">
        <v>3860</v>
      </c>
      <c r="BI213" s="52" t="str">
        <f>HYPERLINK("#일위대가목록!A244","S02002W650 →")</f>
        <v>S02002W650 →</v>
      </c>
    </row>
    <row r="214" spans="1:61" ht="18.399999999999999" customHeight="1">
      <c r="A214" s="11" t="s">
        <v>6142</v>
      </c>
      <c r="B214" s="2" t="s">
        <v>397</v>
      </c>
      <c r="C214" s="2">
        <v>1</v>
      </c>
      <c r="D214" s="2" t="s">
        <v>6149</v>
      </c>
      <c r="E214" s="29" t="e">
        <f>일위대가목록!#REF!</f>
        <v>#REF!</v>
      </c>
      <c r="F214" s="29" t="e">
        <f t="shared" si="23"/>
        <v>#REF!</v>
      </c>
      <c r="G214" s="29" t="e">
        <f>일위대가목록!#REF!</f>
        <v>#REF!</v>
      </c>
      <c r="H214" s="29" t="e">
        <f t="shared" si="24"/>
        <v>#REF!</v>
      </c>
      <c r="I214" s="29" t="e">
        <f>일위대가목록!#REF!</f>
        <v>#REF!</v>
      </c>
      <c r="J214" s="29" t="e">
        <f t="shared" si="25"/>
        <v>#REF!</v>
      </c>
      <c r="K214" s="29" t="e">
        <f t="shared" si="22"/>
        <v>#REF!</v>
      </c>
      <c r="L214" s="29" t="e">
        <f t="shared" si="21"/>
        <v>#REF!</v>
      </c>
      <c r="M214" s="20" t="s">
        <v>6232</v>
      </c>
      <c r="N214" t="s">
        <v>6232</v>
      </c>
      <c r="P214" t="s">
        <v>3152</v>
      </c>
      <c r="Q214" t="s">
        <v>6232</v>
      </c>
      <c r="R214" t="s">
        <v>5045</v>
      </c>
      <c r="T214" t="s">
        <v>3860</v>
      </c>
      <c r="BI214" s="52" t="str">
        <f>HYPERLINK("#일위대가목록!A245","S02002W650YA →")</f>
        <v>S02002W650YA →</v>
      </c>
    </row>
    <row r="215" spans="1:61" ht="18.399999999999999" customHeight="1">
      <c r="A215" s="11" t="s">
        <v>2045</v>
      </c>
      <c r="B215" s="2" t="s">
        <v>6105</v>
      </c>
      <c r="C215" s="2">
        <v>1</v>
      </c>
      <c r="D215" s="2" t="s">
        <v>6149</v>
      </c>
      <c r="E215" s="29" t="e">
        <f>일위대가목록!#REF!</f>
        <v>#REF!</v>
      </c>
      <c r="F215" s="29" t="e">
        <f t="shared" si="23"/>
        <v>#REF!</v>
      </c>
      <c r="G215" s="29" t="e">
        <f>일위대가목록!#REF!</f>
        <v>#REF!</v>
      </c>
      <c r="H215" s="29" t="e">
        <f t="shared" si="24"/>
        <v>#REF!</v>
      </c>
      <c r="I215" s="29" t="e">
        <f>일위대가목록!#REF!</f>
        <v>#REF!</v>
      </c>
      <c r="J215" s="29" t="e">
        <f t="shared" si="25"/>
        <v>#REF!</v>
      </c>
      <c r="K215" s="29" t="e">
        <f t="shared" si="22"/>
        <v>#REF!</v>
      </c>
      <c r="L215" s="29" t="e">
        <f t="shared" si="21"/>
        <v>#REF!</v>
      </c>
      <c r="M215" s="20" t="s">
        <v>6232</v>
      </c>
      <c r="N215" t="s">
        <v>6232</v>
      </c>
      <c r="P215" t="s">
        <v>4707</v>
      </c>
      <c r="Q215" t="s">
        <v>6232</v>
      </c>
      <c r="R215" t="s">
        <v>2689</v>
      </c>
      <c r="T215" t="s">
        <v>3860</v>
      </c>
      <c r="BI215" s="52" t="str">
        <f>HYPERLINK("#일위대가목록!A246","S02002W600 →")</f>
        <v>S02002W600 →</v>
      </c>
    </row>
    <row r="216" spans="1:61" ht="18.399999999999999" customHeight="1">
      <c r="A216" s="11" t="s">
        <v>6142</v>
      </c>
      <c r="B216" s="2" t="s">
        <v>6105</v>
      </c>
      <c r="C216" s="2">
        <v>1</v>
      </c>
      <c r="D216" s="2" t="s">
        <v>6149</v>
      </c>
      <c r="E216" s="29" t="e">
        <f>일위대가목록!#REF!</f>
        <v>#REF!</v>
      </c>
      <c r="F216" s="29" t="e">
        <f t="shared" si="23"/>
        <v>#REF!</v>
      </c>
      <c r="G216" s="29" t="e">
        <f>일위대가목록!#REF!</f>
        <v>#REF!</v>
      </c>
      <c r="H216" s="29" t="e">
        <f t="shared" si="24"/>
        <v>#REF!</v>
      </c>
      <c r="I216" s="29" t="e">
        <f>일위대가목록!#REF!</f>
        <v>#REF!</v>
      </c>
      <c r="J216" s="29" t="e">
        <f t="shared" si="25"/>
        <v>#REF!</v>
      </c>
      <c r="K216" s="29" t="e">
        <f t="shared" si="22"/>
        <v>#REF!</v>
      </c>
      <c r="L216" s="29" t="e">
        <f t="shared" si="21"/>
        <v>#REF!</v>
      </c>
      <c r="M216" s="20" t="s">
        <v>6232</v>
      </c>
      <c r="N216" t="s">
        <v>6232</v>
      </c>
      <c r="P216" t="s">
        <v>35</v>
      </c>
      <c r="Q216" t="s">
        <v>6232</v>
      </c>
      <c r="R216" t="s">
        <v>5490</v>
      </c>
      <c r="T216" t="s">
        <v>3860</v>
      </c>
      <c r="BI216" s="52" t="str">
        <f>HYPERLINK("#일위대가목록!A247","S02002W600YA →")</f>
        <v>S02002W600YA →</v>
      </c>
    </row>
    <row r="217" spans="1:61" ht="18.399999999999999" customHeight="1">
      <c r="A217" s="11" t="s">
        <v>2045</v>
      </c>
      <c r="B217" s="2" t="s">
        <v>6191</v>
      </c>
      <c r="C217" s="2">
        <v>1</v>
      </c>
      <c r="D217" s="2" t="s">
        <v>6149</v>
      </c>
      <c r="E217" s="29" t="e">
        <f>일위대가목록!#REF!</f>
        <v>#REF!</v>
      </c>
      <c r="F217" s="29" t="e">
        <f t="shared" si="23"/>
        <v>#REF!</v>
      </c>
      <c r="G217" s="29" t="e">
        <f>일위대가목록!#REF!</f>
        <v>#REF!</v>
      </c>
      <c r="H217" s="29" t="e">
        <f t="shared" si="24"/>
        <v>#REF!</v>
      </c>
      <c r="I217" s="29" t="e">
        <f>일위대가목록!#REF!</f>
        <v>#REF!</v>
      </c>
      <c r="J217" s="29" t="e">
        <f t="shared" si="25"/>
        <v>#REF!</v>
      </c>
      <c r="K217" s="29" t="e">
        <f t="shared" si="22"/>
        <v>#REF!</v>
      </c>
      <c r="L217" s="29" t="e">
        <f t="shared" si="21"/>
        <v>#REF!</v>
      </c>
      <c r="M217" s="20" t="s">
        <v>6232</v>
      </c>
      <c r="N217" t="s">
        <v>6232</v>
      </c>
      <c r="P217" t="s">
        <v>1526</v>
      </c>
      <c r="Q217" t="s">
        <v>6232</v>
      </c>
      <c r="R217" t="s">
        <v>2770</v>
      </c>
      <c r="T217" t="s">
        <v>3860</v>
      </c>
      <c r="BI217" s="52" t="str">
        <f>HYPERLINK("#일위대가목록!A248","S02002W550 →")</f>
        <v>S02002W550 →</v>
      </c>
    </row>
    <row r="218" spans="1:61" ht="18.399999999999999" customHeight="1">
      <c r="A218" s="11" t="s">
        <v>6142</v>
      </c>
      <c r="B218" s="2" t="s">
        <v>6191</v>
      </c>
      <c r="C218" s="2">
        <v>1</v>
      </c>
      <c r="D218" s="2" t="s">
        <v>6149</v>
      </c>
      <c r="E218" s="29" t="e">
        <f>일위대가목록!#REF!</f>
        <v>#REF!</v>
      </c>
      <c r="F218" s="29" t="e">
        <f t="shared" si="23"/>
        <v>#REF!</v>
      </c>
      <c r="G218" s="29" t="e">
        <f>일위대가목록!#REF!</f>
        <v>#REF!</v>
      </c>
      <c r="H218" s="29" t="e">
        <f t="shared" si="24"/>
        <v>#REF!</v>
      </c>
      <c r="I218" s="29" t="e">
        <f>일위대가목록!#REF!</f>
        <v>#REF!</v>
      </c>
      <c r="J218" s="29" t="e">
        <f t="shared" si="25"/>
        <v>#REF!</v>
      </c>
      <c r="K218" s="29" t="e">
        <f t="shared" si="22"/>
        <v>#REF!</v>
      </c>
      <c r="L218" s="29" t="e">
        <f t="shared" si="21"/>
        <v>#REF!</v>
      </c>
      <c r="M218" s="20" t="s">
        <v>6232</v>
      </c>
      <c r="N218" t="s">
        <v>6232</v>
      </c>
      <c r="P218" t="s">
        <v>3269</v>
      </c>
      <c r="Q218" t="s">
        <v>6232</v>
      </c>
      <c r="R218" t="s">
        <v>22</v>
      </c>
      <c r="T218" t="s">
        <v>3860</v>
      </c>
      <c r="BI218" s="52" t="str">
        <f>HYPERLINK("#일위대가목록!A249","S02002W550YA →")</f>
        <v>S02002W550YA →</v>
      </c>
    </row>
    <row r="219" spans="1:61" ht="18.399999999999999" customHeight="1">
      <c r="A219" s="11" t="s">
        <v>2045</v>
      </c>
      <c r="B219" s="2" t="s">
        <v>524</v>
      </c>
      <c r="C219" s="2">
        <v>1</v>
      </c>
      <c r="D219" s="2" t="s">
        <v>6149</v>
      </c>
      <c r="E219" s="29" t="e">
        <f>일위대가목록!#REF!</f>
        <v>#REF!</v>
      </c>
      <c r="F219" s="29" t="e">
        <f t="shared" si="23"/>
        <v>#REF!</v>
      </c>
      <c r="G219" s="29" t="e">
        <f>일위대가목록!#REF!</f>
        <v>#REF!</v>
      </c>
      <c r="H219" s="29" t="e">
        <f t="shared" si="24"/>
        <v>#REF!</v>
      </c>
      <c r="I219" s="29" t="e">
        <f>일위대가목록!#REF!</f>
        <v>#REF!</v>
      </c>
      <c r="J219" s="29" t="e">
        <f t="shared" si="25"/>
        <v>#REF!</v>
      </c>
      <c r="K219" s="29" t="e">
        <f t="shared" si="22"/>
        <v>#REF!</v>
      </c>
      <c r="L219" s="29" t="e">
        <f t="shared" si="21"/>
        <v>#REF!</v>
      </c>
      <c r="M219" s="20" t="s">
        <v>6232</v>
      </c>
      <c r="N219" t="s">
        <v>6232</v>
      </c>
      <c r="P219" t="s">
        <v>4820</v>
      </c>
      <c r="Q219" t="s">
        <v>6232</v>
      </c>
      <c r="R219" t="s">
        <v>1297</v>
      </c>
      <c r="T219" t="s">
        <v>3860</v>
      </c>
      <c r="BI219" s="52" t="str">
        <f>HYPERLINK("#일위대가목록!A250","S02002W500 →")</f>
        <v>S02002W500 →</v>
      </c>
    </row>
    <row r="220" spans="1:61" ht="18.399999999999999" customHeight="1">
      <c r="A220" s="11" t="s">
        <v>6142</v>
      </c>
      <c r="B220" s="2" t="s">
        <v>524</v>
      </c>
      <c r="C220" s="2">
        <v>1</v>
      </c>
      <c r="D220" s="2" t="s">
        <v>6149</v>
      </c>
      <c r="E220" s="29" t="e">
        <f>일위대가목록!#REF!</f>
        <v>#REF!</v>
      </c>
      <c r="F220" s="29" t="e">
        <f t="shared" si="23"/>
        <v>#REF!</v>
      </c>
      <c r="G220" s="29" t="e">
        <f>일위대가목록!#REF!</f>
        <v>#REF!</v>
      </c>
      <c r="H220" s="29" t="e">
        <f t="shared" si="24"/>
        <v>#REF!</v>
      </c>
      <c r="I220" s="29" t="e">
        <f>일위대가목록!#REF!</f>
        <v>#REF!</v>
      </c>
      <c r="J220" s="29" t="e">
        <f t="shared" si="25"/>
        <v>#REF!</v>
      </c>
      <c r="K220" s="29" t="e">
        <f t="shared" si="22"/>
        <v>#REF!</v>
      </c>
      <c r="L220" s="29" t="e">
        <f t="shared" si="21"/>
        <v>#REF!</v>
      </c>
      <c r="M220" s="20" t="s">
        <v>6232</v>
      </c>
      <c r="N220" t="s">
        <v>6232</v>
      </c>
      <c r="P220" t="s">
        <v>124</v>
      </c>
      <c r="Q220" t="s">
        <v>6232</v>
      </c>
      <c r="R220" t="s">
        <v>1190</v>
      </c>
      <c r="T220" t="s">
        <v>3860</v>
      </c>
      <c r="BI220" s="52" t="str">
        <f>HYPERLINK("#일위대가목록!A251","S02002W500YA →")</f>
        <v>S02002W500YA →</v>
      </c>
    </row>
    <row r="221" spans="1:61" ht="18.399999999999999" customHeight="1">
      <c r="A221" s="11" t="s">
        <v>2045</v>
      </c>
      <c r="B221" s="2" t="s">
        <v>3764</v>
      </c>
      <c r="C221" s="2">
        <v>1</v>
      </c>
      <c r="D221" s="2" t="s">
        <v>6149</v>
      </c>
      <c r="E221" s="29" t="e">
        <f>일위대가목록!#REF!</f>
        <v>#REF!</v>
      </c>
      <c r="F221" s="29" t="e">
        <f t="shared" si="23"/>
        <v>#REF!</v>
      </c>
      <c r="G221" s="29" t="e">
        <f>일위대가목록!#REF!</f>
        <v>#REF!</v>
      </c>
      <c r="H221" s="29" t="e">
        <f t="shared" si="24"/>
        <v>#REF!</v>
      </c>
      <c r="I221" s="29" t="e">
        <f>일위대가목록!#REF!</f>
        <v>#REF!</v>
      </c>
      <c r="J221" s="29" t="e">
        <f t="shared" si="25"/>
        <v>#REF!</v>
      </c>
      <c r="K221" s="29" t="e">
        <f t="shared" si="22"/>
        <v>#REF!</v>
      </c>
      <c r="L221" s="29" t="e">
        <f t="shared" si="21"/>
        <v>#REF!</v>
      </c>
      <c r="M221" s="20" t="s">
        <v>6232</v>
      </c>
      <c r="N221" t="s">
        <v>6232</v>
      </c>
      <c r="P221" t="s">
        <v>1626</v>
      </c>
      <c r="Q221" t="s">
        <v>6232</v>
      </c>
      <c r="R221" t="s">
        <v>1639</v>
      </c>
      <c r="T221" t="s">
        <v>3860</v>
      </c>
      <c r="BI221" s="52" t="str">
        <f>HYPERLINK("#일위대가목록!A252","S02002W450 →")</f>
        <v>S02002W450 →</v>
      </c>
    </row>
    <row r="222" spans="1:61" ht="18.399999999999999" customHeight="1">
      <c r="A222" s="11" t="s">
        <v>6142</v>
      </c>
      <c r="B222" s="2" t="s">
        <v>3764</v>
      </c>
      <c r="C222" s="2">
        <v>1</v>
      </c>
      <c r="D222" s="2" t="s">
        <v>6149</v>
      </c>
      <c r="E222" s="29" t="e">
        <f>일위대가목록!#REF!</f>
        <v>#REF!</v>
      </c>
      <c r="F222" s="29" t="e">
        <f t="shared" si="23"/>
        <v>#REF!</v>
      </c>
      <c r="G222" s="29" t="e">
        <f>일위대가목록!#REF!</f>
        <v>#REF!</v>
      </c>
      <c r="H222" s="29" t="e">
        <f t="shared" si="24"/>
        <v>#REF!</v>
      </c>
      <c r="I222" s="29" t="e">
        <f>일위대가목록!#REF!</f>
        <v>#REF!</v>
      </c>
      <c r="J222" s="29" t="e">
        <f t="shared" si="25"/>
        <v>#REF!</v>
      </c>
      <c r="K222" s="29" t="e">
        <f t="shared" si="22"/>
        <v>#REF!</v>
      </c>
      <c r="L222" s="29" t="e">
        <f t="shared" si="21"/>
        <v>#REF!</v>
      </c>
      <c r="M222" s="20" t="s">
        <v>6232</v>
      </c>
      <c r="N222" t="s">
        <v>6232</v>
      </c>
      <c r="P222" t="s">
        <v>3373</v>
      </c>
      <c r="Q222" t="s">
        <v>6232</v>
      </c>
      <c r="R222" t="s">
        <v>4296</v>
      </c>
      <c r="T222" t="s">
        <v>3860</v>
      </c>
      <c r="BI222" s="52" t="str">
        <f>HYPERLINK("#일위대가목록!A253","S02002W450YA →")</f>
        <v>S02002W450YA →</v>
      </c>
    </row>
    <row r="223" spans="1:61" ht="18.399999999999999" customHeight="1">
      <c r="A223" s="11" t="s">
        <v>2045</v>
      </c>
      <c r="B223" s="2" t="s">
        <v>2715</v>
      </c>
      <c r="C223" s="2">
        <v>1</v>
      </c>
      <c r="D223" s="2" t="s">
        <v>6149</v>
      </c>
      <c r="E223" s="29" t="e">
        <f>일위대가목록!#REF!</f>
        <v>#REF!</v>
      </c>
      <c r="F223" s="29" t="e">
        <f t="shared" si="23"/>
        <v>#REF!</v>
      </c>
      <c r="G223" s="29" t="e">
        <f>일위대가목록!#REF!</f>
        <v>#REF!</v>
      </c>
      <c r="H223" s="29" t="e">
        <f t="shared" si="24"/>
        <v>#REF!</v>
      </c>
      <c r="I223" s="29" t="e">
        <f>일위대가목록!#REF!</f>
        <v>#REF!</v>
      </c>
      <c r="J223" s="29" t="e">
        <f t="shared" si="25"/>
        <v>#REF!</v>
      </c>
      <c r="K223" s="29" t="e">
        <f t="shared" si="22"/>
        <v>#REF!</v>
      </c>
      <c r="L223" s="29" t="e">
        <f t="shared" si="21"/>
        <v>#REF!</v>
      </c>
      <c r="M223" s="20" t="s">
        <v>6232</v>
      </c>
      <c r="N223" t="s">
        <v>6232</v>
      </c>
      <c r="P223" t="s">
        <v>4914</v>
      </c>
      <c r="Q223" t="s">
        <v>6232</v>
      </c>
      <c r="R223" t="s">
        <v>27</v>
      </c>
      <c r="T223" t="s">
        <v>3860</v>
      </c>
      <c r="BI223" s="52" t="str">
        <f>HYPERLINK("#일위대가목록!A254","S02002W400 →")</f>
        <v>S02002W400 →</v>
      </c>
    </row>
    <row r="224" spans="1:61" ht="18.399999999999999" customHeight="1">
      <c r="A224" s="11" t="s">
        <v>6142</v>
      </c>
      <c r="B224" s="2" t="s">
        <v>2715</v>
      </c>
      <c r="C224" s="2">
        <v>1</v>
      </c>
      <c r="D224" s="2" t="s">
        <v>6149</v>
      </c>
      <c r="E224" s="29" t="e">
        <f>일위대가목록!#REF!</f>
        <v>#REF!</v>
      </c>
      <c r="F224" s="29" t="e">
        <f t="shared" si="23"/>
        <v>#REF!</v>
      </c>
      <c r="G224" s="29" t="e">
        <f>일위대가목록!#REF!</f>
        <v>#REF!</v>
      </c>
      <c r="H224" s="29" t="e">
        <f t="shared" si="24"/>
        <v>#REF!</v>
      </c>
      <c r="I224" s="29" t="e">
        <f>일위대가목록!#REF!</f>
        <v>#REF!</v>
      </c>
      <c r="J224" s="29" t="e">
        <f t="shared" si="25"/>
        <v>#REF!</v>
      </c>
      <c r="K224" s="29" t="e">
        <f t="shared" si="22"/>
        <v>#REF!</v>
      </c>
      <c r="L224" s="29" t="e">
        <f t="shared" si="21"/>
        <v>#REF!</v>
      </c>
      <c r="M224" s="20" t="s">
        <v>6232</v>
      </c>
      <c r="N224" t="s">
        <v>6232</v>
      </c>
      <c r="P224" t="s">
        <v>133</v>
      </c>
      <c r="Q224" t="s">
        <v>6232</v>
      </c>
      <c r="R224" t="s">
        <v>3127</v>
      </c>
      <c r="T224" t="s">
        <v>3860</v>
      </c>
      <c r="BI224" s="52" t="str">
        <f>HYPERLINK("#일위대가목록!A255","S02002W400YA →")</f>
        <v>S02002W400YA →</v>
      </c>
    </row>
    <row r="225" spans="1:61" ht="18.399999999999999" customHeight="1">
      <c r="A225" s="11" t="s">
        <v>2045</v>
      </c>
      <c r="B225" s="2" t="s">
        <v>809</v>
      </c>
      <c r="C225" s="2">
        <v>1</v>
      </c>
      <c r="D225" s="2" t="s">
        <v>6149</v>
      </c>
      <c r="E225" s="29" t="e">
        <f>일위대가목록!#REF!</f>
        <v>#REF!</v>
      </c>
      <c r="F225" s="29" t="e">
        <f t="shared" si="23"/>
        <v>#REF!</v>
      </c>
      <c r="G225" s="29" t="e">
        <f>일위대가목록!#REF!</f>
        <v>#REF!</v>
      </c>
      <c r="H225" s="29" t="e">
        <f t="shared" si="24"/>
        <v>#REF!</v>
      </c>
      <c r="I225" s="29" t="e">
        <f>일위대가목록!#REF!</f>
        <v>#REF!</v>
      </c>
      <c r="J225" s="29" t="e">
        <f t="shared" si="25"/>
        <v>#REF!</v>
      </c>
      <c r="K225" s="29" t="e">
        <f t="shared" si="22"/>
        <v>#REF!</v>
      </c>
      <c r="L225" s="29" t="e">
        <f t="shared" si="21"/>
        <v>#REF!</v>
      </c>
      <c r="M225" s="20" t="s">
        <v>6232</v>
      </c>
      <c r="N225" t="s">
        <v>6232</v>
      </c>
      <c r="P225" t="s">
        <v>1698</v>
      </c>
      <c r="Q225" t="s">
        <v>6232</v>
      </c>
      <c r="R225" t="s">
        <v>4701</v>
      </c>
      <c r="T225" t="s">
        <v>3860</v>
      </c>
      <c r="BI225" s="52" t="str">
        <f>HYPERLINK("#일위대가목록!A256","S02002W350 →")</f>
        <v>S02002W350 →</v>
      </c>
    </row>
    <row r="226" spans="1:61" ht="18.399999999999999" customHeight="1">
      <c r="A226" s="11" t="s">
        <v>6142</v>
      </c>
      <c r="B226" s="2" t="s">
        <v>809</v>
      </c>
      <c r="C226" s="2">
        <v>1</v>
      </c>
      <c r="D226" s="2" t="s">
        <v>6149</v>
      </c>
      <c r="E226" s="29" t="e">
        <f>일위대가목록!#REF!</f>
        <v>#REF!</v>
      </c>
      <c r="F226" s="29" t="e">
        <f t="shared" si="23"/>
        <v>#REF!</v>
      </c>
      <c r="G226" s="29" t="e">
        <f>일위대가목록!#REF!</f>
        <v>#REF!</v>
      </c>
      <c r="H226" s="29" t="e">
        <f t="shared" si="24"/>
        <v>#REF!</v>
      </c>
      <c r="I226" s="29" t="e">
        <f>일위대가목록!#REF!</f>
        <v>#REF!</v>
      </c>
      <c r="J226" s="29" t="e">
        <f t="shared" si="25"/>
        <v>#REF!</v>
      </c>
      <c r="K226" s="29" t="e">
        <f t="shared" si="22"/>
        <v>#REF!</v>
      </c>
      <c r="L226" s="29" t="e">
        <f t="shared" si="21"/>
        <v>#REF!</v>
      </c>
      <c r="M226" s="20" t="s">
        <v>6232</v>
      </c>
      <c r="N226" t="s">
        <v>6232</v>
      </c>
      <c r="P226" t="s">
        <v>3183</v>
      </c>
      <c r="Q226" t="s">
        <v>6232</v>
      </c>
      <c r="R226" t="s">
        <v>3874</v>
      </c>
      <c r="T226" t="s">
        <v>3860</v>
      </c>
      <c r="BI226" s="52" t="str">
        <f>HYPERLINK("#일위대가목록!A257","S02002W350YA →")</f>
        <v>S02002W350YA →</v>
      </c>
    </row>
    <row r="227" spans="1:61" ht="18.399999999999999" customHeight="1">
      <c r="A227" s="11" t="s">
        <v>2045</v>
      </c>
      <c r="B227" s="2" t="s">
        <v>4894</v>
      </c>
      <c r="C227" s="2">
        <v>1</v>
      </c>
      <c r="D227" s="2" t="s">
        <v>6149</v>
      </c>
      <c r="E227" s="29" t="e">
        <f>일위대가목록!#REF!</f>
        <v>#REF!</v>
      </c>
      <c r="F227" s="29" t="e">
        <f t="shared" si="23"/>
        <v>#REF!</v>
      </c>
      <c r="G227" s="29" t="e">
        <f>일위대가목록!#REF!</f>
        <v>#REF!</v>
      </c>
      <c r="H227" s="29" t="e">
        <f t="shared" si="24"/>
        <v>#REF!</v>
      </c>
      <c r="I227" s="29" t="e">
        <f>일위대가목록!#REF!</f>
        <v>#REF!</v>
      </c>
      <c r="J227" s="29" t="e">
        <f t="shared" si="25"/>
        <v>#REF!</v>
      </c>
      <c r="K227" s="29" t="e">
        <f t="shared" si="22"/>
        <v>#REF!</v>
      </c>
      <c r="L227" s="29" t="e">
        <f t="shared" si="21"/>
        <v>#REF!</v>
      </c>
      <c r="M227" s="20" t="s">
        <v>6232</v>
      </c>
      <c r="N227" t="s">
        <v>6232</v>
      </c>
      <c r="P227" t="s">
        <v>4787</v>
      </c>
      <c r="Q227" t="s">
        <v>6232</v>
      </c>
      <c r="R227" t="s">
        <v>3176</v>
      </c>
      <c r="T227" t="s">
        <v>3860</v>
      </c>
      <c r="BI227" s="52" t="str">
        <f>HYPERLINK("#일위대가목록!A258","S02002W300 →")</f>
        <v>S02002W300 →</v>
      </c>
    </row>
    <row r="228" spans="1:61" ht="18.399999999999999" customHeight="1">
      <c r="A228" s="11" t="s">
        <v>6142</v>
      </c>
      <c r="B228" s="2" t="s">
        <v>4894</v>
      </c>
      <c r="C228" s="2">
        <v>1</v>
      </c>
      <c r="D228" s="2" t="s">
        <v>6149</v>
      </c>
      <c r="E228" s="29" t="e">
        <f>일위대가목록!#REF!</f>
        <v>#REF!</v>
      </c>
      <c r="F228" s="29" t="e">
        <f t="shared" si="23"/>
        <v>#REF!</v>
      </c>
      <c r="G228" s="29" t="e">
        <f>일위대가목록!#REF!</f>
        <v>#REF!</v>
      </c>
      <c r="H228" s="29" t="e">
        <f t="shared" si="24"/>
        <v>#REF!</v>
      </c>
      <c r="I228" s="29" t="e">
        <f>일위대가목록!#REF!</f>
        <v>#REF!</v>
      </c>
      <c r="J228" s="29" t="e">
        <f t="shared" si="25"/>
        <v>#REF!</v>
      </c>
      <c r="K228" s="29" t="e">
        <f t="shared" si="22"/>
        <v>#REF!</v>
      </c>
      <c r="L228" s="29" t="e">
        <f t="shared" si="21"/>
        <v>#REF!</v>
      </c>
      <c r="M228" s="20" t="s">
        <v>6232</v>
      </c>
      <c r="N228" t="s">
        <v>6232</v>
      </c>
      <c r="P228" t="s">
        <v>62</v>
      </c>
      <c r="Q228" t="s">
        <v>6232</v>
      </c>
      <c r="R228" t="s">
        <v>3546</v>
      </c>
      <c r="T228" t="s">
        <v>3860</v>
      </c>
      <c r="BI228" s="52" t="str">
        <f>HYPERLINK("#일위대가목록!A259","S02002W300YA →")</f>
        <v>S02002W300YA →</v>
      </c>
    </row>
    <row r="229" spans="1:61" ht="18.399999999999999" customHeight="1">
      <c r="A229" s="11" t="s">
        <v>2045</v>
      </c>
      <c r="B229" s="2" t="s">
        <v>1701</v>
      </c>
      <c r="C229" s="2">
        <v>1</v>
      </c>
      <c r="D229" s="2" t="s">
        <v>6149</v>
      </c>
      <c r="E229" s="29" t="e">
        <f>일위대가목록!#REF!</f>
        <v>#REF!</v>
      </c>
      <c r="F229" s="29" t="e">
        <f t="shared" si="23"/>
        <v>#REF!</v>
      </c>
      <c r="G229" s="29" t="e">
        <f>일위대가목록!#REF!</f>
        <v>#REF!</v>
      </c>
      <c r="H229" s="29" t="e">
        <f t="shared" si="24"/>
        <v>#REF!</v>
      </c>
      <c r="I229" s="29" t="e">
        <f>일위대가목록!#REF!</f>
        <v>#REF!</v>
      </c>
      <c r="J229" s="29" t="e">
        <f t="shared" si="25"/>
        <v>#REF!</v>
      </c>
      <c r="K229" s="29" t="e">
        <f t="shared" si="22"/>
        <v>#REF!</v>
      </c>
      <c r="L229" s="29" t="e">
        <f t="shared" si="21"/>
        <v>#REF!</v>
      </c>
      <c r="M229" s="20" t="s">
        <v>6232</v>
      </c>
      <c r="N229" t="s">
        <v>6232</v>
      </c>
      <c r="P229" t="s">
        <v>1617</v>
      </c>
      <c r="Q229" t="s">
        <v>6232</v>
      </c>
      <c r="R229" t="s">
        <v>5982</v>
      </c>
      <c r="T229" t="s">
        <v>3860</v>
      </c>
      <c r="BI229" s="52" t="str">
        <f>HYPERLINK("#일위대가목록!A260","S02002W250 →")</f>
        <v>S02002W250 →</v>
      </c>
    </row>
    <row r="230" spans="1:61" ht="18.399999999999999" customHeight="1">
      <c r="A230" s="11" t="s">
        <v>6142</v>
      </c>
      <c r="B230" s="2" t="s">
        <v>1701</v>
      </c>
      <c r="C230" s="2">
        <v>1</v>
      </c>
      <c r="D230" s="2" t="s">
        <v>6149</v>
      </c>
      <c r="E230" s="29" t="e">
        <f>일위대가목록!#REF!</f>
        <v>#REF!</v>
      </c>
      <c r="F230" s="29" t="e">
        <f t="shared" si="23"/>
        <v>#REF!</v>
      </c>
      <c r="G230" s="29" t="e">
        <f>일위대가목록!#REF!</f>
        <v>#REF!</v>
      </c>
      <c r="H230" s="29" t="e">
        <f t="shared" si="24"/>
        <v>#REF!</v>
      </c>
      <c r="I230" s="29" t="e">
        <f>일위대가목록!#REF!</f>
        <v>#REF!</v>
      </c>
      <c r="J230" s="29" t="e">
        <f t="shared" si="25"/>
        <v>#REF!</v>
      </c>
      <c r="K230" s="29" t="e">
        <f t="shared" si="22"/>
        <v>#REF!</v>
      </c>
      <c r="L230" s="29" t="e">
        <f t="shared" si="21"/>
        <v>#REF!</v>
      </c>
      <c r="M230" s="20" t="s">
        <v>6232</v>
      </c>
      <c r="N230" t="s">
        <v>6232</v>
      </c>
      <c r="P230" t="s">
        <v>3086</v>
      </c>
      <c r="Q230" t="s">
        <v>6232</v>
      </c>
      <c r="R230" t="s">
        <v>370</v>
      </c>
      <c r="T230" t="s">
        <v>3860</v>
      </c>
      <c r="BI230" s="52" t="str">
        <f>HYPERLINK("#일위대가목록!A261","S02002W250YA →")</f>
        <v>S02002W250YA →</v>
      </c>
    </row>
    <row r="231" spans="1:61" ht="18.399999999999999" customHeight="1">
      <c r="A231" s="11" t="s">
        <v>2045</v>
      </c>
      <c r="B231" s="2" t="s">
        <v>4196</v>
      </c>
      <c r="C231" s="2">
        <v>1</v>
      </c>
      <c r="D231" s="2" t="s">
        <v>6149</v>
      </c>
      <c r="E231" s="29" t="e">
        <f>일위대가목록!#REF!</f>
        <v>#REF!</v>
      </c>
      <c r="F231" s="29" t="e">
        <f t="shared" si="23"/>
        <v>#REF!</v>
      </c>
      <c r="G231" s="29" t="e">
        <f>일위대가목록!#REF!</f>
        <v>#REF!</v>
      </c>
      <c r="H231" s="29" t="e">
        <f t="shared" si="24"/>
        <v>#REF!</v>
      </c>
      <c r="I231" s="29" t="e">
        <f>일위대가목록!#REF!</f>
        <v>#REF!</v>
      </c>
      <c r="J231" s="29" t="e">
        <f t="shared" si="25"/>
        <v>#REF!</v>
      </c>
      <c r="K231" s="29" t="e">
        <f t="shared" si="22"/>
        <v>#REF!</v>
      </c>
      <c r="L231" s="29" t="e">
        <f t="shared" si="21"/>
        <v>#REF!</v>
      </c>
      <c r="M231" s="20" t="s">
        <v>6232</v>
      </c>
      <c r="N231" t="s">
        <v>6232</v>
      </c>
      <c r="P231" t="s">
        <v>4693</v>
      </c>
      <c r="Q231" t="s">
        <v>6232</v>
      </c>
      <c r="R231" t="s">
        <v>4356</v>
      </c>
      <c r="T231" t="s">
        <v>3860</v>
      </c>
      <c r="BI231" s="52" t="str">
        <f>HYPERLINK("#일위대가목록!A262","S02002W200 →")</f>
        <v>S02002W200 →</v>
      </c>
    </row>
    <row r="232" spans="1:61" ht="18.399999999999999" customHeight="1">
      <c r="A232" s="11" t="s">
        <v>6142</v>
      </c>
      <c r="B232" s="2" t="s">
        <v>4196</v>
      </c>
      <c r="C232" s="2">
        <v>1</v>
      </c>
      <c r="D232" s="2" t="s">
        <v>6149</v>
      </c>
      <c r="E232" s="29" t="e">
        <f>일위대가목록!#REF!</f>
        <v>#REF!</v>
      </c>
      <c r="F232" s="29" t="e">
        <f t="shared" si="23"/>
        <v>#REF!</v>
      </c>
      <c r="G232" s="29" t="e">
        <f>일위대가목록!#REF!</f>
        <v>#REF!</v>
      </c>
      <c r="H232" s="29" t="e">
        <f t="shared" si="24"/>
        <v>#REF!</v>
      </c>
      <c r="I232" s="29" t="e">
        <f>일위대가목록!#REF!</f>
        <v>#REF!</v>
      </c>
      <c r="J232" s="29" t="e">
        <f t="shared" si="25"/>
        <v>#REF!</v>
      </c>
      <c r="K232" s="29" t="e">
        <f t="shared" si="22"/>
        <v>#REF!</v>
      </c>
      <c r="L232" s="29" t="e">
        <f t="shared" si="21"/>
        <v>#REF!</v>
      </c>
      <c r="M232" s="20" t="s">
        <v>6232</v>
      </c>
      <c r="N232" t="s">
        <v>6232</v>
      </c>
      <c r="P232" t="s">
        <v>319</v>
      </c>
      <c r="Q232" t="s">
        <v>6232</v>
      </c>
      <c r="R232" t="s">
        <v>835</v>
      </c>
      <c r="T232" t="s">
        <v>3860</v>
      </c>
      <c r="BI232" s="52" t="str">
        <f>HYPERLINK("#일위대가목록!A263","S02002W200YA →")</f>
        <v>S02002W200YA →</v>
      </c>
    </row>
    <row r="233" spans="1:61" ht="18.399999999999999" customHeight="1">
      <c r="A233" s="11" t="s">
        <v>2045</v>
      </c>
      <c r="B233" s="2" t="s">
        <v>4124</v>
      </c>
      <c r="C233" s="2">
        <v>1</v>
      </c>
      <c r="D233" s="2" t="s">
        <v>6149</v>
      </c>
      <c r="E233" s="29" t="e">
        <f>일위대가목록!#REF!</f>
        <v>#REF!</v>
      </c>
      <c r="F233" s="29" t="e">
        <f t="shared" si="23"/>
        <v>#REF!</v>
      </c>
      <c r="G233" s="29" t="e">
        <f>일위대가목록!#REF!</f>
        <v>#REF!</v>
      </c>
      <c r="H233" s="29" t="e">
        <f t="shared" si="24"/>
        <v>#REF!</v>
      </c>
      <c r="I233" s="29" t="e">
        <f>일위대가목록!#REF!</f>
        <v>#REF!</v>
      </c>
      <c r="J233" s="29" t="e">
        <f t="shared" si="25"/>
        <v>#REF!</v>
      </c>
      <c r="K233" s="29" t="e">
        <f t="shared" si="22"/>
        <v>#REF!</v>
      </c>
      <c r="L233" s="29" t="e">
        <f t="shared" si="21"/>
        <v>#REF!</v>
      </c>
      <c r="M233" s="20" t="s">
        <v>6232</v>
      </c>
      <c r="N233" t="s">
        <v>6232</v>
      </c>
      <c r="P233" t="s">
        <v>1901</v>
      </c>
      <c r="Q233" t="s">
        <v>6232</v>
      </c>
      <c r="R233" t="s">
        <v>4252</v>
      </c>
      <c r="T233" t="s">
        <v>3860</v>
      </c>
      <c r="BI233" s="52" t="str">
        <f>HYPERLINK("#일위대가목록!A264","S02002W150 →")</f>
        <v>S02002W150 →</v>
      </c>
    </row>
    <row r="234" spans="1:61" ht="18.399999999999999" customHeight="1">
      <c r="A234" s="11" t="s">
        <v>6142</v>
      </c>
      <c r="B234" s="2" t="s">
        <v>4124</v>
      </c>
      <c r="C234" s="2">
        <v>1</v>
      </c>
      <c r="D234" s="2" t="s">
        <v>6149</v>
      </c>
      <c r="E234" s="29" t="e">
        <f>일위대가목록!#REF!</f>
        <v>#REF!</v>
      </c>
      <c r="F234" s="29" t="e">
        <f t="shared" si="23"/>
        <v>#REF!</v>
      </c>
      <c r="G234" s="29" t="e">
        <f>일위대가목록!#REF!</f>
        <v>#REF!</v>
      </c>
      <c r="H234" s="29" t="e">
        <f t="shared" si="24"/>
        <v>#REF!</v>
      </c>
      <c r="I234" s="29" t="e">
        <f>일위대가목록!#REF!</f>
        <v>#REF!</v>
      </c>
      <c r="J234" s="29" t="e">
        <f t="shared" si="25"/>
        <v>#REF!</v>
      </c>
      <c r="K234" s="29" t="e">
        <f t="shared" si="22"/>
        <v>#REF!</v>
      </c>
      <c r="L234" s="29" t="e">
        <f t="shared" si="21"/>
        <v>#REF!</v>
      </c>
      <c r="M234" s="20" t="s">
        <v>6232</v>
      </c>
      <c r="N234" t="s">
        <v>6232</v>
      </c>
      <c r="P234" t="s">
        <v>1172</v>
      </c>
      <c r="Q234" t="s">
        <v>6232</v>
      </c>
      <c r="R234" t="s">
        <v>4653</v>
      </c>
      <c r="T234" t="s">
        <v>3860</v>
      </c>
      <c r="BI234" s="52" t="str">
        <f>HYPERLINK("#일위대가목록!A265","S02002W150YA →")</f>
        <v>S02002W150YA →</v>
      </c>
    </row>
    <row r="235" spans="1:61" ht="18.399999999999999" customHeight="1">
      <c r="A235" s="11" t="s">
        <v>2045</v>
      </c>
      <c r="B235" s="2" t="s">
        <v>2533</v>
      </c>
      <c r="C235" s="2">
        <v>1</v>
      </c>
      <c r="D235" s="2" t="s">
        <v>6149</v>
      </c>
      <c r="E235" s="29" t="e">
        <f>일위대가목록!#REF!</f>
        <v>#REF!</v>
      </c>
      <c r="F235" s="29" t="e">
        <f t="shared" si="23"/>
        <v>#REF!</v>
      </c>
      <c r="G235" s="29" t="e">
        <f>일위대가목록!#REF!</f>
        <v>#REF!</v>
      </c>
      <c r="H235" s="29" t="e">
        <f t="shared" si="24"/>
        <v>#REF!</v>
      </c>
      <c r="I235" s="29" t="e">
        <f>일위대가목록!#REF!</f>
        <v>#REF!</v>
      </c>
      <c r="J235" s="29" t="e">
        <f t="shared" si="25"/>
        <v>#REF!</v>
      </c>
      <c r="K235" s="29" t="e">
        <f t="shared" si="22"/>
        <v>#REF!</v>
      </c>
      <c r="L235" s="29" t="e">
        <f t="shared" si="21"/>
        <v>#REF!</v>
      </c>
      <c r="M235" s="20" t="s">
        <v>6232</v>
      </c>
      <c r="N235" t="s">
        <v>6232</v>
      </c>
      <c r="P235" t="s">
        <v>2705</v>
      </c>
      <c r="Q235" t="s">
        <v>6232</v>
      </c>
      <c r="R235" t="s">
        <v>5624</v>
      </c>
      <c r="T235" t="s">
        <v>3860</v>
      </c>
      <c r="BI235" s="52" t="str">
        <f>HYPERLINK("#일위대가목록!A266","S02002W125 →")</f>
        <v>S02002W125 →</v>
      </c>
    </row>
    <row r="236" spans="1:61" ht="18.399999999999999" customHeight="1">
      <c r="A236" s="11" t="s">
        <v>6142</v>
      </c>
      <c r="B236" s="2" t="s">
        <v>2533</v>
      </c>
      <c r="C236" s="2">
        <v>1</v>
      </c>
      <c r="D236" s="2" t="s">
        <v>6149</v>
      </c>
      <c r="E236" s="29" t="e">
        <f>일위대가목록!#REF!</f>
        <v>#REF!</v>
      </c>
      <c r="F236" s="29" t="e">
        <f t="shared" si="23"/>
        <v>#REF!</v>
      </c>
      <c r="G236" s="29" t="e">
        <f>일위대가목록!#REF!</f>
        <v>#REF!</v>
      </c>
      <c r="H236" s="29" t="e">
        <f t="shared" si="24"/>
        <v>#REF!</v>
      </c>
      <c r="I236" s="29" t="e">
        <f>일위대가목록!#REF!</f>
        <v>#REF!</v>
      </c>
      <c r="J236" s="29" t="e">
        <f t="shared" si="25"/>
        <v>#REF!</v>
      </c>
      <c r="K236" s="29" t="e">
        <f t="shared" si="22"/>
        <v>#REF!</v>
      </c>
      <c r="L236" s="29" t="e">
        <f t="shared" si="21"/>
        <v>#REF!</v>
      </c>
      <c r="M236" s="20" t="s">
        <v>6232</v>
      </c>
      <c r="N236" t="s">
        <v>6232</v>
      </c>
      <c r="P236" t="s">
        <v>4349</v>
      </c>
      <c r="Q236" t="s">
        <v>6232</v>
      </c>
      <c r="R236" t="s">
        <v>3532</v>
      </c>
      <c r="T236" t="s">
        <v>3860</v>
      </c>
      <c r="BI236" s="52" t="str">
        <f>HYPERLINK("#일위대가목록!A267","S02002W125YA →")</f>
        <v>S02002W125YA →</v>
      </c>
    </row>
    <row r="237" spans="1:61" ht="18.399999999999999" customHeight="1">
      <c r="A237" s="11" t="s">
        <v>2045</v>
      </c>
      <c r="B237" s="2" t="s">
        <v>1572</v>
      </c>
      <c r="C237" s="2">
        <v>1</v>
      </c>
      <c r="D237" s="2" t="s">
        <v>6149</v>
      </c>
      <c r="E237" s="29" t="e">
        <f>일위대가목록!#REF!</f>
        <v>#REF!</v>
      </c>
      <c r="F237" s="29" t="e">
        <f t="shared" si="23"/>
        <v>#REF!</v>
      </c>
      <c r="G237" s="29" t="e">
        <f>일위대가목록!#REF!</f>
        <v>#REF!</v>
      </c>
      <c r="H237" s="29" t="e">
        <f t="shared" si="24"/>
        <v>#REF!</v>
      </c>
      <c r="I237" s="29" t="e">
        <f>일위대가목록!#REF!</f>
        <v>#REF!</v>
      </c>
      <c r="J237" s="29" t="e">
        <f t="shared" si="25"/>
        <v>#REF!</v>
      </c>
      <c r="K237" s="29" t="e">
        <f t="shared" si="22"/>
        <v>#REF!</v>
      </c>
      <c r="L237" s="29" t="e">
        <f t="shared" si="21"/>
        <v>#REF!</v>
      </c>
      <c r="M237" s="20" t="s">
        <v>6232</v>
      </c>
      <c r="N237" t="s">
        <v>6232</v>
      </c>
      <c r="P237" t="s">
        <v>5874</v>
      </c>
      <c r="Q237" t="s">
        <v>6232</v>
      </c>
      <c r="R237" t="s">
        <v>5697</v>
      </c>
      <c r="T237" t="s">
        <v>3860</v>
      </c>
      <c r="BI237" s="52" t="str">
        <f>HYPERLINK("#일위대가목록!A268","S02002W100 →")</f>
        <v>S02002W100 →</v>
      </c>
    </row>
    <row r="238" spans="1:61" ht="18.399999999999999" customHeight="1">
      <c r="A238" s="11" t="s">
        <v>6142</v>
      </c>
      <c r="B238" s="2" t="s">
        <v>1572</v>
      </c>
      <c r="C238" s="2">
        <v>1</v>
      </c>
      <c r="D238" s="2" t="s">
        <v>6149</v>
      </c>
      <c r="E238" s="29" t="e">
        <f>일위대가목록!#REF!</f>
        <v>#REF!</v>
      </c>
      <c r="F238" s="29" t="e">
        <f t="shared" si="23"/>
        <v>#REF!</v>
      </c>
      <c r="G238" s="29" t="e">
        <f>일위대가목록!#REF!</f>
        <v>#REF!</v>
      </c>
      <c r="H238" s="29" t="e">
        <f t="shared" si="24"/>
        <v>#REF!</v>
      </c>
      <c r="I238" s="29" t="e">
        <f>일위대가목록!#REF!</f>
        <v>#REF!</v>
      </c>
      <c r="J238" s="29" t="e">
        <f t="shared" si="25"/>
        <v>#REF!</v>
      </c>
      <c r="K238" s="29" t="e">
        <f t="shared" si="22"/>
        <v>#REF!</v>
      </c>
      <c r="L238" s="29" t="e">
        <f t="shared" si="21"/>
        <v>#REF!</v>
      </c>
      <c r="M238" s="20" t="s">
        <v>6232</v>
      </c>
      <c r="N238" t="s">
        <v>6232</v>
      </c>
      <c r="P238" t="s">
        <v>1280</v>
      </c>
      <c r="Q238" t="s">
        <v>6232</v>
      </c>
      <c r="R238" t="s">
        <v>5889</v>
      </c>
      <c r="T238" t="s">
        <v>3860</v>
      </c>
      <c r="BI238" s="52" t="str">
        <f>HYPERLINK("#일위대가목록!A269","S02002W100YA →")</f>
        <v>S02002W100YA →</v>
      </c>
    </row>
    <row r="239" spans="1:61" ht="18.399999999999999" customHeight="1">
      <c r="A239" s="11" t="s">
        <v>2045</v>
      </c>
      <c r="B239" s="2" t="s">
        <v>1160</v>
      </c>
      <c r="C239" s="2">
        <v>1</v>
      </c>
      <c r="D239" s="2" t="s">
        <v>6149</v>
      </c>
      <c r="E239" s="29" t="e">
        <f>일위대가목록!#REF!</f>
        <v>#REF!</v>
      </c>
      <c r="F239" s="29" t="e">
        <f t="shared" si="23"/>
        <v>#REF!</v>
      </c>
      <c r="G239" s="29" t="e">
        <f>일위대가목록!#REF!</f>
        <v>#REF!</v>
      </c>
      <c r="H239" s="29" t="e">
        <f t="shared" si="24"/>
        <v>#REF!</v>
      </c>
      <c r="I239" s="29" t="e">
        <f>일위대가목록!#REF!</f>
        <v>#REF!</v>
      </c>
      <c r="J239" s="29" t="e">
        <f t="shared" si="25"/>
        <v>#REF!</v>
      </c>
      <c r="K239" s="29" t="e">
        <f t="shared" si="22"/>
        <v>#REF!</v>
      </c>
      <c r="L239" s="29" t="e">
        <f t="shared" si="21"/>
        <v>#REF!</v>
      </c>
      <c r="M239" s="20" t="s">
        <v>6232</v>
      </c>
      <c r="N239" t="s">
        <v>6232</v>
      </c>
      <c r="P239" t="s">
        <v>2799</v>
      </c>
      <c r="Q239" t="s">
        <v>6232</v>
      </c>
      <c r="R239" t="s">
        <v>5172</v>
      </c>
      <c r="T239" t="s">
        <v>3860</v>
      </c>
      <c r="BI239" s="52" t="str">
        <f>HYPERLINK("#일위대가목록!A270","S02002W080 →")</f>
        <v>S02002W080 →</v>
      </c>
    </row>
    <row r="240" spans="1:61" ht="18.399999999999999" customHeight="1">
      <c r="A240" s="11" t="s">
        <v>6142</v>
      </c>
      <c r="B240" s="2" t="s">
        <v>1160</v>
      </c>
      <c r="C240" s="2">
        <v>1</v>
      </c>
      <c r="D240" s="2" t="s">
        <v>6149</v>
      </c>
      <c r="E240" s="29" t="e">
        <f>일위대가목록!#REF!</f>
        <v>#REF!</v>
      </c>
      <c r="F240" s="29" t="e">
        <f t="shared" si="23"/>
        <v>#REF!</v>
      </c>
      <c r="G240" s="29" t="e">
        <f>일위대가목록!#REF!</f>
        <v>#REF!</v>
      </c>
      <c r="H240" s="29" t="e">
        <f t="shared" si="24"/>
        <v>#REF!</v>
      </c>
      <c r="I240" s="29" t="e">
        <f>일위대가목록!#REF!</f>
        <v>#REF!</v>
      </c>
      <c r="J240" s="29" t="e">
        <f t="shared" si="25"/>
        <v>#REF!</v>
      </c>
      <c r="K240" s="29" t="e">
        <f t="shared" si="22"/>
        <v>#REF!</v>
      </c>
      <c r="L240" s="29" t="e">
        <f t="shared" si="21"/>
        <v>#REF!</v>
      </c>
      <c r="M240" s="20" t="s">
        <v>6232</v>
      </c>
      <c r="N240" t="s">
        <v>6232</v>
      </c>
      <c r="P240" t="s">
        <v>4443</v>
      </c>
      <c r="Q240" t="s">
        <v>6232</v>
      </c>
      <c r="R240" t="s">
        <v>4221</v>
      </c>
      <c r="T240" t="s">
        <v>3860</v>
      </c>
      <c r="BI240" s="52" t="str">
        <f>HYPERLINK("#일위대가목록!A271","S02002W080YA →")</f>
        <v>S02002W080YA →</v>
      </c>
    </row>
    <row r="241" spans="1:61" ht="18.399999999999999" customHeight="1">
      <c r="A241" s="11" t="s">
        <v>2045</v>
      </c>
      <c r="B241" s="2" t="s">
        <v>3058</v>
      </c>
      <c r="C241" s="2">
        <v>1</v>
      </c>
      <c r="D241" s="2" t="s">
        <v>6149</v>
      </c>
      <c r="E241" s="29" t="e">
        <f>일위대가목록!#REF!</f>
        <v>#REF!</v>
      </c>
      <c r="F241" s="29" t="e">
        <f t="shared" si="23"/>
        <v>#REF!</v>
      </c>
      <c r="G241" s="29" t="e">
        <f>일위대가목록!#REF!</f>
        <v>#REF!</v>
      </c>
      <c r="H241" s="29" t="e">
        <f t="shared" si="24"/>
        <v>#REF!</v>
      </c>
      <c r="I241" s="29" t="e">
        <f>일위대가목록!#REF!</f>
        <v>#REF!</v>
      </c>
      <c r="J241" s="29" t="e">
        <f t="shared" si="25"/>
        <v>#REF!</v>
      </c>
      <c r="K241" s="29" t="e">
        <f t="shared" si="22"/>
        <v>#REF!</v>
      </c>
      <c r="L241" s="29" t="e">
        <f t="shared" si="21"/>
        <v>#REF!</v>
      </c>
      <c r="M241" s="20" t="s">
        <v>6232</v>
      </c>
      <c r="N241" t="s">
        <v>6232</v>
      </c>
      <c r="P241" t="s">
        <v>6003</v>
      </c>
      <c r="Q241" t="s">
        <v>6232</v>
      </c>
      <c r="R241" t="s">
        <v>5167</v>
      </c>
      <c r="T241" t="s">
        <v>3860</v>
      </c>
      <c r="BI241" s="52" t="str">
        <f>HYPERLINK("#일위대가목록!A272","S02002W065 →")</f>
        <v>S02002W065 →</v>
      </c>
    </row>
    <row r="242" spans="1:61" ht="18.399999999999999" customHeight="1">
      <c r="A242" s="11" t="s">
        <v>6142</v>
      </c>
      <c r="B242" s="2" t="s">
        <v>3058</v>
      </c>
      <c r="C242" s="2">
        <v>1</v>
      </c>
      <c r="D242" s="2" t="s">
        <v>6149</v>
      </c>
      <c r="E242" s="29" t="e">
        <f>일위대가목록!#REF!</f>
        <v>#REF!</v>
      </c>
      <c r="F242" s="29" t="e">
        <f t="shared" si="23"/>
        <v>#REF!</v>
      </c>
      <c r="G242" s="29" t="e">
        <f>일위대가목록!#REF!</f>
        <v>#REF!</v>
      </c>
      <c r="H242" s="29" t="e">
        <f t="shared" si="24"/>
        <v>#REF!</v>
      </c>
      <c r="I242" s="29" t="e">
        <f>일위대가목록!#REF!</f>
        <v>#REF!</v>
      </c>
      <c r="J242" s="29" t="e">
        <f t="shared" si="25"/>
        <v>#REF!</v>
      </c>
      <c r="K242" s="29" t="e">
        <f t="shared" si="22"/>
        <v>#REF!</v>
      </c>
      <c r="L242" s="29" t="e">
        <f t="shared" si="21"/>
        <v>#REF!</v>
      </c>
      <c r="M242" s="20" t="s">
        <v>6232</v>
      </c>
      <c r="N242" t="s">
        <v>6232</v>
      </c>
      <c r="P242" t="s">
        <v>1385</v>
      </c>
      <c r="Q242" t="s">
        <v>6232</v>
      </c>
      <c r="R242" t="s">
        <v>2814</v>
      </c>
      <c r="T242" t="s">
        <v>3860</v>
      </c>
      <c r="BI242" s="52" t="str">
        <f>HYPERLINK("#일위대가목록!A273","S02002W065YA →")</f>
        <v>S02002W065YA →</v>
      </c>
    </row>
    <row r="243" spans="1:61" ht="18.399999999999999" customHeight="1">
      <c r="A243" s="11" t="s">
        <v>2045</v>
      </c>
      <c r="B243" s="2" t="s">
        <v>2393</v>
      </c>
      <c r="C243" s="2">
        <v>1</v>
      </c>
      <c r="D243" s="2" t="s">
        <v>6149</v>
      </c>
      <c r="E243" s="29" t="e">
        <f>일위대가목록!#REF!</f>
        <v>#REF!</v>
      </c>
      <c r="F243" s="29" t="e">
        <f t="shared" si="23"/>
        <v>#REF!</v>
      </c>
      <c r="G243" s="29" t="e">
        <f>일위대가목록!#REF!</f>
        <v>#REF!</v>
      </c>
      <c r="H243" s="29" t="e">
        <f t="shared" si="24"/>
        <v>#REF!</v>
      </c>
      <c r="I243" s="29" t="e">
        <f>일위대가목록!#REF!</f>
        <v>#REF!</v>
      </c>
      <c r="J243" s="29" t="e">
        <f t="shared" si="25"/>
        <v>#REF!</v>
      </c>
      <c r="K243" s="29" t="e">
        <f t="shared" si="22"/>
        <v>#REF!</v>
      </c>
      <c r="L243" s="29" t="e">
        <f t="shared" si="21"/>
        <v>#REF!</v>
      </c>
      <c r="M243" s="20" t="s">
        <v>6232</v>
      </c>
      <c r="N243" t="s">
        <v>6232</v>
      </c>
      <c r="P243" t="s">
        <v>2906</v>
      </c>
      <c r="Q243" t="s">
        <v>6232</v>
      </c>
      <c r="R243" t="s">
        <v>3704</v>
      </c>
      <c r="T243" t="s">
        <v>3860</v>
      </c>
      <c r="BI243" s="52" t="str">
        <f>HYPERLINK("#일위대가목록!A274","S02002W050 →")</f>
        <v>S02002W050 →</v>
      </c>
    </row>
    <row r="244" spans="1:61" ht="18.399999999999999" customHeight="1">
      <c r="A244" s="11" t="s">
        <v>6142</v>
      </c>
      <c r="B244" s="2" t="s">
        <v>2393</v>
      </c>
      <c r="C244" s="2">
        <v>1</v>
      </c>
      <c r="D244" s="2" t="s">
        <v>6149</v>
      </c>
      <c r="E244" s="29" t="e">
        <f>일위대가목록!#REF!</f>
        <v>#REF!</v>
      </c>
      <c r="F244" s="29" t="e">
        <f t="shared" si="23"/>
        <v>#REF!</v>
      </c>
      <c r="G244" s="29" t="e">
        <f>일위대가목록!#REF!</f>
        <v>#REF!</v>
      </c>
      <c r="H244" s="29" t="e">
        <f t="shared" si="24"/>
        <v>#REF!</v>
      </c>
      <c r="I244" s="29" t="e">
        <f>일위대가목록!#REF!</f>
        <v>#REF!</v>
      </c>
      <c r="J244" s="29" t="e">
        <f t="shared" si="25"/>
        <v>#REF!</v>
      </c>
      <c r="K244" s="29" t="e">
        <f t="shared" si="22"/>
        <v>#REF!</v>
      </c>
      <c r="L244" s="29" t="e">
        <f t="shared" si="21"/>
        <v>#REF!</v>
      </c>
      <c r="M244" s="20" t="s">
        <v>6232</v>
      </c>
      <c r="N244" t="s">
        <v>6232</v>
      </c>
      <c r="P244" t="s">
        <v>2522</v>
      </c>
      <c r="Q244" t="s">
        <v>6232</v>
      </c>
      <c r="R244" t="s">
        <v>2708</v>
      </c>
      <c r="T244" t="s">
        <v>3860</v>
      </c>
      <c r="BI244" s="52" t="str">
        <f>HYPERLINK("#일위대가목록!A275","S02002W050YA →")</f>
        <v>S02002W050YA →</v>
      </c>
    </row>
    <row r="245" spans="1:61" ht="18.399999999999999" customHeight="1">
      <c r="A245" s="11" t="s">
        <v>2045</v>
      </c>
      <c r="B245" s="2" t="s">
        <v>2012</v>
      </c>
      <c r="C245" s="2">
        <v>1</v>
      </c>
      <c r="D245" s="2" t="s">
        <v>6149</v>
      </c>
      <c r="E245" s="29" t="e">
        <f>일위대가목록!#REF!</f>
        <v>#REF!</v>
      </c>
      <c r="F245" s="29" t="e">
        <f t="shared" si="23"/>
        <v>#REF!</v>
      </c>
      <c r="G245" s="29" t="e">
        <f>일위대가목록!#REF!</f>
        <v>#REF!</v>
      </c>
      <c r="H245" s="29" t="e">
        <f t="shared" si="24"/>
        <v>#REF!</v>
      </c>
      <c r="I245" s="29" t="e">
        <f>일위대가목록!#REF!</f>
        <v>#REF!</v>
      </c>
      <c r="J245" s="29" t="e">
        <f t="shared" si="25"/>
        <v>#REF!</v>
      </c>
      <c r="K245" s="29" t="e">
        <f t="shared" si="22"/>
        <v>#REF!</v>
      </c>
      <c r="L245" s="29" t="e">
        <f t="shared" si="21"/>
        <v>#REF!</v>
      </c>
      <c r="M245" s="20" t="s">
        <v>6232</v>
      </c>
      <c r="N245" t="s">
        <v>6232</v>
      </c>
      <c r="P245" t="s">
        <v>996</v>
      </c>
      <c r="Q245" t="s">
        <v>6232</v>
      </c>
      <c r="R245" t="s">
        <v>5275</v>
      </c>
      <c r="T245" t="s">
        <v>3860</v>
      </c>
      <c r="BI245" s="52" t="str">
        <f>HYPERLINK("#일위대가목록!A276","S02002W040 →")</f>
        <v>S02002W040 →</v>
      </c>
    </row>
    <row r="246" spans="1:61" ht="18.399999999999999" customHeight="1">
      <c r="A246" s="11" t="s">
        <v>6142</v>
      </c>
      <c r="B246" s="2" t="s">
        <v>2012</v>
      </c>
      <c r="C246" s="2">
        <v>1</v>
      </c>
      <c r="D246" s="2" t="s">
        <v>6149</v>
      </c>
      <c r="E246" s="29" t="e">
        <f>일위대가목록!#REF!</f>
        <v>#REF!</v>
      </c>
      <c r="F246" s="29" t="e">
        <f t="shared" si="23"/>
        <v>#REF!</v>
      </c>
      <c r="G246" s="29" t="e">
        <f>일위대가목록!#REF!</f>
        <v>#REF!</v>
      </c>
      <c r="H246" s="29" t="e">
        <f t="shared" si="24"/>
        <v>#REF!</v>
      </c>
      <c r="I246" s="29" t="e">
        <f>일위대가목록!#REF!</f>
        <v>#REF!</v>
      </c>
      <c r="J246" s="29" t="e">
        <f t="shared" si="25"/>
        <v>#REF!</v>
      </c>
      <c r="K246" s="29" t="e">
        <f t="shared" si="22"/>
        <v>#REF!</v>
      </c>
      <c r="L246" s="29" t="e">
        <f t="shared" si="21"/>
        <v>#REF!</v>
      </c>
      <c r="M246" s="20" t="s">
        <v>6232</v>
      </c>
      <c r="N246" t="s">
        <v>6232</v>
      </c>
      <c r="P246" t="s">
        <v>5695</v>
      </c>
      <c r="Q246" t="s">
        <v>6232</v>
      </c>
      <c r="R246" t="s">
        <v>511</v>
      </c>
      <c r="T246" t="s">
        <v>3860</v>
      </c>
      <c r="BI246" s="52" t="str">
        <f>HYPERLINK("#일위대가목록!A277","S02002W040YA →")</f>
        <v>S02002W040YA →</v>
      </c>
    </row>
    <row r="247" spans="1:61" ht="18.399999999999999" customHeight="1">
      <c r="A247" s="11" t="s">
        <v>2045</v>
      </c>
      <c r="B247" s="2" t="s">
        <v>1993</v>
      </c>
      <c r="C247" s="2">
        <v>1</v>
      </c>
      <c r="D247" s="2" t="s">
        <v>6149</v>
      </c>
      <c r="E247" s="29" t="e">
        <f>일위대가목록!#REF!</f>
        <v>#REF!</v>
      </c>
      <c r="F247" s="29" t="e">
        <f t="shared" si="23"/>
        <v>#REF!</v>
      </c>
      <c r="G247" s="29" t="e">
        <f>일위대가목록!#REF!</f>
        <v>#REF!</v>
      </c>
      <c r="H247" s="29" t="e">
        <f t="shared" si="24"/>
        <v>#REF!</v>
      </c>
      <c r="I247" s="29" t="e">
        <f>일위대가목록!#REF!</f>
        <v>#REF!</v>
      </c>
      <c r="J247" s="29" t="e">
        <f t="shared" si="25"/>
        <v>#REF!</v>
      </c>
      <c r="K247" s="29" t="e">
        <f t="shared" si="22"/>
        <v>#REF!</v>
      </c>
      <c r="L247" s="29" t="e">
        <f t="shared" si="21"/>
        <v>#REF!</v>
      </c>
      <c r="M247" s="20" t="s">
        <v>6232</v>
      </c>
      <c r="N247" t="s">
        <v>6232</v>
      </c>
      <c r="P247" t="s">
        <v>4166</v>
      </c>
      <c r="Q247" t="s">
        <v>6232</v>
      </c>
      <c r="R247" t="s">
        <v>1211</v>
      </c>
      <c r="T247" t="s">
        <v>3860</v>
      </c>
      <c r="BI247" s="52" t="str">
        <f>HYPERLINK("#일위대가목록!A278","S02002W032 →")</f>
        <v>S02002W032 →</v>
      </c>
    </row>
    <row r="248" spans="1:61" ht="18.399999999999999" customHeight="1">
      <c r="A248" s="11" t="s">
        <v>6142</v>
      </c>
      <c r="B248" s="2" t="s">
        <v>1993</v>
      </c>
      <c r="C248" s="2">
        <v>1</v>
      </c>
      <c r="D248" s="2" t="s">
        <v>6149</v>
      </c>
      <c r="E248" s="29" t="e">
        <f>일위대가목록!#REF!</f>
        <v>#REF!</v>
      </c>
      <c r="F248" s="29" t="e">
        <f t="shared" si="23"/>
        <v>#REF!</v>
      </c>
      <c r="G248" s="29" t="e">
        <f>일위대가목록!#REF!</f>
        <v>#REF!</v>
      </c>
      <c r="H248" s="29" t="e">
        <f t="shared" si="24"/>
        <v>#REF!</v>
      </c>
      <c r="I248" s="29" t="e">
        <f>일위대가목록!#REF!</f>
        <v>#REF!</v>
      </c>
      <c r="J248" s="29" t="e">
        <f t="shared" si="25"/>
        <v>#REF!</v>
      </c>
      <c r="K248" s="29" t="e">
        <f t="shared" si="22"/>
        <v>#REF!</v>
      </c>
      <c r="L248" s="29" t="e">
        <f t="shared" si="21"/>
        <v>#REF!</v>
      </c>
      <c r="M248" s="20" t="s">
        <v>6232</v>
      </c>
      <c r="N248" t="s">
        <v>6232</v>
      </c>
      <c r="P248" t="s">
        <v>2618</v>
      </c>
      <c r="Q248" t="s">
        <v>6232</v>
      </c>
      <c r="R248" t="s">
        <v>4726</v>
      </c>
      <c r="T248" t="s">
        <v>3860</v>
      </c>
      <c r="BI248" s="52" t="str">
        <f>HYPERLINK("#일위대가목록!A279","S02002W032YA →")</f>
        <v>S02002W032YA →</v>
      </c>
    </row>
    <row r="249" spans="1:61" ht="18.399999999999999" customHeight="1">
      <c r="A249" s="11" t="s">
        <v>2045</v>
      </c>
      <c r="B249" s="2" t="s">
        <v>3967</v>
      </c>
      <c r="C249" s="2">
        <v>1</v>
      </c>
      <c r="D249" s="2" t="s">
        <v>6149</v>
      </c>
      <c r="E249" s="29" t="e">
        <f>일위대가목록!#REF!</f>
        <v>#REF!</v>
      </c>
      <c r="F249" s="29" t="e">
        <f t="shared" si="23"/>
        <v>#REF!</v>
      </c>
      <c r="G249" s="29" t="e">
        <f>일위대가목록!#REF!</f>
        <v>#REF!</v>
      </c>
      <c r="H249" s="29" t="e">
        <f t="shared" si="24"/>
        <v>#REF!</v>
      </c>
      <c r="I249" s="29" t="e">
        <f>일위대가목록!#REF!</f>
        <v>#REF!</v>
      </c>
      <c r="J249" s="29" t="e">
        <f t="shared" si="25"/>
        <v>#REF!</v>
      </c>
      <c r="K249" s="29" t="e">
        <f t="shared" si="22"/>
        <v>#REF!</v>
      </c>
      <c r="L249" s="29" t="e">
        <f t="shared" si="21"/>
        <v>#REF!</v>
      </c>
      <c r="M249" s="20" t="s">
        <v>6232</v>
      </c>
      <c r="N249" t="s">
        <v>6232</v>
      </c>
      <c r="P249" t="s">
        <v>1071</v>
      </c>
      <c r="Q249" t="s">
        <v>6232</v>
      </c>
      <c r="R249" t="s">
        <v>5036</v>
      </c>
      <c r="T249" t="s">
        <v>3860</v>
      </c>
      <c r="BI249" s="52" t="str">
        <f>HYPERLINK("#일위대가목록!A280","S02002W025 →")</f>
        <v>S02002W025 →</v>
      </c>
    </row>
    <row r="250" spans="1:61" ht="18.399999999999999" customHeight="1">
      <c r="A250" s="11" t="s">
        <v>6142</v>
      </c>
      <c r="B250" s="2" t="s">
        <v>3967</v>
      </c>
      <c r="C250" s="2">
        <v>1</v>
      </c>
      <c r="D250" s="2" t="s">
        <v>6149</v>
      </c>
      <c r="E250" s="29" t="e">
        <f>일위대가목록!#REF!</f>
        <v>#REF!</v>
      </c>
      <c r="F250" s="29" t="e">
        <f t="shared" si="23"/>
        <v>#REF!</v>
      </c>
      <c r="G250" s="29" t="e">
        <f>일위대가목록!#REF!</f>
        <v>#REF!</v>
      </c>
      <c r="H250" s="29" t="e">
        <f t="shared" si="24"/>
        <v>#REF!</v>
      </c>
      <c r="I250" s="29" t="e">
        <f>일위대가목록!#REF!</f>
        <v>#REF!</v>
      </c>
      <c r="J250" s="29" t="e">
        <f t="shared" si="25"/>
        <v>#REF!</v>
      </c>
      <c r="K250" s="29" t="e">
        <f t="shared" si="22"/>
        <v>#REF!</v>
      </c>
      <c r="L250" s="29" t="e">
        <f t="shared" si="21"/>
        <v>#REF!</v>
      </c>
      <c r="M250" s="20" t="s">
        <v>6232</v>
      </c>
      <c r="N250" t="s">
        <v>6232</v>
      </c>
      <c r="P250" t="s">
        <v>5789</v>
      </c>
      <c r="Q250" t="s">
        <v>6232</v>
      </c>
      <c r="R250" t="s">
        <v>825</v>
      </c>
      <c r="T250" t="s">
        <v>3860</v>
      </c>
      <c r="BI250" s="52" t="str">
        <f>HYPERLINK("#일위대가목록!A281","S02002W025YA →")</f>
        <v>S02002W025YA →</v>
      </c>
    </row>
    <row r="251" spans="1:61" ht="18.399999999999999" customHeight="1">
      <c r="A251" s="11" t="s">
        <v>2045</v>
      </c>
      <c r="B251" s="2" t="s">
        <v>5596</v>
      </c>
      <c r="C251" s="2">
        <v>1</v>
      </c>
      <c r="D251" s="2" t="s">
        <v>6149</v>
      </c>
      <c r="E251" s="29" t="e">
        <f>일위대가목록!#REF!</f>
        <v>#REF!</v>
      </c>
      <c r="F251" s="29" t="e">
        <f t="shared" si="23"/>
        <v>#REF!</v>
      </c>
      <c r="G251" s="29" t="e">
        <f>일위대가목록!#REF!</f>
        <v>#REF!</v>
      </c>
      <c r="H251" s="29" t="e">
        <f t="shared" si="24"/>
        <v>#REF!</v>
      </c>
      <c r="I251" s="29" t="e">
        <f>일위대가목록!#REF!</f>
        <v>#REF!</v>
      </c>
      <c r="J251" s="29" t="e">
        <f t="shared" si="25"/>
        <v>#REF!</v>
      </c>
      <c r="K251" s="29" t="e">
        <f t="shared" si="22"/>
        <v>#REF!</v>
      </c>
      <c r="L251" s="29" t="e">
        <f t="shared" si="21"/>
        <v>#REF!</v>
      </c>
      <c r="M251" s="20" t="s">
        <v>6232</v>
      </c>
      <c r="N251" t="s">
        <v>6232</v>
      </c>
      <c r="P251" t="s">
        <v>4253</v>
      </c>
      <c r="Q251" t="s">
        <v>6232</v>
      </c>
      <c r="R251" t="s">
        <v>2302</v>
      </c>
      <c r="T251" t="s">
        <v>3860</v>
      </c>
      <c r="BI251" s="52" t="str">
        <f>HYPERLINK("#일위대가목록!A282","S02002W020 →")</f>
        <v>S02002W020 →</v>
      </c>
    </row>
    <row r="252" spans="1:61" ht="18.399999999999999" customHeight="1">
      <c r="A252" s="11" t="s">
        <v>6142</v>
      </c>
      <c r="B252" s="2" t="s">
        <v>5596</v>
      </c>
      <c r="C252" s="2">
        <v>1</v>
      </c>
      <c r="D252" s="2" t="s">
        <v>6149</v>
      </c>
      <c r="E252" s="29" t="e">
        <f>일위대가목록!#REF!</f>
        <v>#REF!</v>
      </c>
      <c r="F252" s="29" t="e">
        <f t="shared" si="23"/>
        <v>#REF!</v>
      </c>
      <c r="G252" s="29" t="e">
        <f>일위대가목록!#REF!</f>
        <v>#REF!</v>
      </c>
      <c r="H252" s="29" t="e">
        <f t="shared" si="24"/>
        <v>#REF!</v>
      </c>
      <c r="I252" s="29" t="e">
        <f>일위대가목록!#REF!</f>
        <v>#REF!</v>
      </c>
      <c r="J252" s="29" t="e">
        <f t="shared" si="25"/>
        <v>#REF!</v>
      </c>
      <c r="K252" s="29" t="e">
        <f t="shared" si="22"/>
        <v>#REF!</v>
      </c>
      <c r="L252" s="29" t="e">
        <f t="shared" si="21"/>
        <v>#REF!</v>
      </c>
      <c r="M252" s="20" t="s">
        <v>6232</v>
      </c>
      <c r="N252" t="s">
        <v>6232</v>
      </c>
      <c r="P252" t="s">
        <v>2319</v>
      </c>
      <c r="Q252" t="s">
        <v>6232</v>
      </c>
      <c r="R252" t="s">
        <v>4876</v>
      </c>
      <c r="T252" t="s">
        <v>3860</v>
      </c>
      <c r="BI252" s="52" t="str">
        <f>HYPERLINK("#일위대가목록!A283","S02002W020YA →")</f>
        <v>S02002W020YA →</v>
      </c>
    </row>
    <row r="253" spans="1:61" ht="18.399999999999999" customHeight="1">
      <c r="A253" s="11" t="s">
        <v>1544</v>
      </c>
      <c r="B253" s="2" t="s">
        <v>6232</v>
      </c>
      <c r="C253" s="2"/>
      <c r="D253" s="2" t="s">
        <v>6232</v>
      </c>
      <c r="E253" s="1"/>
      <c r="F253" s="29" t="e">
        <f>TRUNC(SUM(AF253:AF254),0)</f>
        <v>#REF!</v>
      </c>
      <c r="G253" s="1"/>
      <c r="H253" s="29" t="e">
        <f>TRUNC(SUM(AG253:AG254),0)</f>
        <v>#REF!</v>
      </c>
      <c r="I253" s="1"/>
      <c r="J253" s="29" t="e">
        <f>TRUNC(SUM(AH253:AH254),0)</f>
        <v>#REF!</v>
      </c>
      <c r="K253" s="29">
        <f t="shared" si="22"/>
        <v>0</v>
      </c>
      <c r="L253" s="29" t="e">
        <f t="shared" si="21"/>
        <v>#REF!</v>
      </c>
      <c r="M253" s="20" t="s">
        <v>6232</v>
      </c>
      <c r="N253" t="s">
        <v>6232</v>
      </c>
      <c r="P253" t="s">
        <v>789</v>
      </c>
      <c r="Q253" t="s">
        <v>6232</v>
      </c>
      <c r="R253" t="s">
        <v>6232</v>
      </c>
      <c r="AF253" s="29" t="e">
        <f>F252+F251+F250+F249+F248+F247+F246+F245+F244+F243+F242+F241+F240+F239+F238+F237+F236+F235+F234+F233+F232+F231+F230+F229+F228+F227+F226+F225+F224+F223</f>
        <v>#REF!</v>
      </c>
      <c r="AG253" s="29" t="e">
        <f>H252+H251+H250+H249+H248+H247+H246+H245+H244+H243+H242+H241+H240+H239+H238+H237+H236+H235+H234+H233+H232+H231+H230+H229+H228+H227+H226+H225+H224+H223</f>
        <v>#REF!</v>
      </c>
      <c r="AH253" s="29" t="e">
        <f>J252+J251+J250+J249+J248+J247+J246+J245+J244+J243+J242+J241+J240+J239+J238+J237+J236+J235+J234+J233+J232+J231+J230+J229+J228+J227+J226+J225+J224+J223</f>
        <v>#REF!</v>
      </c>
    </row>
    <row r="254" spans="1:61" ht="18.399999999999999" customHeight="1">
      <c r="A254" s="11" t="s">
        <v>2495</v>
      </c>
      <c r="B254" s="2" t="s">
        <v>6232</v>
      </c>
      <c r="C254" s="2"/>
      <c r="D254" s="2" t="s">
        <v>6232</v>
      </c>
      <c r="E254" s="1"/>
      <c r="F254" s="29">
        <v>0</v>
      </c>
      <c r="G254" s="1"/>
      <c r="H254" s="29">
        <v>0</v>
      </c>
      <c r="I254" s="1"/>
      <c r="J254" s="29">
        <v>0</v>
      </c>
      <c r="K254" s="29">
        <f t="shared" si="22"/>
        <v>0</v>
      </c>
      <c r="L254" s="29">
        <f t="shared" si="21"/>
        <v>0</v>
      </c>
      <c r="M254" s="20" t="s">
        <v>6232</v>
      </c>
      <c r="N254" t="s">
        <v>6232</v>
      </c>
      <c r="P254" t="s">
        <v>2301</v>
      </c>
      <c r="Q254" t="s">
        <v>6232</v>
      </c>
      <c r="R254" t="s">
        <v>6232</v>
      </c>
      <c r="AF254" s="29" t="e">
        <f>F222+F221+F220+F219+F218+F217+F216+F215+F214+F213+F212+F211+F210+F209</f>
        <v>#REF!</v>
      </c>
      <c r="AG254" s="29" t="e">
        <f>H222+H221+H220+H219+H218+H217+H216+H215+H214+H213+H212+H211+H210+H209</f>
        <v>#REF!</v>
      </c>
      <c r="AH254" s="29" t="e">
        <f>J222+J221+J220+J219+J218+J217+J216+J215+J214+J213+J212+J211+J210+J209</f>
        <v>#REF!</v>
      </c>
    </row>
    <row r="255" spans="1:61" ht="18.399999999999999" customHeight="1">
      <c r="A255" s="11" t="s">
        <v>3751</v>
      </c>
      <c r="B255" s="2" t="s">
        <v>6232</v>
      </c>
      <c r="C255" s="2"/>
      <c r="D255" s="2" t="s">
        <v>6232</v>
      </c>
      <c r="E255" s="1"/>
      <c r="F255" s="29">
        <v>0</v>
      </c>
      <c r="G255" s="1"/>
      <c r="H255" s="29">
        <v>0</v>
      </c>
      <c r="I255" s="1"/>
      <c r="J255" s="29">
        <v>0</v>
      </c>
      <c r="K255" s="29">
        <f t="shared" si="22"/>
        <v>0</v>
      </c>
      <c r="L255" s="29">
        <f t="shared" si="21"/>
        <v>0</v>
      </c>
      <c r="M255" s="20" t="s">
        <v>6232</v>
      </c>
      <c r="N255" t="s">
        <v>6232</v>
      </c>
      <c r="P255" t="s">
        <v>736</v>
      </c>
      <c r="Q255" t="s">
        <v>6232</v>
      </c>
      <c r="R255" t="s">
        <v>6232</v>
      </c>
    </row>
    <row r="256" spans="1:61" ht="18.399999999999999" customHeight="1">
      <c r="A256" s="11" t="s">
        <v>3751</v>
      </c>
      <c r="B256" s="2" t="s">
        <v>5080</v>
      </c>
      <c r="C256" s="2">
        <v>1</v>
      </c>
      <c r="D256" s="2" t="s">
        <v>6149</v>
      </c>
      <c r="E256" s="29" t="e">
        <f>일위대가목록!#REF!</f>
        <v>#REF!</v>
      </c>
      <c r="F256" s="29" t="e">
        <f t="shared" ref="F256:F299" si="26">TRUNC(E256*C256,0)</f>
        <v>#REF!</v>
      </c>
      <c r="G256" s="29" t="e">
        <f>일위대가목록!#REF!</f>
        <v>#REF!</v>
      </c>
      <c r="H256" s="29" t="e">
        <f t="shared" ref="H256:H299" si="27">TRUNC(G256*C256,0)</f>
        <v>#REF!</v>
      </c>
      <c r="I256" s="29" t="e">
        <f>일위대가목록!#REF!</f>
        <v>#REF!</v>
      </c>
      <c r="J256" s="29" t="e">
        <f t="shared" ref="J256:J299" si="28">TRUNC(I256*C256,0)</f>
        <v>#REF!</v>
      </c>
      <c r="K256" s="29" t="e">
        <f t="shared" si="22"/>
        <v>#REF!</v>
      </c>
      <c r="L256" s="29" t="e">
        <f t="shared" si="21"/>
        <v>#REF!</v>
      </c>
      <c r="M256" s="20" t="s">
        <v>6232</v>
      </c>
      <c r="N256" t="s">
        <v>6232</v>
      </c>
      <c r="P256" t="s">
        <v>5379</v>
      </c>
      <c r="Q256" t="s">
        <v>6232</v>
      </c>
      <c r="R256" t="s">
        <v>5614</v>
      </c>
      <c r="T256" t="s">
        <v>3860</v>
      </c>
      <c r="BI256" s="52" t="str">
        <f>HYPERLINK("#일위대가목록!A284","S02002M750 →")</f>
        <v>S02002M750 →</v>
      </c>
    </row>
    <row r="257" spans="1:61" ht="18.399999999999999" customHeight="1">
      <c r="A257" s="11" t="s">
        <v>5487</v>
      </c>
      <c r="B257" s="2" t="s">
        <v>5080</v>
      </c>
      <c r="C257" s="2">
        <v>1</v>
      </c>
      <c r="D257" s="2" t="s">
        <v>6149</v>
      </c>
      <c r="E257" s="29" t="e">
        <f>일위대가목록!#REF!</f>
        <v>#REF!</v>
      </c>
      <c r="F257" s="29" t="e">
        <f t="shared" si="26"/>
        <v>#REF!</v>
      </c>
      <c r="G257" s="29" t="e">
        <f>일위대가목록!#REF!</f>
        <v>#REF!</v>
      </c>
      <c r="H257" s="29" t="e">
        <f t="shared" si="27"/>
        <v>#REF!</v>
      </c>
      <c r="I257" s="29" t="e">
        <f>일위대가목록!#REF!</f>
        <v>#REF!</v>
      </c>
      <c r="J257" s="29" t="e">
        <f t="shared" si="28"/>
        <v>#REF!</v>
      </c>
      <c r="K257" s="29" t="e">
        <f t="shared" si="22"/>
        <v>#REF!</v>
      </c>
      <c r="L257" s="29" t="e">
        <f t="shared" si="21"/>
        <v>#REF!</v>
      </c>
      <c r="M257" s="20" t="s">
        <v>6232</v>
      </c>
      <c r="N257" t="s">
        <v>6232</v>
      </c>
      <c r="P257" t="s">
        <v>3796</v>
      </c>
      <c r="Q257" t="s">
        <v>6232</v>
      </c>
      <c r="R257" t="s">
        <v>3809</v>
      </c>
      <c r="T257" t="s">
        <v>3860</v>
      </c>
      <c r="BI257" s="52" t="str">
        <f>HYPERLINK("#일위대가목록!A285","S02002M750YA →")</f>
        <v>S02002M750YA →</v>
      </c>
    </row>
    <row r="258" spans="1:61" ht="18.399999999999999" customHeight="1">
      <c r="A258" s="11" t="s">
        <v>3751</v>
      </c>
      <c r="B258" s="2" t="s">
        <v>402</v>
      </c>
      <c r="C258" s="2">
        <v>1</v>
      </c>
      <c r="D258" s="2" t="s">
        <v>6149</v>
      </c>
      <c r="E258" s="29" t="e">
        <f>일위대가목록!#REF!</f>
        <v>#REF!</v>
      </c>
      <c r="F258" s="29" t="e">
        <f t="shared" si="26"/>
        <v>#REF!</v>
      </c>
      <c r="G258" s="29" t="e">
        <f>일위대가목록!#REF!</f>
        <v>#REF!</v>
      </c>
      <c r="H258" s="29" t="e">
        <f t="shared" si="27"/>
        <v>#REF!</v>
      </c>
      <c r="I258" s="29" t="e">
        <f>일위대가목록!#REF!</f>
        <v>#REF!</v>
      </c>
      <c r="J258" s="29" t="e">
        <f t="shared" si="28"/>
        <v>#REF!</v>
      </c>
      <c r="K258" s="29" t="e">
        <f t="shared" si="22"/>
        <v>#REF!</v>
      </c>
      <c r="L258" s="29" t="e">
        <f t="shared" si="21"/>
        <v>#REF!</v>
      </c>
      <c r="M258" s="20" t="s">
        <v>6232</v>
      </c>
      <c r="N258" t="s">
        <v>6232</v>
      </c>
      <c r="P258" t="s">
        <v>2195</v>
      </c>
      <c r="Q258" t="s">
        <v>6232</v>
      </c>
      <c r="R258" t="s">
        <v>3952</v>
      </c>
      <c r="T258" t="s">
        <v>3860</v>
      </c>
      <c r="BI258" s="52" t="str">
        <f>HYPERLINK("#일위대가목록!A286","S02002M700 →")</f>
        <v>S02002M700 →</v>
      </c>
    </row>
    <row r="259" spans="1:61" ht="18.399999999999999" customHeight="1">
      <c r="A259" s="11" t="s">
        <v>5487</v>
      </c>
      <c r="B259" s="2" t="s">
        <v>402</v>
      </c>
      <c r="C259" s="2">
        <v>1</v>
      </c>
      <c r="D259" s="2" t="s">
        <v>6149</v>
      </c>
      <c r="E259" s="29" t="e">
        <f>일위대가목록!#REF!</f>
        <v>#REF!</v>
      </c>
      <c r="F259" s="29" t="e">
        <f t="shared" si="26"/>
        <v>#REF!</v>
      </c>
      <c r="G259" s="29" t="e">
        <f>일위대가목록!#REF!</f>
        <v>#REF!</v>
      </c>
      <c r="H259" s="29" t="e">
        <f t="shared" si="27"/>
        <v>#REF!</v>
      </c>
      <c r="I259" s="29" t="e">
        <f>일위대가목록!#REF!</f>
        <v>#REF!</v>
      </c>
      <c r="J259" s="29" t="e">
        <f t="shared" si="28"/>
        <v>#REF!</v>
      </c>
      <c r="K259" s="29" t="e">
        <f t="shared" si="22"/>
        <v>#REF!</v>
      </c>
      <c r="L259" s="29" t="e">
        <f t="shared" si="21"/>
        <v>#REF!</v>
      </c>
      <c r="M259" s="20" t="s">
        <v>6232</v>
      </c>
      <c r="N259" t="s">
        <v>6232</v>
      </c>
      <c r="P259" t="s">
        <v>640</v>
      </c>
      <c r="Q259" t="s">
        <v>6232</v>
      </c>
      <c r="R259" t="s">
        <v>4260</v>
      </c>
      <c r="T259" t="s">
        <v>3860</v>
      </c>
      <c r="BI259" s="52" t="str">
        <f>HYPERLINK("#일위대가목록!A287","S02002M700YA →")</f>
        <v>S02002M700YA →</v>
      </c>
    </row>
    <row r="260" spans="1:61" ht="18.399999999999999" customHeight="1">
      <c r="A260" s="11" t="s">
        <v>3751</v>
      </c>
      <c r="B260" s="2" t="s">
        <v>5984</v>
      </c>
      <c r="C260" s="2">
        <v>1</v>
      </c>
      <c r="D260" s="2" t="s">
        <v>6149</v>
      </c>
      <c r="E260" s="29" t="e">
        <f>일위대가목록!#REF!</f>
        <v>#REF!</v>
      </c>
      <c r="F260" s="29" t="e">
        <f t="shared" si="26"/>
        <v>#REF!</v>
      </c>
      <c r="G260" s="29" t="e">
        <f>일위대가목록!#REF!</f>
        <v>#REF!</v>
      </c>
      <c r="H260" s="29" t="e">
        <f t="shared" si="27"/>
        <v>#REF!</v>
      </c>
      <c r="I260" s="29" t="e">
        <f>일위대가목록!#REF!</f>
        <v>#REF!</v>
      </c>
      <c r="J260" s="29" t="e">
        <f t="shared" si="28"/>
        <v>#REF!</v>
      </c>
      <c r="K260" s="29" t="e">
        <f t="shared" si="22"/>
        <v>#REF!</v>
      </c>
      <c r="L260" s="29" t="e">
        <f t="shared" si="21"/>
        <v>#REF!</v>
      </c>
      <c r="M260" s="20" t="s">
        <v>6232</v>
      </c>
      <c r="N260" t="s">
        <v>6232</v>
      </c>
      <c r="P260" t="s">
        <v>5258</v>
      </c>
      <c r="Q260" t="s">
        <v>6232</v>
      </c>
      <c r="R260" t="s">
        <v>5073</v>
      </c>
      <c r="T260" t="s">
        <v>3860</v>
      </c>
      <c r="BI260" s="52" t="str">
        <f>HYPERLINK("#일위대가목록!A288","S02002M650 →")</f>
        <v>S02002M650 →</v>
      </c>
    </row>
    <row r="261" spans="1:61" ht="18.399999999999999" customHeight="1">
      <c r="A261" s="11" t="s">
        <v>5487</v>
      </c>
      <c r="B261" s="2" t="s">
        <v>5984</v>
      </c>
      <c r="C261" s="2">
        <v>1</v>
      </c>
      <c r="D261" s="2" t="s">
        <v>6149</v>
      </c>
      <c r="E261" s="29" t="e">
        <f>일위대가목록!#REF!</f>
        <v>#REF!</v>
      </c>
      <c r="F261" s="29" t="e">
        <f t="shared" si="26"/>
        <v>#REF!</v>
      </c>
      <c r="G261" s="29" t="e">
        <f>일위대가목록!#REF!</f>
        <v>#REF!</v>
      </c>
      <c r="H261" s="29" t="e">
        <f t="shared" si="27"/>
        <v>#REF!</v>
      </c>
      <c r="I261" s="29" t="e">
        <f>일위대가목록!#REF!</f>
        <v>#REF!</v>
      </c>
      <c r="J261" s="29" t="e">
        <f t="shared" si="28"/>
        <v>#REF!</v>
      </c>
      <c r="K261" s="29" t="e">
        <f t="shared" si="22"/>
        <v>#REF!</v>
      </c>
      <c r="L261" s="29" t="e">
        <f t="shared" si="21"/>
        <v>#REF!</v>
      </c>
      <c r="M261" s="20" t="s">
        <v>6232</v>
      </c>
      <c r="N261" t="s">
        <v>6232</v>
      </c>
      <c r="P261" t="s">
        <v>3701</v>
      </c>
      <c r="Q261" t="s">
        <v>6232</v>
      </c>
      <c r="R261" t="s">
        <v>1077</v>
      </c>
      <c r="T261" t="s">
        <v>3860</v>
      </c>
      <c r="BI261" s="52" t="str">
        <f>HYPERLINK("#일위대가목록!A289","S02002M650YA →")</f>
        <v>S02002M650YA →</v>
      </c>
    </row>
    <row r="262" spans="1:61" ht="18.399999999999999" customHeight="1">
      <c r="A262" s="11" t="s">
        <v>3751</v>
      </c>
      <c r="B262" s="2" t="s">
        <v>1298</v>
      </c>
      <c r="C262" s="2">
        <v>1</v>
      </c>
      <c r="D262" s="2" t="s">
        <v>6149</v>
      </c>
      <c r="E262" s="29" t="e">
        <f>일위대가목록!#REF!</f>
        <v>#REF!</v>
      </c>
      <c r="F262" s="29" t="e">
        <f t="shared" si="26"/>
        <v>#REF!</v>
      </c>
      <c r="G262" s="29" t="e">
        <f>일위대가목록!#REF!</f>
        <v>#REF!</v>
      </c>
      <c r="H262" s="29" t="e">
        <f t="shared" si="27"/>
        <v>#REF!</v>
      </c>
      <c r="I262" s="29" t="e">
        <f>일위대가목록!#REF!</f>
        <v>#REF!</v>
      </c>
      <c r="J262" s="29" t="e">
        <f t="shared" si="28"/>
        <v>#REF!</v>
      </c>
      <c r="K262" s="29" t="e">
        <f t="shared" si="22"/>
        <v>#REF!</v>
      </c>
      <c r="L262" s="29" t="e">
        <f t="shared" si="21"/>
        <v>#REF!</v>
      </c>
      <c r="M262" s="20" t="s">
        <v>6232</v>
      </c>
      <c r="N262" t="s">
        <v>6232</v>
      </c>
      <c r="P262" t="s">
        <v>2090</v>
      </c>
      <c r="Q262" t="s">
        <v>6232</v>
      </c>
      <c r="R262" t="s">
        <v>3592</v>
      </c>
      <c r="T262" t="s">
        <v>3860</v>
      </c>
      <c r="BI262" s="52" t="str">
        <f>HYPERLINK("#일위대가목록!A290","S02002M600 →")</f>
        <v>S02002M600 →</v>
      </c>
    </row>
    <row r="263" spans="1:61" ht="18.399999999999999" customHeight="1">
      <c r="A263" s="11" t="s">
        <v>5487</v>
      </c>
      <c r="B263" s="2" t="s">
        <v>1298</v>
      </c>
      <c r="C263" s="2">
        <v>1</v>
      </c>
      <c r="D263" s="2" t="s">
        <v>6149</v>
      </c>
      <c r="E263" s="29" t="e">
        <f>일위대가목록!#REF!</f>
        <v>#REF!</v>
      </c>
      <c r="F263" s="29" t="e">
        <f t="shared" si="26"/>
        <v>#REF!</v>
      </c>
      <c r="G263" s="29" t="e">
        <f>일위대가목록!#REF!</f>
        <v>#REF!</v>
      </c>
      <c r="H263" s="29" t="e">
        <f t="shared" si="27"/>
        <v>#REF!</v>
      </c>
      <c r="I263" s="29" t="e">
        <f>일위대가목록!#REF!</f>
        <v>#REF!</v>
      </c>
      <c r="J263" s="29" t="e">
        <f t="shared" si="28"/>
        <v>#REF!</v>
      </c>
      <c r="K263" s="29" t="e">
        <f t="shared" si="22"/>
        <v>#REF!</v>
      </c>
      <c r="L263" s="29" t="e">
        <f t="shared" si="21"/>
        <v>#REF!</v>
      </c>
      <c r="M263" s="20" t="s">
        <v>6232</v>
      </c>
      <c r="N263" t="s">
        <v>6232</v>
      </c>
      <c r="P263" t="s">
        <v>540</v>
      </c>
      <c r="Q263" t="s">
        <v>6232</v>
      </c>
      <c r="R263" t="s">
        <v>756</v>
      </c>
      <c r="T263" t="s">
        <v>3860</v>
      </c>
      <c r="BI263" s="52" t="str">
        <f>HYPERLINK("#일위대가목록!A291","S02002M600YA →")</f>
        <v>S02002M600YA →</v>
      </c>
    </row>
    <row r="264" spans="1:61" ht="18.399999999999999" customHeight="1">
      <c r="A264" s="11" t="s">
        <v>3751</v>
      </c>
      <c r="B264" s="2" t="s">
        <v>5389</v>
      </c>
      <c r="C264" s="2">
        <v>1</v>
      </c>
      <c r="D264" s="2" t="s">
        <v>6149</v>
      </c>
      <c r="E264" s="29" t="e">
        <f>일위대가목록!#REF!</f>
        <v>#REF!</v>
      </c>
      <c r="F264" s="29" t="e">
        <f t="shared" si="26"/>
        <v>#REF!</v>
      </c>
      <c r="G264" s="29" t="e">
        <f>일위대가목록!#REF!</f>
        <v>#REF!</v>
      </c>
      <c r="H264" s="29" t="e">
        <f t="shared" si="27"/>
        <v>#REF!</v>
      </c>
      <c r="I264" s="29" t="e">
        <f>일위대가목록!#REF!</f>
        <v>#REF!</v>
      </c>
      <c r="J264" s="29" t="e">
        <f t="shared" si="28"/>
        <v>#REF!</v>
      </c>
      <c r="K264" s="29" t="e">
        <f t="shared" si="22"/>
        <v>#REF!</v>
      </c>
      <c r="L264" s="29" t="e">
        <f t="shared" si="21"/>
        <v>#REF!</v>
      </c>
      <c r="M264" s="20" t="s">
        <v>6232</v>
      </c>
      <c r="N264" t="s">
        <v>6232</v>
      </c>
      <c r="P264" t="s">
        <v>2387</v>
      </c>
      <c r="Q264" t="s">
        <v>6232</v>
      </c>
      <c r="R264" t="s">
        <v>3278</v>
      </c>
      <c r="T264" t="s">
        <v>3860</v>
      </c>
      <c r="BI264" s="52" t="str">
        <f>HYPERLINK("#일위대가목록!A292","S02002M550 →")</f>
        <v>S02002M550 →</v>
      </c>
    </row>
    <row r="265" spans="1:61" ht="18.399999999999999" customHeight="1">
      <c r="A265" s="11" t="s">
        <v>5487</v>
      </c>
      <c r="B265" s="2" t="s">
        <v>5389</v>
      </c>
      <c r="C265" s="2">
        <v>1</v>
      </c>
      <c r="D265" s="2" t="s">
        <v>6149</v>
      </c>
      <c r="E265" s="29" t="e">
        <f>일위대가목록!#REF!</f>
        <v>#REF!</v>
      </c>
      <c r="F265" s="29" t="e">
        <f t="shared" si="26"/>
        <v>#REF!</v>
      </c>
      <c r="G265" s="29" t="e">
        <f>일위대가목록!#REF!</f>
        <v>#REF!</v>
      </c>
      <c r="H265" s="29" t="e">
        <f t="shared" si="27"/>
        <v>#REF!</v>
      </c>
      <c r="I265" s="29" t="e">
        <f>일위대가목록!#REF!</f>
        <v>#REF!</v>
      </c>
      <c r="J265" s="29" t="e">
        <f t="shared" si="28"/>
        <v>#REF!</v>
      </c>
      <c r="K265" s="29" t="e">
        <f t="shared" si="22"/>
        <v>#REF!</v>
      </c>
      <c r="L265" s="29" t="e">
        <f t="shared" ref="L265:L328" si="29">F265+H265+J265</f>
        <v>#REF!</v>
      </c>
      <c r="M265" s="20" t="s">
        <v>6232</v>
      </c>
      <c r="N265" t="s">
        <v>6232</v>
      </c>
      <c r="P265" t="s">
        <v>861</v>
      </c>
      <c r="Q265" t="s">
        <v>6232</v>
      </c>
      <c r="R265" t="s">
        <v>6174</v>
      </c>
      <c r="T265" t="s">
        <v>3860</v>
      </c>
      <c r="BI265" s="52" t="str">
        <f>HYPERLINK("#일위대가목록!A293","S02002M550YA →")</f>
        <v>S02002M550YA →</v>
      </c>
    </row>
    <row r="266" spans="1:61" ht="18.399999999999999" customHeight="1">
      <c r="A266" s="11" t="s">
        <v>3751</v>
      </c>
      <c r="B266" s="2" t="s">
        <v>741</v>
      </c>
      <c r="C266" s="2">
        <v>1</v>
      </c>
      <c r="D266" s="2" t="s">
        <v>6149</v>
      </c>
      <c r="E266" s="29" t="e">
        <f>일위대가목록!#REF!</f>
        <v>#REF!</v>
      </c>
      <c r="F266" s="29" t="e">
        <f t="shared" si="26"/>
        <v>#REF!</v>
      </c>
      <c r="G266" s="29" t="e">
        <f>일위대가목록!#REF!</f>
        <v>#REF!</v>
      </c>
      <c r="H266" s="29" t="e">
        <f t="shared" si="27"/>
        <v>#REF!</v>
      </c>
      <c r="I266" s="29" t="e">
        <f>일위대가목록!#REF!</f>
        <v>#REF!</v>
      </c>
      <c r="J266" s="29" t="e">
        <f t="shared" si="28"/>
        <v>#REF!</v>
      </c>
      <c r="K266" s="29" t="e">
        <f t="shared" ref="K266:K329" si="30">E266+G266+I266</f>
        <v>#REF!</v>
      </c>
      <c r="L266" s="29" t="e">
        <f t="shared" si="29"/>
        <v>#REF!</v>
      </c>
      <c r="M266" s="20" t="s">
        <v>6232</v>
      </c>
      <c r="N266" t="s">
        <v>6232</v>
      </c>
      <c r="P266" t="s">
        <v>5443</v>
      </c>
      <c r="Q266" t="s">
        <v>6232</v>
      </c>
      <c r="R266" t="s">
        <v>4989</v>
      </c>
      <c r="T266" t="s">
        <v>3860</v>
      </c>
      <c r="BI266" s="52" t="str">
        <f>HYPERLINK("#일위대가목록!A294","S02002M500 →")</f>
        <v>S02002M500 →</v>
      </c>
    </row>
    <row r="267" spans="1:61" ht="18.399999999999999" customHeight="1">
      <c r="A267" s="11" t="s">
        <v>5487</v>
      </c>
      <c r="B267" s="2" t="s">
        <v>741</v>
      </c>
      <c r="C267" s="2">
        <v>1</v>
      </c>
      <c r="D267" s="2" t="s">
        <v>6149</v>
      </c>
      <c r="E267" s="29" t="e">
        <f>일위대가목록!#REF!</f>
        <v>#REF!</v>
      </c>
      <c r="F267" s="29" t="e">
        <f t="shared" si="26"/>
        <v>#REF!</v>
      </c>
      <c r="G267" s="29" t="e">
        <f>일위대가목록!#REF!</f>
        <v>#REF!</v>
      </c>
      <c r="H267" s="29" t="e">
        <f t="shared" si="27"/>
        <v>#REF!</v>
      </c>
      <c r="I267" s="29" t="e">
        <f>일위대가목록!#REF!</f>
        <v>#REF!</v>
      </c>
      <c r="J267" s="29" t="e">
        <f t="shared" si="28"/>
        <v>#REF!</v>
      </c>
      <c r="K267" s="29" t="e">
        <f t="shared" si="30"/>
        <v>#REF!</v>
      </c>
      <c r="L267" s="29" t="e">
        <f t="shared" si="29"/>
        <v>#REF!</v>
      </c>
      <c r="M267" s="20" t="s">
        <v>6232</v>
      </c>
      <c r="N267" t="s">
        <v>6232</v>
      </c>
      <c r="P267" t="s">
        <v>3921</v>
      </c>
      <c r="Q267" t="s">
        <v>6232</v>
      </c>
      <c r="R267" t="s">
        <v>5015</v>
      </c>
      <c r="T267" t="s">
        <v>3860</v>
      </c>
      <c r="BI267" s="52" t="str">
        <f>HYPERLINK("#일위대가목록!A295","S02002M500YA →")</f>
        <v>S02002M500YA →</v>
      </c>
    </row>
    <row r="268" spans="1:61" ht="18.399999999999999" customHeight="1">
      <c r="A268" s="11" t="s">
        <v>3751</v>
      </c>
      <c r="B268" s="2" t="s">
        <v>1193</v>
      </c>
      <c r="C268" s="2">
        <v>1</v>
      </c>
      <c r="D268" s="2" t="s">
        <v>6149</v>
      </c>
      <c r="E268" s="29" t="e">
        <f>일위대가목록!#REF!</f>
        <v>#REF!</v>
      </c>
      <c r="F268" s="29" t="e">
        <f t="shared" si="26"/>
        <v>#REF!</v>
      </c>
      <c r="G268" s="29" t="e">
        <f>일위대가목록!#REF!</f>
        <v>#REF!</v>
      </c>
      <c r="H268" s="29" t="e">
        <f t="shared" si="27"/>
        <v>#REF!</v>
      </c>
      <c r="I268" s="29" t="e">
        <f>일위대가목록!#REF!</f>
        <v>#REF!</v>
      </c>
      <c r="J268" s="29" t="e">
        <f t="shared" si="28"/>
        <v>#REF!</v>
      </c>
      <c r="K268" s="29" t="e">
        <f t="shared" si="30"/>
        <v>#REF!</v>
      </c>
      <c r="L268" s="29" t="e">
        <f t="shared" si="29"/>
        <v>#REF!</v>
      </c>
      <c r="M268" s="20" t="s">
        <v>6232</v>
      </c>
      <c r="N268" t="s">
        <v>6232</v>
      </c>
      <c r="P268" t="s">
        <v>2474</v>
      </c>
      <c r="Q268" t="s">
        <v>6232</v>
      </c>
      <c r="R268" t="s">
        <v>4622</v>
      </c>
      <c r="T268" t="s">
        <v>3860</v>
      </c>
      <c r="BI268" s="52" t="str">
        <f>HYPERLINK("#일위대가목록!A296","S02002M450 →")</f>
        <v>S02002M450 →</v>
      </c>
    </row>
    <row r="269" spans="1:61" ht="18.399999999999999" customHeight="1">
      <c r="A269" s="11" t="s">
        <v>5487</v>
      </c>
      <c r="B269" s="2" t="s">
        <v>1193</v>
      </c>
      <c r="C269" s="2">
        <v>1</v>
      </c>
      <c r="D269" s="2" t="s">
        <v>6149</v>
      </c>
      <c r="E269" s="29" t="e">
        <f>일위대가목록!#REF!</f>
        <v>#REF!</v>
      </c>
      <c r="F269" s="29" t="e">
        <f t="shared" si="26"/>
        <v>#REF!</v>
      </c>
      <c r="G269" s="29" t="e">
        <f>일위대가목록!#REF!</f>
        <v>#REF!</v>
      </c>
      <c r="H269" s="29" t="e">
        <f t="shared" si="27"/>
        <v>#REF!</v>
      </c>
      <c r="I269" s="29" t="e">
        <f>일위대가목록!#REF!</f>
        <v>#REF!</v>
      </c>
      <c r="J269" s="29" t="e">
        <f t="shared" si="28"/>
        <v>#REF!</v>
      </c>
      <c r="K269" s="29" t="e">
        <f t="shared" si="30"/>
        <v>#REF!</v>
      </c>
      <c r="L269" s="29" t="e">
        <f t="shared" si="29"/>
        <v>#REF!</v>
      </c>
      <c r="M269" s="20" t="s">
        <v>6232</v>
      </c>
      <c r="N269" t="s">
        <v>6232</v>
      </c>
      <c r="P269" t="s">
        <v>943</v>
      </c>
      <c r="Q269" t="s">
        <v>6232</v>
      </c>
      <c r="R269" t="s">
        <v>1855</v>
      </c>
      <c r="T269" t="s">
        <v>3860</v>
      </c>
      <c r="BI269" s="52" t="str">
        <f>HYPERLINK("#일위대가목록!A297","S02002M450YA →")</f>
        <v>S02002M450YA →</v>
      </c>
    </row>
    <row r="270" spans="1:61" ht="18.399999999999999" customHeight="1">
      <c r="A270" s="11" t="s">
        <v>3751</v>
      </c>
      <c r="B270" s="2" t="s">
        <v>5891</v>
      </c>
      <c r="C270" s="2">
        <v>1</v>
      </c>
      <c r="D270" s="2" t="s">
        <v>6149</v>
      </c>
      <c r="E270" s="29" t="e">
        <f>일위대가목록!#REF!</f>
        <v>#REF!</v>
      </c>
      <c r="F270" s="29" t="e">
        <f t="shared" si="26"/>
        <v>#REF!</v>
      </c>
      <c r="G270" s="29" t="e">
        <f>일위대가목록!#REF!</f>
        <v>#REF!</v>
      </c>
      <c r="H270" s="29" t="e">
        <f t="shared" si="27"/>
        <v>#REF!</v>
      </c>
      <c r="I270" s="29" t="e">
        <f>일위대가목록!#REF!</f>
        <v>#REF!</v>
      </c>
      <c r="J270" s="29" t="e">
        <f t="shared" si="28"/>
        <v>#REF!</v>
      </c>
      <c r="K270" s="29" t="e">
        <f t="shared" si="30"/>
        <v>#REF!</v>
      </c>
      <c r="L270" s="29" t="e">
        <f t="shared" si="29"/>
        <v>#REF!</v>
      </c>
      <c r="M270" s="20" t="s">
        <v>6232</v>
      </c>
      <c r="N270" t="s">
        <v>6232</v>
      </c>
      <c r="P270" t="s">
        <v>5547</v>
      </c>
      <c r="Q270" t="s">
        <v>6232</v>
      </c>
      <c r="R270" t="s">
        <v>6089</v>
      </c>
      <c r="T270" t="s">
        <v>3860</v>
      </c>
      <c r="BI270" s="52" t="str">
        <f>HYPERLINK("#일위대가목록!A298","S02002M400 →")</f>
        <v>S02002M400 →</v>
      </c>
    </row>
    <row r="271" spans="1:61" ht="18.399999999999999" customHeight="1">
      <c r="A271" s="11" t="s">
        <v>5487</v>
      </c>
      <c r="B271" s="2" t="s">
        <v>5891</v>
      </c>
      <c r="C271" s="2">
        <v>1</v>
      </c>
      <c r="D271" s="2" t="s">
        <v>6149</v>
      </c>
      <c r="E271" s="29" t="e">
        <f>일위대가목록!#REF!</f>
        <v>#REF!</v>
      </c>
      <c r="F271" s="29" t="e">
        <f t="shared" si="26"/>
        <v>#REF!</v>
      </c>
      <c r="G271" s="29" t="e">
        <f>일위대가목록!#REF!</f>
        <v>#REF!</v>
      </c>
      <c r="H271" s="29" t="e">
        <f t="shared" si="27"/>
        <v>#REF!</v>
      </c>
      <c r="I271" s="29" t="e">
        <f>일위대가목록!#REF!</f>
        <v>#REF!</v>
      </c>
      <c r="J271" s="29" t="e">
        <f t="shared" si="28"/>
        <v>#REF!</v>
      </c>
      <c r="K271" s="29" t="e">
        <f t="shared" si="30"/>
        <v>#REF!</v>
      </c>
      <c r="L271" s="29" t="e">
        <f t="shared" si="29"/>
        <v>#REF!</v>
      </c>
      <c r="M271" s="20" t="s">
        <v>6232</v>
      </c>
      <c r="N271" t="s">
        <v>6232</v>
      </c>
      <c r="P271" t="s">
        <v>4029</v>
      </c>
      <c r="Q271" t="s">
        <v>6232</v>
      </c>
      <c r="R271" t="s">
        <v>3057</v>
      </c>
      <c r="T271" t="s">
        <v>3860</v>
      </c>
      <c r="BI271" s="52" t="str">
        <f>HYPERLINK("#일위대가목록!A299","S02002M400YA →")</f>
        <v>S02002M400YA →</v>
      </c>
    </row>
    <row r="272" spans="1:61" ht="18.399999999999999" customHeight="1">
      <c r="A272" s="11" t="s">
        <v>3751</v>
      </c>
      <c r="B272" s="2" t="s">
        <v>1641</v>
      </c>
      <c r="C272" s="2">
        <v>1</v>
      </c>
      <c r="D272" s="2" t="s">
        <v>6149</v>
      </c>
      <c r="E272" s="29" t="e">
        <f>일위대가목록!#REF!</f>
        <v>#REF!</v>
      </c>
      <c r="F272" s="29" t="e">
        <f t="shared" si="26"/>
        <v>#REF!</v>
      </c>
      <c r="G272" s="29" t="e">
        <f>일위대가목록!#REF!</f>
        <v>#REF!</v>
      </c>
      <c r="H272" s="29" t="e">
        <f t="shared" si="27"/>
        <v>#REF!</v>
      </c>
      <c r="I272" s="29" t="e">
        <f>일위대가목록!#REF!</f>
        <v>#REF!</v>
      </c>
      <c r="J272" s="29" t="e">
        <f t="shared" si="28"/>
        <v>#REF!</v>
      </c>
      <c r="K272" s="29" t="e">
        <f t="shared" si="30"/>
        <v>#REF!</v>
      </c>
      <c r="L272" s="29" t="e">
        <f t="shared" si="29"/>
        <v>#REF!</v>
      </c>
      <c r="M272" s="20" t="s">
        <v>6232</v>
      </c>
      <c r="N272" t="s">
        <v>6232</v>
      </c>
      <c r="P272" t="s">
        <v>2568</v>
      </c>
      <c r="Q272" t="s">
        <v>6232</v>
      </c>
      <c r="R272" t="s">
        <v>1398</v>
      </c>
      <c r="T272" t="s">
        <v>3860</v>
      </c>
      <c r="BI272" s="52" t="str">
        <f>HYPERLINK("#일위대가목록!A300","S02002M350 →")</f>
        <v>S02002M350 →</v>
      </c>
    </row>
    <row r="273" spans="1:61" ht="18.399999999999999" customHeight="1">
      <c r="A273" s="11" t="s">
        <v>5487</v>
      </c>
      <c r="B273" s="2" t="s">
        <v>1641</v>
      </c>
      <c r="C273" s="2">
        <v>1</v>
      </c>
      <c r="D273" s="2" t="s">
        <v>6149</v>
      </c>
      <c r="E273" s="29" t="e">
        <f>일위대가목록!#REF!</f>
        <v>#REF!</v>
      </c>
      <c r="F273" s="29" t="e">
        <f t="shared" si="26"/>
        <v>#REF!</v>
      </c>
      <c r="G273" s="29" t="e">
        <f>일위대가목록!#REF!</f>
        <v>#REF!</v>
      </c>
      <c r="H273" s="29" t="e">
        <f t="shared" si="27"/>
        <v>#REF!</v>
      </c>
      <c r="I273" s="29" t="e">
        <f>일위대가목록!#REF!</f>
        <v>#REF!</v>
      </c>
      <c r="J273" s="29" t="e">
        <f t="shared" si="28"/>
        <v>#REF!</v>
      </c>
      <c r="K273" s="29" t="e">
        <f t="shared" si="30"/>
        <v>#REF!</v>
      </c>
      <c r="L273" s="29" t="e">
        <f t="shared" si="29"/>
        <v>#REF!</v>
      </c>
      <c r="M273" s="20" t="s">
        <v>6232</v>
      </c>
      <c r="N273" t="s">
        <v>6232</v>
      </c>
      <c r="P273" t="s">
        <v>1035</v>
      </c>
      <c r="Q273" t="s">
        <v>6232</v>
      </c>
      <c r="R273" t="s">
        <v>2240</v>
      </c>
      <c r="T273" t="s">
        <v>3860</v>
      </c>
      <c r="BI273" s="52" t="str">
        <f>HYPERLINK("#일위대가목록!A301","S02002M350YA →")</f>
        <v>S02002M350YA →</v>
      </c>
    </row>
    <row r="274" spans="1:61" ht="18.399999999999999" customHeight="1">
      <c r="A274" s="11" t="s">
        <v>3751</v>
      </c>
      <c r="B274" s="2" t="s">
        <v>3223</v>
      </c>
      <c r="C274" s="2">
        <v>1</v>
      </c>
      <c r="D274" s="2" t="s">
        <v>6149</v>
      </c>
      <c r="E274" s="29" t="e">
        <f>일위대가목록!#REF!</f>
        <v>#REF!</v>
      </c>
      <c r="F274" s="29" t="e">
        <f t="shared" si="26"/>
        <v>#REF!</v>
      </c>
      <c r="G274" s="29" t="e">
        <f>일위대가목록!#REF!</f>
        <v>#REF!</v>
      </c>
      <c r="H274" s="29" t="e">
        <f t="shared" si="27"/>
        <v>#REF!</v>
      </c>
      <c r="I274" s="29" t="e">
        <f>일위대가목록!#REF!</f>
        <v>#REF!</v>
      </c>
      <c r="J274" s="29" t="e">
        <f t="shared" si="28"/>
        <v>#REF!</v>
      </c>
      <c r="K274" s="29" t="e">
        <f t="shared" si="30"/>
        <v>#REF!</v>
      </c>
      <c r="L274" s="29" t="e">
        <f t="shared" si="29"/>
        <v>#REF!</v>
      </c>
      <c r="M274" s="20" t="s">
        <v>6232</v>
      </c>
      <c r="N274" t="s">
        <v>6232</v>
      </c>
      <c r="P274" t="s">
        <v>2056</v>
      </c>
      <c r="Q274" t="s">
        <v>6232</v>
      </c>
      <c r="R274" t="s">
        <v>3069</v>
      </c>
      <c r="T274" t="s">
        <v>3860</v>
      </c>
      <c r="BI274" s="52" t="str">
        <f>HYPERLINK("#일위대가목록!A302","S02002M300 →")</f>
        <v>S02002M300 →</v>
      </c>
    </row>
    <row r="275" spans="1:61" ht="18.399999999999999" customHeight="1">
      <c r="A275" s="11" t="s">
        <v>5487</v>
      </c>
      <c r="B275" s="2" t="s">
        <v>3223</v>
      </c>
      <c r="C275" s="2">
        <v>1</v>
      </c>
      <c r="D275" s="2" t="s">
        <v>6149</v>
      </c>
      <c r="E275" s="29" t="e">
        <f>일위대가목록!#REF!</f>
        <v>#REF!</v>
      </c>
      <c r="F275" s="29" t="e">
        <f t="shared" si="26"/>
        <v>#REF!</v>
      </c>
      <c r="G275" s="29" t="e">
        <f>일위대가목록!#REF!</f>
        <v>#REF!</v>
      </c>
      <c r="H275" s="29" t="e">
        <f t="shared" si="27"/>
        <v>#REF!</v>
      </c>
      <c r="I275" s="29" t="e">
        <f>일위대가목록!#REF!</f>
        <v>#REF!</v>
      </c>
      <c r="J275" s="29" t="e">
        <f t="shared" si="28"/>
        <v>#REF!</v>
      </c>
      <c r="K275" s="29" t="e">
        <f t="shared" si="30"/>
        <v>#REF!</v>
      </c>
      <c r="L275" s="29" t="e">
        <f t="shared" si="29"/>
        <v>#REF!</v>
      </c>
      <c r="M275" s="20" t="s">
        <v>6232</v>
      </c>
      <c r="N275" t="s">
        <v>6232</v>
      </c>
      <c r="P275" t="s">
        <v>498</v>
      </c>
      <c r="Q275" t="s">
        <v>6232</v>
      </c>
      <c r="R275" t="s">
        <v>2688</v>
      </c>
      <c r="T275" t="s">
        <v>3860</v>
      </c>
      <c r="BI275" s="52" t="str">
        <f>HYPERLINK("#일위대가목록!A303","S02002M300YA →")</f>
        <v>S02002M300YA →</v>
      </c>
    </row>
    <row r="276" spans="1:61" ht="18.399999999999999" customHeight="1">
      <c r="A276" s="11" t="s">
        <v>3751</v>
      </c>
      <c r="B276" s="2" t="s">
        <v>2368</v>
      </c>
      <c r="C276" s="2">
        <v>1</v>
      </c>
      <c r="D276" s="2" t="s">
        <v>6149</v>
      </c>
      <c r="E276" s="29" t="e">
        <f>일위대가목록!#REF!</f>
        <v>#REF!</v>
      </c>
      <c r="F276" s="29" t="e">
        <f t="shared" si="26"/>
        <v>#REF!</v>
      </c>
      <c r="G276" s="29" t="e">
        <f>일위대가목록!#REF!</f>
        <v>#REF!</v>
      </c>
      <c r="H276" s="29" t="e">
        <f t="shared" si="27"/>
        <v>#REF!</v>
      </c>
      <c r="I276" s="29" t="e">
        <f>일위대가목록!#REF!</f>
        <v>#REF!</v>
      </c>
      <c r="J276" s="29" t="e">
        <f t="shared" si="28"/>
        <v>#REF!</v>
      </c>
      <c r="K276" s="29" t="e">
        <f t="shared" si="30"/>
        <v>#REF!</v>
      </c>
      <c r="L276" s="29" t="e">
        <f t="shared" si="29"/>
        <v>#REF!</v>
      </c>
      <c r="M276" s="20" t="s">
        <v>6232</v>
      </c>
      <c r="N276" t="s">
        <v>6232</v>
      </c>
      <c r="P276" t="s">
        <v>5236</v>
      </c>
      <c r="Q276" t="s">
        <v>6232</v>
      </c>
      <c r="R276" t="s">
        <v>283</v>
      </c>
      <c r="T276" t="s">
        <v>3860</v>
      </c>
      <c r="BI276" s="52" t="str">
        <f>HYPERLINK("#일위대가목록!A304","S02002M250 →")</f>
        <v>S02002M250 →</v>
      </c>
    </row>
    <row r="277" spans="1:61" ht="18.399999999999999" customHeight="1">
      <c r="A277" s="11" t="s">
        <v>5487</v>
      </c>
      <c r="B277" s="2" t="s">
        <v>2368</v>
      </c>
      <c r="C277" s="2">
        <v>1</v>
      </c>
      <c r="D277" s="2" t="s">
        <v>6149</v>
      </c>
      <c r="E277" s="29" t="e">
        <f>일위대가목록!#REF!</f>
        <v>#REF!</v>
      </c>
      <c r="F277" s="29" t="e">
        <f t="shared" si="26"/>
        <v>#REF!</v>
      </c>
      <c r="G277" s="29" t="e">
        <f>일위대가목록!#REF!</f>
        <v>#REF!</v>
      </c>
      <c r="H277" s="29" t="e">
        <f t="shared" si="27"/>
        <v>#REF!</v>
      </c>
      <c r="I277" s="29" t="e">
        <f>일위대가목록!#REF!</f>
        <v>#REF!</v>
      </c>
      <c r="J277" s="29" t="e">
        <f t="shared" si="28"/>
        <v>#REF!</v>
      </c>
      <c r="K277" s="29" t="e">
        <f t="shared" si="30"/>
        <v>#REF!</v>
      </c>
      <c r="L277" s="29" t="e">
        <f t="shared" si="29"/>
        <v>#REF!</v>
      </c>
      <c r="M277" s="20" t="s">
        <v>6232</v>
      </c>
      <c r="N277" t="s">
        <v>6232</v>
      </c>
      <c r="P277" t="s">
        <v>3657</v>
      </c>
      <c r="Q277" t="s">
        <v>6232</v>
      </c>
      <c r="R277" t="s">
        <v>5757</v>
      </c>
      <c r="T277" t="s">
        <v>3860</v>
      </c>
      <c r="BI277" s="52" t="str">
        <f>HYPERLINK("#일위대가목록!A305","S02002M250YA →")</f>
        <v>S02002M250YA →</v>
      </c>
    </row>
    <row r="278" spans="1:61" ht="18.399999999999999" customHeight="1">
      <c r="A278" s="11" t="s">
        <v>3751</v>
      </c>
      <c r="B278" s="2" t="s">
        <v>3940</v>
      </c>
      <c r="C278" s="2">
        <v>1</v>
      </c>
      <c r="D278" s="2" t="s">
        <v>6149</v>
      </c>
      <c r="E278" s="29" t="e">
        <f>일위대가목록!#REF!</f>
        <v>#REF!</v>
      </c>
      <c r="F278" s="29" t="e">
        <f t="shared" si="26"/>
        <v>#REF!</v>
      </c>
      <c r="G278" s="29" t="e">
        <f>일위대가목록!#REF!</f>
        <v>#REF!</v>
      </c>
      <c r="H278" s="29" t="e">
        <f t="shared" si="27"/>
        <v>#REF!</v>
      </c>
      <c r="I278" s="29" t="e">
        <f>일위대가목록!#REF!</f>
        <v>#REF!</v>
      </c>
      <c r="J278" s="29" t="e">
        <f t="shared" si="28"/>
        <v>#REF!</v>
      </c>
      <c r="K278" s="29" t="e">
        <f t="shared" si="30"/>
        <v>#REF!</v>
      </c>
      <c r="L278" s="29" t="e">
        <f t="shared" si="29"/>
        <v>#REF!</v>
      </c>
      <c r="M278" s="20" t="s">
        <v>6232</v>
      </c>
      <c r="N278" t="s">
        <v>6232</v>
      </c>
      <c r="P278" t="s">
        <v>1936</v>
      </c>
      <c r="Q278" t="s">
        <v>6232</v>
      </c>
      <c r="R278" t="s">
        <v>1735</v>
      </c>
      <c r="T278" t="s">
        <v>3860</v>
      </c>
      <c r="BI278" s="52" t="str">
        <f>HYPERLINK("#일위대가목록!A306","S02002M200 →")</f>
        <v>S02002M200 →</v>
      </c>
    </row>
    <row r="279" spans="1:61" ht="18.399999999999999" customHeight="1">
      <c r="A279" s="11" t="s">
        <v>5487</v>
      </c>
      <c r="B279" s="2" t="s">
        <v>3940</v>
      </c>
      <c r="C279" s="2">
        <v>1</v>
      </c>
      <c r="D279" s="2" t="s">
        <v>6149</v>
      </c>
      <c r="E279" s="29" t="e">
        <f>일위대가목록!#REF!</f>
        <v>#REF!</v>
      </c>
      <c r="F279" s="29" t="e">
        <f t="shared" si="26"/>
        <v>#REF!</v>
      </c>
      <c r="G279" s="29" t="e">
        <f>일위대가목록!#REF!</f>
        <v>#REF!</v>
      </c>
      <c r="H279" s="29" t="e">
        <f t="shared" si="27"/>
        <v>#REF!</v>
      </c>
      <c r="I279" s="29" t="e">
        <f>일위대가목록!#REF!</f>
        <v>#REF!</v>
      </c>
      <c r="J279" s="29" t="e">
        <f t="shared" si="28"/>
        <v>#REF!</v>
      </c>
      <c r="K279" s="29" t="e">
        <f t="shared" si="30"/>
        <v>#REF!</v>
      </c>
      <c r="L279" s="29" t="e">
        <f t="shared" si="29"/>
        <v>#REF!</v>
      </c>
      <c r="M279" s="20" t="s">
        <v>6232</v>
      </c>
      <c r="N279" t="s">
        <v>6232</v>
      </c>
      <c r="P279" t="s">
        <v>378</v>
      </c>
      <c r="Q279" t="s">
        <v>6232</v>
      </c>
      <c r="R279" t="s">
        <v>5432</v>
      </c>
      <c r="T279" t="s">
        <v>3860</v>
      </c>
      <c r="BI279" s="52" t="str">
        <f>HYPERLINK("#일위대가목록!A307","S02002M200YA →")</f>
        <v>S02002M200YA →</v>
      </c>
    </row>
    <row r="280" spans="1:61" ht="18.399999999999999" customHeight="1">
      <c r="A280" s="11" t="s">
        <v>3751</v>
      </c>
      <c r="B280" s="2" t="s">
        <v>1784</v>
      </c>
      <c r="C280" s="2">
        <v>1</v>
      </c>
      <c r="D280" s="2" t="s">
        <v>6149</v>
      </c>
      <c r="E280" s="29" t="e">
        <f>일위대가목록!#REF!</f>
        <v>#REF!</v>
      </c>
      <c r="F280" s="29" t="e">
        <f t="shared" si="26"/>
        <v>#REF!</v>
      </c>
      <c r="G280" s="29" t="e">
        <f>일위대가목록!#REF!</f>
        <v>#REF!</v>
      </c>
      <c r="H280" s="29" t="e">
        <f t="shared" si="27"/>
        <v>#REF!</v>
      </c>
      <c r="I280" s="29" t="e">
        <f>일위대가목록!#REF!</f>
        <v>#REF!</v>
      </c>
      <c r="J280" s="29" t="e">
        <f t="shared" si="28"/>
        <v>#REF!</v>
      </c>
      <c r="K280" s="29" t="e">
        <f t="shared" si="30"/>
        <v>#REF!</v>
      </c>
      <c r="L280" s="29" t="e">
        <f t="shared" si="29"/>
        <v>#REF!</v>
      </c>
      <c r="M280" s="20" t="s">
        <v>6232</v>
      </c>
      <c r="N280" t="s">
        <v>6232</v>
      </c>
      <c r="P280" t="s">
        <v>5117</v>
      </c>
      <c r="Q280" t="s">
        <v>6232</v>
      </c>
      <c r="R280" t="s">
        <v>2022</v>
      </c>
      <c r="T280" t="s">
        <v>3860</v>
      </c>
      <c r="BI280" s="52" t="str">
        <f>HYPERLINK("#일위대가목록!A308","S02002M150 →")</f>
        <v>S02002M150 →</v>
      </c>
    </row>
    <row r="281" spans="1:61" ht="18.399999999999999" customHeight="1">
      <c r="A281" s="11" t="s">
        <v>5487</v>
      </c>
      <c r="B281" s="2" t="s">
        <v>1784</v>
      </c>
      <c r="C281" s="2">
        <v>1</v>
      </c>
      <c r="D281" s="2" t="s">
        <v>6149</v>
      </c>
      <c r="E281" s="29" t="e">
        <f>일위대가목록!#REF!</f>
        <v>#REF!</v>
      </c>
      <c r="F281" s="29" t="e">
        <f t="shared" si="26"/>
        <v>#REF!</v>
      </c>
      <c r="G281" s="29" t="e">
        <f>일위대가목록!#REF!</f>
        <v>#REF!</v>
      </c>
      <c r="H281" s="29" t="e">
        <f t="shared" si="27"/>
        <v>#REF!</v>
      </c>
      <c r="I281" s="29" t="e">
        <f>일위대가목록!#REF!</f>
        <v>#REF!</v>
      </c>
      <c r="J281" s="29" t="e">
        <f t="shared" si="28"/>
        <v>#REF!</v>
      </c>
      <c r="K281" s="29" t="e">
        <f t="shared" si="30"/>
        <v>#REF!</v>
      </c>
      <c r="L281" s="29" t="e">
        <f t="shared" si="29"/>
        <v>#REF!</v>
      </c>
      <c r="M281" s="20" t="s">
        <v>6232</v>
      </c>
      <c r="N281" t="s">
        <v>6232</v>
      </c>
      <c r="P281" t="s">
        <v>3512</v>
      </c>
      <c r="Q281" t="s">
        <v>6232</v>
      </c>
      <c r="R281" t="s">
        <v>1464</v>
      </c>
      <c r="T281" t="s">
        <v>3860</v>
      </c>
      <c r="BI281" s="52" t="str">
        <f>HYPERLINK("#일위대가목록!A309","S02002M150YA →")</f>
        <v>S02002M150YA →</v>
      </c>
    </row>
    <row r="282" spans="1:61" ht="18.399999999999999" customHeight="1">
      <c r="A282" s="11" t="s">
        <v>3751</v>
      </c>
      <c r="B282" s="2" t="s">
        <v>510</v>
      </c>
      <c r="C282" s="2">
        <v>1</v>
      </c>
      <c r="D282" s="2" t="s">
        <v>6149</v>
      </c>
      <c r="E282" s="29" t="e">
        <f>일위대가목록!#REF!</f>
        <v>#REF!</v>
      </c>
      <c r="F282" s="29" t="e">
        <f t="shared" si="26"/>
        <v>#REF!</v>
      </c>
      <c r="G282" s="29" t="e">
        <f>일위대가목록!#REF!</f>
        <v>#REF!</v>
      </c>
      <c r="H282" s="29" t="e">
        <f t="shared" si="27"/>
        <v>#REF!</v>
      </c>
      <c r="I282" s="29" t="e">
        <f>일위대가목록!#REF!</f>
        <v>#REF!</v>
      </c>
      <c r="J282" s="29" t="e">
        <f t="shared" si="28"/>
        <v>#REF!</v>
      </c>
      <c r="K282" s="29" t="e">
        <f t="shared" si="30"/>
        <v>#REF!</v>
      </c>
      <c r="L282" s="29" t="e">
        <f t="shared" si="29"/>
        <v>#REF!</v>
      </c>
      <c r="M282" s="20" t="s">
        <v>6232</v>
      </c>
      <c r="N282" t="s">
        <v>6232</v>
      </c>
      <c r="P282" t="s">
        <v>2237</v>
      </c>
      <c r="Q282" t="s">
        <v>6232</v>
      </c>
      <c r="R282" t="s">
        <v>690</v>
      </c>
      <c r="T282" t="s">
        <v>3860</v>
      </c>
      <c r="BI282" s="52" t="str">
        <f>HYPERLINK("#일위대가목록!A310","S02002M125 →")</f>
        <v>S02002M125 →</v>
      </c>
    </row>
    <row r="283" spans="1:61" ht="18.399999999999999" customHeight="1">
      <c r="A283" s="11" t="s">
        <v>5487</v>
      </c>
      <c r="B283" s="2" t="s">
        <v>510</v>
      </c>
      <c r="C283" s="2">
        <v>1</v>
      </c>
      <c r="D283" s="2" t="s">
        <v>6149</v>
      </c>
      <c r="E283" s="29" t="e">
        <f>일위대가목록!#REF!</f>
        <v>#REF!</v>
      </c>
      <c r="F283" s="29" t="e">
        <f t="shared" si="26"/>
        <v>#REF!</v>
      </c>
      <c r="G283" s="29" t="e">
        <f>일위대가목록!#REF!</f>
        <v>#REF!</v>
      </c>
      <c r="H283" s="29" t="e">
        <f t="shared" si="27"/>
        <v>#REF!</v>
      </c>
      <c r="I283" s="29" t="e">
        <f>일위대가목록!#REF!</f>
        <v>#REF!</v>
      </c>
      <c r="J283" s="29" t="e">
        <f t="shared" si="28"/>
        <v>#REF!</v>
      </c>
      <c r="K283" s="29" t="e">
        <f t="shared" si="30"/>
        <v>#REF!</v>
      </c>
      <c r="L283" s="29" t="e">
        <f t="shared" si="29"/>
        <v>#REF!</v>
      </c>
      <c r="M283" s="20" t="s">
        <v>6232</v>
      </c>
      <c r="N283" t="s">
        <v>6232</v>
      </c>
      <c r="P283" t="s">
        <v>675</v>
      </c>
      <c r="Q283" t="s">
        <v>6232</v>
      </c>
      <c r="R283" t="s">
        <v>2683</v>
      </c>
      <c r="T283" t="s">
        <v>3860</v>
      </c>
      <c r="BI283" s="52" t="str">
        <f>HYPERLINK("#일위대가목록!A311","S02002M125YA →")</f>
        <v>S02002M125YA →</v>
      </c>
    </row>
    <row r="284" spans="1:61" ht="18.399999999999999" customHeight="1">
      <c r="A284" s="11" t="s">
        <v>3751</v>
      </c>
      <c r="B284" s="2" t="s">
        <v>938</v>
      </c>
      <c r="C284" s="2">
        <v>1</v>
      </c>
      <c r="D284" s="2" t="s">
        <v>6149</v>
      </c>
      <c r="E284" s="29" t="e">
        <f>일위대가목록!#REF!</f>
        <v>#REF!</v>
      </c>
      <c r="F284" s="29" t="e">
        <f t="shared" si="26"/>
        <v>#REF!</v>
      </c>
      <c r="G284" s="29" t="e">
        <f>일위대가목록!#REF!</f>
        <v>#REF!</v>
      </c>
      <c r="H284" s="29" t="e">
        <f t="shared" si="27"/>
        <v>#REF!</v>
      </c>
      <c r="I284" s="29" t="e">
        <f>일위대가목록!#REF!</f>
        <v>#REF!</v>
      </c>
      <c r="J284" s="29" t="e">
        <f t="shared" si="28"/>
        <v>#REF!</v>
      </c>
      <c r="K284" s="29" t="e">
        <f t="shared" si="30"/>
        <v>#REF!</v>
      </c>
      <c r="L284" s="29" t="e">
        <f t="shared" si="29"/>
        <v>#REF!</v>
      </c>
      <c r="M284" s="20" t="s">
        <v>6232</v>
      </c>
      <c r="N284" t="s">
        <v>6232</v>
      </c>
      <c r="P284" t="s">
        <v>4632</v>
      </c>
      <c r="Q284" t="s">
        <v>6232</v>
      </c>
      <c r="R284" t="s">
        <v>414</v>
      </c>
      <c r="T284" t="s">
        <v>3860</v>
      </c>
      <c r="BI284" s="52" t="str">
        <f>HYPERLINK("#일위대가목록!A312","S02002M100 →")</f>
        <v>S02002M100 →</v>
      </c>
    </row>
    <row r="285" spans="1:61" ht="18.399999999999999" customHeight="1">
      <c r="A285" s="11" t="s">
        <v>5487</v>
      </c>
      <c r="B285" s="2" t="s">
        <v>938</v>
      </c>
      <c r="C285" s="2">
        <v>1</v>
      </c>
      <c r="D285" s="2" t="s">
        <v>6149</v>
      </c>
      <c r="E285" s="29" t="e">
        <f>일위대가목록!#REF!</f>
        <v>#REF!</v>
      </c>
      <c r="F285" s="29" t="e">
        <f t="shared" si="26"/>
        <v>#REF!</v>
      </c>
      <c r="G285" s="29" t="e">
        <f>일위대가목록!#REF!</f>
        <v>#REF!</v>
      </c>
      <c r="H285" s="29" t="e">
        <f t="shared" si="27"/>
        <v>#REF!</v>
      </c>
      <c r="I285" s="29" t="e">
        <f>일위대가목록!#REF!</f>
        <v>#REF!</v>
      </c>
      <c r="J285" s="29" t="e">
        <f t="shared" si="28"/>
        <v>#REF!</v>
      </c>
      <c r="K285" s="29" t="e">
        <f t="shared" si="30"/>
        <v>#REF!</v>
      </c>
      <c r="L285" s="29" t="e">
        <f t="shared" si="29"/>
        <v>#REF!</v>
      </c>
      <c r="M285" s="20" t="s">
        <v>6232</v>
      </c>
      <c r="N285" t="s">
        <v>6232</v>
      </c>
      <c r="P285" t="s">
        <v>6206</v>
      </c>
      <c r="Q285" t="s">
        <v>6232</v>
      </c>
      <c r="R285" t="s">
        <v>351</v>
      </c>
      <c r="T285" t="s">
        <v>3860</v>
      </c>
      <c r="BI285" s="52" t="str">
        <f>HYPERLINK("#일위대가목록!A313","S02002M100YA →")</f>
        <v>S02002M100YA →</v>
      </c>
    </row>
    <row r="286" spans="1:61" ht="18.399999999999999" customHeight="1">
      <c r="A286" s="11" t="s">
        <v>3751</v>
      </c>
      <c r="B286" s="2" t="s">
        <v>4526</v>
      </c>
      <c r="C286" s="2">
        <v>1</v>
      </c>
      <c r="D286" s="2" t="s">
        <v>6149</v>
      </c>
      <c r="E286" s="29" t="e">
        <f>일위대가목록!#REF!</f>
        <v>#REF!</v>
      </c>
      <c r="F286" s="29" t="e">
        <f t="shared" si="26"/>
        <v>#REF!</v>
      </c>
      <c r="G286" s="29" t="e">
        <f>일위대가목록!#REF!</f>
        <v>#REF!</v>
      </c>
      <c r="H286" s="29" t="e">
        <f t="shared" si="27"/>
        <v>#REF!</v>
      </c>
      <c r="I286" s="29" t="e">
        <f>일위대가목록!#REF!</f>
        <v>#REF!</v>
      </c>
      <c r="J286" s="29" t="e">
        <f t="shared" si="28"/>
        <v>#REF!</v>
      </c>
      <c r="K286" s="29" t="e">
        <f t="shared" si="30"/>
        <v>#REF!</v>
      </c>
      <c r="L286" s="29" t="e">
        <f t="shared" si="29"/>
        <v>#REF!</v>
      </c>
      <c r="M286" s="20" t="s">
        <v>6232</v>
      </c>
      <c r="N286" t="s">
        <v>6232</v>
      </c>
      <c r="P286" t="s">
        <v>1469</v>
      </c>
      <c r="Q286" t="s">
        <v>6232</v>
      </c>
      <c r="R286" t="s">
        <v>1097</v>
      </c>
      <c r="T286" t="s">
        <v>3860</v>
      </c>
      <c r="BI286" s="52" t="str">
        <f>HYPERLINK("#일위대가목록!A314","S02002M080 →")</f>
        <v>S02002M080 →</v>
      </c>
    </row>
    <row r="287" spans="1:61" ht="18.399999999999999" customHeight="1">
      <c r="A287" s="11" t="s">
        <v>5487</v>
      </c>
      <c r="B287" s="2" t="s">
        <v>4526</v>
      </c>
      <c r="C287" s="2">
        <v>1</v>
      </c>
      <c r="D287" s="2" t="s">
        <v>6149</v>
      </c>
      <c r="E287" s="29" t="e">
        <f>일위대가목록!#REF!</f>
        <v>#REF!</v>
      </c>
      <c r="F287" s="29" t="e">
        <f t="shared" si="26"/>
        <v>#REF!</v>
      </c>
      <c r="G287" s="29" t="e">
        <f>일위대가목록!#REF!</f>
        <v>#REF!</v>
      </c>
      <c r="H287" s="29" t="e">
        <f t="shared" si="27"/>
        <v>#REF!</v>
      </c>
      <c r="I287" s="29" t="e">
        <f>일위대가목록!#REF!</f>
        <v>#REF!</v>
      </c>
      <c r="J287" s="29" t="e">
        <f t="shared" si="28"/>
        <v>#REF!</v>
      </c>
      <c r="K287" s="29" t="e">
        <f t="shared" si="30"/>
        <v>#REF!</v>
      </c>
      <c r="L287" s="29" t="e">
        <f t="shared" si="29"/>
        <v>#REF!</v>
      </c>
      <c r="M287" s="20" t="s">
        <v>6232</v>
      </c>
      <c r="N287" t="s">
        <v>6232</v>
      </c>
      <c r="P287" t="s">
        <v>2987</v>
      </c>
      <c r="Q287" t="s">
        <v>6232</v>
      </c>
      <c r="R287" t="s">
        <v>1918</v>
      </c>
      <c r="T287" t="s">
        <v>3860</v>
      </c>
      <c r="BI287" s="52" t="str">
        <f>HYPERLINK("#일위대가목록!A315","S02002M080YA →")</f>
        <v>S02002M080YA →</v>
      </c>
    </row>
    <row r="288" spans="1:61" ht="18.399999999999999" customHeight="1">
      <c r="A288" s="11" t="s">
        <v>3751</v>
      </c>
      <c r="B288" s="2" t="s">
        <v>1425</v>
      </c>
      <c r="C288" s="2">
        <v>1</v>
      </c>
      <c r="D288" s="2" t="s">
        <v>6149</v>
      </c>
      <c r="E288" s="29" t="e">
        <f>일위대가목록!#REF!</f>
        <v>#REF!</v>
      </c>
      <c r="F288" s="29" t="e">
        <f t="shared" si="26"/>
        <v>#REF!</v>
      </c>
      <c r="G288" s="29" t="e">
        <f>일위대가목록!#REF!</f>
        <v>#REF!</v>
      </c>
      <c r="H288" s="29" t="e">
        <f t="shared" si="27"/>
        <v>#REF!</v>
      </c>
      <c r="I288" s="29" t="e">
        <f>일위대가목록!#REF!</f>
        <v>#REF!</v>
      </c>
      <c r="J288" s="29" t="e">
        <f t="shared" si="28"/>
        <v>#REF!</v>
      </c>
      <c r="K288" s="29" t="e">
        <f t="shared" si="30"/>
        <v>#REF!</v>
      </c>
      <c r="L288" s="29" t="e">
        <f t="shared" si="29"/>
        <v>#REF!</v>
      </c>
      <c r="M288" s="20" t="s">
        <v>6232</v>
      </c>
      <c r="N288" t="s">
        <v>6232</v>
      </c>
      <c r="P288" t="s">
        <v>4516</v>
      </c>
      <c r="Q288" t="s">
        <v>6232</v>
      </c>
      <c r="R288" t="s">
        <v>1122</v>
      </c>
      <c r="T288" t="s">
        <v>3860</v>
      </c>
      <c r="BI288" s="52" t="str">
        <f>HYPERLINK("#일위대가목록!A316","S02002M065 →")</f>
        <v>S02002M065 →</v>
      </c>
    </row>
    <row r="289" spans="1:61" ht="18.399999999999999" customHeight="1">
      <c r="A289" s="11" t="s">
        <v>5487</v>
      </c>
      <c r="B289" s="2" t="s">
        <v>1425</v>
      </c>
      <c r="C289" s="2">
        <v>1</v>
      </c>
      <c r="D289" s="2" t="s">
        <v>6149</v>
      </c>
      <c r="E289" s="29" t="e">
        <f>일위대가목록!#REF!</f>
        <v>#REF!</v>
      </c>
      <c r="F289" s="29" t="e">
        <f t="shared" si="26"/>
        <v>#REF!</v>
      </c>
      <c r="G289" s="29" t="e">
        <f>일위대가목록!#REF!</f>
        <v>#REF!</v>
      </c>
      <c r="H289" s="29" t="e">
        <f t="shared" si="27"/>
        <v>#REF!</v>
      </c>
      <c r="I289" s="29" t="e">
        <f>일위대가목록!#REF!</f>
        <v>#REF!</v>
      </c>
      <c r="J289" s="29" t="e">
        <f t="shared" si="28"/>
        <v>#REF!</v>
      </c>
      <c r="K289" s="29" t="e">
        <f t="shared" si="30"/>
        <v>#REF!</v>
      </c>
      <c r="L289" s="29" t="e">
        <f t="shared" si="29"/>
        <v>#REF!</v>
      </c>
      <c r="M289" s="20" t="s">
        <v>6232</v>
      </c>
      <c r="N289" t="s">
        <v>6232</v>
      </c>
      <c r="P289" t="s">
        <v>6080</v>
      </c>
      <c r="Q289" t="s">
        <v>6232</v>
      </c>
      <c r="R289" t="s">
        <v>3282</v>
      </c>
      <c r="T289" t="s">
        <v>3860</v>
      </c>
      <c r="BI289" s="52" t="str">
        <f>HYPERLINK("#일위대가목록!A317","S02002M065YA →")</f>
        <v>S02002M065YA →</v>
      </c>
    </row>
    <row r="290" spans="1:61" ht="18.399999999999999" customHeight="1">
      <c r="A290" s="11" t="s">
        <v>3751</v>
      </c>
      <c r="B290" s="2" t="s">
        <v>560</v>
      </c>
      <c r="C290" s="2">
        <v>1</v>
      </c>
      <c r="D290" s="2" t="s">
        <v>6149</v>
      </c>
      <c r="E290" s="29" t="e">
        <f>일위대가목록!#REF!</f>
        <v>#REF!</v>
      </c>
      <c r="F290" s="29" t="e">
        <f t="shared" si="26"/>
        <v>#REF!</v>
      </c>
      <c r="G290" s="29" t="e">
        <f>일위대가목록!#REF!</f>
        <v>#REF!</v>
      </c>
      <c r="H290" s="29" t="e">
        <f t="shared" si="27"/>
        <v>#REF!</v>
      </c>
      <c r="I290" s="29" t="e">
        <f>일위대가목록!#REF!</f>
        <v>#REF!</v>
      </c>
      <c r="J290" s="29" t="e">
        <f t="shared" si="28"/>
        <v>#REF!</v>
      </c>
      <c r="K290" s="29" t="e">
        <f t="shared" si="30"/>
        <v>#REF!</v>
      </c>
      <c r="L290" s="29" t="e">
        <f t="shared" si="29"/>
        <v>#REF!</v>
      </c>
      <c r="M290" s="20" t="s">
        <v>6232</v>
      </c>
      <c r="N290" t="s">
        <v>6232</v>
      </c>
      <c r="P290" t="s">
        <v>1371</v>
      </c>
      <c r="Q290" t="s">
        <v>6232</v>
      </c>
      <c r="R290" t="s">
        <v>2407</v>
      </c>
      <c r="T290" t="s">
        <v>3860</v>
      </c>
      <c r="BI290" s="52" t="str">
        <f>HYPERLINK("#일위대가목록!A318","S02002M050 →")</f>
        <v>S02002M050 →</v>
      </c>
    </row>
    <row r="291" spans="1:61" ht="18.399999999999999" customHeight="1">
      <c r="A291" s="11" t="s">
        <v>5487</v>
      </c>
      <c r="B291" s="2" t="s">
        <v>560</v>
      </c>
      <c r="C291" s="2">
        <v>1</v>
      </c>
      <c r="D291" s="2" t="s">
        <v>6149</v>
      </c>
      <c r="E291" s="29" t="e">
        <f>일위대가목록!#REF!</f>
        <v>#REF!</v>
      </c>
      <c r="F291" s="29" t="e">
        <f t="shared" si="26"/>
        <v>#REF!</v>
      </c>
      <c r="G291" s="29" t="e">
        <f>일위대가목록!#REF!</f>
        <v>#REF!</v>
      </c>
      <c r="H291" s="29" t="e">
        <f t="shared" si="27"/>
        <v>#REF!</v>
      </c>
      <c r="I291" s="29" t="e">
        <f>일위대가목록!#REF!</f>
        <v>#REF!</v>
      </c>
      <c r="J291" s="29" t="e">
        <f t="shared" si="28"/>
        <v>#REF!</v>
      </c>
      <c r="K291" s="29" t="e">
        <f t="shared" si="30"/>
        <v>#REF!</v>
      </c>
      <c r="L291" s="29" t="e">
        <f t="shared" si="29"/>
        <v>#REF!</v>
      </c>
      <c r="M291" s="20" t="s">
        <v>6232</v>
      </c>
      <c r="N291" t="s">
        <v>6232</v>
      </c>
      <c r="P291" t="s">
        <v>2894</v>
      </c>
      <c r="Q291" t="s">
        <v>6232</v>
      </c>
      <c r="R291" t="s">
        <v>3409</v>
      </c>
      <c r="T291" t="s">
        <v>3860</v>
      </c>
      <c r="BI291" s="52" t="str">
        <f>HYPERLINK("#일위대가목록!A319","S02002M050YA →")</f>
        <v>S02002M050YA →</v>
      </c>
    </row>
    <row r="292" spans="1:61" ht="18.399999999999999" customHeight="1">
      <c r="A292" s="11" t="s">
        <v>3751</v>
      </c>
      <c r="B292" s="2" t="s">
        <v>1919</v>
      </c>
      <c r="C292" s="2">
        <v>1</v>
      </c>
      <c r="D292" s="2" t="s">
        <v>6149</v>
      </c>
      <c r="E292" s="29" t="e">
        <f>일위대가목록!#REF!</f>
        <v>#REF!</v>
      </c>
      <c r="F292" s="29" t="e">
        <f t="shared" si="26"/>
        <v>#REF!</v>
      </c>
      <c r="G292" s="29" t="e">
        <f>일위대가목록!#REF!</f>
        <v>#REF!</v>
      </c>
      <c r="H292" s="29" t="e">
        <f t="shared" si="27"/>
        <v>#REF!</v>
      </c>
      <c r="I292" s="29" t="e">
        <f>일위대가목록!#REF!</f>
        <v>#REF!</v>
      </c>
      <c r="J292" s="29" t="e">
        <f t="shared" si="28"/>
        <v>#REF!</v>
      </c>
      <c r="K292" s="29" t="e">
        <f t="shared" si="30"/>
        <v>#REF!</v>
      </c>
      <c r="L292" s="29" t="e">
        <f t="shared" si="29"/>
        <v>#REF!</v>
      </c>
      <c r="M292" s="20" t="s">
        <v>6232</v>
      </c>
      <c r="N292" t="s">
        <v>6232</v>
      </c>
      <c r="P292" t="s">
        <v>4428</v>
      </c>
      <c r="Q292" t="s">
        <v>6232</v>
      </c>
      <c r="R292" t="s">
        <v>834</v>
      </c>
      <c r="T292" t="s">
        <v>3860</v>
      </c>
      <c r="BI292" s="52" t="str">
        <f>HYPERLINK("#일위대가목록!A320","S02002M040 →")</f>
        <v>S02002M040 →</v>
      </c>
    </row>
    <row r="293" spans="1:61" ht="18.399999999999999" customHeight="1">
      <c r="A293" s="11" t="s">
        <v>5487</v>
      </c>
      <c r="B293" s="2" t="s">
        <v>1919</v>
      </c>
      <c r="C293" s="2">
        <v>1</v>
      </c>
      <c r="D293" s="2" t="s">
        <v>6149</v>
      </c>
      <c r="E293" s="29" t="e">
        <f>일위대가목록!#REF!</f>
        <v>#REF!</v>
      </c>
      <c r="F293" s="29" t="e">
        <f t="shared" si="26"/>
        <v>#REF!</v>
      </c>
      <c r="G293" s="29" t="e">
        <f>일위대가목록!#REF!</f>
        <v>#REF!</v>
      </c>
      <c r="H293" s="29" t="e">
        <f t="shared" si="27"/>
        <v>#REF!</v>
      </c>
      <c r="I293" s="29" t="e">
        <f>일위대가목록!#REF!</f>
        <v>#REF!</v>
      </c>
      <c r="J293" s="29" t="e">
        <f t="shared" si="28"/>
        <v>#REF!</v>
      </c>
      <c r="K293" s="29" t="e">
        <f t="shared" si="30"/>
        <v>#REF!</v>
      </c>
      <c r="L293" s="29" t="e">
        <f t="shared" si="29"/>
        <v>#REF!</v>
      </c>
      <c r="M293" s="20" t="s">
        <v>6232</v>
      </c>
      <c r="N293" t="s">
        <v>6232</v>
      </c>
      <c r="P293" t="s">
        <v>5979</v>
      </c>
      <c r="Q293" t="s">
        <v>6232</v>
      </c>
      <c r="R293" t="s">
        <v>5648</v>
      </c>
      <c r="T293" t="s">
        <v>3860</v>
      </c>
      <c r="BI293" s="52" t="str">
        <f>HYPERLINK("#일위대가목록!A321","S02002M040YA →")</f>
        <v>S02002M040YA →</v>
      </c>
    </row>
    <row r="294" spans="1:61" ht="18.399999999999999" customHeight="1">
      <c r="A294" s="11" t="s">
        <v>3751</v>
      </c>
      <c r="B294" s="2" t="s">
        <v>1527</v>
      </c>
      <c r="C294" s="2">
        <v>1</v>
      </c>
      <c r="D294" s="2" t="s">
        <v>6149</v>
      </c>
      <c r="E294" s="29" t="e">
        <f>일위대가목록!#REF!</f>
        <v>#REF!</v>
      </c>
      <c r="F294" s="29" t="e">
        <f t="shared" si="26"/>
        <v>#REF!</v>
      </c>
      <c r="G294" s="29" t="e">
        <f>일위대가목록!#REF!</f>
        <v>#REF!</v>
      </c>
      <c r="H294" s="29" t="e">
        <f t="shared" si="27"/>
        <v>#REF!</v>
      </c>
      <c r="I294" s="29" t="e">
        <f>일위대가목록!#REF!</f>
        <v>#REF!</v>
      </c>
      <c r="J294" s="29" t="e">
        <f t="shared" si="28"/>
        <v>#REF!</v>
      </c>
      <c r="K294" s="29" t="e">
        <f t="shared" si="30"/>
        <v>#REF!</v>
      </c>
      <c r="L294" s="29" t="e">
        <f t="shared" si="29"/>
        <v>#REF!</v>
      </c>
      <c r="M294" s="20" t="s">
        <v>6232</v>
      </c>
      <c r="N294" t="s">
        <v>6232</v>
      </c>
      <c r="P294" t="s">
        <v>3294</v>
      </c>
      <c r="Q294" t="s">
        <v>6232</v>
      </c>
      <c r="R294" t="s">
        <v>4870</v>
      </c>
      <c r="T294" t="s">
        <v>3860</v>
      </c>
      <c r="BI294" s="52" t="str">
        <f>HYPERLINK("#일위대가목록!A322","S02002M032 →")</f>
        <v>S02002M032 →</v>
      </c>
    </row>
    <row r="295" spans="1:61" ht="18.399999999999999" customHeight="1">
      <c r="A295" s="11" t="s">
        <v>5487</v>
      </c>
      <c r="B295" s="2" t="s">
        <v>1527</v>
      </c>
      <c r="C295" s="2">
        <v>1</v>
      </c>
      <c r="D295" s="2" t="s">
        <v>6149</v>
      </c>
      <c r="E295" s="29" t="e">
        <f>일위대가목록!#REF!</f>
        <v>#REF!</v>
      </c>
      <c r="F295" s="29" t="e">
        <f t="shared" si="26"/>
        <v>#REF!</v>
      </c>
      <c r="G295" s="29" t="e">
        <f>일위대가목록!#REF!</f>
        <v>#REF!</v>
      </c>
      <c r="H295" s="29" t="e">
        <f t="shared" si="27"/>
        <v>#REF!</v>
      </c>
      <c r="I295" s="29" t="e">
        <f>일위대가목록!#REF!</f>
        <v>#REF!</v>
      </c>
      <c r="J295" s="29" t="e">
        <f t="shared" si="28"/>
        <v>#REF!</v>
      </c>
      <c r="K295" s="29" t="e">
        <f t="shared" si="30"/>
        <v>#REF!</v>
      </c>
      <c r="L295" s="29" t="e">
        <f t="shared" si="29"/>
        <v>#REF!</v>
      </c>
      <c r="M295" s="20" t="s">
        <v>6232</v>
      </c>
      <c r="N295" t="s">
        <v>6232</v>
      </c>
      <c r="P295" t="s">
        <v>4881</v>
      </c>
      <c r="Q295" t="s">
        <v>6232</v>
      </c>
      <c r="R295" t="s">
        <v>1514</v>
      </c>
      <c r="T295" t="s">
        <v>3860</v>
      </c>
      <c r="BI295" s="52" t="str">
        <f>HYPERLINK("#일위대가목록!A323","S02002M032YA →")</f>
        <v>S02002M032YA →</v>
      </c>
    </row>
    <row r="296" spans="1:61" ht="18.399999999999999" customHeight="1">
      <c r="A296" s="11" t="s">
        <v>3751</v>
      </c>
      <c r="B296" s="2" t="s">
        <v>2369</v>
      </c>
      <c r="C296" s="2">
        <v>1</v>
      </c>
      <c r="D296" s="2" t="s">
        <v>6149</v>
      </c>
      <c r="E296" s="29" t="e">
        <f>일위대가목록!#REF!</f>
        <v>#REF!</v>
      </c>
      <c r="F296" s="29" t="e">
        <f t="shared" si="26"/>
        <v>#REF!</v>
      </c>
      <c r="G296" s="29" t="e">
        <f>일위대가목록!#REF!</f>
        <v>#REF!</v>
      </c>
      <c r="H296" s="29" t="e">
        <f t="shared" si="27"/>
        <v>#REF!</v>
      </c>
      <c r="I296" s="29" t="e">
        <f>일위대가목록!#REF!</f>
        <v>#REF!</v>
      </c>
      <c r="J296" s="29" t="e">
        <f t="shared" si="28"/>
        <v>#REF!</v>
      </c>
      <c r="K296" s="29" t="e">
        <f t="shared" si="30"/>
        <v>#REF!</v>
      </c>
      <c r="L296" s="29" t="e">
        <f t="shared" si="29"/>
        <v>#REF!</v>
      </c>
      <c r="M296" s="20" t="s">
        <v>6232</v>
      </c>
      <c r="N296" t="s">
        <v>6232</v>
      </c>
      <c r="P296" t="s">
        <v>237</v>
      </c>
      <c r="Q296" t="s">
        <v>6232</v>
      </c>
      <c r="R296" t="s">
        <v>1040</v>
      </c>
      <c r="T296" t="s">
        <v>3860</v>
      </c>
      <c r="BI296" s="52" t="str">
        <f>HYPERLINK("#일위대가목록!A324","S02002M025 →")</f>
        <v>S02002M025 →</v>
      </c>
    </row>
    <row r="297" spans="1:61" ht="18.399999999999999" customHeight="1">
      <c r="A297" s="11" t="s">
        <v>5487</v>
      </c>
      <c r="B297" s="2" t="s">
        <v>2369</v>
      </c>
      <c r="C297" s="2">
        <v>1</v>
      </c>
      <c r="D297" s="2" t="s">
        <v>6149</v>
      </c>
      <c r="E297" s="29" t="e">
        <f>일위대가목록!#REF!</f>
        <v>#REF!</v>
      </c>
      <c r="F297" s="29" t="e">
        <f t="shared" si="26"/>
        <v>#REF!</v>
      </c>
      <c r="G297" s="29" t="e">
        <f>일위대가목록!#REF!</f>
        <v>#REF!</v>
      </c>
      <c r="H297" s="29" t="e">
        <f t="shared" si="27"/>
        <v>#REF!</v>
      </c>
      <c r="I297" s="29" t="e">
        <f>일위대가목록!#REF!</f>
        <v>#REF!</v>
      </c>
      <c r="J297" s="29" t="e">
        <f t="shared" si="28"/>
        <v>#REF!</v>
      </c>
      <c r="K297" s="29" t="e">
        <f t="shared" si="30"/>
        <v>#REF!</v>
      </c>
      <c r="L297" s="29" t="e">
        <f t="shared" si="29"/>
        <v>#REF!</v>
      </c>
      <c r="M297" s="20" t="s">
        <v>6232</v>
      </c>
      <c r="N297" t="s">
        <v>6232</v>
      </c>
      <c r="P297" t="s">
        <v>1808</v>
      </c>
      <c r="Q297" t="s">
        <v>6232</v>
      </c>
      <c r="R297" t="s">
        <v>5421</v>
      </c>
      <c r="T297" t="s">
        <v>3860</v>
      </c>
      <c r="BI297" s="52" t="str">
        <f>HYPERLINK("#일위대가목록!A325","S02002M025YA →")</f>
        <v>S02002M025YA →</v>
      </c>
    </row>
    <row r="298" spans="1:61" ht="18.399999999999999" customHeight="1">
      <c r="A298" s="11" t="s">
        <v>3751</v>
      </c>
      <c r="B298" s="2" t="s">
        <v>3204</v>
      </c>
      <c r="C298" s="2">
        <v>1</v>
      </c>
      <c r="D298" s="2" t="s">
        <v>6149</v>
      </c>
      <c r="E298" s="29" t="e">
        <f>일위대가목록!#REF!</f>
        <v>#REF!</v>
      </c>
      <c r="F298" s="29" t="e">
        <f t="shared" si="26"/>
        <v>#REF!</v>
      </c>
      <c r="G298" s="29" t="e">
        <f>일위대가목록!#REF!</f>
        <v>#REF!</v>
      </c>
      <c r="H298" s="29" t="e">
        <f t="shared" si="27"/>
        <v>#REF!</v>
      </c>
      <c r="I298" s="29" t="e">
        <f>일위대가목록!#REF!</f>
        <v>#REF!</v>
      </c>
      <c r="J298" s="29" t="e">
        <f t="shared" si="28"/>
        <v>#REF!</v>
      </c>
      <c r="K298" s="29" t="e">
        <f t="shared" si="30"/>
        <v>#REF!</v>
      </c>
      <c r="L298" s="29" t="e">
        <f t="shared" si="29"/>
        <v>#REF!</v>
      </c>
      <c r="M298" s="20" t="s">
        <v>6232</v>
      </c>
      <c r="N298" t="s">
        <v>6232</v>
      </c>
      <c r="P298" t="s">
        <v>3391</v>
      </c>
      <c r="Q298" t="s">
        <v>6232</v>
      </c>
      <c r="R298" t="s">
        <v>3995</v>
      </c>
      <c r="T298" t="s">
        <v>3860</v>
      </c>
      <c r="BI298" s="52" t="str">
        <f>HYPERLINK("#일위대가목록!A326","S02002M020 →")</f>
        <v>S02002M020 →</v>
      </c>
    </row>
    <row r="299" spans="1:61" ht="18.399999999999999" customHeight="1">
      <c r="A299" s="11" t="s">
        <v>5487</v>
      </c>
      <c r="B299" s="2" t="s">
        <v>3204</v>
      </c>
      <c r="C299" s="2">
        <v>1</v>
      </c>
      <c r="D299" s="2" t="s">
        <v>6149</v>
      </c>
      <c r="E299" s="29" t="e">
        <f>일위대가목록!#REF!</f>
        <v>#REF!</v>
      </c>
      <c r="F299" s="29" t="e">
        <f t="shared" si="26"/>
        <v>#REF!</v>
      </c>
      <c r="G299" s="29" t="e">
        <f>일위대가목록!#REF!</f>
        <v>#REF!</v>
      </c>
      <c r="H299" s="29" t="e">
        <f t="shared" si="27"/>
        <v>#REF!</v>
      </c>
      <c r="I299" s="29" t="e">
        <f>일위대가목록!#REF!</f>
        <v>#REF!</v>
      </c>
      <c r="J299" s="29" t="e">
        <f t="shared" si="28"/>
        <v>#REF!</v>
      </c>
      <c r="K299" s="29" t="e">
        <f t="shared" si="30"/>
        <v>#REF!</v>
      </c>
      <c r="L299" s="29" t="e">
        <f t="shared" si="29"/>
        <v>#REF!</v>
      </c>
      <c r="M299" s="20" t="s">
        <v>6232</v>
      </c>
      <c r="N299" t="s">
        <v>6232</v>
      </c>
      <c r="P299" t="s">
        <v>4978</v>
      </c>
      <c r="Q299" t="s">
        <v>6232</v>
      </c>
      <c r="R299" t="s">
        <v>1259</v>
      </c>
      <c r="T299" t="s">
        <v>3860</v>
      </c>
      <c r="BI299" s="52" t="str">
        <f>HYPERLINK("#일위대가목록!A327","S02002M020YA →")</f>
        <v>S02002M020YA →</v>
      </c>
    </row>
    <row r="300" spans="1:61" ht="18.399999999999999" customHeight="1">
      <c r="A300" s="11" t="s">
        <v>1544</v>
      </c>
      <c r="B300" s="2" t="s">
        <v>6232</v>
      </c>
      <c r="C300" s="2"/>
      <c r="D300" s="2" t="s">
        <v>6232</v>
      </c>
      <c r="E300" s="1"/>
      <c r="F300" s="29" t="e">
        <f>TRUNC(SUM(AF300:AF301),0)</f>
        <v>#REF!</v>
      </c>
      <c r="G300" s="1"/>
      <c r="H300" s="29" t="e">
        <f>TRUNC(SUM(AG300:AG301),0)</f>
        <v>#REF!</v>
      </c>
      <c r="I300" s="1"/>
      <c r="J300" s="29" t="e">
        <f>TRUNC(SUM(AH300:AH301),0)</f>
        <v>#REF!</v>
      </c>
      <c r="K300" s="29">
        <f t="shared" si="30"/>
        <v>0</v>
      </c>
      <c r="L300" s="29" t="e">
        <f t="shared" si="29"/>
        <v>#REF!</v>
      </c>
      <c r="M300" s="20" t="s">
        <v>6232</v>
      </c>
      <c r="N300" t="s">
        <v>6232</v>
      </c>
      <c r="P300" t="s">
        <v>304</v>
      </c>
      <c r="Q300" t="s">
        <v>6232</v>
      </c>
      <c r="R300" t="s">
        <v>6232</v>
      </c>
      <c r="AF300" s="29" t="e">
        <f>F299+F298+F297+F296+F295+F294+F293+F292+F291+F290+F289+F288+F287+F286+F285+F284+F283+F282+F281+F280+F279+F278+F277+F276+F275+F274+F273+F272+F271+F270</f>
        <v>#REF!</v>
      </c>
      <c r="AG300" s="29" t="e">
        <f>H299+H298+H297+H296+H295+H294+H293+H292+H291+H290+H289+H288+H287+H286+H285+H284+H283+H282+H281+H280+H279+H278+H277+H276+H275+H274+H273+H272+H271+H270</f>
        <v>#REF!</v>
      </c>
      <c r="AH300" s="29" t="e">
        <f>J299+J298+J297+J296+J295+J294+J293+J292+J291+J290+J289+J288+J287+J286+J285+J284+J283+J282+J281+J280+J279+J278+J277+J276+J275+J274+J273+J272+J271+J270</f>
        <v>#REF!</v>
      </c>
    </row>
    <row r="301" spans="1:61" ht="18.399999999999999" customHeight="1">
      <c r="A301" s="11" t="s">
        <v>2495</v>
      </c>
      <c r="B301" s="2" t="s">
        <v>6232</v>
      </c>
      <c r="C301" s="2"/>
      <c r="D301" s="2" t="s">
        <v>6232</v>
      </c>
      <c r="E301" s="1"/>
      <c r="F301" s="29">
        <v>0</v>
      </c>
      <c r="G301" s="1"/>
      <c r="H301" s="29">
        <v>0</v>
      </c>
      <c r="I301" s="1"/>
      <c r="J301" s="29">
        <v>0</v>
      </c>
      <c r="K301" s="29">
        <f t="shared" si="30"/>
        <v>0</v>
      </c>
      <c r="L301" s="29">
        <f t="shared" si="29"/>
        <v>0</v>
      </c>
      <c r="M301" s="20" t="s">
        <v>6232</v>
      </c>
      <c r="N301" t="s">
        <v>6232</v>
      </c>
      <c r="P301" t="s">
        <v>1891</v>
      </c>
      <c r="Q301" t="s">
        <v>6232</v>
      </c>
      <c r="R301" t="s">
        <v>6232</v>
      </c>
      <c r="AF301" s="29" t="e">
        <f>F269+F268+F267+F266+F265+F264+F263+F262+F261+F260+F259+F258+F257+F256</f>
        <v>#REF!</v>
      </c>
      <c r="AG301" s="29" t="e">
        <f>H269+H268+H267+H266+H265+H264+H263+H262+H261+H260+H259+H258+H257+H256</f>
        <v>#REF!</v>
      </c>
      <c r="AH301" s="29" t="e">
        <f>J269+J268+J267+J266+J265+J264+J263+J262+J261+J260+J259+J258+J257+J256</f>
        <v>#REF!</v>
      </c>
    </row>
    <row r="302" spans="1:61" ht="18.399999999999999" customHeight="1">
      <c r="A302" s="11" t="s">
        <v>2519</v>
      </c>
      <c r="B302" s="2" t="s">
        <v>6232</v>
      </c>
      <c r="C302" s="2"/>
      <c r="D302" s="2" t="s">
        <v>6232</v>
      </c>
      <c r="E302" s="1"/>
      <c r="F302" s="29">
        <v>0</v>
      </c>
      <c r="G302" s="1"/>
      <c r="H302" s="29">
        <v>0</v>
      </c>
      <c r="I302" s="1"/>
      <c r="J302" s="29">
        <v>0</v>
      </c>
      <c r="K302" s="29">
        <f t="shared" si="30"/>
        <v>0</v>
      </c>
      <c r="L302" s="29">
        <f t="shared" si="29"/>
        <v>0</v>
      </c>
      <c r="M302" s="20" t="s">
        <v>6232</v>
      </c>
      <c r="N302" t="s">
        <v>6232</v>
      </c>
      <c r="P302" t="s">
        <v>3080</v>
      </c>
      <c r="Q302" t="s">
        <v>6232</v>
      </c>
      <c r="R302" t="s">
        <v>6232</v>
      </c>
    </row>
    <row r="303" spans="1:61" ht="18.399999999999999" customHeight="1">
      <c r="A303" s="11" t="s">
        <v>5681</v>
      </c>
      <c r="B303" s="2" t="s">
        <v>2823</v>
      </c>
      <c r="C303" s="2">
        <v>1</v>
      </c>
      <c r="D303" s="2" t="s">
        <v>3909</v>
      </c>
      <c r="E303" s="29" t="e">
        <f>일위대가목록!#REF!</f>
        <v>#REF!</v>
      </c>
      <c r="F303" s="29" t="e">
        <f t="shared" ref="F303:F346" si="31">TRUNC(E303*C303,0)</f>
        <v>#REF!</v>
      </c>
      <c r="G303" s="29" t="e">
        <f>일위대가목록!#REF!</f>
        <v>#REF!</v>
      </c>
      <c r="H303" s="29" t="e">
        <f t="shared" ref="H303:H346" si="32">TRUNC(G303*C303,0)</f>
        <v>#REF!</v>
      </c>
      <c r="I303" s="29" t="e">
        <f>일위대가목록!#REF!</f>
        <v>#REF!</v>
      </c>
      <c r="J303" s="29" t="e">
        <f t="shared" ref="J303:J346" si="33">TRUNC(I303*C303,0)</f>
        <v>#REF!</v>
      </c>
      <c r="K303" s="29" t="e">
        <f t="shared" si="30"/>
        <v>#REF!</v>
      </c>
      <c r="L303" s="29" t="e">
        <f t="shared" si="29"/>
        <v>#REF!</v>
      </c>
      <c r="M303" s="20" t="s">
        <v>6232</v>
      </c>
      <c r="N303" t="s">
        <v>6232</v>
      </c>
      <c r="P303" t="s">
        <v>4676</v>
      </c>
      <c r="Q303" t="s">
        <v>6232</v>
      </c>
      <c r="R303" t="s">
        <v>4209</v>
      </c>
      <c r="T303" t="s">
        <v>3860</v>
      </c>
      <c r="BI303" s="52" t="str">
        <f>HYPERLINK("#일위대가목록!A328","S02003W750 →")</f>
        <v>S02003W750 →</v>
      </c>
    </row>
    <row r="304" spans="1:61" ht="18.399999999999999" customHeight="1">
      <c r="A304" s="11" t="s">
        <v>1080</v>
      </c>
      <c r="B304" s="2" t="s">
        <v>2823</v>
      </c>
      <c r="C304" s="2">
        <v>1</v>
      </c>
      <c r="D304" s="2" t="s">
        <v>3909</v>
      </c>
      <c r="E304" s="29" t="e">
        <f>일위대가목록!#REF!</f>
        <v>#REF!</v>
      </c>
      <c r="F304" s="29" t="e">
        <f t="shared" si="31"/>
        <v>#REF!</v>
      </c>
      <c r="G304" s="29" t="e">
        <f>일위대가목록!#REF!</f>
        <v>#REF!</v>
      </c>
      <c r="H304" s="29" t="e">
        <f t="shared" si="32"/>
        <v>#REF!</v>
      </c>
      <c r="I304" s="29" t="e">
        <f>일위대가목록!#REF!</f>
        <v>#REF!</v>
      </c>
      <c r="J304" s="29" t="e">
        <f t="shared" si="33"/>
        <v>#REF!</v>
      </c>
      <c r="K304" s="29" t="e">
        <f t="shared" si="30"/>
        <v>#REF!</v>
      </c>
      <c r="L304" s="29" t="e">
        <f t="shared" si="29"/>
        <v>#REF!</v>
      </c>
      <c r="M304" s="20" t="s">
        <v>6232</v>
      </c>
      <c r="N304" t="s">
        <v>6232</v>
      </c>
      <c r="P304" t="s">
        <v>5062</v>
      </c>
      <c r="Q304" t="s">
        <v>6232</v>
      </c>
      <c r="R304" t="s">
        <v>5158</v>
      </c>
      <c r="T304" t="s">
        <v>3860</v>
      </c>
      <c r="BI304" s="52" t="str">
        <f>HYPERLINK("#일위대가목록!A329","S02003W750YA →")</f>
        <v>S02003W750YA →</v>
      </c>
    </row>
    <row r="305" spans="1:61" ht="18.399999999999999" customHeight="1">
      <c r="A305" s="11" t="s">
        <v>5681</v>
      </c>
      <c r="B305" s="2" t="s">
        <v>3826</v>
      </c>
      <c r="C305" s="2">
        <v>1</v>
      </c>
      <c r="D305" s="2" t="s">
        <v>3909</v>
      </c>
      <c r="E305" s="29" t="e">
        <f>일위대가목록!#REF!</f>
        <v>#REF!</v>
      </c>
      <c r="F305" s="29" t="e">
        <f t="shared" si="31"/>
        <v>#REF!</v>
      </c>
      <c r="G305" s="29" t="e">
        <f>일위대가목록!#REF!</f>
        <v>#REF!</v>
      </c>
      <c r="H305" s="29" t="e">
        <f t="shared" si="32"/>
        <v>#REF!</v>
      </c>
      <c r="I305" s="29" t="e">
        <f>일위대가목록!#REF!</f>
        <v>#REF!</v>
      </c>
      <c r="J305" s="29" t="e">
        <f t="shared" si="33"/>
        <v>#REF!</v>
      </c>
      <c r="K305" s="29" t="e">
        <f t="shared" si="30"/>
        <v>#REF!</v>
      </c>
      <c r="L305" s="29" t="e">
        <f t="shared" si="29"/>
        <v>#REF!</v>
      </c>
      <c r="M305" s="20" t="s">
        <v>6232</v>
      </c>
      <c r="N305" t="s">
        <v>6232</v>
      </c>
      <c r="P305" t="s">
        <v>3479</v>
      </c>
      <c r="Q305" t="s">
        <v>6232</v>
      </c>
      <c r="R305" t="s">
        <v>5661</v>
      </c>
      <c r="T305" t="s">
        <v>3860</v>
      </c>
      <c r="BI305" s="52" t="str">
        <f>HYPERLINK("#일위대가목록!A330","S02003W700 →")</f>
        <v>S02003W700 →</v>
      </c>
    </row>
    <row r="306" spans="1:61" ht="18.399999999999999" customHeight="1">
      <c r="A306" s="11" t="s">
        <v>1080</v>
      </c>
      <c r="B306" s="2" t="s">
        <v>3826</v>
      </c>
      <c r="C306" s="2">
        <v>1</v>
      </c>
      <c r="D306" s="2" t="s">
        <v>3909</v>
      </c>
      <c r="E306" s="29" t="e">
        <f>일위대가목록!#REF!</f>
        <v>#REF!</v>
      </c>
      <c r="F306" s="29" t="e">
        <f t="shared" si="31"/>
        <v>#REF!</v>
      </c>
      <c r="G306" s="29" t="e">
        <f>일위대가목록!#REF!</f>
        <v>#REF!</v>
      </c>
      <c r="H306" s="29" t="e">
        <f t="shared" si="32"/>
        <v>#REF!</v>
      </c>
      <c r="I306" s="29" t="e">
        <f>일위대가목록!#REF!</f>
        <v>#REF!</v>
      </c>
      <c r="J306" s="29" t="e">
        <f t="shared" si="33"/>
        <v>#REF!</v>
      </c>
      <c r="K306" s="29" t="e">
        <f t="shared" si="30"/>
        <v>#REF!</v>
      </c>
      <c r="L306" s="29" t="e">
        <f t="shared" si="29"/>
        <v>#REF!</v>
      </c>
      <c r="M306" s="20" t="s">
        <v>6232</v>
      </c>
      <c r="N306" t="s">
        <v>6232</v>
      </c>
      <c r="P306" t="s">
        <v>1998</v>
      </c>
      <c r="Q306" t="s">
        <v>6232</v>
      </c>
      <c r="R306" t="s">
        <v>5598</v>
      </c>
      <c r="T306" t="s">
        <v>3860</v>
      </c>
      <c r="BI306" s="52" t="str">
        <f>HYPERLINK("#일위대가목록!A331","S02003W700YA →")</f>
        <v>S02003W700YA →</v>
      </c>
    </row>
    <row r="307" spans="1:61" ht="18.399999999999999" customHeight="1">
      <c r="A307" s="11" t="s">
        <v>5681</v>
      </c>
      <c r="B307" s="2" t="s">
        <v>397</v>
      </c>
      <c r="C307" s="2">
        <v>1</v>
      </c>
      <c r="D307" s="2" t="s">
        <v>3909</v>
      </c>
      <c r="E307" s="29" t="e">
        <f>일위대가목록!#REF!</f>
        <v>#REF!</v>
      </c>
      <c r="F307" s="29" t="e">
        <f t="shared" si="31"/>
        <v>#REF!</v>
      </c>
      <c r="G307" s="29" t="e">
        <f>일위대가목록!#REF!</f>
        <v>#REF!</v>
      </c>
      <c r="H307" s="29" t="e">
        <f t="shared" si="32"/>
        <v>#REF!</v>
      </c>
      <c r="I307" s="29" t="e">
        <f>일위대가목록!#REF!</f>
        <v>#REF!</v>
      </c>
      <c r="J307" s="29" t="e">
        <f t="shared" si="33"/>
        <v>#REF!</v>
      </c>
      <c r="K307" s="29" t="e">
        <f t="shared" si="30"/>
        <v>#REF!</v>
      </c>
      <c r="L307" s="29" t="e">
        <f t="shared" si="29"/>
        <v>#REF!</v>
      </c>
      <c r="M307" s="20" t="s">
        <v>6232</v>
      </c>
      <c r="N307" t="s">
        <v>6232</v>
      </c>
      <c r="P307" t="s">
        <v>440</v>
      </c>
      <c r="Q307" t="s">
        <v>6232</v>
      </c>
      <c r="R307" t="s">
        <v>3738</v>
      </c>
      <c r="T307" t="s">
        <v>3860</v>
      </c>
      <c r="BI307" s="52" t="str">
        <f>HYPERLINK("#일위대가목록!A332","S02003W650 →")</f>
        <v>S02003W650 →</v>
      </c>
    </row>
    <row r="308" spans="1:61" ht="18.399999999999999" customHeight="1">
      <c r="A308" s="11" t="s">
        <v>1080</v>
      </c>
      <c r="B308" s="2" t="s">
        <v>397</v>
      </c>
      <c r="C308" s="2">
        <v>1</v>
      </c>
      <c r="D308" s="2" t="s">
        <v>3909</v>
      </c>
      <c r="E308" s="29" t="e">
        <f>일위대가목록!#REF!</f>
        <v>#REF!</v>
      </c>
      <c r="F308" s="29" t="e">
        <f t="shared" si="31"/>
        <v>#REF!</v>
      </c>
      <c r="G308" s="29" t="e">
        <f>일위대가목록!#REF!</f>
        <v>#REF!</v>
      </c>
      <c r="H308" s="29" t="e">
        <f t="shared" si="32"/>
        <v>#REF!</v>
      </c>
      <c r="I308" s="29" t="e">
        <f>일위대가목록!#REF!</f>
        <v>#REF!</v>
      </c>
      <c r="J308" s="29" t="e">
        <f t="shared" si="33"/>
        <v>#REF!</v>
      </c>
      <c r="K308" s="29" t="e">
        <f t="shared" si="30"/>
        <v>#REF!</v>
      </c>
      <c r="L308" s="29" t="e">
        <f t="shared" si="29"/>
        <v>#REF!</v>
      </c>
      <c r="M308" s="20" t="s">
        <v>6232</v>
      </c>
      <c r="N308" t="s">
        <v>6232</v>
      </c>
      <c r="P308" t="s">
        <v>5183</v>
      </c>
      <c r="Q308" t="s">
        <v>6232</v>
      </c>
      <c r="R308" t="s">
        <v>2427</v>
      </c>
      <c r="T308" t="s">
        <v>3860</v>
      </c>
      <c r="BI308" s="52" t="str">
        <f>HYPERLINK("#일위대가목록!A333","S02003W650YA →")</f>
        <v>S02003W650YA →</v>
      </c>
    </row>
    <row r="309" spans="1:61" ht="18.399999999999999" customHeight="1">
      <c r="A309" s="11" t="s">
        <v>5681</v>
      </c>
      <c r="B309" s="2" t="s">
        <v>6105</v>
      </c>
      <c r="C309" s="2">
        <v>1</v>
      </c>
      <c r="D309" s="2" t="s">
        <v>3909</v>
      </c>
      <c r="E309" s="29" t="e">
        <f>일위대가목록!#REF!</f>
        <v>#REF!</v>
      </c>
      <c r="F309" s="29" t="e">
        <f t="shared" si="31"/>
        <v>#REF!</v>
      </c>
      <c r="G309" s="29" t="e">
        <f>일위대가목록!#REF!</f>
        <v>#REF!</v>
      </c>
      <c r="H309" s="29" t="e">
        <f t="shared" si="32"/>
        <v>#REF!</v>
      </c>
      <c r="I309" s="29" t="e">
        <f>일위대가목록!#REF!</f>
        <v>#REF!</v>
      </c>
      <c r="J309" s="29" t="e">
        <f t="shared" si="33"/>
        <v>#REF!</v>
      </c>
      <c r="K309" s="29" t="e">
        <f t="shared" si="30"/>
        <v>#REF!</v>
      </c>
      <c r="L309" s="29" t="e">
        <f t="shared" si="29"/>
        <v>#REF!</v>
      </c>
      <c r="M309" s="20" t="s">
        <v>6232</v>
      </c>
      <c r="N309" t="s">
        <v>6232</v>
      </c>
      <c r="P309" t="s">
        <v>3607</v>
      </c>
      <c r="Q309" t="s">
        <v>6232</v>
      </c>
      <c r="R309" t="s">
        <v>5431</v>
      </c>
      <c r="T309" t="s">
        <v>3860</v>
      </c>
      <c r="BI309" s="52" t="str">
        <f>HYPERLINK("#일위대가목록!A334","S02003W600 →")</f>
        <v>S02003W600 →</v>
      </c>
    </row>
    <row r="310" spans="1:61" ht="18.399999999999999" customHeight="1">
      <c r="A310" s="11" t="s">
        <v>1080</v>
      </c>
      <c r="B310" s="2" t="s">
        <v>6105</v>
      </c>
      <c r="C310" s="2">
        <v>1</v>
      </c>
      <c r="D310" s="2" t="s">
        <v>3909</v>
      </c>
      <c r="E310" s="29" t="e">
        <f>일위대가목록!#REF!</f>
        <v>#REF!</v>
      </c>
      <c r="F310" s="29" t="e">
        <f t="shared" si="31"/>
        <v>#REF!</v>
      </c>
      <c r="G310" s="29" t="e">
        <f>일위대가목록!#REF!</f>
        <v>#REF!</v>
      </c>
      <c r="H310" s="29" t="e">
        <f t="shared" si="32"/>
        <v>#REF!</v>
      </c>
      <c r="I310" s="29" t="e">
        <f>일위대가목록!#REF!</f>
        <v>#REF!</v>
      </c>
      <c r="J310" s="29" t="e">
        <f t="shared" si="33"/>
        <v>#REF!</v>
      </c>
      <c r="K310" s="29" t="e">
        <f t="shared" si="30"/>
        <v>#REF!</v>
      </c>
      <c r="L310" s="29" t="e">
        <f t="shared" si="29"/>
        <v>#REF!</v>
      </c>
      <c r="M310" s="20" t="s">
        <v>6232</v>
      </c>
      <c r="N310" t="s">
        <v>6232</v>
      </c>
      <c r="P310" t="s">
        <v>2106</v>
      </c>
      <c r="Q310" t="s">
        <v>6232</v>
      </c>
      <c r="R310" t="s">
        <v>2076</v>
      </c>
      <c r="T310" t="s">
        <v>3860</v>
      </c>
      <c r="BI310" s="52" t="str">
        <f>HYPERLINK("#일위대가목록!A335","S02003W600YA →")</f>
        <v>S02003W600YA →</v>
      </c>
    </row>
    <row r="311" spans="1:61" ht="18.399999999999999" customHeight="1">
      <c r="A311" s="11" t="s">
        <v>5681</v>
      </c>
      <c r="B311" s="2" t="s">
        <v>6191</v>
      </c>
      <c r="C311" s="2">
        <v>1</v>
      </c>
      <c r="D311" s="2" t="s">
        <v>3909</v>
      </c>
      <c r="E311" s="29" t="e">
        <f>일위대가목록!#REF!</f>
        <v>#REF!</v>
      </c>
      <c r="F311" s="29" t="e">
        <f t="shared" si="31"/>
        <v>#REF!</v>
      </c>
      <c r="G311" s="29" t="e">
        <f>일위대가목록!#REF!</f>
        <v>#REF!</v>
      </c>
      <c r="H311" s="29" t="e">
        <f t="shared" si="32"/>
        <v>#REF!</v>
      </c>
      <c r="I311" s="29" t="e">
        <f>일위대가목록!#REF!</f>
        <v>#REF!</v>
      </c>
      <c r="J311" s="29" t="e">
        <f t="shared" si="33"/>
        <v>#REF!</v>
      </c>
      <c r="K311" s="29" t="e">
        <f t="shared" si="30"/>
        <v>#REF!</v>
      </c>
      <c r="L311" s="29" t="e">
        <f t="shared" si="29"/>
        <v>#REF!</v>
      </c>
      <c r="M311" s="20" t="s">
        <v>6232</v>
      </c>
      <c r="N311" t="s">
        <v>6232</v>
      </c>
      <c r="P311" t="s">
        <v>556</v>
      </c>
      <c r="Q311" t="s">
        <v>6232</v>
      </c>
      <c r="R311" t="s">
        <v>4740</v>
      </c>
      <c r="T311" t="s">
        <v>3860</v>
      </c>
      <c r="BI311" s="52" t="str">
        <f>HYPERLINK("#일위대가목록!A336","S02003W550 →")</f>
        <v>S02003W550 →</v>
      </c>
    </row>
    <row r="312" spans="1:61" ht="18.399999999999999" customHeight="1">
      <c r="A312" s="11" t="s">
        <v>1080</v>
      </c>
      <c r="B312" s="2" t="s">
        <v>6191</v>
      </c>
      <c r="C312" s="2">
        <v>1</v>
      </c>
      <c r="D312" s="2" t="s">
        <v>3909</v>
      </c>
      <c r="E312" s="29" t="e">
        <f>일위대가목록!#REF!</f>
        <v>#REF!</v>
      </c>
      <c r="F312" s="29" t="e">
        <f t="shared" si="31"/>
        <v>#REF!</v>
      </c>
      <c r="G312" s="29" t="e">
        <f>일위대가목록!#REF!</f>
        <v>#REF!</v>
      </c>
      <c r="H312" s="29" t="e">
        <f t="shared" si="32"/>
        <v>#REF!</v>
      </c>
      <c r="I312" s="29" t="e">
        <f>일위대가목록!#REF!</f>
        <v>#REF!</v>
      </c>
      <c r="J312" s="29" t="e">
        <f t="shared" si="33"/>
        <v>#REF!</v>
      </c>
      <c r="K312" s="29" t="e">
        <f t="shared" si="30"/>
        <v>#REF!</v>
      </c>
      <c r="L312" s="29" t="e">
        <f t="shared" si="29"/>
        <v>#REF!</v>
      </c>
      <c r="M312" s="20" t="s">
        <v>6232</v>
      </c>
      <c r="N312" t="s">
        <v>6232</v>
      </c>
      <c r="P312" t="s">
        <v>5279</v>
      </c>
      <c r="Q312" t="s">
        <v>6232</v>
      </c>
      <c r="R312" t="s">
        <v>4378</v>
      </c>
      <c r="T312" t="s">
        <v>3860</v>
      </c>
      <c r="BI312" s="52" t="str">
        <f>HYPERLINK("#일위대가목록!A337","S02003W550YA →")</f>
        <v>S02003W550YA →</v>
      </c>
    </row>
    <row r="313" spans="1:61" ht="18.399999999999999" customHeight="1">
      <c r="A313" s="11" t="s">
        <v>5681</v>
      </c>
      <c r="B313" s="2" t="s">
        <v>524</v>
      </c>
      <c r="C313" s="2">
        <v>1</v>
      </c>
      <c r="D313" s="2" t="s">
        <v>3909</v>
      </c>
      <c r="E313" s="29" t="e">
        <f>일위대가목록!#REF!</f>
        <v>#REF!</v>
      </c>
      <c r="F313" s="29" t="e">
        <f t="shared" si="31"/>
        <v>#REF!</v>
      </c>
      <c r="G313" s="29" t="e">
        <f>일위대가목록!#REF!</f>
        <v>#REF!</v>
      </c>
      <c r="H313" s="29" t="e">
        <f t="shared" si="32"/>
        <v>#REF!</v>
      </c>
      <c r="I313" s="29" t="e">
        <f>일위대가목록!#REF!</f>
        <v>#REF!</v>
      </c>
      <c r="J313" s="29" t="e">
        <f t="shared" si="33"/>
        <v>#REF!</v>
      </c>
      <c r="K313" s="29" t="e">
        <f t="shared" si="30"/>
        <v>#REF!</v>
      </c>
      <c r="L313" s="29" t="e">
        <f t="shared" si="29"/>
        <v>#REF!</v>
      </c>
      <c r="M313" s="20" t="s">
        <v>6232</v>
      </c>
      <c r="N313" t="s">
        <v>6232</v>
      </c>
      <c r="P313" t="s">
        <v>3715</v>
      </c>
      <c r="Q313" t="s">
        <v>6232</v>
      </c>
      <c r="R313" t="s">
        <v>3235</v>
      </c>
      <c r="T313" t="s">
        <v>3860</v>
      </c>
      <c r="BI313" s="52" t="str">
        <f>HYPERLINK("#일위대가목록!A338","S02003W500 →")</f>
        <v>S02003W500 →</v>
      </c>
    </row>
    <row r="314" spans="1:61" ht="18.399999999999999" customHeight="1">
      <c r="A314" s="11" t="s">
        <v>1080</v>
      </c>
      <c r="B314" s="2" t="s">
        <v>524</v>
      </c>
      <c r="C314" s="2">
        <v>1</v>
      </c>
      <c r="D314" s="2" t="s">
        <v>3909</v>
      </c>
      <c r="E314" s="29" t="e">
        <f>일위대가목록!#REF!</f>
        <v>#REF!</v>
      </c>
      <c r="F314" s="29" t="e">
        <f t="shared" si="31"/>
        <v>#REF!</v>
      </c>
      <c r="G314" s="29" t="e">
        <f>일위대가목록!#REF!</f>
        <v>#REF!</v>
      </c>
      <c r="H314" s="29" t="e">
        <f t="shared" si="32"/>
        <v>#REF!</v>
      </c>
      <c r="I314" s="29" t="e">
        <f>일위대가목록!#REF!</f>
        <v>#REF!</v>
      </c>
      <c r="J314" s="29" t="e">
        <f t="shared" si="33"/>
        <v>#REF!</v>
      </c>
      <c r="K314" s="29" t="e">
        <f t="shared" si="30"/>
        <v>#REF!</v>
      </c>
      <c r="L314" s="29" t="e">
        <f t="shared" si="29"/>
        <v>#REF!</v>
      </c>
      <c r="M314" s="20" t="s">
        <v>6232</v>
      </c>
      <c r="N314" t="s">
        <v>6232</v>
      </c>
      <c r="P314" t="s">
        <v>5601</v>
      </c>
      <c r="Q314" t="s">
        <v>6232</v>
      </c>
      <c r="R314" t="s">
        <v>3227</v>
      </c>
      <c r="T314" t="s">
        <v>3860</v>
      </c>
      <c r="BI314" s="52" t="str">
        <f>HYPERLINK("#일위대가목록!A339","S02003W500YA →")</f>
        <v>S02003W500YA →</v>
      </c>
    </row>
    <row r="315" spans="1:61" ht="18.399999999999999" customHeight="1">
      <c r="A315" s="11" t="s">
        <v>5681</v>
      </c>
      <c r="B315" s="2" t="s">
        <v>3764</v>
      </c>
      <c r="C315" s="2">
        <v>1</v>
      </c>
      <c r="D315" s="2" t="s">
        <v>3909</v>
      </c>
      <c r="E315" s="29" t="e">
        <f>일위대가목록!#REF!</f>
        <v>#REF!</v>
      </c>
      <c r="F315" s="29" t="e">
        <f t="shared" si="31"/>
        <v>#REF!</v>
      </c>
      <c r="G315" s="29" t="e">
        <f>일위대가목록!#REF!</f>
        <v>#REF!</v>
      </c>
      <c r="H315" s="29" t="e">
        <f t="shared" si="32"/>
        <v>#REF!</v>
      </c>
      <c r="I315" s="29" t="e">
        <f>일위대가목록!#REF!</f>
        <v>#REF!</v>
      </c>
      <c r="J315" s="29" t="e">
        <f t="shared" si="33"/>
        <v>#REF!</v>
      </c>
      <c r="K315" s="29" t="e">
        <f t="shared" si="30"/>
        <v>#REF!</v>
      </c>
      <c r="L315" s="29" t="e">
        <f t="shared" si="29"/>
        <v>#REF!</v>
      </c>
      <c r="M315" s="20" t="s">
        <v>6232</v>
      </c>
      <c r="N315" t="s">
        <v>6232</v>
      </c>
      <c r="P315" t="s">
        <v>4072</v>
      </c>
      <c r="Q315" t="s">
        <v>6232</v>
      </c>
      <c r="R315" t="s">
        <v>5942</v>
      </c>
      <c r="T315" t="s">
        <v>3860</v>
      </c>
      <c r="BI315" s="52" t="str">
        <f>HYPERLINK("#일위대가목록!A340","S02003W450 →")</f>
        <v>S02003W450 →</v>
      </c>
    </row>
    <row r="316" spans="1:61" ht="18.399999999999999" customHeight="1">
      <c r="A316" s="11" t="s">
        <v>1080</v>
      </c>
      <c r="B316" s="2" t="s">
        <v>3764</v>
      </c>
      <c r="C316" s="2">
        <v>1</v>
      </c>
      <c r="D316" s="2" t="s">
        <v>3909</v>
      </c>
      <c r="E316" s="29" t="e">
        <f>일위대가목록!#REF!</f>
        <v>#REF!</v>
      </c>
      <c r="F316" s="29" t="e">
        <f t="shared" si="31"/>
        <v>#REF!</v>
      </c>
      <c r="G316" s="29" t="e">
        <f>일위대가목록!#REF!</f>
        <v>#REF!</v>
      </c>
      <c r="H316" s="29" t="e">
        <f t="shared" si="32"/>
        <v>#REF!</v>
      </c>
      <c r="I316" s="29" t="e">
        <f>일위대가목록!#REF!</f>
        <v>#REF!</v>
      </c>
      <c r="J316" s="29" t="e">
        <f t="shared" si="33"/>
        <v>#REF!</v>
      </c>
      <c r="K316" s="29" t="e">
        <f t="shared" si="30"/>
        <v>#REF!</v>
      </c>
      <c r="L316" s="29" t="e">
        <f t="shared" si="29"/>
        <v>#REF!</v>
      </c>
      <c r="M316" s="20" t="s">
        <v>6232</v>
      </c>
      <c r="N316" t="s">
        <v>6232</v>
      </c>
      <c r="P316" t="s">
        <v>2415</v>
      </c>
      <c r="Q316" t="s">
        <v>6232</v>
      </c>
      <c r="R316" t="s">
        <v>102</v>
      </c>
      <c r="T316" t="s">
        <v>3860</v>
      </c>
      <c r="BI316" s="52" t="str">
        <f>HYPERLINK("#일위대가목록!A341","S02003W450YA →")</f>
        <v>S02003W450YA →</v>
      </c>
    </row>
    <row r="317" spans="1:61" ht="18.399999999999999" customHeight="1">
      <c r="A317" s="11" t="s">
        <v>5681</v>
      </c>
      <c r="B317" s="2" t="s">
        <v>2715</v>
      </c>
      <c r="C317" s="2">
        <v>1</v>
      </c>
      <c r="D317" s="2" t="s">
        <v>3909</v>
      </c>
      <c r="E317" s="29" t="e">
        <f>일위대가목록!#REF!</f>
        <v>#REF!</v>
      </c>
      <c r="F317" s="29" t="e">
        <f t="shared" si="31"/>
        <v>#REF!</v>
      </c>
      <c r="G317" s="29" t="e">
        <f>일위대가목록!#REF!</f>
        <v>#REF!</v>
      </c>
      <c r="H317" s="29" t="e">
        <f t="shared" si="32"/>
        <v>#REF!</v>
      </c>
      <c r="I317" s="29" t="e">
        <f>일위대가목록!#REF!</f>
        <v>#REF!</v>
      </c>
      <c r="J317" s="29" t="e">
        <f t="shared" si="33"/>
        <v>#REF!</v>
      </c>
      <c r="K317" s="29" t="e">
        <f t="shared" si="30"/>
        <v>#REF!</v>
      </c>
      <c r="L317" s="29" t="e">
        <f t="shared" si="29"/>
        <v>#REF!</v>
      </c>
      <c r="M317" s="20" t="s">
        <v>6232</v>
      </c>
      <c r="N317" t="s">
        <v>6232</v>
      </c>
      <c r="P317" t="s">
        <v>890</v>
      </c>
      <c r="Q317" t="s">
        <v>6232</v>
      </c>
      <c r="R317" t="s">
        <v>4310</v>
      </c>
      <c r="T317" t="s">
        <v>3860</v>
      </c>
      <c r="BI317" s="52" t="str">
        <f>HYPERLINK("#일위대가목록!A342","S02003W400 →")</f>
        <v>S02003W400 →</v>
      </c>
    </row>
    <row r="318" spans="1:61" ht="18.399999999999999" customHeight="1">
      <c r="A318" s="11" t="s">
        <v>1080</v>
      </c>
      <c r="B318" s="2" t="s">
        <v>2715</v>
      </c>
      <c r="C318" s="2">
        <v>1</v>
      </c>
      <c r="D318" s="2" t="s">
        <v>3909</v>
      </c>
      <c r="E318" s="29" t="e">
        <f>일위대가목록!#REF!</f>
        <v>#REF!</v>
      </c>
      <c r="F318" s="29" t="e">
        <f t="shared" si="31"/>
        <v>#REF!</v>
      </c>
      <c r="G318" s="29" t="e">
        <f>일위대가목록!#REF!</f>
        <v>#REF!</v>
      </c>
      <c r="H318" s="29" t="e">
        <f t="shared" si="32"/>
        <v>#REF!</v>
      </c>
      <c r="I318" s="29" t="e">
        <f>일위대가목록!#REF!</f>
        <v>#REF!</v>
      </c>
      <c r="J318" s="29" t="e">
        <f t="shared" si="33"/>
        <v>#REF!</v>
      </c>
      <c r="K318" s="29" t="e">
        <f t="shared" si="30"/>
        <v>#REF!</v>
      </c>
      <c r="L318" s="29" t="e">
        <f t="shared" si="29"/>
        <v>#REF!</v>
      </c>
      <c r="M318" s="20" t="s">
        <v>6232</v>
      </c>
      <c r="N318" t="s">
        <v>6232</v>
      </c>
      <c r="P318" t="s">
        <v>5497</v>
      </c>
      <c r="Q318" t="s">
        <v>6232</v>
      </c>
      <c r="R318" t="s">
        <v>1292</v>
      </c>
      <c r="T318" t="s">
        <v>3860</v>
      </c>
      <c r="BI318" s="52" t="str">
        <f>HYPERLINK("#일위대가목록!A343","S02003W400YA →")</f>
        <v>S02003W400YA →</v>
      </c>
    </row>
    <row r="319" spans="1:61" ht="18.399999999999999" customHeight="1">
      <c r="A319" s="11" t="s">
        <v>5681</v>
      </c>
      <c r="B319" s="2" t="s">
        <v>809</v>
      </c>
      <c r="C319" s="2">
        <v>1</v>
      </c>
      <c r="D319" s="2" t="s">
        <v>3909</v>
      </c>
      <c r="E319" s="29" t="e">
        <f>일위대가목록!#REF!</f>
        <v>#REF!</v>
      </c>
      <c r="F319" s="29" t="e">
        <f t="shared" si="31"/>
        <v>#REF!</v>
      </c>
      <c r="G319" s="29" t="e">
        <f>일위대가목록!#REF!</f>
        <v>#REF!</v>
      </c>
      <c r="H319" s="29" t="e">
        <f t="shared" si="32"/>
        <v>#REF!</v>
      </c>
      <c r="I319" s="29" t="e">
        <f>일위대가목록!#REF!</f>
        <v>#REF!</v>
      </c>
      <c r="J319" s="29" t="e">
        <f t="shared" si="33"/>
        <v>#REF!</v>
      </c>
      <c r="K319" s="29" t="e">
        <f t="shared" si="30"/>
        <v>#REF!</v>
      </c>
      <c r="L319" s="29" t="e">
        <f t="shared" si="29"/>
        <v>#REF!</v>
      </c>
      <c r="M319" s="20" t="s">
        <v>6232</v>
      </c>
      <c r="N319" t="s">
        <v>6232</v>
      </c>
      <c r="P319" t="s">
        <v>3964</v>
      </c>
      <c r="Q319" t="s">
        <v>6232</v>
      </c>
      <c r="R319" t="s">
        <v>2732</v>
      </c>
      <c r="T319" t="s">
        <v>3860</v>
      </c>
      <c r="BI319" s="52" t="str">
        <f>HYPERLINK("#일위대가목록!A344","S02003W350 →")</f>
        <v>S02003W350 →</v>
      </c>
    </row>
    <row r="320" spans="1:61" ht="18.399999999999999" customHeight="1">
      <c r="A320" s="11" t="s">
        <v>1080</v>
      </c>
      <c r="B320" s="2" t="s">
        <v>809</v>
      </c>
      <c r="C320" s="2">
        <v>1</v>
      </c>
      <c r="D320" s="2" t="s">
        <v>3909</v>
      </c>
      <c r="E320" s="29" t="e">
        <f>일위대가목록!#REF!</f>
        <v>#REF!</v>
      </c>
      <c r="F320" s="29" t="e">
        <f t="shared" si="31"/>
        <v>#REF!</v>
      </c>
      <c r="G320" s="29" t="e">
        <f>일위대가목록!#REF!</f>
        <v>#REF!</v>
      </c>
      <c r="H320" s="29" t="e">
        <f t="shared" si="32"/>
        <v>#REF!</v>
      </c>
      <c r="I320" s="29" t="e">
        <f>일위대가목록!#REF!</f>
        <v>#REF!</v>
      </c>
      <c r="J320" s="29" t="e">
        <f t="shared" si="33"/>
        <v>#REF!</v>
      </c>
      <c r="K320" s="29" t="e">
        <f t="shared" si="30"/>
        <v>#REF!</v>
      </c>
      <c r="L320" s="29" t="e">
        <f t="shared" si="29"/>
        <v>#REF!</v>
      </c>
      <c r="M320" s="20" t="s">
        <v>6232</v>
      </c>
      <c r="N320" t="s">
        <v>6232</v>
      </c>
      <c r="P320" t="s">
        <v>2333</v>
      </c>
      <c r="Q320" t="s">
        <v>6232</v>
      </c>
      <c r="R320" t="s">
        <v>477</v>
      </c>
      <c r="T320" t="s">
        <v>3860</v>
      </c>
      <c r="BI320" s="52" t="str">
        <f>HYPERLINK("#일위대가목록!A345","S02003W350YA →")</f>
        <v>S02003W350YA →</v>
      </c>
    </row>
    <row r="321" spans="1:61" ht="18.399999999999999" customHeight="1">
      <c r="A321" s="11" t="s">
        <v>5681</v>
      </c>
      <c r="B321" s="2" t="s">
        <v>4894</v>
      </c>
      <c r="C321" s="2">
        <v>1</v>
      </c>
      <c r="D321" s="2" t="s">
        <v>3909</v>
      </c>
      <c r="E321" s="29" t="e">
        <f>일위대가목록!#REF!</f>
        <v>#REF!</v>
      </c>
      <c r="F321" s="29" t="e">
        <f t="shared" si="31"/>
        <v>#REF!</v>
      </c>
      <c r="G321" s="29" t="e">
        <f>일위대가목록!#REF!</f>
        <v>#REF!</v>
      </c>
      <c r="H321" s="29" t="e">
        <f t="shared" si="32"/>
        <v>#REF!</v>
      </c>
      <c r="I321" s="29" t="e">
        <f>일위대가목록!#REF!</f>
        <v>#REF!</v>
      </c>
      <c r="J321" s="29" t="e">
        <f t="shared" si="33"/>
        <v>#REF!</v>
      </c>
      <c r="K321" s="29" t="e">
        <f t="shared" si="30"/>
        <v>#REF!</v>
      </c>
      <c r="L321" s="29" t="e">
        <f t="shared" si="29"/>
        <v>#REF!</v>
      </c>
      <c r="M321" s="20" t="s">
        <v>6232</v>
      </c>
      <c r="N321" t="s">
        <v>6232</v>
      </c>
      <c r="P321" t="s">
        <v>804</v>
      </c>
      <c r="Q321" t="s">
        <v>6232</v>
      </c>
      <c r="R321" t="s">
        <v>1252</v>
      </c>
      <c r="T321" t="s">
        <v>3860</v>
      </c>
      <c r="BI321" s="52" t="str">
        <f>HYPERLINK("#일위대가목록!A346","S02003W300 →")</f>
        <v>S02003W300 →</v>
      </c>
    </row>
    <row r="322" spans="1:61" ht="18.399999999999999" customHeight="1">
      <c r="A322" s="11" t="s">
        <v>1080</v>
      </c>
      <c r="B322" s="2" t="s">
        <v>4894</v>
      </c>
      <c r="C322" s="2">
        <v>1</v>
      </c>
      <c r="D322" s="2" t="s">
        <v>3909</v>
      </c>
      <c r="E322" s="29" t="e">
        <f>일위대가목록!#REF!</f>
        <v>#REF!</v>
      </c>
      <c r="F322" s="29" t="e">
        <f t="shared" si="31"/>
        <v>#REF!</v>
      </c>
      <c r="G322" s="29" t="e">
        <f>일위대가목록!#REF!</f>
        <v>#REF!</v>
      </c>
      <c r="H322" s="29" t="e">
        <f t="shared" si="32"/>
        <v>#REF!</v>
      </c>
      <c r="I322" s="29" t="e">
        <f>일위대가목록!#REF!</f>
        <v>#REF!</v>
      </c>
      <c r="J322" s="29" t="e">
        <f t="shared" si="33"/>
        <v>#REF!</v>
      </c>
      <c r="K322" s="29" t="e">
        <f t="shared" si="30"/>
        <v>#REF!</v>
      </c>
      <c r="L322" s="29" t="e">
        <f t="shared" si="29"/>
        <v>#REF!</v>
      </c>
      <c r="M322" s="20" t="s">
        <v>6232</v>
      </c>
      <c r="N322" t="s">
        <v>6232</v>
      </c>
      <c r="P322" t="s">
        <v>5804</v>
      </c>
      <c r="Q322" t="s">
        <v>6232</v>
      </c>
      <c r="R322" t="s">
        <v>939</v>
      </c>
      <c r="T322" t="s">
        <v>3860</v>
      </c>
      <c r="BI322" s="52" t="str">
        <f>HYPERLINK("#일위대가목록!A347","S02003W300YA →")</f>
        <v>S02003W300YA →</v>
      </c>
    </row>
    <row r="323" spans="1:61" ht="18.399999999999999" customHeight="1">
      <c r="A323" s="11" t="s">
        <v>5681</v>
      </c>
      <c r="B323" s="2" t="s">
        <v>1701</v>
      </c>
      <c r="C323" s="2">
        <v>1</v>
      </c>
      <c r="D323" s="2" t="s">
        <v>3909</v>
      </c>
      <c r="E323" s="29" t="e">
        <f>일위대가목록!#REF!</f>
        <v>#REF!</v>
      </c>
      <c r="F323" s="29" t="e">
        <f t="shared" si="31"/>
        <v>#REF!</v>
      </c>
      <c r="G323" s="29" t="e">
        <f>일위대가목록!#REF!</f>
        <v>#REF!</v>
      </c>
      <c r="H323" s="29" t="e">
        <f t="shared" si="32"/>
        <v>#REF!</v>
      </c>
      <c r="I323" s="29" t="e">
        <f>일위대가목록!#REF!</f>
        <v>#REF!</v>
      </c>
      <c r="J323" s="29" t="e">
        <f t="shared" si="33"/>
        <v>#REF!</v>
      </c>
      <c r="K323" s="29" t="e">
        <f t="shared" si="30"/>
        <v>#REF!</v>
      </c>
      <c r="L323" s="29" t="e">
        <f t="shared" si="29"/>
        <v>#REF!</v>
      </c>
      <c r="M323" s="20" t="s">
        <v>6232</v>
      </c>
      <c r="N323" t="s">
        <v>6232</v>
      </c>
      <c r="P323" t="s">
        <v>4268</v>
      </c>
      <c r="Q323" t="s">
        <v>6232</v>
      </c>
      <c r="R323" t="s">
        <v>1685</v>
      </c>
      <c r="T323" t="s">
        <v>3860</v>
      </c>
      <c r="BI323" s="52" t="str">
        <f>HYPERLINK("#일위대가목록!A348","S02003W250 →")</f>
        <v>S02003W250 →</v>
      </c>
    </row>
    <row r="324" spans="1:61" ht="18.399999999999999" customHeight="1">
      <c r="A324" s="11" t="s">
        <v>1080</v>
      </c>
      <c r="B324" s="2" t="s">
        <v>1701</v>
      </c>
      <c r="C324" s="2">
        <v>1</v>
      </c>
      <c r="D324" s="2" t="s">
        <v>3909</v>
      </c>
      <c r="E324" s="29" t="e">
        <f>일위대가목록!#REF!</f>
        <v>#REF!</v>
      </c>
      <c r="F324" s="29" t="e">
        <f t="shared" si="31"/>
        <v>#REF!</v>
      </c>
      <c r="G324" s="29" t="e">
        <f>일위대가목록!#REF!</f>
        <v>#REF!</v>
      </c>
      <c r="H324" s="29" t="e">
        <f t="shared" si="32"/>
        <v>#REF!</v>
      </c>
      <c r="I324" s="29" t="e">
        <f>일위대가목록!#REF!</f>
        <v>#REF!</v>
      </c>
      <c r="J324" s="29" t="e">
        <f t="shared" si="33"/>
        <v>#REF!</v>
      </c>
      <c r="K324" s="29" t="e">
        <f t="shared" si="30"/>
        <v>#REF!</v>
      </c>
      <c r="L324" s="29" t="e">
        <f t="shared" si="29"/>
        <v>#REF!</v>
      </c>
      <c r="M324" s="20" t="s">
        <v>6232</v>
      </c>
      <c r="N324" t="s">
        <v>6232</v>
      </c>
      <c r="P324" t="s">
        <v>2396</v>
      </c>
      <c r="Q324" t="s">
        <v>6232</v>
      </c>
      <c r="R324" t="s">
        <v>3987</v>
      </c>
      <c r="T324" t="s">
        <v>3860</v>
      </c>
      <c r="BI324" s="52" t="str">
        <f>HYPERLINK("#일위대가목록!A349","S02003W250YA →")</f>
        <v>S02003W250YA →</v>
      </c>
    </row>
    <row r="325" spans="1:61" ht="18.399999999999999" customHeight="1">
      <c r="A325" s="11" t="s">
        <v>5681</v>
      </c>
      <c r="B325" s="2" t="s">
        <v>4196</v>
      </c>
      <c r="C325" s="2">
        <v>1</v>
      </c>
      <c r="D325" s="2" t="s">
        <v>3909</v>
      </c>
      <c r="E325" s="29" t="e">
        <f>일위대가목록!#REF!</f>
        <v>#REF!</v>
      </c>
      <c r="F325" s="29" t="e">
        <f t="shared" si="31"/>
        <v>#REF!</v>
      </c>
      <c r="G325" s="29" t="e">
        <f>일위대가목록!#REF!</f>
        <v>#REF!</v>
      </c>
      <c r="H325" s="29" t="e">
        <f t="shared" si="32"/>
        <v>#REF!</v>
      </c>
      <c r="I325" s="29" t="e">
        <f>일위대가목록!#REF!</f>
        <v>#REF!</v>
      </c>
      <c r="J325" s="29" t="e">
        <f t="shared" si="33"/>
        <v>#REF!</v>
      </c>
      <c r="K325" s="29" t="e">
        <f t="shared" si="30"/>
        <v>#REF!</v>
      </c>
      <c r="L325" s="29" t="e">
        <f t="shared" si="29"/>
        <v>#REF!</v>
      </c>
      <c r="M325" s="20" t="s">
        <v>6232</v>
      </c>
      <c r="N325" t="s">
        <v>6232</v>
      </c>
      <c r="P325" t="s">
        <v>814</v>
      </c>
      <c r="Q325" t="s">
        <v>6232</v>
      </c>
      <c r="R325" t="s">
        <v>69</v>
      </c>
      <c r="T325" t="s">
        <v>3860</v>
      </c>
      <c r="BI325" s="52" t="str">
        <f>HYPERLINK("#일위대가목록!A350","S02003W200 →")</f>
        <v>S02003W200 →</v>
      </c>
    </row>
    <row r="326" spans="1:61" ht="18.399999999999999" customHeight="1">
      <c r="A326" s="11" t="s">
        <v>1080</v>
      </c>
      <c r="B326" s="2" t="s">
        <v>4196</v>
      </c>
      <c r="C326" s="2">
        <v>1</v>
      </c>
      <c r="D326" s="2" t="s">
        <v>3909</v>
      </c>
      <c r="E326" s="29" t="e">
        <f>일위대가목록!#REF!</f>
        <v>#REF!</v>
      </c>
      <c r="F326" s="29" t="e">
        <f t="shared" si="31"/>
        <v>#REF!</v>
      </c>
      <c r="G326" s="29" t="e">
        <f>일위대가목록!#REF!</f>
        <v>#REF!</v>
      </c>
      <c r="H326" s="29" t="e">
        <f t="shared" si="32"/>
        <v>#REF!</v>
      </c>
      <c r="I326" s="29" t="e">
        <f>일위대가목록!#REF!</f>
        <v>#REF!</v>
      </c>
      <c r="J326" s="29" t="e">
        <f t="shared" si="33"/>
        <v>#REF!</v>
      </c>
      <c r="K326" s="29" t="e">
        <f t="shared" si="30"/>
        <v>#REF!</v>
      </c>
      <c r="L326" s="29" t="e">
        <f t="shared" si="29"/>
        <v>#REF!</v>
      </c>
      <c r="M326" s="20" t="s">
        <v>6232</v>
      </c>
      <c r="N326" t="s">
        <v>6232</v>
      </c>
      <c r="P326" t="s">
        <v>5448</v>
      </c>
      <c r="Q326" t="s">
        <v>6232</v>
      </c>
      <c r="R326" t="s">
        <v>3661</v>
      </c>
      <c r="T326" t="s">
        <v>3860</v>
      </c>
      <c r="BI326" s="52" t="str">
        <f>HYPERLINK("#일위대가목록!A351","S02003W200YA →")</f>
        <v>S02003W200YA →</v>
      </c>
    </row>
    <row r="327" spans="1:61" ht="18.399999999999999" customHeight="1">
      <c r="A327" s="11" t="s">
        <v>5681</v>
      </c>
      <c r="B327" s="2" t="s">
        <v>4124</v>
      </c>
      <c r="C327" s="2">
        <v>1</v>
      </c>
      <c r="D327" s="2" t="s">
        <v>3909</v>
      </c>
      <c r="E327" s="29" t="e">
        <f>일위대가목록!#REF!</f>
        <v>#REF!</v>
      </c>
      <c r="F327" s="29" t="e">
        <f t="shared" si="31"/>
        <v>#REF!</v>
      </c>
      <c r="G327" s="29" t="e">
        <f>일위대가목록!#REF!</f>
        <v>#REF!</v>
      </c>
      <c r="H327" s="29" t="e">
        <f t="shared" si="32"/>
        <v>#REF!</v>
      </c>
      <c r="I327" s="29" t="e">
        <f>일위대가목록!#REF!</f>
        <v>#REF!</v>
      </c>
      <c r="J327" s="29" t="e">
        <f t="shared" si="33"/>
        <v>#REF!</v>
      </c>
      <c r="K327" s="29" t="e">
        <f t="shared" si="30"/>
        <v>#REF!</v>
      </c>
      <c r="L327" s="29" t="e">
        <f t="shared" si="29"/>
        <v>#REF!</v>
      </c>
      <c r="M327" s="20" t="s">
        <v>6232</v>
      </c>
      <c r="N327" t="s">
        <v>6232</v>
      </c>
      <c r="P327" t="s">
        <v>3878</v>
      </c>
      <c r="Q327" t="s">
        <v>6232</v>
      </c>
      <c r="R327" t="s">
        <v>750</v>
      </c>
      <c r="T327" t="s">
        <v>3860</v>
      </c>
      <c r="BI327" s="52" t="str">
        <f>HYPERLINK("#일위대가목록!A352","S02003W150 →")</f>
        <v>S02003W150 →</v>
      </c>
    </row>
    <row r="328" spans="1:61" ht="18.399999999999999" customHeight="1">
      <c r="A328" s="11" t="s">
        <v>1080</v>
      </c>
      <c r="B328" s="2" t="s">
        <v>4124</v>
      </c>
      <c r="C328" s="2">
        <v>1</v>
      </c>
      <c r="D328" s="2" t="s">
        <v>3909</v>
      </c>
      <c r="E328" s="29" t="e">
        <f>일위대가목록!#REF!</f>
        <v>#REF!</v>
      </c>
      <c r="F328" s="29" t="e">
        <f t="shared" si="31"/>
        <v>#REF!</v>
      </c>
      <c r="G328" s="29" t="e">
        <f>일위대가목록!#REF!</f>
        <v>#REF!</v>
      </c>
      <c r="H328" s="29" t="e">
        <f t="shared" si="32"/>
        <v>#REF!</v>
      </c>
      <c r="I328" s="29" t="e">
        <f>일위대가목록!#REF!</f>
        <v>#REF!</v>
      </c>
      <c r="J328" s="29" t="e">
        <f t="shared" si="33"/>
        <v>#REF!</v>
      </c>
      <c r="K328" s="29" t="e">
        <f t="shared" si="30"/>
        <v>#REF!</v>
      </c>
      <c r="L328" s="29" t="e">
        <f t="shared" si="29"/>
        <v>#REF!</v>
      </c>
      <c r="M328" s="20" t="s">
        <v>6232</v>
      </c>
      <c r="N328" t="s">
        <v>6232</v>
      </c>
      <c r="P328" t="s">
        <v>2501</v>
      </c>
      <c r="Q328" t="s">
        <v>6232</v>
      </c>
      <c r="R328" t="s">
        <v>2790</v>
      </c>
      <c r="T328" t="s">
        <v>3860</v>
      </c>
      <c r="BI328" s="52" t="str">
        <f>HYPERLINK("#일위대가목록!A353","S02003W150YA →")</f>
        <v>S02003W150YA →</v>
      </c>
    </row>
    <row r="329" spans="1:61" ht="18.399999999999999" customHeight="1">
      <c r="A329" s="11" t="s">
        <v>5681</v>
      </c>
      <c r="B329" s="2" t="s">
        <v>2533</v>
      </c>
      <c r="C329" s="2">
        <v>1</v>
      </c>
      <c r="D329" s="2" t="s">
        <v>3909</v>
      </c>
      <c r="E329" s="29" t="e">
        <f>일위대가목록!#REF!</f>
        <v>#REF!</v>
      </c>
      <c r="F329" s="29" t="e">
        <f t="shared" si="31"/>
        <v>#REF!</v>
      </c>
      <c r="G329" s="29" t="e">
        <f>일위대가목록!#REF!</f>
        <v>#REF!</v>
      </c>
      <c r="H329" s="29" t="e">
        <f t="shared" si="32"/>
        <v>#REF!</v>
      </c>
      <c r="I329" s="29" t="e">
        <f>일위대가목록!#REF!</f>
        <v>#REF!</v>
      </c>
      <c r="J329" s="29" t="e">
        <f t="shared" si="33"/>
        <v>#REF!</v>
      </c>
      <c r="K329" s="29" t="e">
        <f t="shared" si="30"/>
        <v>#REF!</v>
      </c>
      <c r="L329" s="29" t="e">
        <f t="shared" ref="L329:L392" si="34">F329+H329+J329</f>
        <v>#REF!</v>
      </c>
      <c r="M329" s="20" t="s">
        <v>6232</v>
      </c>
      <c r="N329" t="s">
        <v>6232</v>
      </c>
      <c r="P329" t="s">
        <v>925</v>
      </c>
      <c r="Q329" t="s">
        <v>6232</v>
      </c>
      <c r="R329" t="s">
        <v>2100</v>
      </c>
      <c r="T329" t="s">
        <v>3860</v>
      </c>
      <c r="BI329" s="52" t="str">
        <f>HYPERLINK("#일위대가목록!A354","S02003W125 →")</f>
        <v>S02003W125 →</v>
      </c>
    </row>
    <row r="330" spans="1:61" ht="18.399999999999999" customHeight="1">
      <c r="A330" s="11" t="s">
        <v>1080</v>
      </c>
      <c r="B330" s="2" t="s">
        <v>2533</v>
      </c>
      <c r="C330" s="2">
        <v>1</v>
      </c>
      <c r="D330" s="2" t="s">
        <v>3909</v>
      </c>
      <c r="E330" s="29" t="e">
        <f>일위대가목록!#REF!</f>
        <v>#REF!</v>
      </c>
      <c r="F330" s="29" t="e">
        <f t="shared" si="31"/>
        <v>#REF!</v>
      </c>
      <c r="G330" s="29" t="e">
        <f>일위대가목록!#REF!</f>
        <v>#REF!</v>
      </c>
      <c r="H330" s="29" t="e">
        <f t="shared" si="32"/>
        <v>#REF!</v>
      </c>
      <c r="I330" s="29" t="e">
        <f>일위대가목록!#REF!</f>
        <v>#REF!</v>
      </c>
      <c r="J330" s="29" t="e">
        <f t="shared" si="33"/>
        <v>#REF!</v>
      </c>
      <c r="K330" s="29" t="e">
        <f t="shared" ref="K330:K393" si="35">E330+G330+I330</f>
        <v>#REF!</v>
      </c>
      <c r="L330" s="29" t="e">
        <f t="shared" si="34"/>
        <v>#REF!</v>
      </c>
      <c r="M330" s="20" t="s">
        <v>6232</v>
      </c>
      <c r="N330" t="s">
        <v>6232</v>
      </c>
      <c r="P330" t="s">
        <v>5582</v>
      </c>
      <c r="Q330" t="s">
        <v>6232</v>
      </c>
      <c r="R330" t="s">
        <v>930</v>
      </c>
      <c r="T330" t="s">
        <v>3860</v>
      </c>
      <c r="BI330" s="52" t="str">
        <f>HYPERLINK("#일위대가목록!A355","S02003W125YA →")</f>
        <v>S02003W125YA →</v>
      </c>
    </row>
    <row r="331" spans="1:61" ht="18.399999999999999" customHeight="1">
      <c r="A331" s="11" t="s">
        <v>5681</v>
      </c>
      <c r="B331" s="2" t="s">
        <v>1572</v>
      </c>
      <c r="C331" s="2">
        <v>1</v>
      </c>
      <c r="D331" s="2" t="s">
        <v>3909</v>
      </c>
      <c r="E331" s="29" t="e">
        <f>일위대가목록!#REF!</f>
        <v>#REF!</v>
      </c>
      <c r="F331" s="29" t="e">
        <f t="shared" si="31"/>
        <v>#REF!</v>
      </c>
      <c r="G331" s="29" t="e">
        <f>일위대가목록!#REF!</f>
        <v>#REF!</v>
      </c>
      <c r="H331" s="29" t="e">
        <f t="shared" si="32"/>
        <v>#REF!</v>
      </c>
      <c r="I331" s="29" t="e">
        <f>일위대가목록!#REF!</f>
        <v>#REF!</v>
      </c>
      <c r="J331" s="29" t="e">
        <f t="shared" si="33"/>
        <v>#REF!</v>
      </c>
      <c r="K331" s="29" t="e">
        <f t="shared" si="35"/>
        <v>#REF!</v>
      </c>
      <c r="L331" s="29" t="e">
        <f t="shared" si="34"/>
        <v>#REF!</v>
      </c>
      <c r="M331" s="20" t="s">
        <v>6232</v>
      </c>
      <c r="N331" t="s">
        <v>6232</v>
      </c>
      <c r="P331" t="s">
        <v>4018</v>
      </c>
      <c r="Q331" t="s">
        <v>6232</v>
      </c>
      <c r="R331" t="s">
        <v>2173</v>
      </c>
      <c r="T331" t="s">
        <v>3860</v>
      </c>
      <c r="BI331" s="52" t="str">
        <f>HYPERLINK("#일위대가목록!A356","S02003W100 →")</f>
        <v>S02003W100 →</v>
      </c>
    </row>
    <row r="332" spans="1:61" ht="18.399999999999999" customHeight="1">
      <c r="A332" s="11" t="s">
        <v>1080</v>
      </c>
      <c r="B332" s="2" t="s">
        <v>1572</v>
      </c>
      <c r="C332" s="2">
        <v>1</v>
      </c>
      <c r="D332" s="2" t="s">
        <v>3909</v>
      </c>
      <c r="E332" s="29" t="e">
        <f>일위대가목록!#REF!</f>
        <v>#REF!</v>
      </c>
      <c r="F332" s="29" t="e">
        <f t="shared" si="31"/>
        <v>#REF!</v>
      </c>
      <c r="G332" s="29" t="e">
        <f>일위대가목록!#REF!</f>
        <v>#REF!</v>
      </c>
      <c r="H332" s="29" t="e">
        <f t="shared" si="32"/>
        <v>#REF!</v>
      </c>
      <c r="I332" s="29" t="e">
        <f>일위대가목록!#REF!</f>
        <v>#REF!</v>
      </c>
      <c r="J332" s="29" t="e">
        <f t="shared" si="33"/>
        <v>#REF!</v>
      </c>
      <c r="K332" s="29" t="e">
        <f t="shared" si="35"/>
        <v>#REF!</v>
      </c>
      <c r="L332" s="29" t="e">
        <f t="shared" si="34"/>
        <v>#REF!</v>
      </c>
      <c r="M332" s="20" t="s">
        <v>6232</v>
      </c>
      <c r="N332" t="s">
        <v>6232</v>
      </c>
      <c r="P332" t="s">
        <v>2612</v>
      </c>
      <c r="Q332" t="s">
        <v>6232</v>
      </c>
      <c r="R332" t="s">
        <v>1684</v>
      </c>
      <c r="T332" t="s">
        <v>3860</v>
      </c>
      <c r="BI332" s="52" t="str">
        <f>HYPERLINK("#일위대가목록!A357","S02003W100YA →")</f>
        <v>S02003W100YA →</v>
      </c>
    </row>
    <row r="333" spans="1:61" ht="18.399999999999999" customHeight="1">
      <c r="A333" s="11" t="s">
        <v>5681</v>
      </c>
      <c r="B333" s="2" t="s">
        <v>1160</v>
      </c>
      <c r="C333" s="2">
        <v>1</v>
      </c>
      <c r="D333" s="2" t="s">
        <v>3909</v>
      </c>
      <c r="E333" s="29" t="e">
        <f>일위대가목록!#REF!</f>
        <v>#REF!</v>
      </c>
      <c r="F333" s="29" t="e">
        <f t="shared" si="31"/>
        <v>#REF!</v>
      </c>
      <c r="G333" s="29" t="e">
        <f>일위대가목록!#REF!</f>
        <v>#REF!</v>
      </c>
      <c r="H333" s="29" t="e">
        <f t="shared" si="32"/>
        <v>#REF!</v>
      </c>
      <c r="I333" s="29" t="e">
        <f>일위대가목록!#REF!</f>
        <v>#REF!</v>
      </c>
      <c r="J333" s="29" t="e">
        <f t="shared" si="33"/>
        <v>#REF!</v>
      </c>
      <c r="K333" s="29" t="e">
        <f t="shared" si="35"/>
        <v>#REF!</v>
      </c>
      <c r="L333" s="29" t="e">
        <f t="shared" si="34"/>
        <v>#REF!</v>
      </c>
      <c r="M333" s="20" t="s">
        <v>6232</v>
      </c>
      <c r="N333" t="s">
        <v>6232</v>
      </c>
      <c r="P333" t="s">
        <v>1021</v>
      </c>
      <c r="Q333" t="s">
        <v>6232</v>
      </c>
      <c r="R333" t="s">
        <v>2443</v>
      </c>
      <c r="T333" t="s">
        <v>3860</v>
      </c>
      <c r="BI333" s="52" t="str">
        <f>HYPERLINK("#일위대가목록!A358","S02003W080 →")</f>
        <v>S02003W080 →</v>
      </c>
    </row>
    <row r="334" spans="1:61" ht="18.399999999999999" customHeight="1">
      <c r="A334" s="11" t="s">
        <v>1080</v>
      </c>
      <c r="B334" s="2" t="s">
        <v>1160</v>
      </c>
      <c r="C334" s="2">
        <v>1</v>
      </c>
      <c r="D334" s="2" t="s">
        <v>3909</v>
      </c>
      <c r="E334" s="29" t="e">
        <f>일위대가목록!#REF!</f>
        <v>#REF!</v>
      </c>
      <c r="F334" s="29" t="e">
        <f t="shared" si="31"/>
        <v>#REF!</v>
      </c>
      <c r="G334" s="29" t="e">
        <f>일위대가목록!#REF!</f>
        <v>#REF!</v>
      </c>
      <c r="H334" s="29" t="e">
        <f t="shared" si="32"/>
        <v>#REF!</v>
      </c>
      <c r="I334" s="29" t="e">
        <f>일위대가목록!#REF!</f>
        <v>#REF!</v>
      </c>
      <c r="J334" s="29" t="e">
        <f t="shared" si="33"/>
        <v>#REF!</v>
      </c>
      <c r="K334" s="29" t="e">
        <f t="shared" si="35"/>
        <v>#REF!</v>
      </c>
      <c r="L334" s="29" t="e">
        <f t="shared" si="34"/>
        <v>#REF!</v>
      </c>
      <c r="M334" s="20" t="s">
        <v>6232</v>
      </c>
      <c r="N334" t="s">
        <v>6232</v>
      </c>
      <c r="P334" t="s">
        <v>2007</v>
      </c>
      <c r="Q334" t="s">
        <v>6232</v>
      </c>
      <c r="R334" t="s">
        <v>626</v>
      </c>
      <c r="T334" t="s">
        <v>3860</v>
      </c>
      <c r="BI334" s="52" t="str">
        <f>HYPERLINK("#일위대가목록!A359","S02003W080YA →")</f>
        <v>S02003W080YA →</v>
      </c>
    </row>
    <row r="335" spans="1:61" ht="18.399999999999999" customHeight="1">
      <c r="A335" s="11" t="s">
        <v>5681</v>
      </c>
      <c r="B335" s="2" t="s">
        <v>3058</v>
      </c>
      <c r="C335" s="2">
        <v>1</v>
      </c>
      <c r="D335" s="2" t="s">
        <v>3909</v>
      </c>
      <c r="E335" s="29" t="e">
        <f>일위대가목록!#REF!</f>
        <v>#REF!</v>
      </c>
      <c r="F335" s="29" t="e">
        <f t="shared" si="31"/>
        <v>#REF!</v>
      </c>
      <c r="G335" s="29" t="e">
        <f>일위대가목록!#REF!</f>
        <v>#REF!</v>
      </c>
      <c r="H335" s="29" t="e">
        <f t="shared" si="32"/>
        <v>#REF!</v>
      </c>
      <c r="I335" s="29" t="e">
        <f>일위대가목록!#REF!</f>
        <v>#REF!</v>
      </c>
      <c r="J335" s="29" t="e">
        <f t="shared" si="33"/>
        <v>#REF!</v>
      </c>
      <c r="K335" s="29" t="e">
        <f t="shared" si="35"/>
        <v>#REF!</v>
      </c>
      <c r="L335" s="29" t="e">
        <f t="shared" si="34"/>
        <v>#REF!</v>
      </c>
      <c r="M335" s="20" t="s">
        <v>6232</v>
      </c>
      <c r="N335" t="s">
        <v>6232</v>
      </c>
      <c r="P335" t="s">
        <v>517</v>
      </c>
      <c r="Q335" t="s">
        <v>6232</v>
      </c>
      <c r="R335" t="s">
        <v>2436</v>
      </c>
      <c r="T335" t="s">
        <v>3860</v>
      </c>
      <c r="BI335" s="52" t="str">
        <f>HYPERLINK("#일위대가목록!A360","S02003W065 →")</f>
        <v>S02003W065 →</v>
      </c>
    </row>
    <row r="336" spans="1:61" ht="18.399999999999999" customHeight="1">
      <c r="A336" s="11" t="s">
        <v>1080</v>
      </c>
      <c r="B336" s="2" t="s">
        <v>3058</v>
      </c>
      <c r="C336" s="2">
        <v>1</v>
      </c>
      <c r="D336" s="2" t="s">
        <v>3909</v>
      </c>
      <c r="E336" s="29" t="e">
        <f>일위대가목록!#REF!</f>
        <v>#REF!</v>
      </c>
      <c r="F336" s="29" t="e">
        <f t="shared" si="31"/>
        <v>#REF!</v>
      </c>
      <c r="G336" s="29" t="e">
        <f>일위대가목록!#REF!</f>
        <v>#REF!</v>
      </c>
      <c r="H336" s="29" t="e">
        <f t="shared" si="32"/>
        <v>#REF!</v>
      </c>
      <c r="I336" s="29" t="e">
        <f>일위대가목록!#REF!</f>
        <v>#REF!</v>
      </c>
      <c r="J336" s="29" t="e">
        <f t="shared" si="33"/>
        <v>#REF!</v>
      </c>
      <c r="K336" s="29" t="e">
        <f t="shared" si="35"/>
        <v>#REF!</v>
      </c>
      <c r="L336" s="29" t="e">
        <f t="shared" si="34"/>
        <v>#REF!</v>
      </c>
      <c r="M336" s="20" t="s">
        <v>6232</v>
      </c>
      <c r="N336" t="s">
        <v>6232</v>
      </c>
      <c r="P336" t="s">
        <v>5194</v>
      </c>
      <c r="Q336" t="s">
        <v>6232</v>
      </c>
      <c r="R336" t="s">
        <v>4675</v>
      </c>
      <c r="T336" t="s">
        <v>3860</v>
      </c>
      <c r="BI336" s="52" t="str">
        <f>HYPERLINK("#일위대가목록!A361","S02003W065YA →")</f>
        <v>S02003W065YA →</v>
      </c>
    </row>
    <row r="337" spans="1:61" ht="18.399999999999999" customHeight="1">
      <c r="A337" s="11" t="s">
        <v>5681</v>
      </c>
      <c r="B337" s="2" t="s">
        <v>2393</v>
      </c>
      <c r="C337" s="2">
        <v>1</v>
      </c>
      <c r="D337" s="2" t="s">
        <v>3909</v>
      </c>
      <c r="E337" s="29" t="e">
        <f>일위대가목록!#REF!</f>
        <v>#REF!</v>
      </c>
      <c r="F337" s="29" t="e">
        <f t="shared" si="31"/>
        <v>#REF!</v>
      </c>
      <c r="G337" s="29" t="e">
        <f>일위대가목록!#REF!</f>
        <v>#REF!</v>
      </c>
      <c r="H337" s="29" t="e">
        <f t="shared" si="32"/>
        <v>#REF!</v>
      </c>
      <c r="I337" s="29" t="e">
        <f>일위대가목록!#REF!</f>
        <v>#REF!</v>
      </c>
      <c r="J337" s="29" t="e">
        <f t="shared" si="33"/>
        <v>#REF!</v>
      </c>
      <c r="K337" s="29" t="e">
        <f t="shared" si="35"/>
        <v>#REF!</v>
      </c>
      <c r="L337" s="29" t="e">
        <f t="shared" si="34"/>
        <v>#REF!</v>
      </c>
      <c r="M337" s="20" t="s">
        <v>6232</v>
      </c>
      <c r="N337" t="s">
        <v>6232</v>
      </c>
      <c r="P337" t="s">
        <v>3682</v>
      </c>
      <c r="Q337" t="s">
        <v>6232</v>
      </c>
      <c r="R337" t="s">
        <v>978</v>
      </c>
      <c r="T337" t="s">
        <v>3860</v>
      </c>
      <c r="BI337" s="52" t="str">
        <f>HYPERLINK("#일위대가목록!A362","S02003W050 →")</f>
        <v>S02003W050 →</v>
      </c>
    </row>
    <row r="338" spans="1:61" ht="18.399999999999999" customHeight="1">
      <c r="A338" s="11" t="s">
        <v>1080</v>
      </c>
      <c r="B338" s="2" t="s">
        <v>2393</v>
      </c>
      <c r="C338" s="2">
        <v>1</v>
      </c>
      <c r="D338" s="2" t="s">
        <v>3909</v>
      </c>
      <c r="E338" s="29" t="e">
        <f>일위대가목록!#REF!</f>
        <v>#REF!</v>
      </c>
      <c r="F338" s="29" t="e">
        <f t="shared" si="31"/>
        <v>#REF!</v>
      </c>
      <c r="G338" s="29" t="e">
        <f>일위대가목록!#REF!</f>
        <v>#REF!</v>
      </c>
      <c r="H338" s="29" t="e">
        <f t="shared" si="32"/>
        <v>#REF!</v>
      </c>
      <c r="I338" s="29" t="e">
        <f>일위대가목록!#REF!</f>
        <v>#REF!</v>
      </c>
      <c r="J338" s="29" t="e">
        <f t="shared" si="33"/>
        <v>#REF!</v>
      </c>
      <c r="K338" s="29" t="e">
        <f t="shared" si="35"/>
        <v>#REF!</v>
      </c>
      <c r="L338" s="29" t="e">
        <f t="shared" si="34"/>
        <v>#REF!</v>
      </c>
      <c r="M338" s="20" t="s">
        <v>6232</v>
      </c>
      <c r="N338" t="s">
        <v>6232</v>
      </c>
      <c r="P338" t="s">
        <v>1921</v>
      </c>
      <c r="Q338" t="s">
        <v>6232</v>
      </c>
      <c r="R338" t="s">
        <v>4761</v>
      </c>
      <c r="T338" t="s">
        <v>3860</v>
      </c>
      <c r="BI338" s="52" t="str">
        <f>HYPERLINK("#일위대가목록!A363","S02003W050YA →")</f>
        <v>S02003W050YA →</v>
      </c>
    </row>
    <row r="339" spans="1:61" ht="18.399999999999999" customHeight="1">
      <c r="A339" s="11" t="s">
        <v>5681</v>
      </c>
      <c r="B339" s="2" t="s">
        <v>2012</v>
      </c>
      <c r="C339" s="2">
        <v>1</v>
      </c>
      <c r="D339" s="2" t="s">
        <v>3909</v>
      </c>
      <c r="E339" s="29" t="e">
        <f>일위대가목록!#REF!</f>
        <v>#REF!</v>
      </c>
      <c r="F339" s="29" t="e">
        <f t="shared" si="31"/>
        <v>#REF!</v>
      </c>
      <c r="G339" s="29" t="e">
        <f>일위대가목록!#REF!</f>
        <v>#REF!</v>
      </c>
      <c r="H339" s="29" t="e">
        <f t="shared" si="32"/>
        <v>#REF!</v>
      </c>
      <c r="I339" s="29" t="e">
        <f>일위대가목록!#REF!</f>
        <v>#REF!</v>
      </c>
      <c r="J339" s="29" t="e">
        <f t="shared" si="33"/>
        <v>#REF!</v>
      </c>
      <c r="K339" s="29" t="e">
        <f t="shared" si="35"/>
        <v>#REF!</v>
      </c>
      <c r="L339" s="29" t="e">
        <f t="shared" si="34"/>
        <v>#REF!</v>
      </c>
      <c r="M339" s="20" t="s">
        <v>6232</v>
      </c>
      <c r="N339" t="s">
        <v>6232</v>
      </c>
      <c r="P339" t="s">
        <v>431</v>
      </c>
      <c r="Q339" t="s">
        <v>6232</v>
      </c>
      <c r="R339" t="s">
        <v>2536</v>
      </c>
      <c r="T339" t="s">
        <v>3860</v>
      </c>
      <c r="BI339" s="52" t="str">
        <f>HYPERLINK("#일위대가목록!A364","S02003W040 →")</f>
        <v>S02003W040 →</v>
      </c>
    </row>
    <row r="340" spans="1:61" ht="18.399999999999999" customHeight="1">
      <c r="A340" s="11" t="s">
        <v>1080</v>
      </c>
      <c r="B340" s="2" t="s">
        <v>2012</v>
      </c>
      <c r="C340" s="2">
        <v>1</v>
      </c>
      <c r="D340" s="2" t="s">
        <v>3909</v>
      </c>
      <c r="E340" s="29" t="e">
        <f>일위대가목록!#REF!</f>
        <v>#REF!</v>
      </c>
      <c r="F340" s="29" t="e">
        <f t="shared" si="31"/>
        <v>#REF!</v>
      </c>
      <c r="G340" s="29" t="e">
        <f>일위대가목록!#REF!</f>
        <v>#REF!</v>
      </c>
      <c r="H340" s="29" t="e">
        <f t="shared" si="32"/>
        <v>#REF!</v>
      </c>
      <c r="I340" s="29" t="e">
        <f>일위대가목록!#REF!</f>
        <v>#REF!</v>
      </c>
      <c r="J340" s="29" t="e">
        <f t="shared" si="33"/>
        <v>#REF!</v>
      </c>
      <c r="K340" s="29" t="e">
        <f t="shared" si="35"/>
        <v>#REF!</v>
      </c>
      <c r="L340" s="29" t="e">
        <f t="shared" si="34"/>
        <v>#REF!</v>
      </c>
      <c r="M340" s="20" t="s">
        <v>6232</v>
      </c>
      <c r="N340" t="s">
        <v>6232</v>
      </c>
      <c r="P340" t="s">
        <v>5099</v>
      </c>
      <c r="Q340" t="s">
        <v>6232</v>
      </c>
      <c r="R340" t="s">
        <v>3904</v>
      </c>
      <c r="T340" t="s">
        <v>3860</v>
      </c>
      <c r="BI340" s="52" t="str">
        <f>HYPERLINK("#일위대가목록!A365","S02003W040YA →")</f>
        <v>S02003W040YA →</v>
      </c>
    </row>
    <row r="341" spans="1:61" ht="18.399999999999999" customHeight="1">
      <c r="A341" s="11" t="s">
        <v>5681</v>
      </c>
      <c r="B341" s="2" t="s">
        <v>1993</v>
      </c>
      <c r="C341" s="2">
        <v>1</v>
      </c>
      <c r="D341" s="2" t="s">
        <v>3909</v>
      </c>
      <c r="E341" s="29" t="e">
        <f>일위대가목록!#REF!</f>
        <v>#REF!</v>
      </c>
      <c r="F341" s="29" t="e">
        <f t="shared" si="31"/>
        <v>#REF!</v>
      </c>
      <c r="G341" s="29" t="e">
        <f>일위대가목록!#REF!</f>
        <v>#REF!</v>
      </c>
      <c r="H341" s="29" t="e">
        <f t="shared" si="32"/>
        <v>#REF!</v>
      </c>
      <c r="I341" s="29" t="e">
        <f>일위대가목록!#REF!</f>
        <v>#REF!</v>
      </c>
      <c r="J341" s="29" t="e">
        <f t="shared" si="33"/>
        <v>#REF!</v>
      </c>
      <c r="K341" s="29" t="e">
        <f t="shared" si="35"/>
        <v>#REF!</v>
      </c>
      <c r="L341" s="29" t="e">
        <f t="shared" si="34"/>
        <v>#REF!</v>
      </c>
      <c r="M341" s="20" t="s">
        <v>6232</v>
      </c>
      <c r="N341" t="s">
        <v>6232</v>
      </c>
      <c r="P341" t="s">
        <v>3572</v>
      </c>
      <c r="Q341" t="s">
        <v>6232</v>
      </c>
      <c r="R341" t="s">
        <v>3140</v>
      </c>
      <c r="T341" t="s">
        <v>3860</v>
      </c>
      <c r="BI341" s="52" t="str">
        <f>HYPERLINK("#일위대가목록!A366","S02003W032 →")</f>
        <v>S02003W032 →</v>
      </c>
    </row>
    <row r="342" spans="1:61" ht="18.399999999999999" customHeight="1">
      <c r="A342" s="11" t="s">
        <v>1080</v>
      </c>
      <c r="B342" s="2" t="s">
        <v>1993</v>
      </c>
      <c r="C342" s="2">
        <v>1</v>
      </c>
      <c r="D342" s="2" t="s">
        <v>3909</v>
      </c>
      <c r="E342" s="29" t="e">
        <f>일위대가목록!#REF!</f>
        <v>#REF!</v>
      </c>
      <c r="F342" s="29" t="e">
        <f t="shared" si="31"/>
        <v>#REF!</v>
      </c>
      <c r="G342" s="29" t="e">
        <f>일위대가목록!#REF!</f>
        <v>#REF!</v>
      </c>
      <c r="H342" s="29" t="e">
        <f t="shared" si="32"/>
        <v>#REF!</v>
      </c>
      <c r="I342" s="29" t="e">
        <f>일위대가목록!#REF!</f>
        <v>#REF!</v>
      </c>
      <c r="J342" s="29" t="e">
        <f t="shared" si="33"/>
        <v>#REF!</v>
      </c>
      <c r="K342" s="29" t="e">
        <f t="shared" si="35"/>
        <v>#REF!</v>
      </c>
      <c r="L342" s="29" t="e">
        <f t="shared" si="34"/>
        <v>#REF!</v>
      </c>
      <c r="M342" s="20" t="s">
        <v>6232</v>
      </c>
      <c r="N342" t="s">
        <v>6232</v>
      </c>
      <c r="P342" t="s">
        <v>2218</v>
      </c>
      <c r="Q342" t="s">
        <v>6232</v>
      </c>
      <c r="R342" t="s">
        <v>2861</v>
      </c>
      <c r="T342" t="s">
        <v>3860</v>
      </c>
      <c r="BI342" s="52" t="str">
        <f>HYPERLINK("#일위대가목록!A367","S02003W032YA →")</f>
        <v>S02003W032YA →</v>
      </c>
    </row>
    <row r="343" spans="1:61" ht="18.399999999999999" customHeight="1">
      <c r="A343" s="11" t="s">
        <v>5681</v>
      </c>
      <c r="B343" s="2" t="s">
        <v>3967</v>
      </c>
      <c r="C343" s="2">
        <v>1</v>
      </c>
      <c r="D343" s="2" t="s">
        <v>3909</v>
      </c>
      <c r="E343" s="29" t="e">
        <f>일위대가목록!#REF!</f>
        <v>#REF!</v>
      </c>
      <c r="F343" s="29" t="e">
        <f t="shared" si="31"/>
        <v>#REF!</v>
      </c>
      <c r="G343" s="29" t="e">
        <f>일위대가목록!#REF!</f>
        <v>#REF!</v>
      </c>
      <c r="H343" s="29" t="e">
        <f t="shared" si="32"/>
        <v>#REF!</v>
      </c>
      <c r="I343" s="29" t="e">
        <f>일위대가목록!#REF!</f>
        <v>#REF!</v>
      </c>
      <c r="J343" s="29" t="e">
        <f t="shared" si="33"/>
        <v>#REF!</v>
      </c>
      <c r="K343" s="29" t="e">
        <f t="shared" si="35"/>
        <v>#REF!</v>
      </c>
      <c r="L343" s="29" t="e">
        <f t="shared" si="34"/>
        <v>#REF!</v>
      </c>
      <c r="M343" s="20" t="s">
        <v>6232</v>
      </c>
      <c r="N343" t="s">
        <v>6232</v>
      </c>
      <c r="P343" t="s">
        <v>713</v>
      </c>
      <c r="Q343" t="s">
        <v>6232</v>
      </c>
      <c r="R343" t="s">
        <v>2311</v>
      </c>
      <c r="T343" t="s">
        <v>3860</v>
      </c>
      <c r="BI343" s="52" t="str">
        <f>HYPERLINK("#일위대가목록!A368","S02003W025 →")</f>
        <v>S02003W025 →</v>
      </c>
    </row>
    <row r="344" spans="1:61" ht="18.399999999999999" customHeight="1">
      <c r="A344" s="11" t="s">
        <v>1080</v>
      </c>
      <c r="B344" s="2" t="s">
        <v>3967</v>
      </c>
      <c r="C344" s="2">
        <v>1</v>
      </c>
      <c r="D344" s="2" t="s">
        <v>3909</v>
      </c>
      <c r="E344" s="29" t="e">
        <f>일위대가목록!#REF!</f>
        <v>#REF!</v>
      </c>
      <c r="F344" s="29" t="e">
        <f t="shared" si="31"/>
        <v>#REF!</v>
      </c>
      <c r="G344" s="29" t="e">
        <f>일위대가목록!#REF!</f>
        <v>#REF!</v>
      </c>
      <c r="H344" s="29" t="e">
        <f t="shared" si="32"/>
        <v>#REF!</v>
      </c>
      <c r="I344" s="29" t="e">
        <f>일위대가목록!#REF!</f>
        <v>#REF!</v>
      </c>
      <c r="J344" s="29" t="e">
        <f t="shared" si="33"/>
        <v>#REF!</v>
      </c>
      <c r="K344" s="29" t="e">
        <f t="shared" si="35"/>
        <v>#REF!</v>
      </c>
      <c r="L344" s="29" t="e">
        <f t="shared" si="34"/>
        <v>#REF!</v>
      </c>
      <c r="M344" s="20" t="s">
        <v>6232</v>
      </c>
      <c r="N344" t="s">
        <v>6232</v>
      </c>
      <c r="P344" t="s">
        <v>296</v>
      </c>
      <c r="Q344" t="s">
        <v>6232</v>
      </c>
      <c r="R344" t="s">
        <v>3651</v>
      </c>
      <c r="T344" t="s">
        <v>3860</v>
      </c>
      <c r="BI344" s="52" t="str">
        <f>HYPERLINK("#일위대가목록!A369","S02003W025YA →")</f>
        <v>S02003W025YA →</v>
      </c>
    </row>
    <row r="345" spans="1:61" ht="18.399999999999999" customHeight="1">
      <c r="A345" s="11" t="s">
        <v>5681</v>
      </c>
      <c r="B345" s="2" t="s">
        <v>5596</v>
      </c>
      <c r="C345" s="2">
        <v>1</v>
      </c>
      <c r="D345" s="2" t="s">
        <v>3909</v>
      </c>
      <c r="E345" s="29" t="e">
        <f>일위대가목록!#REF!</f>
        <v>#REF!</v>
      </c>
      <c r="F345" s="29" t="e">
        <f t="shared" si="31"/>
        <v>#REF!</v>
      </c>
      <c r="G345" s="29" t="e">
        <f>일위대가목록!#REF!</f>
        <v>#REF!</v>
      </c>
      <c r="H345" s="29" t="e">
        <f t="shared" si="32"/>
        <v>#REF!</v>
      </c>
      <c r="I345" s="29" t="e">
        <f>일위대가목록!#REF!</f>
        <v>#REF!</v>
      </c>
      <c r="J345" s="29" t="e">
        <f t="shared" si="33"/>
        <v>#REF!</v>
      </c>
      <c r="K345" s="29" t="e">
        <f t="shared" si="35"/>
        <v>#REF!</v>
      </c>
      <c r="L345" s="29" t="e">
        <f t="shared" si="34"/>
        <v>#REF!</v>
      </c>
      <c r="M345" s="20" t="s">
        <v>6232</v>
      </c>
      <c r="N345" t="s">
        <v>6232</v>
      </c>
      <c r="P345" t="s">
        <v>1821</v>
      </c>
      <c r="Q345" t="s">
        <v>6232</v>
      </c>
      <c r="R345" t="s">
        <v>5821</v>
      </c>
      <c r="T345" t="s">
        <v>3860</v>
      </c>
      <c r="BI345" s="52" t="str">
        <f>HYPERLINK("#일위대가목록!A370","S02003W020 →")</f>
        <v>S02003W020 →</v>
      </c>
    </row>
    <row r="346" spans="1:61" ht="18.399999999999999" customHeight="1">
      <c r="A346" s="11" t="s">
        <v>1080</v>
      </c>
      <c r="B346" s="2" t="s">
        <v>5596</v>
      </c>
      <c r="C346" s="2">
        <v>1</v>
      </c>
      <c r="D346" s="2" t="s">
        <v>3909</v>
      </c>
      <c r="E346" s="29" t="e">
        <f>일위대가목록!#REF!</f>
        <v>#REF!</v>
      </c>
      <c r="F346" s="29" t="e">
        <f t="shared" si="31"/>
        <v>#REF!</v>
      </c>
      <c r="G346" s="29" t="e">
        <f>일위대가목록!#REF!</f>
        <v>#REF!</v>
      </c>
      <c r="H346" s="29" t="e">
        <f t="shared" si="32"/>
        <v>#REF!</v>
      </c>
      <c r="I346" s="29" t="e">
        <f>일위대가목록!#REF!</f>
        <v>#REF!</v>
      </c>
      <c r="J346" s="29" t="e">
        <f t="shared" si="33"/>
        <v>#REF!</v>
      </c>
      <c r="K346" s="29" t="e">
        <f t="shared" si="35"/>
        <v>#REF!</v>
      </c>
      <c r="L346" s="29" t="e">
        <f t="shared" si="34"/>
        <v>#REF!</v>
      </c>
      <c r="M346" s="20" t="s">
        <v>6232</v>
      </c>
      <c r="N346" t="s">
        <v>6232</v>
      </c>
      <c r="P346" t="s">
        <v>3471</v>
      </c>
      <c r="Q346" t="s">
        <v>6232</v>
      </c>
      <c r="R346" t="s">
        <v>3011</v>
      </c>
      <c r="T346" t="s">
        <v>3860</v>
      </c>
      <c r="BI346" s="52" t="str">
        <f>HYPERLINK("#일위대가목록!A371","S02003W020YA →")</f>
        <v>S02003W020YA →</v>
      </c>
    </row>
    <row r="347" spans="1:61" ht="18.399999999999999" customHeight="1">
      <c r="A347" s="11" t="s">
        <v>1544</v>
      </c>
      <c r="B347" s="2" t="s">
        <v>6232</v>
      </c>
      <c r="C347" s="2"/>
      <c r="D347" s="2" t="s">
        <v>6232</v>
      </c>
      <c r="E347" s="1"/>
      <c r="F347" s="29" t="e">
        <f>TRUNC(SUM(AF347:AF348),0)</f>
        <v>#REF!</v>
      </c>
      <c r="G347" s="1"/>
      <c r="H347" s="29" t="e">
        <f>TRUNC(SUM(AG347:AG348),0)</f>
        <v>#REF!</v>
      </c>
      <c r="I347" s="1"/>
      <c r="J347" s="29" t="e">
        <f>TRUNC(SUM(AH347:AH348),0)</f>
        <v>#REF!</v>
      </c>
      <c r="K347" s="29">
        <f t="shared" si="35"/>
        <v>0</v>
      </c>
      <c r="L347" s="29" t="e">
        <f t="shared" si="34"/>
        <v>#REF!</v>
      </c>
      <c r="M347" s="20" t="s">
        <v>6232</v>
      </c>
      <c r="N347" t="s">
        <v>6232</v>
      </c>
      <c r="P347" t="s">
        <v>5007</v>
      </c>
      <c r="Q347" t="s">
        <v>6232</v>
      </c>
      <c r="R347" t="s">
        <v>6232</v>
      </c>
      <c r="AF347" s="29" t="e">
        <f>F346+F345+F344+F343+F342+F341+F340+F339+F338+F337+F336+F335+F334+F333+F332+F331+F330+F329+F328+F327+F326+F325+F324+F323+F322+F321+F320+F319+F318+F317</f>
        <v>#REF!</v>
      </c>
      <c r="AG347" s="29" t="e">
        <f>H346+H345+H344+H343+H342+H341+H340+H339+H338+H337+H336+H335+H334+H333+H332+H331+H330+H329+H328+H327+H326+H325+H324+H323+H322+H321+H320+H319+H318+H317</f>
        <v>#REF!</v>
      </c>
      <c r="AH347" s="29" t="e">
        <f>J346+J345+J344+J343+J342+J341+J340+J339+J338+J337+J336+J335+J334+J333+J332+J331+J330+J329+J328+J327+J326+J325+J324+J323+J322+J321+J320+J319+J318+J317</f>
        <v>#REF!</v>
      </c>
    </row>
    <row r="348" spans="1:61" ht="18.399999999999999" customHeight="1">
      <c r="A348" s="11" t="s">
        <v>2495</v>
      </c>
      <c r="B348" s="2" t="s">
        <v>6232</v>
      </c>
      <c r="C348" s="2"/>
      <c r="D348" s="2" t="s">
        <v>6232</v>
      </c>
      <c r="E348" s="1"/>
      <c r="F348" s="29">
        <v>0</v>
      </c>
      <c r="G348" s="1"/>
      <c r="H348" s="29">
        <v>0</v>
      </c>
      <c r="I348" s="1"/>
      <c r="J348" s="29">
        <v>0</v>
      </c>
      <c r="K348" s="29">
        <f t="shared" si="35"/>
        <v>0</v>
      </c>
      <c r="L348" s="29">
        <f t="shared" si="34"/>
        <v>0</v>
      </c>
      <c r="M348" s="20" t="s">
        <v>6232</v>
      </c>
      <c r="N348" t="s">
        <v>6232</v>
      </c>
      <c r="P348" t="s">
        <v>215</v>
      </c>
      <c r="Q348" t="s">
        <v>6232</v>
      </c>
      <c r="R348" t="s">
        <v>6232</v>
      </c>
      <c r="AF348" s="29" t="e">
        <f>F316+F315+F314+F313+F312+F311+F310+F309+F308+F307+F306+F305+F304+F303</f>
        <v>#REF!</v>
      </c>
      <c r="AG348" s="29" t="e">
        <f>H316+H315+H314+H313+H312+H311+H310+H309+H308+H307+H306+H305+H304+H303</f>
        <v>#REF!</v>
      </c>
      <c r="AH348" s="29" t="e">
        <f>J316+J315+J314+J313+J312+J311+J310+J309+J308+J307+J306+J305+J304+J303</f>
        <v>#REF!</v>
      </c>
    </row>
    <row r="349" spans="1:61" ht="18.399999999999999" customHeight="1">
      <c r="A349" s="11" t="s">
        <v>4477</v>
      </c>
      <c r="B349" s="2" t="s">
        <v>6232</v>
      </c>
      <c r="C349" s="2"/>
      <c r="D349" s="2" t="s">
        <v>6232</v>
      </c>
      <c r="E349" s="1"/>
      <c r="F349" s="29">
        <v>0</v>
      </c>
      <c r="G349" s="1"/>
      <c r="H349" s="29">
        <v>0</v>
      </c>
      <c r="I349" s="1"/>
      <c r="J349" s="29">
        <v>0</v>
      </c>
      <c r="K349" s="29">
        <f t="shared" si="35"/>
        <v>0</v>
      </c>
      <c r="L349" s="29">
        <f t="shared" si="34"/>
        <v>0</v>
      </c>
      <c r="M349" s="20" t="s">
        <v>6232</v>
      </c>
      <c r="N349" t="s">
        <v>6232</v>
      </c>
      <c r="P349" t="s">
        <v>1715</v>
      </c>
      <c r="Q349" t="s">
        <v>6232</v>
      </c>
      <c r="R349" t="s">
        <v>6232</v>
      </c>
    </row>
    <row r="350" spans="1:61" ht="18.399999999999999" customHeight="1">
      <c r="A350" s="11" t="s">
        <v>4477</v>
      </c>
      <c r="B350" s="2" t="s">
        <v>2823</v>
      </c>
      <c r="C350" s="2">
        <v>1</v>
      </c>
      <c r="D350" s="2" t="s">
        <v>3909</v>
      </c>
      <c r="E350" s="29" t="e">
        <f>일위대가목록!#REF!</f>
        <v>#REF!</v>
      </c>
      <c r="F350" s="29" t="e">
        <f t="shared" ref="F350:F393" si="36">TRUNC(E350*C350,0)</f>
        <v>#REF!</v>
      </c>
      <c r="G350" s="29" t="e">
        <f>일위대가목록!#REF!</f>
        <v>#REF!</v>
      </c>
      <c r="H350" s="29" t="e">
        <f t="shared" ref="H350:H393" si="37">TRUNC(G350*C350,0)</f>
        <v>#REF!</v>
      </c>
      <c r="I350" s="29" t="e">
        <f>일위대가목록!#REF!</f>
        <v>#REF!</v>
      </c>
      <c r="J350" s="29" t="e">
        <f t="shared" ref="J350:J393" si="38">TRUNC(I350*C350,0)</f>
        <v>#REF!</v>
      </c>
      <c r="K350" s="29" t="e">
        <f t="shared" si="35"/>
        <v>#REF!</v>
      </c>
      <c r="L350" s="29" t="e">
        <f t="shared" si="34"/>
        <v>#REF!</v>
      </c>
      <c r="M350" s="20" t="s">
        <v>6232</v>
      </c>
      <c r="N350" t="s">
        <v>6232</v>
      </c>
      <c r="P350" t="s">
        <v>3365</v>
      </c>
      <c r="Q350" t="s">
        <v>6232</v>
      </c>
      <c r="R350" t="s">
        <v>3</v>
      </c>
      <c r="T350" t="s">
        <v>3860</v>
      </c>
      <c r="BI350" s="52" t="str">
        <f>HYPERLINK("#일위대가목록!A372","S00000W750 →")</f>
        <v>S00000W750 →</v>
      </c>
    </row>
    <row r="351" spans="1:61" ht="18.399999999999999" customHeight="1">
      <c r="A351" s="11" t="s">
        <v>3961</v>
      </c>
      <c r="B351" s="2" t="s">
        <v>2823</v>
      </c>
      <c r="C351" s="2">
        <v>1</v>
      </c>
      <c r="D351" s="2" t="s">
        <v>3909</v>
      </c>
      <c r="E351" s="29" t="e">
        <f>일위대가목록!#REF!</f>
        <v>#REF!</v>
      </c>
      <c r="F351" s="29" t="e">
        <f t="shared" si="36"/>
        <v>#REF!</v>
      </c>
      <c r="G351" s="29" t="e">
        <f>일위대가목록!#REF!</f>
        <v>#REF!</v>
      </c>
      <c r="H351" s="29" t="e">
        <f t="shared" si="37"/>
        <v>#REF!</v>
      </c>
      <c r="I351" s="29" t="e">
        <f>일위대가목록!#REF!</f>
        <v>#REF!</v>
      </c>
      <c r="J351" s="29" t="e">
        <f t="shared" si="38"/>
        <v>#REF!</v>
      </c>
      <c r="K351" s="29" t="e">
        <f t="shared" si="35"/>
        <v>#REF!</v>
      </c>
      <c r="L351" s="29" t="e">
        <f t="shared" si="34"/>
        <v>#REF!</v>
      </c>
      <c r="M351" s="20" t="s">
        <v>6232</v>
      </c>
      <c r="N351" t="s">
        <v>6232</v>
      </c>
      <c r="P351" t="s">
        <v>4902</v>
      </c>
      <c r="Q351" t="s">
        <v>6232</v>
      </c>
      <c r="R351" t="s">
        <v>2792</v>
      </c>
      <c r="T351" t="s">
        <v>3860</v>
      </c>
      <c r="BI351" s="52" t="str">
        <f>HYPERLINK("#일위대가목록!A373","S00000W750YA →")</f>
        <v>S00000W750YA →</v>
      </c>
    </row>
    <row r="352" spans="1:61" ht="18.399999999999999" customHeight="1">
      <c r="A352" s="11" t="s">
        <v>4477</v>
      </c>
      <c r="B352" s="2" t="s">
        <v>3826</v>
      </c>
      <c r="C352" s="2">
        <v>1</v>
      </c>
      <c r="D352" s="2" t="s">
        <v>3909</v>
      </c>
      <c r="E352" s="29" t="e">
        <f>일위대가목록!#REF!</f>
        <v>#REF!</v>
      </c>
      <c r="F352" s="29" t="e">
        <f t="shared" si="36"/>
        <v>#REF!</v>
      </c>
      <c r="G352" s="29" t="e">
        <f>일위대가목록!#REF!</f>
        <v>#REF!</v>
      </c>
      <c r="H352" s="29" t="e">
        <f t="shared" si="37"/>
        <v>#REF!</v>
      </c>
      <c r="I352" s="29" t="e">
        <f>일위대가목록!#REF!</f>
        <v>#REF!</v>
      </c>
      <c r="J352" s="29" t="e">
        <f t="shared" si="38"/>
        <v>#REF!</v>
      </c>
      <c r="K352" s="29" t="e">
        <f t="shared" si="35"/>
        <v>#REF!</v>
      </c>
      <c r="L352" s="29" t="e">
        <f t="shared" si="34"/>
        <v>#REF!</v>
      </c>
      <c r="M352" s="20" t="s">
        <v>6232</v>
      </c>
      <c r="N352" t="s">
        <v>6232</v>
      </c>
      <c r="P352" t="s">
        <v>112</v>
      </c>
      <c r="Q352" t="s">
        <v>6232</v>
      </c>
      <c r="R352" t="s">
        <v>1657</v>
      </c>
      <c r="T352" t="s">
        <v>3860</v>
      </c>
      <c r="BI352" s="52" t="str">
        <f>HYPERLINK("#일위대가목록!A374","S00000W700 →")</f>
        <v>S00000W700 →</v>
      </c>
    </row>
    <row r="353" spans="1:61" ht="18.399999999999999" customHeight="1">
      <c r="A353" s="11" t="s">
        <v>3961</v>
      </c>
      <c r="B353" s="2" t="s">
        <v>3826</v>
      </c>
      <c r="C353" s="2">
        <v>1</v>
      </c>
      <c r="D353" s="2" t="s">
        <v>3909</v>
      </c>
      <c r="E353" s="29" t="e">
        <f>일위대가목록!#REF!</f>
        <v>#REF!</v>
      </c>
      <c r="F353" s="29" t="e">
        <f t="shared" si="36"/>
        <v>#REF!</v>
      </c>
      <c r="G353" s="29" t="e">
        <f>일위대가목록!#REF!</f>
        <v>#REF!</v>
      </c>
      <c r="H353" s="29" t="e">
        <f t="shared" si="37"/>
        <v>#REF!</v>
      </c>
      <c r="I353" s="29" t="e">
        <f>일위대가목록!#REF!</f>
        <v>#REF!</v>
      </c>
      <c r="J353" s="29" t="e">
        <f t="shared" si="38"/>
        <v>#REF!</v>
      </c>
      <c r="K353" s="29" t="e">
        <f t="shared" si="35"/>
        <v>#REF!</v>
      </c>
      <c r="L353" s="29" t="e">
        <f t="shared" si="34"/>
        <v>#REF!</v>
      </c>
      <c r="M353" s="20" t="s">
        <v>6232</v>
      </c>
      <c r="N353" t="s">
        <v>6232</v>
      </c>
      <c r="P353" t="s">
        <v>1618</v>
      </c>
      <c r="Q353" t="s">
        <v>6232</v>
      </c>
      <c r="R353" t="s">
        <v>1681</v>
      </c>
      <c r="T353" t="s">
        <v>3860</v>
      </c>
      <c r="BI353" s="52" t="str">
        <f>HYPERLINK("#일위대가목록!A375","S00000W700YA →")</f>
        <v>S00000W700YA →</v>
      </c>
    </row>
    <row r="354" spans="1:61" ht="18.399999999999999" customHeight="1">
      <c r="A354" s="11" t="s">
        <v>4477</v>
      </c>
      <c r="B354" s="2" t="s">
        <v>397</v>
      </c>
      <c r="C354" s="2">
        <v>1</v>
      </c>
      <c r="D354" s="2" t="s">
        <v>3909</v>
      </c>
      <c r="E354" s="29" t="e">
        <f>일위대가목록!#REF!</f>
        <v>#REF!</v>
      </c>
      <c r="F354" s="29" t="e">
        <f t="shared" si="36"/>
        <v>#REF!</v>
      </c>
      <c r="G354" s="29" t="e">
        <f>일위대가목록!#REF!</f>
        <v>#REF!</v>
      </c>
      <c r="H354" s="29" t="e">
        <f t="shared" si="37"/>
        <v>#REF!</v>
      </c>
      <c r="I354" s="29" t="e">
        <f>일위대가목록!#REF!</f>
        <v>#REF!</v>
      </c>
      <c r="J354" s="29" t="e">
        <f t="shared" si="38"/>
        <v>#REF!</v>
      </c>
      <c r="K354" s="29" t="e">
        <f t="shared" si="35"/>
        <v>#REF!</v>
      </c>
      <c r="L354" s="29" t="e">
        <f t="shared" si="34"/>
        <v>#REF!</v>
      </c>
      <c r="M354" s="20" t="s">
        <v>6232</v>
      </c>
      <c r="N354" t="s">
        <v>6232</v>
      </c>
      <c r="P354" t="s">
        <v>1408</v>
      </c>
      <c r="Q354" t="s">
        <v>6232</v>
      </c>
      <c r="R354" t="s">
        <v>1322</v>
      </c>
      <c r="T354" t="s">
        <v>3860</v>
      </c>
      <c r="BI354" s="52" t="str">
        <f>HYPERLINK("#일위대가목록!A376","S00000W650 →")</f>
        <v>S00000W650 →</v>
      </c>
    </row>
    <row r="355" spans="1:61" ht="18.399999999999999" customHeight="1">
      <c r="A355" s="11" t="s">
        <v>3961</v>
      </c>
      <c r="B355" s="2" t="s">
        <v>397</v>
      </c>
      <c r="C355" s="2">
        <v>1</v>
      </c>
      <c r="D355" s="2" t="s">
        <v>3909</v>
      </c>
      <c r="E355" s="29" t="e">
        <f>일위대가목록!#REF!</f>
        <v>#REF!</v>
      </c>
      <c r="F355" s="29" t="e">
        <f t="shared" si="36"/>
        <v>#REF!</v>
      </c>
      <c r="G355" s="29" t="e">
        <f>일위대가목록!#REF!</f>
        <v>#REF!</v>
      </c>
      <c r="H355" s="29" t="e">
        <f t="shared" si="37"/>
        <v>#REF!</v>
      </c>
      <c r="I355" s="29" t="e">
        <f>일위대가목록!#REF!</f>
        <v>#REF!</v>
      </c>
      <c r="J355" s="29" t="e">
        <f t="shared" si="38"/>
        <v>#REF!</v>
      </c>
      <c r="K355" s="29" t="e">
        <f t="shared" si="35"/>
        <v>#REF!</v>
      </c>
      <c r="L355" s="29" t="e">
        <f t="shared" si="34"/>
        <v>#REF!</v>
      </c>
      <c r="M355" s="20" t="s">
        <v>6232</v>
      </c>
      <c r="N355" t="s">
        <v>6232</v>
      </c>
      <c r="P355" t="s">
        <v>2968</v>
      </c>
      <c r="Q355" t="s">
        <v>6232</v>
      </c>
      <c r="R355" t="s">
        <v>4753</v>
      </c>
      <c r="T355" t="s">
        <v>3860</v>
      </c>
      <c r="BI355" s="52" t="str">
        <f>HYPERLINK("#일위대가목록!A377","S00000W650YA →")</f>
        <v>S00000W650YA →</v>
      </c>
    </row>
    <row r="356" spans="1:61" ht="18.399999999999999" customHeight="1">
      <c r="A356" s="11" t="s">
        <v>4477</v>
      </c>
      <c r="B356" s="2" t="s">
        <v>6105</v>
      </c>
      <c r="C356" s="2">
        <v>1</v>
      </c>
      <c r="D356" s="2" t="s">
        <v>3909</v>
      </c>
      <c r="E356" s="29" t="e">
        <f>일위대가목록!#REF!</f>
        <v>#REF!</v>
      </c>
      <c r="F356" s="29" t="e">
        <f t="shared" si="36"/>
        <v>#REF!</v>
      </c>
      <c r="G356" s="29" t="e">
        <f>일위대가목록!#REF!</f>
        <v>#REF!</v>
      </c>
      <c r="H356" s="29" t="e">
        <f t="shared" si="37"/>
        <v>#REF!</v>
      </c>
      <c r="I356" s="29" t="e">
        <f>일위대가목록!#REF!</f>
        <v>#REF!</v>
      </c>
      <c r="J356" s="29" t="e">
        <f t="shared" si="38"/>
        <v>#REF!</v>
      </c>
      <c r="K356" s="29" t="e">
        <f t="shared" si="35"/>
        <v>#REF!</v>
      </c>
      <c r="L356" s="29" t="e">
        <f t="shared" si="34"/>
        <v>#REF!</v>
      </c>
      <c r="M356" s="20" t="s">
        <v>6232</v>
      </c>
      <c r="N356" t="s">
        <v>6232</v>
      </c>
      <c r="P356" t="s">
        <v>4466</v>
      </c>
      <c r="Q356" t="s">
        <v>6232</v>
      </c>
      <c r="R356" t="s">
        <v>2746</v>
      </c>
      <c r="T356" t="s">
        <v>3860</v>
      </c>
      <c r="BI356" s="52" t="str">
        <f>HYPERLINK("#일위대가목록!A378","S00000W600 →")</f>
        <v>S00000W600 →</v>
      </c>
    </row>
    <row r="357" spans="1:61" ht="18.399999999999999" customHeight="1">
      <c r="A357" s="11" t="s">
        <v>3961</v>
      </c>
      <c r="B357" s="2" t="s">
        <v>6105</v>
      </c>
      <c r="C357" s="2">
        <v>1</v>
      </c>
      <c r="D357" s="2" t="s">
        <v>3909</v>
      </c>
      <c r="E357" s="29" t="e">
        <f>일위대가목록!#REF!</f>
        <v>#REF!</v>
      </c>
      <c r="F357" s="29" t="e">
        <f t="shared" si="36"/>
        <v>#REF!</v>
      </c>
      <c r="G357" s="29" t="e">
        <f>일위대가목록!#REF!</f>
        <v>#REF!</v>
      </c>
      <c r="H357" s="29" t="e">
        <f t="shared" si="37"/>
        <v>#REF!</v>
      </c>
      <c r="I357" s="29" t="e">
        <f>일위대가목록!#REF!</f>
        <v>#REF!</v>
      </c>
      <c r="J357" s="29" t="e">
        <f t="shared" si="38"/>
        <v>#REF!</v>
      </c>
      <c r="K357" s="29" t="e">
        <f t="shared" si="35"/>
        <v>#REF!</v>
      </c>
      <c r="L357" s="29" t="e">
        <f t="shared" si="34"/>
        <v>#REF!</v>
      </c>
      <c r="M357" s="20" t="s">
        <v>6232</v>
      </c>
      <c r="N357" t="s">
        <v>6232</v>
      </c>
      <c r="P357" t="s">
        <v>6059</v>
      </c>
      <c r="Q357" t="s">
        <v>6232</v>
      </c>
      <c r="R357" t="s">
        <v>5988</v>
      </c>
      <c r="T357" t="s">
        <v>3860</v>
      </c>
      <c r="BI357" s="52" t="str">
        <f>HYPERLINK("#일위대가목록!A379","S00000W600YA →")</f>
        <v>S00000W600YA →</v>
      </c>
    </row>
    <row r="358" spans="1:61" ht="18.399999999999999" customHeight="1">
      <c r="A358" s="11" t="s">
        <v>4477</v>
      </c>
      <c r="B358" s="2" t="s">
        <v>6191</v>
      </c>
      <c r="C358" s="2">
        <v>1</v>
      </c>
      <c r="D358" s="2" t="s">
        <v>3909</v>
      </c>
      <c r="E358" s="29" t="e">
        <f>일위대가목록!#REF!</f>
        <v>#REF!</v>
      </c>
      <c r="F358" s="29" t="e">
        <f t="shared" si="36"/>
        <v>#REF!</v>
      </c>
      <c r="G358" s="29" t="e">
        <f>일위대가목록!#REF!</f>
        <v>#REF!</v>
      </c>
      <c r="H358" s="29" t="e">
        <f t="shared" si="37"/>
        <v>#REF!</v>
      </c>
      <c r="I358" s="29" t="e">
        <f>일위대가목록!#REF!</f>
        <v>#REF!</v>
      </c>
      <c r="J358" s="29" t="e">
        <f t="shared" si="38"/>
        <v>#REF!</v>
      </c>
      <c r="K358" s="29" t="e">
        <f t="shared" si="35"/>
        <v>#REF!</v>
      </c>
      <c r="L358" s="29" t="e">
        <f t="shared" si="34"/>
        <v>#REF!</v>
      </c>
      <c r="M358" s="20" t="s">
        <v>6232</v>
      </c>
      <c r="N358" t="s">
        <v>6232</v>
      </c>
      <c r="P358" t="s">
        <v>1482</v>
      </c>
      <c r="Q358" t="s">
        <v>6232</v>
      </c>
      <c r="R358" t="s">
        <v>2663</v>
      </c>
      <c r="T358" t="s">
        <v>3860</v>
      </c>
      <c r="BI358" s="52" t="str">
        <f>HYPERLINK("#일위대가목록!A380","S00000W550 →")</f>
        <v>S00000W550 →</v>
      </c>
    </row>
    <row r="359" spans="1:61" ht="18.399999999999999" customHeight="1">
      <c r="A359" s="11" t="s">
        <v>3961</v>
      </c>
      <c r="B359" s="2" t="s">
        <v>6191</v>
      </c>
      <c r="C359" s="2">
        <v>1</v>
      </c>
      <c r="D359" s="2" t="s">
        <v>3909</v>
      </c>
      <c r="E359" s="29" t="e">
        <f>일위대가목록!#REF!</f>
        <v>#REF!</v>
      </c>
      <c r="F359" s="29" t="e">
        <f t="shared" si="36"/>
        <v>#REF!</v>
      </c>
      <c r="G359" s="29" t="e">
        <f>일위대가목록!#REF!</f>
        <v>#REF!</v>
      </c>
      <c r="H359" s="29" t="e">
        <f t="shared" si="37"/>
        <v>#REF!</v>
      </c>
      <c r="I359" s="29" t="e">
        <f>일위대가목록!#REF!</f>
        <v>#REF!</v>
      </c>
      <c r="J359" s="29" t="e">
        <f t="shared" si="38"/>
        <v>#REF!</v>
      </c>
      <c r="K359" s="29" t="e">
        <f t="shared" si="35"/>
        <v>#REF!</v>
      </c>
      <c r="L359" s="29" t="e">
        <f t="shared" si="34"/>
        <v>#REF!</v>
      </c>
      <c r="M359" s="20" t="s">
        <v>6232</v>
      </c>
      <c r="N359" t="s">
        <v>6232</v>
      </c>
      <c r="P359" t="s">
        <v>3061</v>
      </c>
      <c r="Q359" t="s">
        <v>6232</v>
      </c>
      <c r="R359" t="s">
        <v>481</v>
      </c>
      <c r="T359" t="s">
        <v>3860</v>
      </c>
      <c r="BI359" s="52" t="str">
        <f>HYPERLINK("#일위대가목록!A381","S00000W550YA →")</f>
        <v>S00000W550YA →</v>
      </c>
    </row>
    <row r="360" spans="1:61" ht="18.399999999999999" customHeight="1">
      <c r="A360" s="11" t="s">
        <v>4477</v>
      </c>
      <c r="B360" s="2" t="s">
        <v>524</v>
      </c>
      <c r="C360" s="2">
        <v>1</v>
      </c>
      <c r="D360" s="2" t="s">
        <v>3909</v>
      </c>
      <c r="E360" s="29" t="e">
        <f>일위대가목록!#REF!</f>
        <v>#REF!</v>
      </c>
      <c r="F360" s="29" t="e">
        <f t="shared" si="36"/>
        <v>#REF!</v>
      </c>
      <c r="G360" s="29" t="e">
        <f>일위대가목록!#REF!</f>
        <v>#REF!</v>
      </c>
      <c r="H360" s="29" t="e">
        <f t="shared" si="37"/>
        <v>#REF!</v>
      </c>
      <c r="I360" s="29" t="e">
        <f>일위대가목록!#REF!</f>
        <v>#REF!</v>
      </c>
      <c r="J360" s="29" t="e">
        <f t="shared" si="38"/>
        <v>#REF!</v>
      </c>
      <c r="K360" s="29" t="e">
        <f t="shared" si="35"/>
        <v>#REF!</v>
      </c>
      <c r="L360" s="29" t="e">
        <f t="shared" si="34"/>
        <v>#REF!</v>
      </c>
      <c r="M360" s="20" t="s">
        <v>6232</v>
      </c>
      <c r="N360" t="s">
        <v>6232</v>
      </c>
      <c r="P360" t="s">
        <v>4551</v>
      </c>
      <c r="Q360" t="s">
        <v>6232</v>
      </c>
      <c r="R360" t="s">
        <v>1032</v>
      </c>
      <c r="T360" t="s">
        <v>3860</v>
      </c>
      <c r="BI360" s="52" t="str">
        <f>HYPERLINK("#일위대가목록!A382","S00000W500 →")</f>
        <v>S00000W500 →</v>
      </c>
    </row>
    <row r="361" spans="1:61" ht="18.399999999999999" customHeight="1">
      <c r="A361" s="11" t="s">
        <v>3961</v>
      </c>
      <c r="B361" s="2" t="s">
        <v>524</v>
      </c>
      <c r="C361" s="2">
        <v>1</v>
      </c>
      <c r="D361" s="2" t="s">
        <v>3909</v>
      </c>
      <c r="E361" s="29" t="e">
        <f>일위대가목록!#REF!</f>
        <v>#REF!</v>
      </c>
      <c r="F361" s="29" t="e">
        <f t="shared" si="36"/>
        <v>#REF!</v>
      </c>
      <c r="G361" s="29" t="e">
        <f>일위대가목록!#REF!</f>
        <v>#REF!</v>
      </c>
      <c r="H361" s="29" t="e">
        <f t="shared" si="37"/>
        <v>#REF!</v>
      </c>
      <c r="I361" s="29" t="e">
        <f>일위대가목록!#REF!</f>
        <v>#REF!</v>
      </c>
      <c r="J361" s="29" t="e">
        <f t="shared" si="38"/>
        <v>#REF!</v>
      </c>
      <c r="K361" s="29" t="e">
        <f t="shared" si="35"/>
        <v>#REF!</v>
      </c>
      <c r="L361" s="29" t="e">
        <f t="shared" si="34"/>
        <v>#REF!</v>
      </c>
      <c r="M361" s="20" t="s">
        <v>6232</v>
      </c>
      <c r="N361" t="s">
        <v>6232</v>
      </c>
      <c r="P361" t="s">
        <v>6161</v>
      </c>
      <c r="Q361" t="s">
        <v>6232</v>
      </c>
      <c r="R361" t="s">
        <v>933</v>
      </c>
      <c r="T361" t="s">
        <v>3860</v>
      </c>
      <c r="BI361" s="52" t="str">
        <f>HYPERLINK("#일위대가목록!A383","S00000W500YA →")</f>
        <v>S00000W500YA →</v>
      </c>
    </row>
    <row r="362" spans="1:61" ht="18.399999999999999" customHeight="1">
      <c r="A362" s="11" t="s">
        <v>4477</v>
      </c>
      <c r="B362" s="2" t="s">
        <v>3764</v>
      </c>
      <c r="C362" s="2">
        <v>1</v>
      </c>
      <c r="D362" s="2" t="s">
        <v>3909</v>
      </c>
      <c r="E362" s="29" t="e">
        <f>일위대가목록!#REF!</f>
        <v>#REF!</v>
      </c>
      <c r="F362" s="29" t="e">
        <f t="shared" si="36"/>
        <v>#REF!</v>
      </c>
      <c r="G362" s="29" t="e">
        <f>일위대가목록!#REF!</f>
        <v>#REF!</v>
      </c>
      <c r="H362" s="29" t="e">
        <f t="shared" si="37"/>
        <v>#REF!</v>
      </c>
      <c r="I362" s="29" t="e">
        <f>일위대가목록!#REF!</f>
        <v>#REF!</v>
      </c>
      <c r="J362" s="29" t="e">
        <f t="shared" si="38"/>
        <v>#REF!</v>
      </c>
      <c r="K362" s="29" t="e">
        <f t="shared" si="35"/>
        <v>#REF!</v>
      </c>
      <c r="L362" s="29" t="e">
        <f t="shared" si="34"/>
        <v>#REF!</v>
      </c>
      <c r="M362" s="20" t="s">
        <v>6232</v>
      </c>
      <c r="N362" t="s">
        <v>6232</v>
      </c>
      <c r="P362" t="s">
        <v>1200</v>
      </c>
      <c r="Q362" t="s">
        <v>6232</v>
      </c>
      <c r="R362" t="s">
        <v>2150</v>
      </c>
      <c r="T362" t="s">
        <v>3860</v>
      </c>
      <c r="BI362" s="52" t="str">
        <f>HYPERLINK("#일위대가목록!A384","S00000W450 →")</f>
        <v>S00000W450 →</v>
      </c>
    </row>
    <row r="363" spans="1:61" ht="18.399999999999999" customHeight="1">
      <c r="A363" s="11" t="s">
        <v>3961</v>
      </c>
      <c r="B363" s="2" t="s">
        <v>3764</v>
      </c>
      <c r="C363" s="2">
        <v>1</v>
      </c>
      <c r="D363" s="2" t="s">
        <v>3909</v>
      </c>
      <c r="E363" s="29" t="e">
        <f>일위대가목록!#REF!</f>
        <v>#REF!</v>
      </c>
      <c r="F363" s="29" t="e">
        <f t="shared" si="36"/>
        <v>#REF!</v>
      </c>
      <c r="G363" s="29" t="e">
        <f>일위대가목록!#REF!</f>
        <v>#REF!</v>
      </c>
      <c r="H363" s="29" t="e">
        <f t="shared" si="37"/>
        <v>#REF!</v>
      </c>
      <c r="I363" s="29" t="e">
        <f>일위대가목록!#REF!</f>
        <v>#REF!</v>
      </c>
      <c r="J363" s="29" t="e">
        <f t="shared" si="38"/>
        <v>#REF!</v>
      </c>
      <c r="K363" s="29" t="e">
        <f t="shared" si="35"/>
        <v>#REF!</v>
      </c>
      <c r="L363" s="29" t="e">
        <f t="shared" si="34"/>
        <v>#REF!</v>
      </c>
      <c r="M363" s="20" t="s">
        <v>6232</v>
      </c>
      <c r="N363" t="s">
        <v>6232</v>
      </c>
      <c r="P363" t="s">
        <v>2768</v>
      </c>
      <c r="Q363" t="s">
        <v>6232</v>
      </c>
      <c r="R363" t="s">
        <v>3983</v>
      </c>
      <c r="T363" t="s">
        <v>3860</v>
      </c>
      <c r="BI363" s="52" t="str">
        <f>HYPERLINK("#일위대가목록!A385","S00000W450YA →")</f>
        <v>S00000W450YA →</v>
      </c>
    </row>
    <row r="364" spans="1:61" ht="18.399999999999999" customHeight="1">
      <c r="A364" s="11" t="s">
        <v>4477</v>
      </c>
      <c r="B364" s="2" t="s">
        <v>2715</v>
      </c>
      <c r="C364" s="2">
        <v>1</v>
      </c>
      <c r="D364" s="2" t="s">
        <v>3909</v>
      </c>
      <c r="E364" s="29" t="e">
        <f>일위대가목록!#REF!</f>
        <v>#REF!</v>
      </c>
      <c r="F364" s="29" t="e">
        <f t="shared" si="36"/>
        <v>#REF!</v>
      </c>
      <c r="G364" s="29" t="e">
        <f>일위대가목록!#REF!</f>
        <v>#REF!</v>
      </c>
      <c r="H364" s="29" t="e">
        <f t="shared" si="37"/>
        <v>#REF!</v>
      </c>
      <c r="I364" s="29" t="e">
        <f>일위대가목록!#REF!</f>
        <v>#REF!</v>
      </c>
      <c r="J364" s="29" t="e">
        <f t="shared" si="38"/>
        <v>#REF!</v>
      </c>
      <c r="K364" s="29" t="e">
        <f t="shared" si="35"/>
        <v>#REF!</v>
      </c>
      <c r="L364" s="29" t="e">
        <f t="shared" si="34"/>
        <v>#REF!</v>
      </c>
      <c r="M364" s="20" t="s">
        <v>6232</v>
      </c>
      <c r="N364" t="s">
        <v>6232</v>
      </c>
      <c r="P364" t="s">
        <v>173</v>
      </c>
      <c r="Q364" t="s">
        <v>6232</v>
      </c>
      <c r="R364" t="s">
        <v>680</v>
      </c>
      <c r="T364" t="s">
        <v>3860</v>
      </c>
      <c r="BI364" s="52" t="str">
        <f>HYPERLINK("#일위대가목록!A386","S00000W400 →")</f>
        <v>S00000W400 →</v>
      </c>
    </row>
    <row r="365" spans="1:61" ht="18.399999999999999" customHeight="1">
      <c r="A365" s="11" t="s">
        <v>3961</v>
      </c>
      <c r="B365" s="2" t="s">
        <v>2715</v>
      </c>
      <c r="C365" s="2">
        <v>1</v>
      </c>
      <c r="D365" s="2" t="s">
        <v>3909</v>
      </c>
      <c r="E365" s="29" t="e">
        <f>일위대가목록!#REF!</f>
        <v>#REF!</v>
      </c>
      <c r="F365" s="29" t="e">
        <f t="shared" si="36"/>
        <v>#REF!</v>
      </c>
      <c r="G365" s="29" t="e">
        <f>일위대가목록!#REF!</f>
        <v>#REF!</v>
      </c>
      <c r="H365" s="29" t="e">
        <f t="shared" si="37"/>
        <v>#REF!</v>
      </c>
      <c r="I365" s="29" t="e">
        <f>일위대가목록!#REF!</f>
        <v>#REF!</v>
      </c>
      <c r="J365" s="29" t="e">
        <f t="shared" si="38"/>
        <v>#REF!</v>
      </c>
      <c r="K365" s="29" t="e">
        <f t="shared" si="35"/>
        <v>#REF!</v>
      </c>
      <c r="L365" s="29" t="e">
        <f t="shared" si="34"/>
        <v>#REF!</v>
      </c>
      <c r="M365" s="20" t="s">
        <v>6232</v>
      </c>
      <c r="N365" t="s">
        <v>6232</v>
      </c>
      <c r="P365" t="s">
        <v>1686</v>
      </c>
      <c r="Q365" t="s">
        <v>6232</v>
      </c>
      <c r="R365" t="s">
        <v>3662</v>
      </c>
      <c r="T365" t="s">
        <v>3860</v>
      </c>
      <c r="BI365" s="52" t="str">
        <f>HYPERLINK("#일위대가목록!A387","S00000W400YA →")</f>
        <v>S00000W400YA →</v>
      </c>
    </row>
    <row r="366" spans="1:61" ht="18.399999999999999" customHeight="1">
      <c r="A366" s="11" t="s">
        <v>4477</v>
      </c>
      <c r="B366" s="2" t="s">
        <v>809</v>
      </c>
      <c r="C366" s="2">
        <v>1</v>
      </c>
      <c r="D366" s="2" t="s">
        <v>3909</v>
      </c>
      <c r="E366" s="29" t="e">
        <f>일위대가목록!#REF!</f>
        <v>#REF!</v>
      </c>
      <c r="F366" s="29" t="e">
        <f t="shared" si="36"/>
        <v>#REF!</v>
      </c>
      <c r="G366" s="29" t="e">
        <f>일위대가목록!#REF!</f>
        <v>#REF!</v>
      </c>
      <c r="H366" s="29" t="e">
        <f t="shared" si="37"/>
        <v>#REF!</v>
      </c>
      <c r="I366" s="29" t="e">
        <f>일위대가목록!#REF!</f>
        <v>#REF!</v>
      </c>
      <c r="J366" s="29" t="e">
        <f t="shared" si="38"/>
        <v>#REF!</v>
      </c>
      <c r="K366" s="29" t="e">
        <f t="shared" si="35"/>
        <v>#REF!</v>
      </c>
      <c r="L366" s="29" t="e">
        <f t="shared" si="34"/>
        <v>#REF!</v>
      </c>
      <c r="M366" s="20" t="s">
        <v>6232</v>
      </c>
      <c r="N366" t="s">
        <v>6232</v>
      </c>
      <c r="P366" t="s">
        <v>3225</v>
      </c>
      <c r="Q366" t="s">
        <v>6232</v>
      </c>
      <c r="R366" t="s">
        <v>5354</v>
      </c>
      <c r="T366" t="s">
        <v>3860</v>
      </c>
      <c r="BI366" s="52" t="str">
        <f>HYPERLINK("#일위대가목록!A388","S00000W350 →")</f>
        <v>S00000W350 →</v>
      </c>
    </row>
    <row r="367" spans="1:61" ht="18.399999999999999" customHeight="1">
      <c r="A367" s="11" t="s">
        <v>3961</v>
      </c>
      <c r="B367" s="2" t="s">
        <v>809</v>
      </c>
      <c r="C367" s="2">
        <v>1</v>
      </c>
      <c r="D367" s="2" t="s">
        <v>3909</v>
      </c>
      <c r="E367" s="29" t="e">
        <f>일위대가목록!#REF!</f>
        <v>#REF!</v>
      </c>
      <c r="F367" s="29" t="e">
        <f t="shared" si="36"/>
        <v>#REF!</v>
      </c>
      <c r="G367" s="29" t="e">
        <f>일위대가목록!#REF!</f>
        <v>#REF!</v>
      </c>
      <c r="H367" s="29" t="e">
        <f t="shared" si="37"/>
        <v>#REF!</v>
      </c>
      <c r="I367" s="29" t="e">
        <f>일위대가목록!#REF!</f>
        <v>#REF!</v>
      </c>
      <c r="J367" s="29" t="e">
        <f t="shared" si="38"/>
        <v>#REF!</v>
      </c>
      <c r="K367" s="29" t="e">
        <f t="shared" si="35"/>
        <v>#REF!</v>
      </c>
      <c r="L367" s="29" t="e">
        <f t="shared" si="34"/>
        <v>#REF!</v>
      </c>
      <c r="M367" s="20" t="s">
        <v>6232</v>
      </c>
      <c r="N367" t="s">
        <v>6232</v>
      </c>
      <c r="P367" t="s">
        <v>4771</v>
      </c>
      <c r="Q367" t="s">
        <v>6232</v>
      </c>
      <c r="R367" t="s">
        <v>4376</v>
      </c>
      <c r="T367" t="s">
        <v>3860</v>
      </c>
      <c r="BI367" s="52" t="str">
        <f>HYPERLINK("#일위대가목록!A389","S00000W350YA →")</f>
        <v>S00000W350YA →</v>
      </c>
    </row>
    <row r="368" spans="1:61" ht="18.399999999999999" customHeight="1">
      <c r="A368" s="11" t="s">
        <v>4477</v>
      </c>
      <c r="B368" s="2" t="s">
        <v>4894</v>
      </c>
      <c r="C368" s="2">
        <v>1</v>
      </c>
      <c r="D368" s="2" t="s">
        <v>3909</v>
      </c>
      <c r="E368" s="29" t="e">
        <f>일위대가목록!#REF!</f>
        <v>#REF!</v>
      </c>
      <c r="F368" s="29" t="e">
        <f t="shared" si="36"/>
        <v>#REF!</v>
      </c>
      <c r="G368" s="29" t="e">
        <f>일위대가목록!#REF!</f>
        <v>#REF!</v>
      </c>
      <c r="H368" s="29" t="e">
        <f t="shared" si="37"/>
        <v>#REF!</v>
      </c>
      <c r="I368" s="29" t="e">
        <f>일위대가목록!#REF!</f>
        <v>#REF!</v>
      </c>
      <c r="J368" s="29" t="e">
        <f t="shared" si="38"/>
        <v>#REF!</v>
      </c>
      <c r="K368" s="29" t="e">
        <f t="shared" si="35"/>
        <v>#REF!</v>
      </c>
      <c r="L368" s="29" t="e">
        <f t="shared" si="34"/>
        <v>#REF!</v>
      </c>
      <c r="M368" s="20" t="s">
        <v>6232</v>
      </c>
      <c r="N368" t="s">
        <v>6232</v>
      </c>
      <c r="P368" t="s">
        <v>70</v>
      </c>
      <c r="Q368" t="s">
        <v>6232</v>
      </c>
      <c r="R368" t="s">
        <v>3727</v>
      </c>
      <c r="T368" t="s">
        <v>3860</v>
      </c>
      <c r="BI368" s="52" t="str">
        <f>HYPERLINK("#일위대가목록!A390","S00000W300 →")</f>
        <v>S00000W300 →</v>
      </c>
    </row>
    <row r="369" spans="1:61" ht="18.399999999999999" customHeight="1">
      <c r="A369" s="11" t="s">
        <v>3961</v>
      </c>
      <c r="B369" s="2" t="s">
        <v>4894</v>
      </c>
      <c r="C369" s="2">
        <v>1</v>
      </c>
      <c r="D369" s="2" t="s">
        <v>3909</v>
      </c>
      <c r="E369" s="29" t="e">
        <f>일위대가목록!#REF!</f>
        <v>#REF!</v>
      </c>
      <c r="F369" s="29" t="e">
        <f t="shared" si="36"/>
        <v>#REF!</v>
      </c>
      <c r="G369" s="29" t="e">
        <f>일위대가목록!#REF!</f>
        <v>#REF!</v>
      </c>
      <c r="H369" s="29" t="e">
        <f t="shared" si="37"/>
        <v>#REF!</v>
      </c>
      <c r="I369" s="29" t="e">
        <f>일위대가목록!#REF!</f>
        <v>#REF!</v>
      </c>
      <c r="J369" s="29" t="e">
        <f t="shared" si="38"/>
        <v>#REF!</v>
      </c>
      <c r="K369" s="29" t="e">
        <f t="shared" si="35"/>
        <v>#REF!</v>
      </c>
      <c r="L369" s="29" t="e">
        <f t="shared" si="34"/>
        <v>#REF!</v>
      </c>
      <c r="M369" s="20" t="s">
        <v>6232</v>
      </c>
      <c r="N369" t="s">
        <v>6232</v>
      </c>
      <c r="P369" t="s">
        <v>1583</v>
      </c>
      <c r="Q369" t="s">
        <v>6232</v>
      </c>
      <c r="R369" t="s">
        <v>3233</v>
      </c>
      <c r="T369" t="s">
        <v>3860</v>
      </c>
      <c r="BI369" s="52" t="str">
        <f>HYPERLINK("#일위대가목록!A391","S00000W300YA →")</f>
        <v>S00000W300YA →</v>
      </c>
    </row>
    <row r="370" spans="1:61" ht="18.399999999999999" customHeight="1">
      <c r="A370" s="11" t="s">
        <v>4477</v>
      </c>
      <c r="B370" s="2" t="s">
        <v>1701</v>
      </c>
      <c r="C370" s="2">
        <v>1</v>
      </c>
      <c r="D370" s="2" t="s">
        <v>3909</v>
      </c>
      <c r="E370" s="29" t="e">
        <f>일위대가목록!#REF!</f>
        <v>#REF!</v>
      </c>
      <c r="F370" s="29" t="e">
        <f t="shared" si="36"/>
        <v>#REF!</v>
      </c>
      <c r="G370" s="29" t="e">
        <f>일위대가목록!#REF!</f>
        <v>#REF!</v>
      </c>
      <c r="H370" s="29" t="e">
        <f t="shared" si="37"/>
        <v>#REF!</v>
      </c>
      <c r="I370" s="29" t="e">
        <f>일위대가목록!#REF!</f>
        <v>#REF!</v>
      </c>
      <c r="J370" s="29" t="e">
        <f t="shared" si="38"/>
        <v>#REF!</v>
      </c>
      <c r="K370" s="29" t="e">
        <f t="shared" si="35"/>
        <v>#REF!</v>
      </c>
      <c r="L370" s="29" t="e">
        <f t="shared" si="34"/>
        <v>#REF!</v>
      </c>
      <c r="M370" s="20" t="s">
        <v>6232</v>
      </c>
      <c r="N370" t="s">
        <v>6232</v>
      </c>
      <c r="P370" t="s">
        <v>3106</v>
      </c>
      <c r="Q370" t="s">
        <v>6232</v>
      </c>
      <c r="R370" t="s">
        <v>5725</v>
      </c>
      <c r="T370" t="s">
        <v>3860</v>
      </c>
      <c r="BI370" s="52" t="str">
        <f>HYPERLINK("#일위대가목록!A392","S00000W250 →")</f>
        <v>S00000W250 →</v>
      </c>
    </row>
    <row r="371" spans="1:61" ht="18.399999999999999" customHeight="1">
      <c r="A371" s="11" t="s">
        <v>3961</v>
      </c>
      <c r="B371" s="2" t="s">
        <v>1701</v>
      </c>
      <c r="C371" s="2">
        <v>1</v>
      </c>
      <c r="D371" s="2" t="s">
        <v>3909</v>
      </c>
      <c r="E371" s="29" t="e">
        <f>일위대가목록!#REF!</f>
        <v>#REF!</v>
      </c>
      <c r="F371" s="29" t="e">
        <f t="shared" si="36"/>
        <v>#REF!</v>
      </c>
      <c r="G371" s="29" t="e">
        <f>일위대가목록!#REF!</f>
        <v>#REF!</v>
      </c>
      <c r="H371" s="29" t="e">
        <f t="shared" si="37"/>
        <v>#REF!</v>
      </c>
      <c r="I371" s="29" t="e">
        <f>일위대가목록!#REF!</f>
        <v>#REF!</v>
      </c>
      <c r="J371" s="29" t="e">
        <f t="shared" si="38"/>
        <v>#REF!</v>
      </c>
      <c r="K371" s="29" t="e">
        <f t="shared" si="35"/>
        <v>#REF!</v>
      </c>
      <c r="L371" s="29" t="e">
        <f t="shared" si="34"/>
        <v>#REF!</v>
      </c>
      <c r="M371" s="20" t="s">
        <v>6232</v>
      </c>
      <c r="N371" t="s">
        <v>6232</v>
      </c>
      <c r="P371" t="s">
        <v>4647</v>
      </c>
      <c r="Q371" t="s">
        <v>6232</v>
      </c>
      <c r="R371" t="s">
        <v>103</v>
      </c>
      <c r="T371" t="s">
        <v>3860</v>
      </c>
      <c r="BI371" s="52" t="str">
        <f>HYPERLINK("#일위대가목록!A393","S00000W250YA →")</f>
        <v>S00000W250YA →</v>
      </c>
    </row>
    <row r="372" spans="1:61" ht="18.399999999999999" customHeight="1">
      <c r="A372" s="11" t="s">
        <v>4477</v>
      </c>
      <c r="B372" s="2" t="s">
        <v>4196</v>
      </c>
      <c r="C372" s="2">
        <v>1</v>
      </c>
      <c r="D372" s="2" t="s">
        <v>3909</v>
      </c>
      <c r="E372" s="29" t="e">
        <f>일위대가목록!#REF!</f>
        <v>#REF!</v>
      </c>
      <c r="F372" s="29" t="e">
        <f t="shared" si="36"/>
        <v>#REF!</v>
      </c>
      <c r="G372" s="29" t="e">
        <f>일위대가목록!#REF!</f>
        <v>#REF!</v>
      </c>
      <c r="H372" s="29" t="e">
        <f t="shared" si="37"/>
        <v>#REF!</v>
      </c>
      <c r="I372" s="29" t="e">
        <f>일위대가목록!#REF!</f>
        <v>#REF!</v>
      </c>
      <c r="J372" s="29" t="e">
        <f t="shared" si="38"/>
        <v>#REF!</v>
      </c>
      <c r="K372" s="29" t="e">
        <f t="shared" si="35"/>
        <v>#REF!</v>
      </c>
      <c r="L372" s="29" t="e">
        <f t="shared" si="34"/>
        <v>#REF!</v>
      </c>
      <c r="M372" s="20" t="s">
        <v>6232</v>
      </c>
      <c r="N372" t="s">
        <v>6232</v>
      </c>
      <c r="P372" t="s">
        <v>338</v>
      </c>
      <c r="Q372" t="s">
        <v>6232</v>
      </c>
      <c r="R372" t="s">
        <v>4227</v>
      </c>
      <c r="T372" t="s">
        <v>3860</v>
      </c>
      <c r="BI372" s="52" t="str">
        <f>HYPERLINK("#일위대가목록!A394","S00000W200 →")</f>
        <v>S00000W200 →</v>
      </c>
    </row>
    <row r="373" spans="1:61" ht="18.399999999999999" customHeight="1">
      <c r="A373" s="11" t="s">
        <v>3961</v>
      </c>
      <c r="B373" s="2" t="s">
        <v>4196</v>
      </c>
      <c r="C373" s="2">
        <v>1</v>
      </c>
      <c r="D373" s="2" t="s">
        <v>3909</v>
      </c>
      <c r="E373" s="29" t="e">
        <f>일위대가목록!#REF!</f>
        <v>#REF!</v>
      </c>
      <c r="F373" s="29" t="e">
        <f t="shared" si="36"/>
        <v>#REF!</v>
      </c>
      <c r="G373" s="29" t="e">
        <f>일위대가목록!#REF!</f>
        <v>#REF!</v>
      </c>
      <c r="H373" s="29" t="e">
        <f t="shared" si="37"/>
        <v>#REF!</v>
      </c>
      <c r="I373" s="29" t="e">
        <f>일위대가목록!#REF!</f>
        <v>#REF!</v>
      </c>
      <c r="J373" s="29" t="e">
        <f t="shared" si="38"/>
        <v>#REF!</v>
      </c>
      <c r="K373" s="29" t="e">
        <f t="shared" si="35"/>
        <v>#REF!</v>
      </c>
      <c r="L373" s="29" t="e">
        <f t="shared" si="34"/>
        <v>#REF!</v>
      </c>
      <c r="M373" s="20" t="s">
        <v>6232</v>
      </c>
      <c r="N373" t="s">
        <v>6232</v>
      </c>
      <c r="P373" t="s">
        <v>1861</v>
      </c>
      <c r="Q373" t="s">
        <v>6232</v>
      </c>
      <c r="R373" t="s">
        <v>1289</v>
      </c>
      <c r="T373" t="s">
        <v>3860</v>
      </c>
      <c r="BI373" s="52" t="str">
        <f>HYPERLINK("#일위대가목록!A395","S00000W200YA →")</f>
        <v>S00000W200YA →</v>
      </c>
    </row>
    <row r="374" spans="1:61" ht="18.399999999999999" customHeight="1">
      <c r="A374" s="11" t="s">
        <v>4477</v>
      </c>
      <c r="B374" s="2" t="s">
        <v>4124</v>
      </c>
      <c r="C374" s="2">
        <v>1</v>
      </c>
      <c r="D374" s="2" t="s">
        <v>3909</v>
      </c>
      <c r="E374" s="29" t="e">
        <f>일위대가목록!#REF!</f>
        <v>#REF!</v>
      </c>
      <c r="F374" s="29" t="e">
        <f t="shared" si="36"/>
        <v>#REF!</v>
      </c>
      <c r="G374" s="29" t="e">
        <f>일위대가목록!#REF!</f>
        <v>#REF!</v>
      </c>
      <c r="H374" s="29" t="e">
        <f t="shared" si="37"/>
        <v>#REF!</v>
      </c>
      <c r="I374" s="29" t="e">
        <f>일위대가목록!#REF!</f>
        <v>#REF!</v>
      </c>
      <c r="J374" s="29" t="e">
        <f t="shared" si="38"/>
        <v>#REF!</v>
      </c>
      <c r="K374" s="29" t="e">
        <f t="shared" si="35"/>
        <v>#REF!</v>
      </c>
      <c r="L374" s="29" t="e">
        <f t="shared" si="34"/>
        <v>#REF!</v>
      </c>
      <c r="M374" s="20" t="s">
        <v>6232</v>
      </c>
      <c r="N374" t="s">
        <v>6232</v>
      </c>
      <c r="P374" t="s">
        <v>1166</v>
      </c>
      <c r="Q374" t="s">
        <v>6232</v>
      </c>
      <c r="R374" t="s">
        <v>4338</v>
      </c>
      <c r="T374" t="s">
        <v>3860</v>
      </c>
      <c r="BI374" s="52" t="str">
        <f>HYPERLINK("#일위대가목록!A396","S00000W150 →")</f>
        <v>S00000W150 →</v>
      </c>
    </row>
    <row r="375" spans="1:61" ht="18.399999999999999" customHeight="1">
      <c r="A375" s="11" t="s">
        <v>3961</v>
      </c>
      <c r="B375" s="2" t="s">
        <v>4124</v>
      </c>
      <c r="C375" s="2">
        <v>1</v>
      </c>
      <c r="D375" s="2" t="s">
        <v>3909</v>
      </c>
      <c r="E375" s="29" t="e">
        <f>일위대가목록!#REF!</f>
        <v>#REF!</v>
      </c>
      <c r="F375" s="29" t="e">
        <f t="shared" si="36"/>
        <v>#REF!</v>
      </c>
      <c r="G375" s="29" t="e">
        <f>일위대가목록!#REF!</f>
        <v>#REF!</v>
      </c>
      <c r="H375" s="29" t="e">
        <f t="shared" si="37"/>
        <v>#REF!</v>
      </c>
      <c r="I375" s="29" t="e">
        <f>일위대가목록!#REF!</f>
        <v>#REF!</v>
      </c>
      <c r="J375" s="29" t="e">
        <f t="shared" si="38"/>
        <v>#REF!</v>
      </c>
      <c r="K375" s="29" t="e">
        <f t="shared" si="35"/>
        <v>#REF!</v>
      </c>
      <c r="L375" s="29" t="e">
        <f t="shared" si="34"/>
        <v>#REF!</v>
      </c>
      <c r="M375" s="20" t="s">
        <v>6232</v>
      </c>
      <c r="N375" t="s">
        <v>6232</v>
      </c>
      <c r="P375" t="s">
        <v>2733</v>
      </c>
      <c r="Q375" t="s">
        <v>6232</v>
      </c>
      <c r="R375" t="s">
        <v>5155</v>
      </c>
      <c r="T375" t="s">
        <v>3860</v>
      </c>
      <c r="BI375" s="52" t="str">
        <f>HYPERLINK("#일위대가목록!A397","S00000W150YA →")</f>
        <v>S00000W150YA →</v>
      </c>
    </row>
    <row r="376" spans="1:61" ht="18.399999999999999" customHeight="1">
      <c r="A376" s="11" t="s">
        <v>4477</v>
      </c>
      <c r="B376" s="2" t="s">
        <v>2533</v>
      </c>
      <c r="C376" s="2">
        <v>1</v>
      </c>
      <c r="D376" s="2" t="s">
        <v>3909</v>
      </c>
      <c r="E376" s="29" t="e">
        <f>일위대가목록!#REF!</f>
        <v>#REF!</v>
      </c>
      <c r="F376" s="29" t="e">
        <f t="shared" si="36"/>
        <v>#REF!</v>
      </c>
      <c r="G376" s="29" t="e">
        <f>일위대가목록!#REF!</f>
        <v>#REF!</v>
      </c>
      <c r="H376" s="29" t="e">
        <f t="shared" si="37"/>
        <v>#REF!</v>
      </c>
      <c r="I376" s="29" t="e">
        <f>일위대가목록!#REF!</f>
        <v>#REF!</v>
      </c>
      <c r="J376" s="29" t="e">
        <f t="shared" si="38"/>
        <v>#REF!</v>
      </c>
      <c r="K376" s="29" t="e">
        <f t="shared" si="35"/>
        <v>#REF!</v>
      </c>
      <c r="L376" s="29" t="e">
        <f t="shared" si="34"/>
        <v>#REF!</v>
      </c>
      <c r="M376" s="20" t="s">
        <v>6232</v>
      </c>
      <c r="N376" t="s">
        <v>6232</v>
      </c>
      <c r="P376" t="s">
        <v>4342</v>
      </c>
      <c r="Q376" t="s">
        <v>6232</v>
      </c>
      <c r="R376" t="s">
        <v>6072</v>
      </c>
      <c r="T376" t="s">
        <v>3860</v>
      </c>
      <c r="BI376" s="52" t="str">
        <f>HYPERLINK("#일위대가목록!A398","S00000W125 →")</f>
        <v>S00000W125 →</v>
      </c>
    </row>
    <row r="377" spans="1:61" ht="18.399999999999999" customHeight="1">
      <c r="A377" s="11" t="s">
        <v>3961</v>
      </c>
      <c r="B377" s="2" t="s">
        <v>2533</v>
      </c>
      <c r="C377" s="2">
        <v>1</v>
      </c>
      <c r="D377" s="2" t="s">
        <v>3909</v>
      </c>
      <c r="E377" s="29" t="e">
        <f>일위대가목록!#REF!</f>
        <v>#REF!</v>
      </c>
      <c r="F377" s="29" t="e">
        <f t="shared" si="36"/>
        <v>#REF!</v>
      </c>
      <c r="G377" s="29" t="e">
        <f>일위대가목록!#REF!</f>
        <v>#REF!</v>
      </c>
      <c r="H377" s="29" t="e">
        <f t="shared" si="37"/>
        <v>#REF!</v>
      </c>
      <c r="I377" s="29" t="e">
        <f>일위대가목록!#REF!</f>
        <v>#REF!</v>
      </c>
      <c r="J377" s="29" t="e">
        <f t="shared" si="38"/>
        <v>#REF!</v>
      </c>
      <c r="K377" s="29" t="e">
        <f t="shared" si="35"/>
        <v>#REF!</v>
      </c>
      <c r="L377" s="29" t="e">
        <f t="shared" si="34"/>
        <v>#REF!</v>
      </c>
      <c r="M377" s="20" t="s">
        <v>6232</v>
      </c>
      <c r="N377" t="s">
        <v>6232</v>
      </c>
      <c r="P377" t="s">
        <v>5916</v>
      </c>
      <c r="Q377" t="s">
        <v>6232</v>
      </c>
      <c r="R377" t="s">
        <v>3239</v>
      </c>
      <c r="T377" t="s">
        <v>3860</v>
      </c>
      <c r="BI377" s="52" t="str">
        <f>HYPERLINK("#일위대가목록!A399","S00000W125YA →")</f>
        <v>S00000W125YA →</v>
      </c>
    </row>
    <row r="378" spans="1:61" ht="18.399999999999999" customHeight="1">
      <c r="A378" s="11" t="s">
        <v>4477</v>
      </c>
      <c r="B378" s="2" t="s">
        <v>1572</v>
      </c>
      <c r="C378" s="2">
        <v>1</v>
      </c>
      <c r="D378" s="2" t="s">
        <v>3909</v>
      </c>
      <c r="E378" s="29" t="e">
        <f>일위대가목록!#REF!</f>
        <v>#REF!</v>
      </c>
      <c r="F378" s="29" t="e">
        <f t="shared" si="36"/>
        <v>#REF!</v>
      </c>
      <c r="G378" s="29" t="e">
        <f>일위대가목록!#REF!</f>
        <v>#REF!</v>
      </c>
      <c r="H378" s="29" t="e">
        <f t="shared" si="37"/>
        <v>#REF!</v>
      </c>
      <c r="I378" s="29" t="e">
        <f>일위대가목록!#REF!</f>
        <v>#REF!</v>
      </c>
      <c r="J378" s="29" t="e">
        <f t="shared" si="38"/>
        <v>#REF!</v>
      </c>
      <c r="K378" s="29" t="e">
        <f t="shared" si="35"/>
        <v>#REF!</v>
      </c>
      <c r="L378" s="29" t="e">
        <f t="shared" si="34"/>
        <v>#REF!</v>
      </c>
      <c r="M378" s="20" t="s">
        <v>6232</v>
      </c>
      <c r="N378" t="s">
        <v>6232</v>
      </c>
      <c r="P378" t="s">
        <v>1254</v>
      </c>
      <c r="Q378" t="s">
        <v>6232</v>
      </c>
      <c r="R378" t="s">
        <v>6019</v>
      </c>
      <c r="T378" t="s">
        <v>3860</v>
      </c>
      <c r="BI378" s="52" t="str">
        <f>HYPERLINK("#일위대가목록!A400","S00000W100 →")</f>
        <v>S00000W100 →</v>
      </c>
    </row>
    <row r="379" spans="1:61" ht="18.399999999999999" customHeight="1">
      <c r="A379" s="11" t="s">
        <v>3961</v>
      </c>
      <c r="B379" s="2" t="s">
        <v>1572</v>
      </c>
      <c r="C379" s="2">
        <v>1</v>
      </c>
      <c r="D379" s="2" t="s">
        <v>3909</v>
      </c>
      <c r="E379" s="29" t="e">
        <f>일위대가목록!#REF!</f>
        <v>#REF!</v>
      </c>
      <c r="F379" s="29" t="e">
        <f t="shared" si="36"/>
        <v>#REF!</v>
      </c>
      <c r="G379" s="29" t="e">
        <f>일위대가목록!#REF!</f>
        <v>#REF!</v>
      </c>
      <c r="H379" s="29" t="e">
        <f t="shared" si="37"/>
        <v>#REF!</v>
      </c>
      <c r="I379" s="29" t="e">
        <f>일위대가목록!#REF!</f>
        <v>#REF!</v>
      </c>
      <c r="J379" s="29" t="e">
        <f t="shared" si="38"/>
        <v>#REF!</v>
      </c>
      <c r="K379" s="29" t="e">
        <f t="shared" si="35"/>
        <v>#REF!</v>
      </c>
      <c r="L379" s="29" t="e">
        <f t="shared" si="34"/>
        <v>#REF!</v>
      </c>
      <c r="M379" s="20" t="s">
        <v>6232</v>
      </c>
      <c r="N379" t="s">
        <v>6232</v>
      </c>
      <c r="P379" t="s">
        <v>2810</v>
      </c>
      <c r="Q379" t="s">
        <v>6232</v>
      </c>
      <c r="R379" t="s">
        <v>5600</v>
      </c>
      <c r="T379" t="s">
        <v>3860</v>
      </c>
      <c r="BI379" s="52" t="str">
        <f>HYPERLINK("#일위대가목록!A401","S00000W100YA →")</f>
        <v>S00000W100YA →</v>
      </c>
    </row>
    <row r="380" spans="1:61" ht="18.399999999999999" customHeight="1">
      <c r="A380" s="11" t="s">
        <v>4477</v>
      </c>
      <c r="B380" s="2" t="s">
        <v>1160</v>
      </c>
      <c r="C380" s="2">
        <v>1</v>
      </c>
      <c r="D380" s="2" t="s">
        <v>3909</v>
      </c>
      <c r="E380" s="29" t="e">
        <f>일위대가목록!#REF!</f>
        <v>#REF!</v>
      </c>
      <c r="F380" s="29" t="e">
        <f t="shared" si="36"/>
        <v>#REF!</v>
      </c>
      <c r="G380" s="29" t="e">
        <f>일위대가목록!#REF!</f>
        <v>#REF!</v>
      </c>
      <c r="H380" s="29" t="e">
        <f t="shared" si="37"/>
        <v>#REF!</v>
      </c>
      <c r="I380" s="29" t="e">
        <f>일위대가목록!#REF!</f>
        <v>#REF!</v>
      </c>
      <c r="J380" s="29" t="e">
        <f t="shared" si="38"/>
        <v>#REF!</v>
      </c>
      <c r="K380" s="29" t="e">
        <f t="shared" si="35"/>
        <v>#REF!</v>
      </c>
      <c r="L380" s="29" t="e">
        <f t="shared" si="34"/>
        <v>#REF!</v>
      </c>
      <c r="M380" s="20" t="s">
        <v>6232</v>
      </c>
      <c r="N380" t="s">
        <v>6232</v>
      </c>
      <c r="P380" t="s">
        <v>4408</v>
      </c>
      <c r="Q380" t="s">
        <v>6232</v>
      </c>
      <c r="R380" t="s">
        <v>4853</v>
      </c>
      <c r="T380" t="s">
        <v>3860</v>
      </c>
      <c r="BI380" s="52" t="str">
        <f>HYPERLINK("#일위대가목록!A402","S00000W080 →")</f>
        <v>S00000W080 →</v>
      </c>
    </row>
    <row r="381" spans="1:61" ht="18.399999999999999" customHeight="1">
      <c r="A381" s="11" t="s">
        <v>3961</v>
      </c>
      <c r="B381" s="2" t="s">
        <v>1160</v>
      </c>
      <c r="C381" s="2">
        <v>1</v>
      </c>
      <c r="D381" s="2" t="s">
        <v>3909</v>
      </c>
      <c r="E381" s="29" t="e">
        <f>일위대가목록!#REF!</f>
        <v>#REF!</v>
      </c>
      <c r="F381" s="29" t="e">
        <f t="shared" si="36"/>
        <v>#REF!</v>
      </c>
      <c r="G381" s="29" t="e">
        <f>일위대가목록!#REF!</f>
        <v>#REF!</v>
      </c>
      <c r="H381" s="29" t="e">
        <f t="shared" si="37"/>
        <v>#REF!</v>
      </c>
      <c r="I381" s="29" t="e">
        <f>일위대가목록!#REF!</f>
        <v>#REF!</v>
      </c>
      <c r="J381" s="29" t="e">
        <f t="shared" si="38"/>
        <v>#REF!</v>
      </c>
      <c r="K381" s="29" t="e">
        <f t="shared" si="35"/>
        <v>#REF!</v>
      </c>
      <c r="L381" s="29" t="e">
        <f t="shared" si="34"/>
        <v>#REF!</v>
      </c>
      <c r="M381" s="20" t="s">
        <v>6232</v>
      </c>
      <c r="N381" t="s">
        <v>6232</v>
      </c>
      <c r="P381" t="s">
        <v>6012</v>
      </c>
      <c r="Q381" t="s">
        <v>6232</v>
      </c>
      <c r="R381" t="s">
        <v>4485</v>
      </c>
      <c r="T381" t="s">
        <v>3860</v>
      </c>
      <c r="BI381" s="52" t="str">
        <f>HYPERLINK("#일위대가목록!A403","S00000W080YA →")</f>
        <v>S00000W080YA →</v>
      </c>
    </row>
    <row r="382" spans="1:61" ht="18.399999999999999" customHeight="1">
      <c r="A382" s="11" t="s">
        <v>4477</v>
      </c>
      <c r="B382" s="2" t="s">
        <v>3058</v>
      </c>
      <c r="C382" s="2">
        <v>1</v>
      </c>
      <c r="D382" s="2" t="s">
        <v>3909</v>
      </c>
      <c r="E382" s="29" t="e">
        <f>일위대가목록!#REF!</f>
        <v>#REF!</v>
      </c>
      <c r="F382" s="29" t="e">
        <f t="shared" si="36"/>
        <v>#REF!</v>
      </c>
      <c r="G382" s="29" t="e">
        <f>일위대가목록!#REF!</f>
        <v>#REF!</v>
      </c>
      <c r="H382" s="29" t="e">
        <f t="shared" si="37"/>
        <v>#REF!</v>
      </c>
      <c r="I382" s="29" t="e">
        <f>일위대가목록!#REF!</f>
        <v>#REF!</v>
      </c>
      <c r="J382" s="29" t="e">
        <f t="shared" si="38"/>
        <v>#REF!</v>
      </c>
      <c r="K382" s="29" t="e">
        <f t="shared" si="35"/>
        <v>#REF!</v>
      </c>
      <c r="L382" s="29" t="e">
        <f t="shared" si="34"/>
        <v>#REF!</v>
      </c>
      <c r="M382" s="20" t="s">
        <v>6232</v>
      </c>
      <c r="N382" t="s">
        <v>6232</v>
      </c>
      <c r="P382" t="s">
        <v>1345</v>
      </c>
      <c r="Q382" t="s">
        <v>6232</v>
      </c>
      <c r="R382" t="s">
        <v>4884</v>
      </c>
      <c r="T382" t="s">
        <v>3860</v>
      </c>
      <c r="BI382" s="52" t="str">
        <f>HYPERLINK("#일위대가목록!A404","S00000W065 →")</f>
        <v>S00000W065 →</v>
      </c>
    </row>
    <row r="383" spans="1:61" ht="18.399999999999999" customHeight="1">
      <c r="A383" s="11" t="s">
        <v>3961</v>
      </c>
      <c r="B383" s="2" t="s">
        <v>3058</v>
      </c>
      <c r="C383" s="2">
        <v>1</v>
      </c>
      <c r="D383" s="2" t="s">
        <v>3909</v>
      </c>
      <c r="E383" s="29" t="e">
        <f>일위대가목록!#REF!</f>
        <v>#REF!</v>
      </c>
      <c r="F383" s="29" t="e">
        <f t="shared" si="36"/>
        <v>#REF!</v>
      </c>
      <c r="G383" s="29" t="e">
        <f>일위대가목록!#REF!</f>
        <v>#REF!</v>
      </c>
      <c r="H383" s="29" t="e">
        <f t="shared" si="37"/>
        <v>#REF!</v>
      </c>
      <c r="I383" s="29" t="e">
        <f>일위대가목록!#REF!</f>
        <v>#REF!</v>
      </c>
      <c r="J383" s="29" t="e">
        <f t="shared" si="38"/>
        <v>#REF!</v>
      </c>
      <c r="K383" s="29" t="e">
        <f t="shared" si="35"/>
        <v>#REF!</v>
      </c>
      <c r="L383" s="29" t="e">
        <f t="shared" si="34"/>
        <v>#REF!</v>
      </c>
      <c r="M383" s="20" t="s">
        <v>6232</v>
      </c>
      <c r="N383" t="s">
        <v>6232</v>
      </c>
      <c r="P383" t="s">
        <v>2919</v>
      </c>
      <c r="Q383" t="s">
        <v>6232</v>
      </c>
      <c r="R383" t="s">
        <v>2359</v>
      </c>
      <c r="T383" t="s">
        <v>3860</v>
      </c>
      <c r="BI383" s="52" t="str">
        <f>HYPERLINK("#일위대가목록!A405","S00000W065YA →")</f>
        <v>S00000W065YA →</v>
      </c>
    </row>
    <row r="384" spans="1:61" ht="18.399999999999999" customHeight="1">
      <c r="A384" s="11" t="s">
        <v>4477</v>
      </c>
      <c r="B384" s="2" t="s">
        <v>2393</v>
      </c>
      <c r="C384" s="2">
        <v>1</v>
      </c>
      <c r="D384" s="2" t="s">
        <v>3909</v>
      </c>
      <c r="E384" s="29" t="e">
        <f>일위대가목록!#REF!</f>
        <v>#REF!</v>
      </c>
      <c r="F384" s="29" t="e">
        <f t="shared" si="36"/>
        <v>#REF!</v>
      </c>
      <c r="G384" s="29" t="e">
        <f>일위대가목록!#REF!</f>
        <v>#REF!</v>
      </c>
      <c r="H384" s="29" t="e">
        <f t="shared" si="37"/>
        <v>#REF!</v>
      </c>
      <c r="I384" s="29" t="e">
        <f>일위대가목록!#REF!</f>
        <v>#REF!</v>
      </c>
      <c r="J384" s="29" t="e">
        <f t="shared" si="38"/>
        <v>#REF!</v>
      </c>
      <c r="K384" s="29" t="e">
        <f t="shared" si="35"/>
        <v>#REF!</v>
      </c>
      <c r="L384" s="29" t="e">
        <f t="shared" si="34"/>
        <v>#REF!</v>
      </c>
      <c r="M384" s="20" t="s">
        <v>6232</v>
      </c>
      <c r="N384" t="s">
        <v>6232</v>
      </c>
      <c r="P384" t="s">
        <v>1939</v>
      </c>
      <c r="Q384" t="s">
        <v>6232</v>
      </c>
      <c r="R384" t="s">
        <v>3202</v>
      </c>
      <c r="T384" t="s">
        <v>3860</v>
      </c>
      <c r="BI384" s="52" t="str">
        <f>HYPERLINK("#일위대가목록!A406","S00000W050 →")</f>
        <v>S00000W050 →</v>
      </c>
    </row>
    <row r="385" spans="1:61" ht="18.399999999999999" customHeight="1">
      <c r="A385" s="11" t="s">
        <v>3961</v>
      </c>
      <c r="B385" s="2" t="s">
        <v>2393</v>
      </c>
      <c r="C385" s="2">
        <v>1</v>
      </c>
      <c r="D385" s="2" t="s">
        <v>3909</v>
      </c>
      <c r="E385" s="29" t="e">
        <f>일위대가목록!#REF!</f>
        <v>#REF!</v>
      </c>
      <c r="F385" s="29" t="e">
        <f t="shared" si="36"/>
        <v>#REF!</v>
      </c>
      <c r="G385" s="29" t="e">
        <f>일위대가목록!#REF!</f>
        <v>#REF!</v>
      </c>
      <c r="H385" s="29" t="e">
        <f t="shared" si="37"/>
        <v>#REF!</v>
      </c>
      <c r="I385" s="29" t="e">
        <f>일위대가목록!#REF!</f>
        <v>#REF!</v>
      </c>
      <c r="J385" s="29" t="e">
        <f t="shared" si="38"/>
        <v>#REF!</v>
      </c>
      <c r="K385" s="29" t="e">
        <f t="shared" si="35"/>
        <v>#REF!</v>
      </c>
      <c r="L385" s="29" t="e">
        <f t="shared" si="34"/>
        <v>#REF!</v>
      </c>
      <c r="M385" s="20" t="s">
        <v>6232</v>
      </c>
      <c r="N385" t="s">
        <v>6232</v>
      </c>
      <c r="P385" t="s">
        <v>375</v>
      </c>
      <c r="Q385" t="s">
        <v>6232</v>
      </c>
      <c r="R385" t="s">
        <v>2433</v>
      </c>
      <c r="T385" t="s">
        <v>3860</v>
      </c>
      <c r="BI385" s="52" t="str">
        <f>HYPERLINK("#일위대가목록!A407","S00000W050YA →")</f>
        <v>S00000W050YA →</v>
      </c>
    </row>
    <row r="386" spans="1:61" ht="18.399999999999999" customHeight="1">
      <c r="A386" s="11" t="s">
        <v>4477</v>
      </c>
      <c r="B386" s="2" t="s">
        <v>2012</v>
      </c>
      <c r="C386" s="2">
        <v>1</v>
      </c>
      <c r="D386" s="2" t="s">
        <v>3909</v>
      </c>
      <c r="E386" s="29" t="e">
        <f>일위대가목록!#REF!</f>
        <v>#REF!</v>
      </c>
      <c r="F386" s="29" t="e">
        <f t="shared" si="36"/>
        <v>#REF!</v>
      </c>
      <c r="G386" s="29" t="e">
        <f>일위대가목록!#REF!</f>
        <v>#REF!</v>
      </c>
      <c r="H386" s="29" t="e">
        <f t="shared" si="37"/>
        <v>#REF!</v>
      </c>
      <c r="I386" s="29" t="e">
        <f>일위대가목록!#REF!</f>
        <v>#REF!</v>
      </c>
      <c r="J386" s="29" t="e">
        <f t="shared" si="38"/>
        <v>#REF!</v>
      </c>
      <c r="K386" s="29" t="e">
        <f t="shared" si="35"/>
        <v>#REF!</v>
      </c>
      <c r="L386" s="29" t="e">
        <f t="shared" si="34"/>
        <v>#REF!</v>
      </c>
      <c r="M386" s="20" t="s">
        <v>6232</v>
      </c>
      <c r="N386" t="s">
        <v>6232</v>
      </c>
      <c r="P386" t="s">
        <v>5112</v>
      </c>
      <c r="Q386" t="s">
        <v>6232</v>
      </c>
      <c r="R386" t="s">
        <v>4750</v>
      </c>
      <c r="T386" t="s">
        <v>3860</v>
      </c>
      <c r="BI386" s="52" t="str">
        <f>HYPERLINK("#일위대가목록!A408","S00000W040 →")</f>
        <v>S00000W040 →</v>
      </c>
    </row>
    <row r="387" spans="1:61" ht="18.399999999999999" customHeight="1">
      <c r="A387" s="11" t="s">
        <v>3961</v>
      </c>
      <c r="B387" s="2" t="s">
        <v>2012</v>
      </c>
      <c r="C387" s="2">
        <v>1</v>
      </c>
      <c r="D387" s="2" t="s">
        <v>3909</v>
      </c>
      <c r="E387" s="29" t="e">
        <f>일위대가목록!#REF!</f>
        <v>#REF!</v>
      </c>
      <c r="F387" s="29" t="e">
        <f t="shared" si="36"/>
        <v>#REF!</v>
      </c>
      <c r="G387" s="29" t="e">
        <f>일위대가목록!#REF!</f>
        <v>#REF!</v>
      </c>
      <c r="H387" s="29" t="e">
        <f t="shared" si="37"/>
        <v>#REF!</v>
      </c>
      <c r="I387" s="29" t="e">
        <f>일위대가목록!#REF!</f>
        <v>#REF!</v>
      </c>
      <c r="J387" s="29" t="e">
        <f t="shared" si="38"/>
        <v>#REF!</v>
      </c>
      <c r="K387" s="29" t="e">
        <f t="shared" si="35"/>
        <v>#REF!</v>
      </c>
      <c r="L387" s="29" t="e">
        <f t="shared" si="34"/>
        <v>#REF!</v>
      </c>
      <c r="M387" s="20" t="s">
        <v>6232</v>
      </c>
      <c r="N387" t="s">
        <v>6232</v>
      </c>
      <c r="P387" t="s">
        <v>3520</v>
      </c>
      <c r="Q387" t="s">
        <v>6232</v>
      </c>
      <c r="R387" t="s">
        <v>46</v>
      </c>
      <c r="T387" t="s">
        <v>3860</v>
      </c>
      <c r="BI387" s="52" t="str">
        <f>HYPERLINK("#일위대가목록!A409","S00000W040YA →")</f>
        <v>S00000W040YA →</v>
      </c>
    </row>
    <row r="388" spans="1:61" ht="18.399999999999999" customHeight="1">
      <c r="A388" s="11" t="s">
        <v>4477</v>
      </c>
      <c r="B388" s="2" t="s">
        <v>1993</v>
      </c>
      <c r="C388" s="2">
        <v>1</v>
      </c>
      <c r="D388" s="2" t="s">
        <v>3909</v>
      </c>
      <c r="E388" s="29" t="e">
        <f>일위대가목록!#REF!</f>
        <v>#REF!</v>
      </c>
      <c r="F388" s="29" t="e">
        <f t="shared" si="36"/>
        <v>#REF!</v>
      </c>
      <c r="G388" s="29" t="e">
        <f>일위대가목록!#REF!</f>
        <v>#REF!</v>
      </c>
      <c r="H388" s="29" t="e">
        <f t="shared" si="37"/>
        <v>#REF!</v>
      </c>
      <c r="I388" s="29" t="e">
        <f>일위대가목록!#REF!</f>
        <v>#REF!</v>
      </c>
      <c r="J388" s="29" t="e">
        <f t="shared" si="38"/>
        <v>#REF!</v>
      </c>
      <c r="K388" s="29" t="e">
        <f t="shared" si="35"/>
        <v>#REF!</v>
      </c>
      <c r="L388" s="29" t="e">
        <f t="shared" si="34"/>
        <v>#REF!</v>
      </c>
      <c r="M388" s="20" t="s">
        <v>6232</v>
      </c>
      <c r="N388" t="s">
        <v>6232</v>
      </c>
      <c r="P388" t="s">
        <v>2059</v>
      </c>
      <c r="Q388" t="s">
        <v>6232</v>
      </c>
      <c r="R388" t="s">
        <v>1135</v>
      </c>
      <c r="T388" t="s">
        <v>3860</v>
      </c>
      <c r="BI388" s="52" t="str">
        <f>HYPERLINK("#일위대가목록!A410","S00000W032 →")</f>
        <v>S00000W032 →</v>
      </c>
    </row>
    <row r="389" spans="1:61" ht="18.399999999999999" customHeight="1">
      <c r="A389" s="11" t="s">
        <v>3961</v>
      </c>
      <c r="B389" s="2" t="s">
        <v>1993</v>
      </c>
      <c r="C389" s="2">
        <v>1</v>
      </c>
      <c r="D389" s="2" t="s">
        <v>3909</v>
      </c>
      <c r="E389" s="29" t="e">
        <f>일위대가목록!#REF!</f>
        <v>#REF!</v>
      </c>
      <c r="F389" s="29" t="e">
        <f t="shared" si="36"/>
        <v>#REF!</v>
      </c>
      <c r="G389" s="29" t="e">
        <f>일위대가목록!#REF!</f>
        <v>#REF!</v>
      </c>
      <c r="H389" s="29" t="e">
        <f t="shared" si="37"/>
        <v>#REF!</v>
      </c>
      <c r="I389" s="29" t="e">
        <f>일위대가목록!#REF!</f>
        <v>#REF!</v>
      </c>
      <c r="J389" s="29" t="e">
        <f t="shared" si="38"/>
        <v>#REF!</v>
      </c>
      <c r="K389" s="29" t="e">
        <f t="shared" si="35"/>
        <v>#REF!</v>
      </c>
      <c r="L389" s="29" t="e">
        <f t="shared" si="34"/>
        <v>#REF!</v>
      </c>
      <c r="M389" s="20" t="s">
        <v>6232</v>
      </c>
      <c r="N389" t="s">
        <v>6232</v>
      </c>
      <c r="P389" t="s">
        <v>494</v>
      </c>
      <c r="Q389" t="s">
        <v>6232</v>
      </c>
      <c r="R389" t="s">
        <v>5190</v>
      </c>
      <c r="T389" t="s">
        <v>3860</v>
      </c>
      <c r="BI389" s="52" t="str">
        <f>HYPERLINK("#일위대가목록!A411","S00000W032YA →")</f>
        <v>S00000W032YA →</v>
      </c>
    </row>
    <row r="390" spans="1:61" ht="18.399999999999999" customHeight="1">
      <c r="A390" s="11" t="s">
        <v>4477</v>
      </c>
      <c r="B390" s="2" t="s">
        <v>3967</v>
      </c>
      <c r="C390" s="2">
        <v>1</v>
      </c>
      <c r="D390" s="2" t="s">
        <v>3909</v>
      </c>
      <c r="E390" s="29" t="e">
        <f>일위대가목록!#REF!</f>
        <v>#REF!</v>
      </c>
      <c r="F390" s="29" t="e">
        <f t="shared" si="36"/>
        <v>#REF!</v>
      </c>
      <c r="G390" s="29" t="e">
        <f>일위대가목록!#REF!</f>
        <v>#REF!</v>
      </c>
      <c r="H390" s="29" t="e">
        <f t="shared" si="37"/>
        <v>#REF!</v>
      </c>
      <c r="I390" s="29" t="e">
        <f>일위대가목록!#REF!</f>
        <v>#REF!</v>
      </c>
      <c r="J390" s="29" t="e">
        <f t="shared" si="38"/>
        <v>#REF!</v>
      </c>
      <c r="K390" s="29" t="e">
        <f t="shared" si="35"/>
        <v>#REF!</v>
      </c>
      <c r="L390" s="29" t="e">
        <f t="shared" si="34"/>
        <v>#REF!</v>
      </c>
      <c r="M390" s="20" t="s">
        <v>6232</v>
      </c>
      <c r="N390" t="s">
        <v>6232</v>
      </c>
      <c r="P390" t="s">
        <v>5231</v>
      </c>
      <c r="Q390" t="s">
        <v>6232</v>
      </c>
      <c r="R390" t="s">
        <v>4980</v>
      </c>
      <c r="T390" t="s">
        <v>3860</v>
      </c>
      <c r="BI390" s="52" t="str">
        <f>HYPERLINK("#일위대가목록!A412","S00000W025 →")</f>
        <v>S00000W025 →</v>
      </c>
    </row>
    <row r="391" spans="1:61" ht="18.399999999999999" customHeight="1">
      <c r="A391" s="11" t="s">
        <v>3961</v>
      </c>
      <c r="B391" s="2" t="s">
        <v>3967</v>
      </c>
      <c r="C391" s="2">
        <v>1</v>
      </c>
      <c r="D391" s="2" t="s">
        <v>3909</v>
      </c>
      <c r="E391" s="29" t="e">
        <f>일위대가목록!#REF!</f>
        <v>#REF!</v>
      </c>
      <c r="F391" s="29" t="e">
        <f t="shared" si="36"/>
        <v>#REF!</v>
      </c>
      <c r="G391" s="29" t="e">
        <f>일위대가목록!#REF!</f>
        <v>#REF!</v>
      </c>
      <c r="H391" s="29" t="e">
        <f t="shared" si="37"/>
        <v>#REF!</v>
      </c>
      <c r="I391" s="29" t="e">
        <f>일위대가목록!#REF!</f>
        <v>#REF!</v>
      </c>
      <c r="J391" s="29" t="e">
        <f t="shared" si="38"/>
        <v>#REF!</v>
      </c>
      <c r="K391" s="29" t="e">
        <f t="shared" si="35"/>
        <v>#REF!</v>
      </c>
      <c r="L391" s="29" t="e">
        <f t="shared" si="34"/>
        <v>#REF!</v>
      </c>
      <c r="M391" s="20" t="s">
        <v>6232</v>
      </c>
      <c r="N391" t="s">
        <v>6232</v>
      </c>
      <c r="P391" t="s">
        <v>3666</v>
      </c>
      <c r="Q391" t="s">
        <v>6232</v>
      </c>
      <c r="R391" t="s">
        <v>1296</v>
      </c>
      <c r="T391" t="s">
        <v>3860</v>
      </c>
      <c r="BI391" s="52" t="str">
        <f>HYPERLINK("#일위대가목록!A413","S00000W025YA →")</f>
        <v>S00000W025YA →</v>
      </c>
    </row>
    <row r="392" spans="1:61" ht="18.399999999999999" customHeight="1">
      <c r="A392" s="11" t="s">
        <v>4477</v>
      </c>
      <c r="B392" s="2" t="s">
        <v>5596</v>
      </c>
      <c r="C392" s="2">
        <v>1</v>
      </c>
      <c r="D392" s="2" t="s">
        <v>3909</v>
      </c>
      <c r="E392" s="29" t="e">
        <f>일위대가목록!#REF!</f>
        <v>#REF!</v>
      </c>
      <c r="F392" s="29" t="e">
        <f t="shared" si="36"/>
        <v>#REF!</v>
      </c>
      <c r="G392" s="29" t="e">
        <f>일위대가목록!#REF!</f>
        <v>#REF!</v>
      </c>
      <c r="H392" s="29" t="e">
        <f t="shared" si="37"/>
        <v>#REF!</v>
      </c>
      <c r="I392" s="29" t="e">
        <f>일위대가목록!#REF!</f>
        <v>#REF!</v>
      </c>
      <c r="J392" s="29" t="e">
        <f t="shared" si="38"/>
        <v>#REF!</v>
      </c>
      <c r="K392" s="29" t="e">
        <f t="shared" si="35"/>
        <v>#REF!</v>
      </c>
      <c r="L392" s="29" t="e">
        <f t="shared" si="34"/>
        <v>#REF!</v>
      </c>
      <c r="M392" s="20" t="s">
        <v>6232</v>
      </c>
      <c r="N392" t="s">
        <v>6232</v>
      </c>
      <c r="P392" t="s">
        <v>2161</v>
      </c>
      <c r="Q392" t="s">
        <v>6232</v>
      </c>
      <c r="R392" t="s">
        <v>1591</v>
      </c>
      <c r="T392" t="s">
        <v>3860</v>
      </c>
      <c r="BI392" s="52" t="str">
        <f>HYPERLINK("#일위대가목록!A414","S00000W020 →")</f>
        <v>S00000W020 →</v>
      </c>
    </row>
    <row r="393" spans="1:61" ht="18.399999999999999" customHeight="1">
      <c r="A393" s="11" t="s">
        <v>3961</v>
      </c>
      <c r="B393" s="2" t="s">
        <v>5596</v>
      </c>
      <c r="C393" s="2">
        <v>1</v>
      </c>
      <c r="D393" s="2" t="s">
        <v>3909</v>
      </c>
      <c r="E393" s="29" t="e">
        <f>일위대가목록!#REF!</f>
        <v>#REF!</v>
      </c>
      <c r="F393" s="29" t="e">
        <f t="shared" si="36"/>
        <v>#REF!</v>
      </c>
      <c r="G393" s="29" t="e">
        <f>일위대가목록!#REF!</f>
        <v>#REF!</v>
      </c>
      <c r="H393" s="29" t="e">
        <f t="shared" si="37"/>
        <v>#REF!</v>
      </c>
      <c r="I393" s="29" t="e">
        <f>일위대가목록!#REF!</f>
        <v>#REF!</v>
      </c>
      <c r="J393" s="29" t="e">
        <f t="shared" si="38"/>
        <v>#REF!</v>
      </c>
      <c r="K393" s="29" t="e">
        <f t="shared" si="35"/>
        <v>#REF!</v>
      </c>
      <c r="L393" s="29" t="e">
        <f t="shared" ref="L393:L456" si="39">F393+H393+J393</f>
        <v>#REF!</v>
      </c>
      <c r="M393" s="20" t="s">
        <v>6232</v>
      </c>
      <c r="N393" t="s">
        <v>6232</v>
      </c>
      <c r="P393" t="s">
        <v>608</v>
      </c>
      <c r="Q393" t="s">
        <v>6232</v>
      </c>
      <c r="R393" t="s">
        <v>5373</v>
      </c>
      <c r="T393" t="s">
        <v>3860</v>
      </c>
      <c r="BI393" s="52" t="str">
        <f>HYPERLINK("#일위대가목록!A415","S00000W020YA →")</f>
        <v>S00000W020YA →</v>
      </c>
    </row>
    <row r="394" spans="1:61" ht="18.399999999999999" customHeight="1">
      <c r="A394" s="11" t="s">
        <v>1544</v>
      </c>
      <c r="B394" s="2" t="s">
        <v>6232</v>
      </c>
      <c r="C394" s="2"/>
      <c r="D394" s="2" t="s">
        <v>6232</v>
      </c>
      <c r="E394" s="1"/>
      <c r="F394" s="29" t="e">
        <f>TRUNC(SUM(AF394:AF395),0)</f>
        <v>#REF!</v>
      </c>
      <c r="G394" s="1"/>
      <c r="H394" s="29" t="e">
        <f>TRUNC(SUM(AG394:AG395),0)</f>
        <v>#REF!</v>
      </c>
      <c r="I394" s="1"/>
      <c r="J394" s="29" t="e">
        <f>TRUNC(SUM(AH394:AH395),0)</f>
        <v>#REF!</v>
      </c>
      <c r="K394" s="29">
        <f t="shared" ref="K394:K457" si="40">E394+G394+I394</f>
        <v>0</v>
      </c>
      <c r="L394" s="29" t="e">
        <f t="shared" si="39"/>
        <v>#REF!</v>
      </c>
      <c r="M394" s="20" t="s">
        <v>6232</v>
      </c>
      <c r="N394" t="s">
        <v>6232</v>
      </c>
      <c r="P394" t="s">
        <v>2468</v>
      </c>
      <c r="Q394" t="s">
        <v>6232</v>
      </c>
      <c r="R394" t="s">
        <v>6232</v>
      </c>
      <c r="AF394" s="29" t="e">
        <f>F393+F392+F391+F390+F389+F388+F387+F386+F385+F384+F383+F382+F381+F380+F379+F378+F377+F376+F375+F374+F373+F372+F371+F370+F369+F368+F367+F366+F365+F364</f>
        <v>#REF!</v>
      </c>
      <c r="AG394" s="29" t="e">
        <f>H393+H392+H391+H390+H389+H388+H387+H386+H385+H384+H383+H382+H381+H380+H379+H378+H377+H376+H375+H374+H373+H372+H371+H370+H369+H368+H367+H366+H365+H364</f>
        <v>#REF!</v>
      </c>
      <c r="AH394" s="29" t="e">
        <f>J393+J392+J391+J390+J389+J388+J387+J386+J385+J384+J383+J382+J381+J380+J379+J378+J377+J376+J375+J374+J373+J372+J371+J370+J369+J368+J367+J366+J365+J364</f>
        <v>#REF!</v>
      </c>
    </row>
    <row r="395" spans="1:61" ht="18.399999999999999" customHeight="1">
      <c r="A395" s="11" t="s">
        <v>2495</v>
      </c>
      <c r="B395" s="2" t="s">
        <v>6232</v>
      </c>
      <c r="C395" s="2"/>
      <c r="D395" s="2" t="s">
        <v>6232</v>
      </c>
      <c r="E395" s="1"/>
      <c r="F395" s="29">
        <v>0</v>
      </c>
      <c r="G395" s="1"/>
      <c r="H395" s="29">
        <v>0</v>
      </c>
      <c r="I395" s="1"/>
      <c r="J395" s="29">
        <v>0</v>
      </c>
      <c r="K395" s="29">
        <f t="shared" si="40"/>
        <v>0</v>
      </c>
      <c r="L395" s="29">
        <f t="shared" si="39"/>
        <v>0</v>
      </c>
      <c r="M395" s="20" t="s">
        <v>6232</v>
      </c>
      <c r="N395" t="s">
        <v>6232</v>
      </c>
      <c r="P395" t="s">
        <v>950</v>
      </c>
      <c r="Q395" t="s">
        <v>6232</v>
      </c>
      <c r="R395" t="s">
        <v>6232</v>
      </c>
      <c r="AF395" s="29" t="e">
        <f>F363+F362+F361+F360+F359+F358+F357+F356+F355+F354+F353+F352+F351+F350</f>
        <v>#REF!</v>
      </c>
      <c r="AG395" s="29" t="e">
        <f>H363+H362+H361+H360+H359+H358+H357+H356+H355+H354+H353+H352+H351+H350</f>
        <v>#REF!</v>
      </c>
      <c r="AH395" s="29" t="e">
        <f>J363+J362+J361+J360+J359+J358+J357+J356+J355+J354+J353+J352+J351+J350</f>
        <v>#REF!</v>
      </c>
    </row>
    <row r="396" spans="1:61" ht="18.399999999999999" customHeight="1">
      <c r="A396" s="11" t="s">
        <v>4768</v>
      </c>
      <c r="B396" s="2" t="s">
        <v>6232</v>
      </c>
      <c r="C396" s="2"/>
      <c r="D396" s="2" t="s">
        <v>6232</v>
      </c>
      <c r="E396" s="1"/>
      <c r="F396" s="29">
        <v>0</v>
      </c>
      <c r="G396" s="1"/>
      <c r="H396" s="29">
        <v>0</v>
      </c>
      <c r="I396" s="1"/>
      <c r="J396" s="29">
        <v>0</v>
      </c>
      <c r="K396" s="29">
        <f t="shared" si="40"/>
        <v>0</v>
      </c>
      <c r="L396" s="29">
        <f t="shared" si="39"/>
        <v>0</v>
      </c>
      <c r="M396" s="20" t="s">
        <v>6232</v>
      </c>
      <c r="N396" t="s">
        <v>6232</v>
      </c>
      <c r="P396" t="s">
        <v>5548</v>
      </c>
      <c r="Q396" t="s">
        <v>6232</v>
      </c>
      <c r="R396" t="s">
        <v>6232</v>
      </c>
    </row>
    <row r="397" spans="1:61" ht="18.399999999999999" customHeight="1">
      <c r="A397" s="11" t="s">
        <v>521</v>
      </c>
      <c r="B397" s="2" t="s">
        <v>2823</v>
      </c>
      <c r="C397" s="2">
        <v>1</v>
      </c>
      <c r="D397" s="2" t="s">
        <v>3670</v>
      </c>
      <c r="E397" s="29" t="e">
        <f>일위대가목록!#REF!</f>
        <v>#REF!</v>
      </c>
      <c r="F397" s="29" t="e">
        <f t="shared" ref="F397:F440" si="41">TRUNC(E397*C397,0)</f>
        <v>#REF!</v>
      </c>
      <c r="G397" s="29" t="e">
        <f>일위대가목록!#REF!</f>
        <v>#REF!</v>
      </c>
      <c r="H397" s="29" t="e">
        <f t="shared" ref="H397:H440" si="42">TRUNC(G397*C397,0)</f>
        <v>#REF!</v>
      </c>
      <c r="I397" s="29" t="e">
        <f>일위대가목록!#REF!</f>
        <v>#REF!</v>
      </c>
      <c r="J397" s="29" t="e">
        <f t="shared" ref="J397:J440" si="43">TRUNC(I397*C397,0)</f>
        <v>#REF!</v>
      </c>
      <c r="K397" s="29" t="e">
        <f t="shared" si="40"/>
        <v>#REF!</v>
      </c>
      <c r="L397" s="29" t="e">
        <f t="shared" si="39"/>
        <v>#REF!</v>
      </c>
      <c r="M397" s="20" t="s">
        <v>6232</v>
      </c>
      <c r="N397" t="s">
        <v>6232</v>
      </c>
      <c r="P397" t="s">
        <v>4028</v>
      </c>
      <c r="Q397" t="s">
        <v>6232</v>
      </c>
      <c r="R397" t="s">
        <v>794</v>
      </c>
      <c r="T397" t="s">
        <v>3860</v>
      </c>
      <c r="BI397" s="52" t="str">
        <f>HYPERLINK("#일위대가목록!A416","S1303W750 →")</f>
        <v>S1303W750 →</v>
      </c>
    </row>
    <row r="398" spans="1:61" ht="18.399999999999999" customHeight="1">
      <c r="A398" s="11" t="s">
        <v>4055</v>
      </c>
      <c r="B398" s="2" t="s">
        <v>2823</v>
      </c>
      <c r="C398" s="2">
        <v>1</v>
      </c>
      <c r="D398" s="2" t="s">
        <v>3670</v>
      </c>
      <c r="E398" s="29" t="e">
        <f>일위대가목록!#REF!</f>
        <v>#REF!</v>
      </c>
      <c r="F398" s="29" t="e">
        <f t="shared" si="41"/>
        <v>#REF!</v>
      </c>
      <c r="G398" s="29" t="e">
        <f>일위대가목록!#REF!</f>
        <v>#REF!</v>
      </c>
      <c r="H398" s="29" t="e">
        <f t="shared" si="42"/>
        <v>#REF!</v>
      </c>
      <c r="I398" s="29" t="e">
        <f>일위대가목록!#REF!</f>
        <v>#REF!</v>
      </c>
      <c r="J398" s="29" t="e">
        <f t="shared" si="43"/>
        <v>#REF!</v>
      </c>
      <c r="K398" s="29" t="e">
        <f t="shared" si="40"/>
        <v>#REF!</v>
      </c>
      <c r="L398" s="29" t="e">
        <f t="shared" si="39"/>
        <v>#REF!</v>
      </c>
      <c r="M398" s="20" t="s">
        <v>6232</v>
      </c>
      <c r="N398" t="s">
        <v>6232</v>
      </c>
      <c r="P398" t="s">
        <v>2379</v>
      </c>
      <c r="Q398" t="s">
        <v>6232</v>
      </c>
      <c r="R398" t="s">
        <v>2011</v>
      </c>
      <c r="T398" t="s">
        <v>3860</v>
      </c>
      <c r="BI398" s="52" t="str">
        <f>HYPERLINK("#일위대가목록!A417","S1303W750YA →")</f>
        <v>S1303W750YA →</v>
      </c>
    </row>
    <row r="399" spans="1:61" ht="18.399999999999999" customHeight="1">
      <c r="A399" s="11" t="s">
        <v>521</v>
      </c>
      <c r="B399" s="2" t="s">
        <v>3826</v>
      </c>
      <c r="C399" s="2">
        <v>1</v>
      </c>
      <c r="D399" s="2" t="s">
        <v>3670</v>
      </c>
      <c r="E399" s="29" t="e">
        <f>일위대가목록!#REF!</f>
        <v>#REF!</v>
      </c>
      <c r="F399" s="29" t="e">
        <f t="shared" si="41"/>
        <v>#REF!</v>
      </c>
      <c r="G399" s="29" t="e">
        <f>일위대가목록!#REF!</f>
        <v>#REF!</v>
      </c>
      <c r="H399" s="29" t="e">
        <f t="shared" si="42"/>
        <v>#REF!</v>
      </c>
      <c r="I399" s="29" t="e">
        <f>일위대가목록!#REF!</f>
        <v>#REF!</v>
      </c>
      <c r="J399" s="29" t="e">
        <f t="shared" si="43"/>
        <v>#REF!</v>
      </c>
      <c r="K399" s="29" t="e">
        <f t="shared" si="40"/>
        <v>#REF!</v>
      </c>
      <c r="L399" s="29" t="e">
        <f t="shared" si="39"/>
        <v>#REF!</v>
      </c>
      <c r="M399" s="20" t="s">
        <v>6232</v>
      </c>
      <c r="N399" t="s">
        <v>6232</v>
      </c>
      <c r="P399" t="s">
        <v>867</v>
      </c>
      <c r="Q399" t="s">
        <v>6232</v>
      </c>
      <c r="R399" t="s">
        <v>2424</v>
      </c>
      <c r="T399" t="s">
        <v>3860</v>
      </c>
      <c r="BI399" s="52" t="str">
        <f>HYPERLINK("#일위대가목록!A418","S1303W700 →")</f>
        <v>S1303W700 →</v>
      </c>
    </row>
    <row r="400" spans="1:61" ht="18.399999999999999" customHeight="1">
      <c r="A400" s="11" t="s">
        <v>4055</v>
      </c>
      <c r="B400" s="2" t="s">
        <v>3826</v>
      </c>
      <c r="C400" s="2">
        <v>1</v>
      </c>
      <c r="D400" s="2" t="s">
        <v>3670</v>
      </c>
      <c r="E400" s="29" t="e">
        <f>일위대가목록!#REF!</f>
        <v>#REF!</v>
      </c>
      <c r="F400" s="29" t="e">
        <f t="shared" si="41"/>
        <v>#REF!</v>
      </c>
      <c r="G400" s="29" t="e">
        <f>일위대가목록!#REF!</f>
        <v>#REF!</v>
      </c>
      <c r="H400" s="29" t="e">
        <f t="shared" si="42"/>
        <v>#REF!</v>
      </c>
      <c r="I400" s="29" t="e">
        <f>일위대가목록!#REF!</f>
        <v>#REF!</v>
      </c>
      <c r="J400" s="29" t="e">
        <f t="shared" si="43"/>
        <v>#REF!</v>
      </c>
      <c r="K400" s="29" t="e">
        <f t="shared" si="40"/>
        <v>#REF!</v>
      </c>
      <c r="L400" s="29" t="e">
        <f t="shared" si="39"/>
        <v>#REF!</v>
      </c>
      <c r="M400" s="20" t="s">
        <v>6232</v>
      </c>
      <c r="N400" t="s">
        <v>6232</v>
      </c>
      <c r="P400" t="s">
        <v>5444</v>
      </c>
      <c r="Q400" t="s">
        <v>6232</v>
      </c>
      <c r="R400" t="s">
        <v>2483</v>
      </c>
      <c r="T400" t="s">
        <v>3860</v>
      </c>
      <c r="BI400" s="52" t="str">
        <f>HYPERLINK("#일위대가목록!A419","S1303W700YA →")</f>
        <v>S1303W700YA →</v>
      </c>
    </row>
    <row r="401" spans="1:61" ht="18.399999999999999" customHeight="1">
      <c r="A401" s="11" t="s">
        <v>521</v>
      </c>
      <c r="B401" s="2" t="s">
        <v>397</v>
      </c>
      <c r="C401" s="2">
        <v>1</v>
      </c>
      <c r="D401" s="2" t="s">
        <v>3670</v>
      </c>
      <c r="E401" s="29" t="e">
        <f>일위대가목록!#REF!</f>
        <v>#REF!</v>
      </c>
      <c r="F401" s="29" t="e">
        <f t="shared" si="41"/>
        <v>#REF!</v>
      </c>
      <c r="G401" s="29" t="e">
        <f>일위대가목록!#REF!</f>
        <v>#REF!</v>
      </c>
      <c r="H401" s="29" t="e">
        <f t="shared" si="42"/>
        <v>#REF!</v>
      </c>
      <c r="I401" s="29" t="e">
        <f>일위대가목록!#REF!</f>
        <v>#REF!</v>
      </c>
      <c r="J401" s="29" t="e">
        <f t="shared" si="43"/>
        <v>#REF!</v>
      </c>
      <c r="K401" s="29" t="e">
        <f t="shared" si="40"/>
        <v>#REF!</v>
      </c>
      <c r="L401" s="29" t="e">
        <f t="shared" si="39"/>
        <v>#REF!</v>
      </c>
      <c r="M401" s="20" t="s">
        <v>6232</v>
      </c>
      <c r="N401" t="s">
        <v>6232</v>
      </c>
      <c r="P401" t="s">
        <v>3918</v>
      </c>
      <c r="Q401" t="s">
        <v>6232</v>
      </c>
      <c r="R401" t="s">
        <v>563</v>
      </c>
      <c r="T401" t="s">
        <v>3860</v>
      </c>
      <c r="BI401" s="52" t="str">
        <f>HYPERLINK("#일위대가목록!A420","S1303W650 →")</f>
        <v>S1303W650 →</v>
      </c>
    </row>
    <row r="402" spans="1:61" ht="18.399999999999999" customHeight="1">
      <c r="A402" s="11" t="s">
        <v>4055</v>
      </c>
      <c r="B402" s="2" t="s">
        <v>397</v>
      </c>
      <c r="C402" s="2">
        <v>1</v>
      </c>
      <c r="D402" s="2" t="s">
        <v>3670</v>
      </c>
      <c r="E402" s="29" t="e">
        <f>일위대가목록!#REF!</f>
        <v>#REF!</v>
      </c>
      <c r="F402" s="29" t="e">
        <f t="shared" si="41"/>
        <v>#REF!</v>
      </c>
      <c r="G402" s="29" t="e">
        <f>일위대가목록!#REF!</f>
        <v>#REF!</v>
      </c>
      <c r="H402" s="29" t="e">
        <f t="shared" si="42"/>
        <v>#REF!</v>
      </c>
      <c r="I402" s="29" t="e">
        <f>일위대가목록!#REF!</f>
        <v>#REF!</v>
      </c>
      <c r="J402" s="29" t="e">
        <f t="shared" si="43"/>
        <v>#REF!</v>
      </c>
      <c r="K402" s="29" t="e">
        <f t="shared" si="40"/>
        <v>#REF!</v>
      </c>
      <c r="L402" s="29" t="e">
        <f t="shared" si="39"/>
        <v>#REF!</v>
      </c>
      <c r="M402" s="20" t="s">
        <v>6232</v>
      </c>
      <c r="N402" t="s">
        <v>6232</v>
      </c>
      <c r="P402" t="s">
        <v>2661</v>
      </c>
      <c r="Q402" t="s">
        <v>6232</v>
      </c>
      <c r="R402" t="s">
        <v>5535</v>
      </c>
      <c r="T402" t="s">
        <v>3860</v>
      </c>
      <c r="BI402" s="52" t="str">
        <f>HYPERLINK("#일위대가목록!A421","S1303W650YA →")</f>
        <v>S1303W650YA →</v>
      </c>
    </row>
    <row r="403" spans="1:61" ht="18.399999999999999" customHeight="1">
      <c r="A403" s="11" t="s">
        <v>521</v>
      </c>
      <c r="B403" s="2" t="s">
        <v>6105</v>
      </c>
      <c r="C403" s="2">
        <v>1</v>
      </c>
      <c r="D403" s="2" t="s">
        <v>3670</v>
      </c>
      <c r="E403" s="29" t="e">
        <f>일위대가목록!#REF!</f>
        <v>#REF!</v>
      </c>
      <c r="F403" s="29" t="e">
        <f t="shared" si="41"/>
        <v>#REF!</v>
      </c>
      <c r="G403" s="29" t="e">
        <f>일위대가목록!#REF!</f>
        <v>#REF!</v>
      </c>
      <c r="H403" s="29" t="e">
        <f t="shared" si="42"/>
        <v>#REF!</v>
      </c>
      <c r="I403" s="29" t="e">
        <f>일위대가목록!#REF!</f>
        <v>#REF!</v>
      </c>
      <c r="J403" s="29" t="e">
        <f t="shared" si="43"/>
        <v>#REF!</v>
      </c>
      <c r="K403" s="29" t="e">
        <f t="shared" si="40"/>
        <v>#REF!</v>
      </c>
      <c r="L403" s="29" t="e">
        <f t="shared" si="39"/>
        <v>#REF!</v>
      </c>
      <c r="M403" s="20" t="s">
        <v>6232</v>
      </c>
      <c r="N403" t="s">
        <v>6232</v>
      </c>
      <c r="P403" t="s">
        <v>1134</v>
      </c>
      <c r="Q403" t="s">
        <v>6232</v>
      </c>
      <c r="R403" t="s">
        <v>1984</v>
      </c>
      <c r="T403" t="s">
        <v>3860</v>
      </c>
      <c r="BI403" s="52" t="str">
        <f>HYPERLINK("#일위대가목록!A422","S1303W600 →")</f>
        <v>S1303W600 →</v>
      </c>
    </row>
    <row r="404" spans="1:61" ht="18.399999999999999" customHeight="1">
      <c r="A404" s="11" t="s">
        <v>4055</v>
      </c>
      <c r="B404" s="2" t="s">
        <v>6105</v>
      </c>
      <c r="C404" s="2">
        <v>1</v>
      </c>
      <c r="D404" s="2" t="s">
        <v>3670</v>
      </c>
      <c r="E404" s="29" t="e">
        <f>일위대가목록!#REF!</f>
        <v>#REF!</v>
      </c>
      <c r="F404" s="29" t="e">
        <f t="shared" si="41"/>
        <v>#REF!</v>
      </c>
      <c r="G404" s="29" t="e">
        <f>일위대가목록!#REF!</f>
        <v>#REF!</v>
      </c>
      <c r="H404" s="29" t="e">
        <f t="shared" si="42"/>
        <v>#REF!</v>
      </c>
      <c r="I404" s="29" t="e">
        <f>일위대가목록!#REF!</f>
        <v>#REF!</v>
      </c>
      <c r="J404" s="29" t="e">
        <f t="shared" si="43"/>
        <v>#REF!</v>
      </c>
      <c r="K404" s="29" t="e">
        <f t="shared" si="40"/>
        <v>#REF!</v>
      </c>
      <c r="L404" s="29" t="e">
        <f t="shared" si="39"/>
        <v>#REF!</v>
      </c>
      <c r="M404" s="20" t="s">
        <v>6232</v>
      </c>
      <c r="N404" t="s">
        <v>6232</v>
      </c>
      <c r="P404" t="s">
        <v>1512</v>
      </c>
      <c r="Q404" t="s">
        <v>6232</v>
      </c>
      <c r="R404" t="s">
        <v>5212</v>
      </c>
      <c r="T404" t="s">
        <v>3860</v>
      </c>
      <c r="BI404" s="52" t="str">
        <f>HYPERLINK("#일위대가목록!A423","S1303W600YA →")</f>
        <v>S1303W600YA →</v>
      </c>
    </row>
    <row r="405" spans="1:61" ht="18.399999999999999" customHeight="1">
      <c r="A405" s="11" t="s">
        <v>521</v>
      </c>
      <c r="B405" s="2" t="s">
        <v>6191</v>
      </c>
      <c r="C405" s="2">
        <v>1</v>
      </c>
      <c r="D405" s="2" t="s">
        <v>3670</v>
      </c>
      <c r="E405" s="29" t="e">
        <f>일위대가목록!#REF!</f>
        <v>#REF!</v>
      </c>
      <c r="F405" s="29" t="e">
        <f t="shared" si="41"/>
        <v>#REF!</v>
      </c>
      <c r="G405" s="29" t="e">
        <f>일위대가목록!#REF!</f>
        <v>#REF!</v>
      </c>
      <c r="H405" s="29" t="e">
        <f t="shared" si="42"/>
        <v>#REF!</v>
      </c>
      <c r="I405" s="29" t="e">
        <f>일위대가목록!#REF!</f>
        <v>#REF!</v>
      </c>
      <c r="J405" s="29" t="e">
        <f t="shared" si="43"/>
        <v>#REF!</v>
      </c>
      <c r="K405" s="29" t="e">
        <f t="shared" si="40"/>
        <v>#REF!</v>
      </c>
      <c r="L405" s="29" t="e">
        <f t="shared" si="39"/>
        <v>#REF!</v>
      </c>
      <c r="M405" s="20" t="s">
        <v>6232</v>
      </c>
      <c r="N405" t="s">
        <v>6232</v>
      </c>
      <c r="P405" t="s">
        <v>3043</v>
      </c>
      <c r="Q405" t="s">
        <v>6232</v>
      </c>
      <c r="R405" t="s">
        <v>1894</v>
      </c>
      <c r="T405" t="s">
        <v>3860</v>
      </c>
      <c r="BI405" s="52" t="str">
        <f>HYPERLINK("#일위대가목록!A424","S1303W550 →")</f>
        <v>S1303W550 →</v>
      </c>
    </row>
    <row r="406" spans="1:61" ht="18.399999999999999" customHeight="1">
      <c r="A406" s="11" t="s">
        <v>4055</v>
      </c>
      <c r="B406" s="2" t="s">
        <v>6191</v>
      </c>
      <c r="C406" s="2">
        <v>1</v>
      </c>
      <c r="D406" s="2" t="s">
        <v>3670</v>
      </c>
      <c r="E406" s="29" t="e">
        <f>일위대가목록!#REF!</f>
        <v>#REF!</v>
      </c>
      <c r="F406" s="29" t="e">
        <f t="shared" si="41"/>
        <v>#REF!</v>
      </c>
      <c r="G406" s="29" t="e">
        <f>일위대가목록!#REF!</f>
        <v>#REF!</v>
      </c>
      <c r="H406" s="29" t="e">
        <f t="shared" si="42"/>
        <v>#REF!</v>
      </c>
      <c r="I406" s="29" t="e">
        <f>일위대가목록!#REF!</f>
        <v>#REF!</v>
      </c>
      <c r="J406" s="29" t="e">
        <f t="shared" si="43"/>
        <v>#REF!</v>
      </c>
      <c r="K406" s="29" t="e">
        <f t="shared" si="40"/>
        <v>#REF!</v>
      </c>
      <c r="L406" s="29" t="e">
        <f t="shared" si="39"/>
        <v>#REF!</v>
      </c>
      <c r="M406" s="20" t="s">
        <v>6232</v>
      </c>
      <c r="N406" t="s">
        <v>6232</v>
      </c>
      <c r="P406" t="s">
        <v>4580</v>
      </c>
      <c r="Q406" t="s">
        <v>6232</v>
      </c>
      <c r="R406" t="s">
        <v>1260</v>
      </c>
      <c r="T406" t="s">
        <v>3860</v>
      </c>
      <c r="BI406" s="52" t="str">
        <f>HYPERLINK("#일위대가목록!A425","S1303W550YA →")</f>
        <v>S1303W550YA →</v>
      </c>
    </row>
    <row r="407" spans="1:61" ht="18.399999999999999" customHeight="1">
      <c r="A407" s="11" t="s">
        <v>521</v>
      </c>
      <c r="B407" s="2" t="s">
        <v>524</v>
      </c>
      <c r="C407" s="2">
        <v>1</v>
      </c>
      <c r="D407" s="2" t="s">
        <v>3670</v>
      </c>
      <c r="E407" s="29" t="e">
        <f>일위대가목록!#REF!</f>
        <v>#REF!</v>
      </c>
      <c r="F407" s="29" t="e">
        <f t="shared" si="41"/>
        <v>#REF!</v>
      </c>
      <c r="G407" s="29" t="e">
        <f>일위대가목록!#REF!</f>
        <v>#REF!</v>
      </c>
      <c r="H407" s="29" t="e">
        <f t="shared" si="42"/>
        <v>#REF!</v>
      </c>
      <c r="I407" s="29" t="e">
        <f>일위대가목록!#REF!</f>
        <v>#REF!</v>
      </c>
      <c r="J407" s="29" t="e">
        <f t="shared" si="43"/>
        <v>#REF!</v>
      </c>
      <c r="K407" s="29" t="e">
        <f t="shared" si="40"/>
        <v>#REF!</v>
      </c>
      <c r="L407" s="29" t="e">
        <f t="shared" si="39"/>
        <v>#REF!</v>
      </c>
      <c r="M407" s="20" t="s">
        <v>6232</v>
      </c>
      <c r="N407" t="s">
        <v>6232</v>
      </c>
      <c r="P407" t="s">
        <v>6152</v>
      </c>
      <c r="Q407" t="s">
        <v>6232</v>
      </c>
      <c r="R407" t="s">
        <v>235</v>
      </c>
      <c r="T407" t="s">
        <v>3860</v>
      </c>
      <c r="BI407" s="52" t="str">
        <f>HYPERLINK("#일위대가목록!A426","S1303W500 →")</f>
        <v>S1303W500 →</v>
      </c>
    </row>
    <row r="408" spans="1:61" ht="18.399999999999999" customHeight="1">
      <c r="A408" s="11" t="s">
        <v>4055</v>
      </c>
      <c r="B408" s="2" t="s">
        <v>524</v>
      </c>
      <c r="C408" s="2">
        <v>1</v>
      </c>
      <c r="D408" s="2" t="s">
        <v>3670</v>
      </c>
      <c r="E408" s="29" t="e">
        <f>일위대가목록!#REF!</f>
        <v>#REF!</v>
      </c>
      <c r="F408" s="29" t="e">
        <f t="shared" si="41"/>
        <v>#REF!</v>
      </c>
      <c r="G408" s="29" t="e">
        <f>일위대가목록!#REF!</f>
        <v>#REF!</v>
      </c>
      <c r="H408" s="29" t="e">
        <f t="shared" si="42"/>
        <v>#REF!</v>
      </c>
      <c r="I408" s="29" t="e">
        <f>일위대가목록!#REF!</f>
        <v>#REF!</v>
      </c>
      <c r="J408" s="29" t="e">
        <f t="shared" si="43"/>
        <v>#REF!</v>
      </c>
      <c r="K408" s="29" t="e">
        <f t="shared" si="40"/>
        <v>#REF!</v>
      </c>
      <c r="L408" s="29" t="e">
        <f t="shared" si="39"/>
        <v>#REF!</v>
      </c>
      <c r="M408" s="20" t="s">
        <v>6232</v>
      </c>
      <c r="N408" t="s">
        <v>6232</v>
      </c>
      <c r="P408" t="s">
        <v>1422</v>
      </c>
      <c r="Q408" t="s">
        <v>6232</v>
      </c>
      <c r="R408" t="s">
        <v>147</v>
      </c>
      <c r="T408" t="s">
        <v>3860</v>
      </c>
      <c r="BI408" s="52" t="str">
        <f>HYPERLINK("#일위대가목록!A427","S1303W500YA →")</f>
        <v>S1303W500YA →</v>
      </c>
    </row>
    <row r="409" spans="1:61" ht="18.399999999999999" customHeight="1">
      <c r="A409" s="11" t="s">
        <v>521</v>
      </c>
      <c r="B409" s="2" t="s">
        <v>3764</v>
      </c>
      <c r="C409" s="2">
        <v>1</v>
      </c>
      <c r="D409" s="2" t="s">
        <v>3670</v>
      </c>
      <c r="E409" s="29" t="e">
        <f>일위대가목록!#REF!</f>
        <v>#REF!</v>
      </c>
      <c r="F409" s="29" t="e">
        <f t="shared" si="41"/>
        <v>#REF!</v>
      </c>
      <c r="G409" s="29" t="e">
        <f>일위대가목록!#REF!</f>
        <v>#REF!</v>
      </c>
      <c r="H409" s="29" t="e">
        <f t="shared" si="42"/>
        <v>#REF!</v>
      </c>
      <c r="I409" s="29" t="e">
        <f>일위대가목록!#REF!</f>
        <v>#REF!</v>
      </c>
      <c r="J409" s="29" t="e">
        <f t="shared" si="43"/>
        <v>#REF!</v>
      </c>
      <c r="K409" s="29" t="e">
        <f t="shared" si="40"/>
        <v>#REF!</v>
      </c>
      <c r="L409" s="29" t="e">
        <f t="shared" si="39"/>
        <v>#REF!</v>
      </c>
      <c r="M409" s="20" t="s">
        <v>6232</v>
      </c>
      <c r="N409" t="s">
        <v>6232</v>
      </c>
      <c r="P409" t="s">
        <v>2935</v>
      </c>
      <c r="Q409" t="s">
        <v>6232</v>
      </c>
      <c r="R409" t="s">
        <v>2891</v>
      </c>
      <c r="T409" t="s">
        <v>3860</v>
      </c>
      <c r="BI409" s="52" t="str">
        <f>HYPERLINK("#일위대가목록!A428","S1303W450 →")</f>
        <v>S1303W450 →</v>
      </c>
    </row>
    <row r="410" spans="1:61" ht="18.399999999999999" customHeight="1">
      <c r="A410" s="11" t="s">
        <v>4055</v>
      </c>
      <c r="B410" s="2" t="s">
        <v>3764</v>
      </c>
      <c r="C410" s="2">
        <v>1</v>
      </c>
      <c r="D410" s="2" t="s">
        <v>3670</v>
      </c>
      <c r="E410" s="29" t="e">
        <f>일위대가목록!#REF!</f>
        <v>#REF!</v>
      </c>
      <c r="F410" s="29" t="e">
        <f t="shared" si="41"/>
        <v>#REF!</v>
      </c>
      <c r="G410" s="29" t="e">
        <f>일위대가목록!#REF!</f>
        <v>#REF!</v>
      </c>
      <c r="H410" s="29" t="e">
        <f t="shared" si="42"/>
        <v>#REF!</v>
      </c>
      <c r="I410" s="29" t="e">
        <f>일위대가목록!#REF!</f>
        <v>#REF!</v>
      </c>
      <c r="J410" s="29" t="e">
        <f t="shared" si="43"/>
        <v>#REF!</v>
      </c>
      <c r="K410" s="29" t="e">
        <f t="shared" si="40"/>
        <v>#REF!</v>
      </c>
      <c r="L410" s="29" t="e">
        <f t="shared" si="39"/>
        <v>#REF!</v>
      </c>
      <c r="M410" s="20" t="s">
        <v>6232</v>
      </c>
      <c r="N410" t="s">
        <v>6232</v>
      </c>
      <c r="P410" t="s">
        <v>4474</v>
      </c>
      <c r="Q410" t="s">
        <v>6232</v>
      </c>
      <c r="R410" t="s">
        <v>3181</v>
      </c>
      <c r="T410" t="s">
        <v>3860</v>
      </c>
      <c r="BI410" s="52" t="str">
        <f>HYPERLINK("#일위대가목록!A429","S1303W450YA →")</f>
        <v>S1303W450YA →</v>
      </c>
    </row>
    <row r="411" spans="1:61" ht="18.399999999999999" customHeight="1">
      <c r="A411" s="11" t="s">
        <v>521</v>
      </c>
      <c r="B411" s="2" t="s">
        <v>2715</v>
      </c>
      <c r="C411" s="2">
        <v>1</v>
      </c>
      <c r="D411" s="2" t="s">
        <v>3670</v>
      </c>
      <c r="E411" s="29" t="e">
        <f>일위대가목록!#REF!</f>
        <v>#REF!</v>
      </c>
      <c r="F411" s="29" t="e">
        <f t="shared" si="41"/>
        <v>#REF!</v>
      </c>
      <c r="G411" s="29" t="e">
        <f>일위대가목록!#REF!</f>
        <v>#REF!</v>
      </c>
      <c r="H411" s="29" t="e">
        <f t="shared" si="42"/>
        <v>#REF!</v>
      </c>
      <c r="I411" s="29" t="e">
        <f>일위대가목록!#REF!</f>
        <v>#REF!</v>
      </c>
      <c r="J411" s="29" t="e">
        <f t="shared" si="43"/>
        <v>#REF!</v>
      </c>
      <c r="K411" s="29" t="e">
        <f t="shared" si="40"/>
        <v>#REF!</v>
      </c>
      <c r="L411" s="29" t="e">
        <f t="shared" si="39"/>
        <v>#REF!</v>
      </c>
      <c r="M411" s="20" t="s">
        <v>6232</v>
      </c>
      <c r="N411" t="s">
        <v>6232</v>
      </c>
      <c r="P411" t="s">
        <v>6031</v>
      </c>
      <c r="Q411" t="s">
        <v>6232</v>
      </c>
      <c r="R411" t="s">
        <v>1471</v>
      </c>
      <c r="T411" t="s">
        <v>3860</v>
      </c>
      <c r="BI411" s="52" t="str">
        <f>HYPERLINK("#일위대가목록!A430","S1303W400 →")</f>
        <v>S1303W400 →</v>
      </c>
    </row>
    <row r="412" spans="1:61" ht="18.399999999999999" customHeight="1">
      <c r="A412" s="11" t="s">
        <v>4055</v>
      </c>
      <c r="B412" s="2" t="s">
        <v>2715</v>
      </c>
      <c r="C412" s="2">
        <v>1</v>
      </c>
      <c r="D412" s="2" t="s">
        <v>3670</v>
      </c>
      <c r="E412" s="29" t="e">
        <f>일위대가목록!#REF!</f>
        <v>#REF!</v>
      </c>
      <c r="F412" s="29" t="e">
        <f t="shared" si="41"/>
        <v>#REF!</v>
      </c>
      <c r="G412" s="29" t="e">
        <f>일위대가목록!#REF!</f>
        <v>#REF!</v>
      </c>
      <c r="H412" s="29" t="e">
        <f t="shared" si="42"/>
        <v>#REF!</v>
      </c>
      <c r="I412" s="29" t="e">
        <f>일위대가목록!#REF!</f>
        <v>#REF!</v>
      </c>
      <c r="J412" s="29" t="e">
        <f t="shared" si="43"/>
        <v>#REF!</v>
      </c>
      <c r="K412" s="29" t="e">
        <f t="shared" si="40"/>
        <v>#REF!</v>
      </c>
      <c r="L412" s="29" t="e">
        <f t="shared" si="39"/>
        <v>#REF!</v>
      </c>
      <c r="M412" s="20" t="s">
        <v>6232</v>
      </c>
      <c r="N412" t="s">
        <v>6232</v>
      </c>
      <c r="P412" t="s">
        <v>1316</v>
      </c>
      <c r="Q412" t="s">
        <v>6232</v>
      </c>
      <c r="R412" t="s">
        <v>4415</v>
      </c>
      <c r="T412" t="s">
        <v>3860</v>
      </c>
      <c r="BI412" s="52" t="str">
        <f>HYPERLINK("#일위대가목록!A431","S1303W400YA →")</f>
        <v>S1303W400YA →</v>
      </c>
    </row>
    <row r="413" spans="1:61" ht="18.399999999999999" customHeight="1">
      <c r="A413" s="11" t="s">
        <v>521</v>
      </c>
      <c r="B413" s="2" t="s">
        <v>809</v>
      </c>
      <c r="C413" s="2">
        <v>1</v>
      </c>
      <c r="D413" s="2" t="s">
        <v>3670</v>
      </c>
      <c r="E413" s="29" t="e">
        <f>일위대가목록!#REF!</f>
        <v>#REF!</v>
      </c>
      <c r="F413" s="29" t="e">
        <f t="shared" si="41"/>
        <v>#REF!</v>
      </c>
      <c r="G413" s="29" t="e">
        <f>일위대가목록!#REF!</f>
        <v>#REF!</v>
      </c>
      <c r="H413" s="29" t="e">
        <f t="shared" si="42"/>
        <v>#REF!</v>
      </c>
      <c r="I413" s="29" t="e">
        <f>일위대가목록!#REF!</f>
        <v>#REF!</v>
      </c>
      <c r="J413" s="29" t="e">
        <f t="shared" si="43"/>
        <v>#REF!</v>
      </c>
      <c r="K413" s="29" t="e">
        <f t="shared" si="40"/>
        <v>#REF!</v>
      </c>
      <c r="L413" s="29" t="e">
        <f t="shared" si="39"/>
        <v>#REF!</v>
      </c>
      <c r="M413" s="20" t="s">
        <v>6232</v>
      </c>
      <c r="N413" t="s">
        <v>6232</v>
      </c>
      <c r="P413" t="s">
        <v>2833</v>
      </c>
      <c r="Q413" t="s">
        <v>6232</v>
      </c>
      <c r="R413" t="s">
        <v>6157</v>
      </c>
      <c r="T413" t="s">
        <v>3860</v>
      </c>
      <c r="BI413" s="52" t="str">
        <f>HYPERLINK("#일위대가목록!A432","S1303W350 →")</f>
        <v>S1303W350 →</v>
      </c>
    </row>
    <row r="414" spans="1:61" ht="18.399999999999999" customHeight="1">
      <c r="A414" s="11" t="s">
        <v>4055</v>
      </c>
      <c r="B414" s="2" t="s">
        <v>809</v>
      </c>
      <c r="C414" s="2">
        <v>1</v>
      </c>
      <c r="D414" s="2" t="s">
        <v>3670</v>
      </c>
      <c r="E414" s="29" t="e">
        <f>일위대가목록!#REF!</f>
        <v>#REF!</v>
      </c>
      <c r="F414" s="29" t="e">
        <f t="shared" si="41"/>
        <v>#REF!</v>
      </c>
      <c r="G414" s="29" t="e">
        <f>일위대가목록!#REF!</f>
        <v>#REF!</v>
      </c>
      <c r="H414" s="29" t="e">
        <f t="shared" si="42"/>
        <v>#REF!</v>
      </c>
      <c r="I414" s="29" t="e">
        <f>일위대가목록!#REF!</f>
        <v>#REF!</v>
      </c>
      <c r="J414" s="29" t="e">
        <f t="shared" si="43"/>
        <v>#REF!</v>
      </c>
      <c r="K414" s="29" t="e">
        <f t="shared" si="40"/>
        <v>#REF!</v>
      </c>
      <c r="L414" s="29" t="e">
        <f t="shared" si="39"/>
        <v>#REF!</v>
      </c>
      <c r="M414" s="20" t="s">
        <v>6232</v>
      </c>
      <c r="N414" t="s">
        <v>6232</v>
      </c>
      <c r="P414" t="s">
        <v>198</v>
      </c>
      <c r="Q414" t="s">
        <v>6232</v>
      </c>
      <c r="R414" t="s">
        <v>3599</v>
      </c>
      <c r="T414" t="s">
        <v>3860</v>
      </c>
      <c r="BI414" s="52" t="str">
        <f>HYPERLINK("#일위대가목록!A433","S1303W350YA →")</f>
        <v>S1303W350YA →</v>
      </c>
    </row>
    <row r="415" spans="1:61" ht="18.399999999999999" customHeight="1">
      <c r="A415" s="11" t="s">
        <v>521</v>
      </c>
      <c r="B415" s="2" t="s">
        <v>4894</v>
      </c>
      <c r="C415" s="2">
        <v>1</v>
      </c>
      <c r="D415" s="2" t="s">
        <v>3670</v>
      </c>
      <c r="E415" s="29" t="e">
        <f>일위대가목록!#REF!</f>
        <v>#REF!</v>
      </c>
      <c r="F415" s="29" t="e">
        <f t="shared" si="41"/>
        <v>#REF!</v>
      </c>
      <c r="G415" s="29" t="e">
        <f>일위대가목록!#REF!</f>
        <v>#REF!</v>
      </c>
      <c r="H415" s="29" t="e">
        <f t="shared" si="42"/>
        <v>#REF!</v>
      </c>
      <c r="I415" s="29" t="e">
        <f>일위대가목록!#REF!</f>
        <v>#REF!</v>
      </c>
      <c r="J415" s="29" t="e">
        <f t="shared" si="43"/>
        <v>#REF!</v>
      </c>
      <c r="K415" s="29" t="e">
        <f t="shared" si="40"/>
        <v>#REF!</v>
      </c>
      <c r="L415" s="29" t="e">
        <f t="shared" si="39"/>
        <v>#REF!</v>
      </c>
      <c r="M415" s="20" t="s">
        <v>6232</v>
      </c>
      <c r="N415" t="s">
        <v>6232</v>
      </c>
      <c r="P415" t="s">
        <v>1754</v>
      </c>
      <c r="Q415" t="s">
        <v>6232</v>
      </c>
      <c r="R415" t="s">
        <v>4468</v>
      </c>
      <c r="T415" t="s">
        <v>3860</v>
      </c>
      <c r="BI415" s="52" t="str">
        <f>HYPERLINK("#일위대가목록!A434","S1303W300 →")</f>
        <v>S1303W300 →</v>
      </c>
    </row>
    <row r="416" spans="1:61" ht="18.399999999999999" customHeight="1">
      <c r="A416" s="11" t="s">
        <v>4055</v>
      </c>
      <c r="B416" s="2" t="s">
        <v>4894</v>
      </c>
      <c r="C416" s="2">
        <v>1</v>
      </c>
      <c r="D416" s="2" t="s">
        <v>3670</v>
      </c>
      <c r="E416" s="29" t="e">
        <f>일위대가목록!#REF!</f>
        <v>#REF!</v>
      </c>
      <c r="F416" s="29" t="e">
        <f t="shared" si="41"/>
        <v>#REF!</v>
      </c>
      <c r="G416" s="29" t="e">
        <f>일위대가목록!#REF!</f>
        <v>#REF!</v>
      </c>
      <c r="H416" s="29" t="e">
        <f t="shared" si="42"/>
        <v>#REF!</v>
      </c>
      <c r="I416" s="29" t="e">
        <f>일위대가목록!#REF!</f>
        <v>#REF!</v>
      </c>
      <c r="J416" s="29" t="e">
        <f t="shared" si="43"/>
        <v>#REF!</v>
      </c>
      <c r="K416" s="29" t="e">
        <f t="shared" si="40"/>
        <v>#REF!</v>
      </c>
      <c r="L416" s="29" t="e">
        <f t="shared" si="39"/>
        <v>#REF!</v>
      </c>
      <c r="M416" s="20" t="s">
        <v>6232</v>
      </c>
      <c r="N416" t="s">
        <v>6232</v>
      </c>
      <c r="P416" t="s">
        <v>3354</v>
      </c>
      <c r="Q416" t="s">
        <v>6232</v>
      </c>
      <c r="R416" t="s">
        <v>4054</v>
      </c>
      <c r="T416" t="s">
        <v>3860</v>
      </c>
      <c r="BI416" s="52" t="str">
        <f>HYPERLINK("#일위대가목록!A435","S1303W300YA →")</f>
        <v>S1303W300YA →</v>
      </c>
    </row>
    <row r="417" spans="1:61" ht="18.399999999999999" customHeight="1">
      <c r="A417" s="11" t="s">
        <v>521</v>
      </c>
      <c r="B417" s="2" t="s">
        <v>1701</v>
      </c>
      <c r="C417" s="2">
        <v>1</v>
      </c>
      <c r="D417" s="2" t="s">
        <v>3670</v>
      </c>
      <c r="E417" s="29" t="e">
        <f>일위대가목록!#REF!</f>
        <v>#REF!</v>
      </c>
      <c r="F417" s="29" t="e">
        <f t="shared" si="41"/>
        <v>#REF!</v>
      </c>
      <c r="G417" s="29" t="e">
        <f>일위대가목록!#REF!</f>
        <v>#REF!</v>
      </c>
      <c r="H417" s="29" t="e">
        <f t="shared" si="42"/>
        <v>#REF!</v>
      </c>
      <c r="I417" s="29" t="e">
        <f>일위대가목록!#REF!</f>
        <v>#REF!</v>
      </c>
      <c r="J417" s="29" t="e">
        <f t="shared" si="43"/>
        <v>#REF!</v>
      </c>
      <c r="K417" s="29" t="e">
        <f t="shared" si="40"/>
        <v>#REF!</v>
      </c>
      <c r="L417" s="29" t="e">
        <f t="shared" si="39"/>
        <v>#REF!</v>
      </c>
      <c r="M417" s="20" t="s">
        <v>6232</v>
      </c>
      <c r="N417" t="s">
        <v>6232</v>
      </c>
      <c r="P417" t="s">
        <v>4930</v>
      </c>
      <c r="Q417" t="s">
        <v>6232</v>
      </c>
      <c r="R417" t="s">
        <v>4907</v>
      </c>
      <c r="T417" t="s">
        <v>3860</v>
      </c>
      <c r="BI417" s="52" t="str">
        <f>HYPERLINK("#일위대가목록!A436","S1303W250 →")</f>
        <v>S1303W250 →</v>
      </c>
    </row>
    <row r="418" spans="1:61" ht="18.399999999999999" customHeight="1">
      <c r="A418" s="11" t="s">
        <v>4055</v>
      </c>
      <c r="B418" s="2" t="s">
        <v>1701</v>
      </c>
      <c r="C418" s="2">
        <v>1</v>
      </c>
      <c r="D418" s="2" t="s">
        <v>3670</v>
      </c>
      <c r="E418" s="29" t="e">
        <f>일위대가목록!#REF!</f>
        <v>#REF!</v>
      </c>
      <c r="F418" s="29" t="e">
        <f t="shared" si="41"/>
        <v>#REF!</v>
      </c>
      <c r="G418" s="29" t="e">
        <f>일위대가목록!#REF!</f>
        <v>#REF!</v>
      </c>
      <c r="H418" s="29" t="e">
        <f t="shared" si="42"/>
        <v>#REF!</v>
      </c>
      <c r="I418" s="29" t="e">
        <f>일위대가목록!#REF!</f>
        <v>#REF!</v>
      </c>
      <c r="J418" s="29" t="e">
        <f t="shared" si="43"/>
        <v>#REF!</v>
      </c>
      <c r="K418" s="29" t="e">
        <f t="shared" si="40"/>
        <v>#REF!</v>
      </c>
      <c r="L418" s="29" t="e">
        <f t="shared" si="39"/>
        <v>#REF!</v>
      </c>
      <c r="M418" s="20" t="s">
        <v>6232</v>
      </c>
      <c r="N418" t="s">
        <v>6232</v>
      </c>
      <c r="P418" t="s">
        <v>264</v>
      </c>
      <c r="Q418" t="s">
        <v>6232</v>
      </c>
      <c r="R418" t="s">
        <v>881</v>
      </c>
      <c r="T418" t="s">
        <v>3860</v>
      </c>
      <c r="BI418" s="52" t="str">
        <f>HYPERLINK("#일위대가목록!A437","S1303W250YA →")</f>
        <v>S1303W250YA →</v>
      </c>
    </row>
    <row r="419" spans="1:61" ht="18.399999999999999" customHeight="1">
      <c r="A419" s="11" t="s">
        <v>521</v>
      </c>
      <c r="B419" s="2" t="s">
        <v>4196</v>
      </c>
      <c r="C419" s="2">
        <v>1</v>
      </c>
      <c r="D419" s="2" t="s">
        <v>3670</v>
      </c>
      <c r="E419" s="29" t="e">
        <f>일위대가목록!#REF!</f>
        <v>#REF!</v>
      </c>
      <c r="F419" s="29" t="e">
        <f t="shared" si="41"/>
        <v>#REF!</v>
      </c>
      <c r="G419" s="29" t="e">
        <f>일위대가목록!#REF!</f>
        <v>#REF!</v>
      </c>
      <c r="H419" s="29" t="e">
        <f t="shared" si="42"/>
        <v>#REF!</v>
      </c>
      <c r="I419" s="29" t="e">
        <f>일위대가목록!#REF!</f>
        <v>#REF!</v>
      </c>
      <c r="J419" s="29" t="e">
        <f t="shared" si="43"/>
        <v>#REF!</v>
      </c>
      <c r="K419" s="29" t="e">
        <f t="shared" si="40"/>
        <v>#REF!</v>
      </c>
      <c r="L419" s="29" t="e">
        <f t="shared" si="39"/>
        <v>#REF!</v>
      </c>
      <c r="M419" s="20" t="s">
        <v>6232</v>
      </c>
      <c r="N419" t="s">
        <v>6232</v>
      </c>
      <c r="P419" t="s">
        <v>1838</v>
      </c>
      <c r="Q419" t="s">
        <v>6232</v>
      </c>
      <c r="R419" t="s">
        <v>3466</v>
      </c>
      <c r="T419" t="s">
        <v>3860</v>
      </c>
      <c r="BI419" s="52" t="str">
        <f>HYPERLINK("#일위대가목록!A438","S1303W200 →")</f>
        <v>S1303W200 →</v>
      </c>
    </row>
    <row r="420" spans="1:61" ht="18.399999999999999" customHeight="1">
      <c r="A420" s="11" t="s">
        <v>4055</v>
      </c>
      <c r="B420" s="2" t="s">
        <v>4196</v>
      </c>
      <c r="C420" s="2">
        <v>1</v>
      </c>
      <c r="D420" s="2" t="s">
        <v>3670</v>
      </c>
      <c r="E420" s="29" t="e">
        <f>일위대가목록!#REF!</f>
        <v>#REF!</v>
      </c>
      <c r="F420" s="29" t="e">
        <f t="shared" si="41"/>
        <v>#REF!</v>
      </c>
      <c r="G420" s="29" t="e">
        <f>일위대가목록!#REF!</f>
        <v>#REF!</v>
      </c>
      <c r="H420" s="29" t="e">
        <f t="shared" si="42"/>
        <v>#REF!</v>
      </c>
      <c r="I420" s="29" t="e">
        <f>일위대가목록!#REF!</f>
        <v>#REF!</v>
      </c>
      <c r="J420" s="29" t="e">
        <f t="shared" si="43"/>
        <v>#REF!</v>
      </c>
      <c r="K420" s="29" t="e">
        <f t="shared" si="40"/>
        <v>#REF!</v>
      </c>
      <c r="L420" s="29" t="e">
        <f t="shared" si="39"/>
        <v>#REF!</v>
      </c>
      <c r="M420" s="20" t="s">
        <v>6232</v>
      </c>
      <c r="N420" t="s">
        <v>6232</v>
      </c>
      <c r="P420" t="s">
        <v>3432</v>
      </c>
      <c r="Q420" t="s">
        <v>6232</v>
      </c>
      <c r="R420" t="s">
        <v>550</v>
      </c>
      <c r="T420" t="s">
        <v>3860</v>
      </c>
      <c r="BI420" s="52" t="str">
        <f>HYPERLINK("#일위대가목록!A439","S1303W200YA →")</f>
        <v>S1303W200YA →</v>
      </c>
    </row>
    <row r="421" spans="1:61" ht="18.399999999999999" customHeight="1">
      <c r="A421" s="11" t="s">
        <v>521</v>
      </c>
      <c r="B421" s="2" t="s">
        <v>4124</v>
      </c>
      <c r="C421" s="2">
        <v>1</v>
      </c>
      <c r="D421" s="2" t="s">
        <v>3670</v>
      </c>
      <c r="E421" s="29" t="e">
        <f>일위대가목록!#REF!</f>
        <v>#REF!</v>
      </c>
      <c r="F421" s="29" t="e">
        <f t="shared" si="41"/>
        <v>#REF!</v>
      </c>
      <c r="G421" s="29" t="e">
        <f>일위대가목록!#REF!</f>
        <v>#REF!</v>
      </c>
      <c r="H421" s="29" t="e">
        <f t="shared" si="42"/>
        <v>#REF!</v>
      </c>
      <c r="I421" s="29" t="e">
        <f>일위대가목록!#REF!</f>
        <v>#REF!</v>
      </c>
      <c r="J421" s="29" t="e">
        <f t="shared" si="43"/>
        <v>#REF!</v>
      </c>
      <c r="K421" s="29" t="e">
        <f t="shared" si="40"/>
        <v>#REF!</v>
      </c>
      <c r="L421" s="29" t="e">
        <f t="shared" si="39"/>
        <v>#REF!</v>
      </c>
      <c r="M421" s="20" t="s">
        <v>6232</v>
      </c>
      <c r="N421" t="s">
        <v>6232</v>
      </c>
      <c r="P421" t="s">
        <v>5017</v>
      </c>
      <c r="Q421" t="s">
        <v>6232</v>
      </c>
      <c r="R421" t="s">
        <v>3582</v>
      </c>
      <c r="T421" t="s">
        <v>3860</v>
      </c>
      <c r="BI421" s="52" t="str">
        <f>HYPERLINK("#일위대가목록!A440","S1303W150 →")</f>
        <v>S1303W150 →</v>
      </c>
    </row>
    <row r="422" spans="1:61" ht="18.399999999999999" customHeight="1">
      <c r="A422" s="11" t="s">
        <v>4055</v>
      </c>
      <c r="B422" s="2" t="s">
        <v>4124</v>
      </c>
      <c r="C422" s="2">
        <v>1</v>
      </c>
      <c r="D422" s="2" t="s">
        <v>3670</v>
      </c>
      <c r="E422" s="29" t="e">
        <f>일위대가목록!#REF!</f>
        <v>#REF!</v>
      </c>
      <c r="F422" s="29" t="e">
        <f t="shared" si="41"/>
        <v>#REF!</v>
      </c>
      <c r="G422" s="29" t="e">
        <f>일위대가목록!#REF!</f>
        <v>#REF!</v>
      </c>
      <c r="H422" s="29" t="e">
        <f t="shared" si="42"/>
        <v>#REF!</v>
      </c>
      <c r="I422" s="29" t="e">
        <f>일위대가목록!#REF!</f>
        <v>#REF!</v>
      </c>
      <c r="J422" s="29" t="e">
        <f t="shared" si="43"/>
        <v>#REF!</v>
      </c>
      <c r="K422" s="29" t="e">
        <f t="shared" si="40"/>
        <v>#REF!</v>
      </c>
      <c r="L422" s="29" t="e">
        <f t="shared" si="39"/>
        <v>#REF!</v>
      </c>
      <c r="M422" s="20" t="s">
        <v>6232</v>
      </c>
      <c r="N422" t="s">
        <v>6232</v>
      </c>
      <c r="P422" t="s">
        <v>5</v>
      </c>
      <c r="Q422" t="s">
        <v>6232</v>
      </c>
      <c r="R422" t="s">
        <v>5943</v>
      </c>
      <c r="T422" t="s">
        <v>3860</v>
      </c>
      <c r="BI422" s="52" t="str">
        <f>HYPERLINK("#일위대가목록!A441","S1303W150YA →")</f>
        <v>S1303W150YA →</v>
      </c>
    </row>
    <row r="423" spans="1:61" ht="18.399999999999999" customHeight="1">
      <c r="A423" s="11" t="s">
        <v>521</v>
      </c>
      <c r="B423" s="2" t="s">
        <v>2533</v>
      </c>
      <c r="C423" s="2">
        <v>1</v>
      </c>
      <c r="D423" s="2" t="s">
        <v>3670</v>
      </c>
      <c r="E423" s="29" t="e">
        <f>일위대가목록!#REF!</f>
        <v>#REF!</v>
      </c>
      <c r="F423" s="29" t="e">
        <f t="shared" si="41"/>
        <v>#REF!</v>
      </c>
      <c r="G423" s="29" t="e">
        <f>일위대가목록!#REF!</f>
        <v>#REF!</v>
      </c>
      <c r="H423" s="29" t="e">
        <f t="shared" si="42"/>
        <v>#REF!</v>
      </c>
      <c r="I423" s="29" t="e">
        <f>일위대가목록!#REF!</f>
        <v>#REF!</v>
      </c>
      <c r="J423" s="29" t="e">
        <f t="shared" si="43"/>
        <v>#REF!</v>
      </c>
      <c r="K423" s="29" t="e">
        <f t="shared" si="40"/>
        <v>#REF!</v>
      </c>
      <c r="L423" s="29" t="e">
        <f t="shared" si="39"/>
        <v>#REF!</v>
      </c>
      <c r="M423" s="20" t="s">
        <v>6232</v>
      </c>
      <c r="N423" t="s">
        <v>6232</v>
      </c>
      <c r="P423" t="s">
        <v>1059</v>
      </c>
      <c r="Q423" t="s">
        <v>6232</v>
      </c>
      <c r="R423" t="s">
        <v>5332</v>
      </c>
      <c r="T423" t="s">
        <v>3860</v>
      </c>
      <c r="BI423" s="52" t="str">
        <f>HYPERLINK("#일위대가목록!A442","S1303W125 →")</f>
        <v>S1303W125 →</v>
      </c>
    </row>
    <row r="424" spans="1:61" ht="18.399999999999999" customHeight="1">
      <c r="A424" s="11" t="s">
        <v>4055</v>
      </c>
      <c r="B424" s="2" t="s">
        <v>2533</v>
      </c>
      <c r="C424" s="2">
        <v>1</v>
      </c>
      <c r="D424" s="2" t="s">
        <v>3670</v>
      </c>
      <c r="E424" s="29" t="e">
        <f>일위대가목록!#REF!</f>
        <v>#REF!</v>
      </c>
      <c r="F424" s="29" t="e">
        <f t="shared" si="41"/>
        <v>#REF!</v>
      </c>
      <c r="G424" s="29" t="e">
        <f>일위대가목록!#REF!</f>
        <v>#REF!</v>
      </c>
      <c r="H424" s="29" t="e">
        <f t="shared" si="42"/>
        <v>#REF!</v>
      </c>
      <c r="I424" s="29" t="e">
        <f>일위대가목록!#REF!</f>
        <v>#REF!</v>
      </c>
      <c r="J424" s="29" t="e">
        <f t="shared" si="43"/>
        <v>#REF!</v>
      </c>
      <c r="K424" s="29" t="e">
        <f t="shared" si="40"/>
        <v>#REF!</v>
      </c>
      <c r="L424" s="29" t="e">
        <f t="shared" si="39"/>
        <v>#REF!</v>
      </c>
      <c r="M424" s="20" t="s">
        <v>6232</v>
      </c>
      <c r="N424" t="s">
        <v>6232</v>
      </c>
      <c r="P424" t="s">
        <v>3464</v>
      </c>
      <c r="Q424" t="s">
        <v>6232</v>
      </c>
      <c r="R424" t="s">
        <v>4046</v>
      </c>
      <c r="T424" t="s">
        <v>3860</v>
      </c>
      <c r="BI424" s="52" t="str">
        <f>HYPERLINK("#일위대가목록!A443","S1303W125YA →")</f>
        <v>S1303W125YA →</v>
      </c>
    </row>
    <row r="425" spans="1:61" ht="18.399999999999999" customHeight="1">
      <c r="A425" s="11" t="s">
        <v>521</v>
      </c>
      <c r="B425" s="2" t="s">
        <v>1572</v>
      </c>
      <c r="C425" s="2">
        <v>1</v>
      </c>
      <c r="D425" s="2" t="s">
        <v>3670</v>
      </c>
      <c r="E425" s="29" t="e">
        <f>일위대가목록!#REF!</f>
        <v>#REF!</v>
      </c>
      <c r="F425" s="29" t="e">
        <f t="shared" si="41"/>
        <v>#REF!</v>
      </c>
      <c r="G425" s="29" t="e">
        <f>일위대가목록!#REF!</f>
        <v>#REF!</v>
      </c>
      <c r="H425" s="29" t="e">
        <f t="shared" si="42"/>
        <v>#REF!</v>
      </c>
      <c r="I425" s="29" t="e">
        <f>일위대가목록!#REF!</f>
        <v>#REF!</v>
      </c>
      <c r="J425" s="29" t="e">
        <f t="shared" si="43"/>
        <v>#REF!</v>
      </c>
      <c r="K425" s="29" t="e">
        <f t="shared" si="40"/>
        <v>#REF!</v>
      </c>
      <c r="L425" s="29" t="e">
        <f t="shared" si="39"/>
        <v>#REF!</v>
      </c>
      <c r="M425" s="20" t="s">
        <v>6232</v>
      </c>
      <c r="N425" t="s">
        <v>6232</v>
      </c>
      <c r="P425" t="s">
        <v>1549</v>
      </c>
      <c r="Q425" t="s">
        <v>6232</v>
      </c>
      <c r="R425" t="s">
        <v>5186</v>
      </c>
      <c r="T425" t="s">
        <v>3860</v>
      </c>
      <c r="BI425" s="52" t="str">
        <f>HYPERLINK("#일위대가목록!A444","S1303W100 →")</f>
        <v>S1303W100 →</v>
      </c>
    </row>
    <row r="426" spans="1:61" ht="18.399999999999999" customHeight="1">
      <c r="A426" s="11" t="s">
        <v>4055</v>
      </c>
      <c r="B426" s="2" t="s">
        <v>1572</v>
      </c>
      <c r="C426" s="2">
        <v>1</v>
      </c>
      <c r="D426" s="2" t="s">
        <v>3670</v>
      </c>
      <c r="E426" s="29" t="e">
        <f>일위대가목록!#REF!</f>
        <v>#REF!</v>
      </c>
      <c r="F426" s="29" t="e">
        <f t="shared" si="41"/>
        <v>#REF!</v>
      </c>
      <c r="G426" s="29" t="e">
        <f>일위대가목록!#REF!</f>
        <v>#REF!</v>
      </c>
      <c r="H426" s="29" t="e">
        <f t="shared" si="42"/>
        <v>#REF!</v>
      </c>
      <c r="I426" s="29" t="e">
        <f>일위대가목록!#REF!</f>
        <v>#REF!</v>
      </c>
      <c r="J426" s="29" t="e">
        <f t="shared" si="43"/>
        <v>#REF!</v>
      </c>
      <c r="K426" s="29" t="e">
        <f t="shared" si="40"/>
        <v>#REF!</v>
      </c>
      <c r="L426" s="29" t="e">
        <f t="shared" si="39"/>
        <v>#REF!</v>
      </c>
      <c r="M426" s="20" t="s">
        <v>6232</v>
      </c>
      <c r="N426" t="s">
        <v>6232</v>
      </c>
      <c r="P426" t="s">
        <v>3416</v>
      </c>
      <c r="Q426" t="s">
        <v>6232</v>
      </c>
      <c r="R426" t="s">
        <v>4809</v>
      </c>
      <c r="T426" t="s">
        <v>3860</v>
      </c>
      <c r="BI426" s="52" t="str">
        <f>HYPERLINK("#일위대가목록!A445","S1303W100YA →")</f>
        <v>S1303W100YA →</v>
      </c>
    </row>
    <row r="427" spans="1:61" ht="18.399999999999999" customHeight="1">
      <c r="A427" s="11" t="s">
        <v>521</v>
      </c>
      <c r="B427" s="2" t="s">
        <v>1160</v>
      </c>
      <c r="C427" s="2">
        <v>1</v>
      </c>
      <c r="D427" s="2" t="s">
        <v>3670</v>
      </c>
      <c r="E427" s="29" t="e">
        <f>일위대가목록!#REF!</f>
        <v>#REF!</v>
      </c>
      <c r="F427" s="29" t="e">
        <f t="shared" si="41"/>
        <v>#REF!</v>
      </c>
      <c r="G427" s="29" t="e">
        <f>일위대가목록!#REF!</f>
        <v>#REF!</v>
      </c>
      <c r="H427" s="29" t="e">
        <f t="shared" si="42"/>
        <v>#REF!</v>
      </c>
      <c r="I427" s="29" t="e">
        <f>일위대가목록!#REF!</f>
        <v>#REF!</v>
      </c>
      <c r="J427" s="29" t="e">
        <f t="shared" si="43"/>
        <v>#REF!</v>
      </c>
      <c r="K427" s="29" t="e">
        <f t="shared" si="40"/>
        <v>#REF!</v>
      </c>
      <c r="L427" s="29" t="e">
        <f t="shared" si="39"/>
        <v>#REF!</v>
      </c>
      <c r="M427" s="20" t="s">
        <v>6232</v>
      </c>
      <c r="N427" t="s">
        <v>6232</v>
      </c>
      <c r="P427" t="s">
        <v>4960</v>
      </c>
      <c r="Q427" t="s">
        <v>6232</v>
      </c>
      <c r="R427" t="s">
        <v>5684</v>
      </c>
      <c r="T427" t="s">
        <v>3860</v>
      </c>
      <c r="BI427" s="52" t="str">
        <f>HYPERLINK("#일위대가목록!A446","S1303W080 →")</f>
        <v>S1303W080 →</v>
      </c>
    </row>
    <row r="428" spans="1:61" ht="18.399999999999999" customHeight="1">
      <c r="A428" s="11" t="s">
        <v>4055</v>
      </c>
      <c r="B428" s="2" t="s">
        <v>1160</v>
      </c>
      <c r="C428" s="2">
        <v>1</v>
      </c>
      <c r="D428" s="2" t="s">
        <v>3670</v>
      </c>
      <c r="E428" s="29" t="e">
        <f>일위대가목록!#REF!</f>
        <v>#REF!</v>
      </c>
      <c r="F428" s="29" t="e">
        <f t="shared" si="41"/>
        <v>#REF!</v>
      </c>
      <c r="G428" s="29" t="e">
        <f>일위대가목록!#REF!</f>
        <v>#REF!</v>
      </c>
      <c r="H428" s="29" t="e">
        <f t="shared" si="42"/>
        <v>#REF!</v>
      </c>
      <c r="I428" s="29" t="e">
        <f>일위대가목록!#REF!</f>
        <v>#REF!</v>
      </c>
      <c r="J428" s="29" t="e">
        <f t="shared" si="43"/>
        <v>#REF!</v>
      </c>
      <c r="K428" s="29" t="e">
        <f t="shared" si="40"/>
        <v>#REF!</v>
      </c>
      <c r="L428" s="29" t="e">
        <f t="shared" si="39"/>
        <v>#REF!</v>
      </c>
      <c r="M428" s="20" t="s">
        <v>6232</v>
      </c>
      <c r="N428" t="s">
        <v>6232</v>
      </c>
      <c r="P428" t="s">
        <v>354</v>
      </c>
      <c r="Q428" t="s">
        <v>6232</v>
      </c>
      <c r="R428" t="s">
        <v>3725</v>
      </c>
      <c r="T428" t="s">
        <v>3860</v>
      </c>
      <c r="BI428" s="52" t="str">
        <f>HYPERLINK("#일위대가목록!A447","S1303W080YA →")</f>
        <v>S1303W080YA →</v>
      </c>
    </row>
    <row r="429" spans="1:61" ht="18.399999999999999" customHeight="1">
      <c r="A429" s="11" t="s">
        <v>521</v>
      </c>
      <c r="B429" s="2" t="s">
        <v>3058</v>
      </c>
      <c r="C429" s="2">
        <v>1</v>
      </c>
      <c r="D429" s="2" t="s">
        <v>3670</v>
      </c>
      <c r="E429" s="29" t="e">
        <f>일위대가목록!#REF!</f>
        <v>#REF!</v>
      </c>
      <c r="F429" s="29" t="e">
        <f t="shared" si="41"/>
        <v>#REF!</v>
      </c>
      <c r="G429" s="29" t="e">
        <f>일위대가목록!#REF!</f>
        <v>#REF!</v>
      </c>
      <c r="H429" s="29" t="e">
        <f t="shared" si="42"/>
        <v>#REF!</v>
      </c>
      <c r="I429" s="29" t="e">
        <f>일위대가목록!#REF!</f>
        <v>#REF!</v>
      </c>
      <c r="J429" s="29" t="e">
        <f t="shared" si="43"/>
        <v>#REF!</v>
      </c>
      <c r="K429" s="29" t="e">
        <f t="shared" si="40"/>
        <v>#REF!</v>
      </c>
      <c r="L429" s="29" t="e">
        <f t="shared" si="39"/>
        <v>#REF!</v>
      </c>
      <c r="M429" s="20" t="s">
        <v>6232</v>
      </c>
      <c r="N429" t="s">
        <v>6232</v>
      </c>
      <c r="P429" t="s">
        <v>1873</v>
      </c>
      <c r="Q429" t="s">
        <v>6232</v>
      </c>
      <c r="R429" t="s">
        <v>5650</v>
      </c>
      <c r="T429" t="s">
        <v>3860</v>
      </c>
      <c r="BI429" s="52" t="str">
        <f>HYPERLINK("#일위대가목록!A448","S1303W065 →")</f>
        <v>S1303W065 →</v>
      </c>
    </row>
    <row r="430" spans="1:61" ht="18.399999999999999" customHeight="1">
      <c r="A430" s="11" t="s">
        <v>4055</v>
      </c>
      <c r="B430" s="2" t="s">
        <v>3058</v>
      </c>
      <c r="C430" s="2">
        <v>1</v>
      </c>
      <c r="D430" s="2" t="s">
        <v>3670</v>
      </c>
      <c r="E430" s="29" t="e">
        <f>일위대가목록!#REF!</f>
        <v>#REF!</v>
      </c>
      <c r="F430" s="29" t="e">
        <f t="shared" si="41"/>
        <v>#REF!</v>
      </c>
      <c r="G430" s="29" t="e">
        <f>일위대가목록!#REF!</f>
        <v>#REF!</v>
      </c>
      <c r="H430" s="29" t="e">
        <f t="shared" si="42"/>
        <v>#REF!</v>
      </c>
      <c r="I430" s="29" t="e">
        <f>일위대가목록!#REF!</f>
        <v>#REF!</v>
      </c>
      <c r="J430" s="29" t="e">
        <f t="shared" si="43"/>
        <v>#REF!</v>
      </c>
      <c r="K430" s="29" t="e">
        <f t="shared" si="40"/>
        <v>#REF!</v>
      </c>
      <c r="L430" s="29" t="e">
        <f t="shared" si="39"/>
        <v>#REF!</v>
      </c>
      <c r="M430" s="20" t="s">
        <v>6232</v>
      </c>
      <c r="N430" t="s">
        <v>6232</v>
      </c>
      <c r="P430" t="s">
        <v>3306</v>
      </c>
      <c r="Q430" t="s">
        <v>6232</v>
      </c>
      <c r="R430" t="s">
        <v>1553</v>
      </c>
      <c r="T430" t="s">
        <v>3860</v>
      </c>
      <c r="BI430" s="52" t="str">
        <f>HYPERLINK("#일위대가목록!A449","S1303W065YA →")</f>
        <v>S1303W065YA →</v>
      </c>
    </row>
    <row r="431" spans="1:61" ht="18.399999999999999" customHeight="1">
      <c r="A431" s="11" t="s">
        <v>521</v>
      </c>
      <c r="B431" s="2" t="s">
        <v>2393</v>
      </c>
      <c r="C431" s="2">
        <v>1</v>
      </c>
      <c r="D431" s="2" t="s">
        <v>3670</v>
      </c>
      <c r="E431" s="29" t="e">
        <f>일위대가목록!#REF!</f>
        <v>#REF!</v>
      </c>
      <c r="F431" s="29" t="e">
        <f t="shared" si="41"/>
        <v>#REF!</v>
      </c>
      <c r="G431" s="29" t="e">
        <f>일위대가목록!#REF!</f>
        <v>#REF!</v>
      </c>
      <c r="H431" s="29" t="e">
        <f t="shared" si="42"/>
        <v>#REF!</v>
      </c>
      <c r="I431" s="29" t="e">
        <f>일위대가목록!#REF!</f>
        <v>#REF!</v>
      </c>
      <c r="J431" s="29" t="e">
        <f t="shared" si="43"/>
        <v>#REF!</v>
      </c>
      <c r="K431" s="29" t="e">
        <f t="shared" si="40"/>
        <v>#REF!</v>
      </c>
      <c r="L431" s="29" t="e">
        <f t="shared" si="39"/>
        <v>#REF!</v>
      </c>
      <c r="M431" s="20" t="s">
        <v>6232</v>
      </c>
      <c r="N431" t="s">
        <v>6232</v>
      </c>
      <c r="P431" t="s">
        <v>4849</v>
      </c>
      <c r="Q431" t="s">
        <v>6232</v>
      </c>
      <c r="R431" t="s">
        <v>4003</v>
      </c>
      <c r="T431" t="s">
        <v>3860</v>
      </c>
      <c r="BI431" s="52" t="str">
        <f>HYPERLINK("#일위대가목록!A450","S1303W050 →")</f>
        <v>S1303W050 →</v>
      </c>
    </row>
    <row r="432" spans="1:61" ht="18.399999999999999" customHeight="1">
      <c r="A432" s="11" t="s">
        <v>4055</v>
      </c>
      <c r="B432" s="2" t="s">
        <v>2393</v>
      </c>
      <c r="C432" s="2">
        <v>1</v>
      </c>
      <c r="D432" s="2" t="s">
        <v>3670</v>
      </c>
      <c r="E432" s="29" t="e">
        <f>일위대가목록!#REF!</f>
        <v>#REF!</v>
      </c>
      <c r="F432" s="29" t="e">
        <f t="shared" si="41"/>
        <v>#REF!</v>
      </c>
      <c r="G432" s="29" t="e">
        <f>일위대가목록!#REF!</f>
        <v>#REF!</v>
      </c>
      <c r="H432" s="29" t="e">
        <f t="shared" si="42"/>
        <v>#REF!</v>
      </c>
      <c r="I432" s="29" t="e">
        <f>일위대가목록!#REF!</f>
        <v>#REF!</v>
      </c>
      <c r="J432" s="29" t="e">
        <f t="shared" si="43"/>
        <v>#REF!</v>
      </c>
      <c r="K432" s="29" t="e">
        <f t="shared" si="40"/>
        <v>#REF!</v>
      </c>
      <c r="L432" s="29" t="e">
        <f t="shared" si="39"/>
        <v>#REF!</v>
      </c>
      <c r="M432" s="20" t="s">
        <v>6232</v>
      </c>
      <c r="N432" t="s">
        <v>6232</v>
      </c>
      <c r="P432" t="s">
        <v>248</v>
      </c>
      <c r="Q432" t="s">
        <v>6232</v>
      </c>
      <c r="R432" t="s">
        <v>1635</v>
      </c>
      <c r="T432" t="s">
        <v>3860</v>
      </c>
      <c r="BI432" s="52" t="str">
        <f>HYPERLINK("#일위대가목록!A451","S1303W050YA →")</f>
        <v>S1303W050YA →</v>
      </c>
    </row>
    <row r="433" spans="1:61" ht="18.399999999999999" customHeight="1">
      <c r="A433" s="11" t="s">
        <v>521</v>
      </c>
      <c r="B433" s="2" t="s">
        <v>2012</v>
      </c>
      <c r="C433" s="2">
        <v>1</v>
      </c>
      <c r="D433" s="2" t="s">
        <v>3670</v>
      </c>
      <c r="E433" s="29" t="e">
        <f>일위대가목록!#REF!</f>
        <v>#REF!</v>
      </c>
      <c r="F433" s="29" t="e">
        <f t="shared" si="41"/>
        <v>#REF!</v>
      </c>
      <c r="G433" s="29" t="e">
        <f>일위대가목록!#REF!</f>
        <v>#REF!</v>
      </c>
      <c r="H433" s="29" t="e">
        <f t="shared" si="42"/>
        <v>#REF!</v>
      </c>
      <c r="I433" s="29" t="e">
        <f>일위대가목록!#REF!</f>
        <v>#REF!</v>
      </c>
      <c r="J433" s="29" t="e">
        <f t="shared" si="43"/>
        <v>#REF!</v>
      </c>
      <c r="K433" s="29" t="e">
        <f t="shared" si="40"/>
        <v>#REF!</v>
      </c>
      <c r="L433" s="29" t="e">
        <f t="shared" si="39"/>
        <v>#REF!</v>
      </c>
      <c r="M433" s="20" t="s">
        <v>6232</v>
      </c>
      <c r="N433" t="s">
        <v>6232</v>
      </c>
      <c r="P433" t="s">
        <v>1768</v>
      </c>
      <c r="Q433" t="s">
        <v>6232</v>
      </c>
      <c r="R433" t="s">
        <v>5579</v>
      </c>
      <c r="T433" t="s">
        <v>3860</v>
      </c>
      <c r="BI433" s="52" t="str">
        <f>HYPERLINK("#일위대가목록!A452","S1303W040 →")</f>
        <v>S1303W040 →</v>
      </c>
    </row>
    <row r="434" spans="1:61" ht="18.399999999999999" customHeight="1">
      <c r="A434" s="11" t="s">
        <v>4055</v>
      </c>
      <c r="B434" s="2" t="s">
        <v>2012</v>
      </c>
      <c r="C434" s="2">
        <v>1</v>
      </c>
      <c r="D434" s="2" t="s">
        <v>3670</v>
      </c>
      <c r="E434" s="29" t="e">
        <f>일위대가목록!#REF!</f>
        <v>#REF!</v>
      </c>
      <c r="F434" s="29" t="e">
        <f t="shared" si="41"/>
        <v>#REF!</v>
      </c>
      <c r="G434" s="29" t="e">
        <f>일위대가목록!#REF!</f>
        <v>#REF!</v>
      </c>
      <c r="H434" s="29" t="e">
        <f t="shared" si="42"/>
        <v>#REF!</v>
      </c>
      <c r="I434" s="29" t="e">
        <f>일위대가목록!#REF!</f>
        <v>#REF!</v>
      </c>
      <c r="J434" s="29" t="e">
        <f t="shared" si="43"/>
        <v>#REF!</v>
      </c>
      <c r="K434" s="29" t="e">
        <f t="shared" si="40"/>
        <v>#REF!</v>
      </c>
      <c r="L434" s="29" t="e">
        <f t="shared" si="39"/>
        <v>#REF!</v>
      </c>
      <c r="M434" s="20" t="s">
        <v>6232</v>
      </c>
      <c r="N434" t="s">
        <v>6232</v>
      </c>
      <c r="P434" t="s">
        <v>3212</v>
      </c>
      <c r="Q434" t="s">
        <v>6232</v>
      </c>
      <c r="R434" t="s">
        <v>795</v>
      </c>
      <c r="T434" t="s">
        <v>3860</v>
      </c>
      <c r="BI434" s="52" t="str">
        <f>HYPERLINK("#일위대가목록!A453","S1303W040YA →")</f>
        <v>S1303W040YA →</v>
      </c>
    </row>
    <row r="435" spans="1:61" ht="18.399999999999999" customHeight="1">
      <c r="A435" s="11" t="s">
        <v>521</v>
      </c>
      <c r="B435" s="2" t="s">
        <v>1993</v>
      </c>
      <c r="C435" s="2">
        <v>1</v>
      </c>
      <c r="D435" s="2" t="s">
        <v>3670</v>
      </c>
      <c r="E435" s="29" t="e">
        <f>일위대가목록!#REF!</f>
        <v>#REF!</v>
      </c>
      <c r="F435" s="29" t="e">
        <f t="shared" si="41"/>
        <v>#REF!</v>
      </c>
      <c r="G435" s="29" t="e">
        <f>일위대가목록!#REF!</f>
        <v>#REF!</v>
      </c>
      <c r="H435" s="29" t="e">
        <f t="shared" si="42"/>
        <v>#REF!</v>
      </c>
      <c r="I435" s="29" t="e">
        <f>일위대가목록!#REF!</f>
        <v>#REF!</v>
      </c>
      <c r="J435" s="29" t="e">
        <f t="shared" si="43"/>
        <v>#REF!</v>
      </c>
      <c r="K435" s="29" t="e">
        <f t="shared" si="40"/>
        <v>#REF!</v>
      </c>
      <c r="L435" s="29" t="e">
        <f t="shared" si="39"/>
        <v>#REF!</v>
      </c>
      <c r="M435" s="20" t="s">
        <v>6232</v>
      </c>
      <c r="N435" t="s">
        <v>6232</v>
      </c>
      <c r="P435" t="s">
        <v>4760</v>
      </c>
      <c r="Q435" t="s">
        <v>6232</v>
      </c>
      <c r="R435" t="s">
        <v>314</v>
      </c>
      <c r="T435" t="s">
        <v>3860</v>
      </c>
      <c r="BI435" s="52" t="str">
        <f>HYPERLINK("#일위대가목록!A454","S1303W032 →")</f>
        <v>S1303W032 →</v>
      </c>
    </row>
    <row r="436" spans="1:61" ht="18.399999999999999" customHeight="1">
      <c r="A436" s="11" t="s">
        <v>4055</v>
      </c>
      <c r="B436" s="2" t="s">
        <v>1993</v>
      </c>
      <c r="C436" s="2">
        <v>1</v>
      </c>
      <c r="D436" s="2" t="s">
        <v>3670</v>
      </c>
      <c r="E436" s="29" t="e">
        <f>일위대가목록!#REF!</f>
        <v>#REF!</v>
      </c>
      <c r="F436" s="29" t="e">
        <f t="shared" si="41"/>
        <v>#REF!</v>
      </c>
      <c r="G436" s="29" t="e">
        <f>일위대가목록!#REF!</f>
        <v>#REF!</v>
      </c>
      <c r="H436" s="29" t="e">
        <f t="shared" si="42"/>
        <v>#REF!</v>
      </c>
      <c r="I436" s="29" t="e">
        <f>일위대가목록!#REF!</f>
        <v>#REF!</v>
      </c>
      <c r="J436" s="29" t="e">
        <f t="shared" si="43"/>
        <v>#REF!</v>
      </c>
      <c r="K436" s="29" t="e">
        <f t="shared" si="40"/>
        <v>#REF!</v>
      </c>
      <c r="L436" s="29" t="e">
        <f t="shared" si="39"/>
        <v>#REF!</v>
      </c>
      <c r="M436" s="20" t="s">
        <v>6232</v>
      </c>
      <c r="N436" t="s">
        <v>6232</v>
      </c>
      <c r="P436" t="s">
        <v>4507</v>
      </c>
      <c r="Q436" t="s">
        <v>6232</v>
      </c>
      <c r="R436" t="s">
        <v>5980</v>
      </c>
      <c r="T436" t="s">
        <v>3860</v>
      </c>
      <c r="BI436" s="52" t="str">
        <f>HYPERLINK("#일위대가목록!A455","S1303W032YA →")</f>
        <v>S1303W032YA →</v>
      </c>
    </row>
    <row r="437" spans="1:61" ht="18.399999999999999" customHeight="1">
      <c r="A437" s="11" t="s">
        <v>521</v>
      </c>
      <c r="B437" s="2" t="s">
        <v>3967</v>
      </c>
      <c r="C437" s="2">
        <v>1</v>
      </c>
      <c r="D437" s="2" t="s">
        <v>3670</v>
      </c>
      <c r="E437" s="29" t="e">
        <f>일위대가목록!#REF!</f>
        <v>#REF!</v>
      </c>
      <c r="F437" s="29" t="e">
        <f t="shared" si="41"/>
        <v>#REF!</v>
      </c>
      <c r="G437" s="29" t="e">
        <f>일위대가목록!#REF!</f>
        <v>#REF!</v>
      </c>
      <c r="H437" s="29" t="e">
        <f t="shared" si="42"/>
        <v>#REF!</v>
      </c>
      <c r="I437" s="29" t="e">
        <f>일위대가목록!#REF!</f>
        <v>#REF!</v>
      </c>
      <c r="J437" s="29" t="e">
        <f t="shared" si="43"/>
        <v>#REF!</v>
      </c>
      <c r="K437" s="29" t="e">
        <f t="shared" si="40"/>
        <v>#REF!</v>
      </c>
      <c r="L437" s="29" t="e">
        <f t="shared" si="39"/>
        <v>#REF!</v>
      </c>
      <c r="M437" s="20" t="s">
        <v>6232</v>
      </c>
      <c r="N437" t="s">
        <v>6232</v>
      </c>
      <c r="P437" t="s">
        <v>6126</v>
      </c>
      <c r="Q437" t="s">
        <v>6232</v>
      </c>
      <c r="R437" t="s">
        <v>5755</v>
      </c>
      <c r="T437" t="s">
        <v>3860</v>
      </c>
      <c r="BI437" s="52" t="str">
        <f>HYPERLINK("#일위대가목록!A456","S1303W025 →")</f>
        <v>S1303W025 →</v>
      </c>
    </row>
    <row r="438" spans="1:61" ht="18.399999999999999" customHeight="1">
      <c r="A438" s="11" t="s">
        <v>4055</v>
      </c>
      <c r="B438" s="2" t="s">
        <v>3967</v>
      </c>
      <c r="C438" s="2">
        <v>1</v>
      </c>
      <c r="D438" s="2" t="s">
        <v>3670</v>
      </c>
      <c r="E438" s="29" t="e">
        <f>일위대가목록!#REF!</f>
        <v>#REF!</v>
      </c>
      <c r="F438" s="29" t="e">
        <f t="shared" si="41"/>
        <v>#REF!</v>
      </c>
      <c r="G438" s="29" t="e">
        <f>일위대가목록!#REF!</f>
        <v>#REF!</v>
      </c>
      <c r="H438" s="29" t="e">
        <f t="shared" si="42"/>
        <v>#REF!</v>
      </c>
      <c r="I438" s="29" t="e">
        <f>일위대가목록!#REF!</f>
        <v>#REF!</v>
      </c>
      <c r="J438" s="29" t="e">
        <f t="shared" si="43"/>
        <v>#REF!</v>
      </c>
      <c r="K438" s="29" t="e">
        <f t="shared" si="40"/>
        <v>#REF!</v>
      </c>
      <c r="L438" s="29" t="e">
        <f t="shared" si="39"/>
        <v>#REF!</v>
      </c>
      <c r="M438" s="20" t="s">
        <v>6232</v>
      </c>
      <c r="N438" t="s">
        <v>6232</v>
      </c>
      <c r="P438" t="s">
        <v>1351</v>
      </c>
      <c r="Q438" t="s">
        <v>6232</v>
      </c>
      <c r="R438" t="s">
        <v>543</v>
      </c>
      <c r="T438" t="s">
        <v>3860</v>
      </c>
      <c r="BI438" s="52" t="str">
        <f>HYPERLINK("#일위대가목록!A457","S1303W025YA →")</f>
        <v>S1303W025YA →</v>
      </c>
    </row>
    <row r="439" spans="1:61" ht="18.399999999999999" customHeight="1">
      <c r="A439" s="11" t="s">
        <v>521</v>
      </c>
      <c r="B439" s="2" t="s">
        <v>5596</v>
      </c>
      <c r="C439" s="2">
        <v>1</v>
      </c>
      <c r="D439" s="2" t="s">
        <v>3670</v>
      </c>
      <c r="E439" s="29" t="e">
        <f>일위대가목록!#REF!</f>
        <v>#REF!</v>
      </c>
      <c r="F439" s="29" t="e">
        <f t="shared" si="41"/>
        <v>#REF!</v>
      </c>
      <c r="G439" s="29" t="e">
        <f>일위대가목록!#REF!</f>
        <v>#REF!</v>
      </c>
      <c r="H439" s="29" t="e">
        <f t="shared" si="42"/>
        <v>#REF!</v>
      </c>
      <c r="I439" s="29" t="e">
        <f>일위대가목록!#REF!</f>
        <v>#REF!</v>
      </c>
      <c r="J439" s="29" t="e">
        <f t="shared" si="43"/>
        <v>#REF!</v>
      </c>
      <c r="K439" s="29" t="e">
        <f t="shared" si="40"/>
        <v>#REF!</v>
      </c>
      <c r="L439" s="29" t="e">
        <f t="shared" si="39"/>
        <v>#REF!</v>
      </c>
      <c r="M439" s="20" t="s">
        <v>6232</v>
      </c>
      <c r="N439" t="s">
        <v>6232</v>
      </c>
      <c r="P439" t="s">
        <v>2930</v>
      </c>
      <c r="Q439" t="s">
        <v>6232</v>
      </c>
      <c r="R439" t="s">
        <v>2388</v>
      </c>
      <c r="T439" t="s">
        <v>3860</v>
      </c>
      <c r="BI439" s="52" t="str">
        <f>HYPERLINK("#일위대가목록!A458","S1303W020 →")</f>
        <v>S1303W020 →</v>
      </c>
    </row>
    <row r="440" spans="1:61" ht="18.399999999999999" customHeight="1">
      <c r="A440" s="11" t="s">
        <v>4055</v>
      </c>
      <c r="B440" s="2" t="s">
        <v>5596</v>
      </c>
      <c r="C440" s="2">
        <v>1</v>
      </c>
      <c r="D440" s="2" t="s">
        <v>3670</v>
      </c>
      <c r="E440" s="29" t="e">
        <f>일위대가목록!#REF!</f>
        <v>#REF!</v>
      </c>
      <c r="F440" s="29" t="e">
        <f t="shared" si="41"/>
        <v>#REF!</v>
      </c>
      <c r="G440" s="29" t="e">
        <f>일위대가목록!#REF!</f>
        <v>#REF!</v>
      </c>
      <c r="H440" s="29" t="e">
        <f t="shared" si="42"/>
        <v>#REF!</v>
      </c>
      <c r="I440" s="29" t="e">
        <f>일위대가목록!#REF!</f>
        <v>#REF!</v>
      </c>
      <c r="J440" s="29" t="e">
        <f t="shared" si="43"/>
        <v>#REF!</v>
      </c>
      <c r="K440" s="29" t="e">
        <f t="shared" si="40"/>
        <v>#REF!</v>
      </c>
      <c r="L440" s="29" t="e">
        <f t="shared" si="39"/>
        <v>#REF!</v>
      </c>
      <c r="M440" s="20" t="s">
        <v>6232</v>
      </c>
      <c r="N440" t="s">
        <v>6232</v>
      </c>
      <c r="P440" t="s">
        <v>4598</v>
      </c>
      <c r="Q440" t="s">
        <v>6232</v>
      </c>
      <c r="R440" t="s">
        <v>6173</v>
      </c>
      <c r="T440" t="s">
        <v>3860</v>
      </c>
      <c r="BI440" s="52" t="str">
        <f>HYPERLINK("#일위대가목록!A459","S1303W020YA →")</f>
        <v>S1303W020YA →</v>
      </c>
    </row>
    <row r="441" spans="1:61" ht="18.399999999999999" customHeight="1">
      <c r="A441" s="11" t="s">
        <v>1544</v>
      </c>
      <c r="B441" s="2" t="s">
        <v>6232</v>
      </c>
      <c r="C441" s="2"/>
      <c r="D441" s="2" t="s">
        <v>6232</v>
      </c>
      <c r="E441" s="1"/>
      <c r="F441" s="29" t="e">
        <f>TRUNC(SUM(AF441:AF442),0)</f>
        <v>#REF!</v>
      </c>
      <c r="G441" s="1"/>
      <c r="H441" s="29" t="e">
        <f>TRUNC(SUM(AG441:AG442),0)</f>
        <v>#REF!</v>
      </c>
      <c r="I441" s="1"/>
      <c r="J441" s="29" t="e">
        <f>TRUNC(SUM(AH441:AH442),0)</f>
        <v>#REF!</v>
      </c>
      <c r="K441" s="29">
        <f t="shared" si="40"/>
        <v>0</v>
      </c>
      <c r="L441" s="29" t="e">
        <f t="shared" si="39"/>
        <v>#REF!</v>
      </c>
      <c r="M441" s="20" t="s">
        <v>6232</v>
      </c>
      <c r="N441" t="s">
        <v>6232</v>
      </c>
      <c r="P441" t="s">
        <v>6215</v>
      </c>
      <c r="Q441" t="s">
        <v>6232</v>
      </c>
      <c r="R441" t="s">
        <v>6232</v>
      </c>
      <c r="AF441" s="29" t="e">
        <f>F440+F439+F438+F437+F436+F435+F434+F433+F432+F431+F430+F429+F428+F427+F426+F425+F424+F423+F422+F421+F420+F419+F418+F417+F416+F415+F414+F413+F412+F411</f>
        <v>#REF!</v>
      </c>
      <c r="AG441" s="29" t="e">
        <f>H440+H439+H438+H437+H436+H435+H434+H433+H432+H431+H430+H429+H428+H427+H426+H425+H424+H423+H422+H421+H420+H419+H418+H417+H416+H415+H414+H413+H412+H411</f>
        <v>#REF!</v>
      </c>
      <c r="AH441" s="29" t="e">
        <f>J440+J439+J438+J437+J436+J435+J434+J433+J432+J431+J430+J429+J428+J427+J426+J425+J424+J423+J422+J421+J420+J419+J418+J417+J416+J415+J414+J413+J412+J411</f>
        <v>#REF!</v>
      </c>
    </row>
    <row r="442" spans="1:61" ht="18.399999999999999" customHeight="1">
      <c r="A442" s="11" t="s">
        <v>2495</v>
      </c>
      <c r="B442" s="2" t="s">
        <v>6232</v>
      </c>
      <c r="C442" s="2"/>
      <c r="D442" s="2" t="s">
        <v>6232</v>
      </c>
      <c r="E442" s="1"/>
      <c r="F442" s="29">
        <v>0</v>
      </c>
      <c r="G442" s="1"/>
      <c r="H442" s="29">
        <v>0</v>
      </c>
      <c r="I442" s="1"/>
      <c r="J442" s="29">
        <v>0</v>
      </c>
      <c r="K442" s="29">
        <f t="shared" si="40"/>
        <v>0</v>
      </c>
      <c r="L442" s="29">
        <f t="shared" si="39"/>
        <v>0</v>
      </c>
      <c r="M442" s="20" t="s">
        <v>6232</v>
      </c>
      <c r="N442" t="s">
        <v>6232</v>
      </c>
      <c r="P442" t="s">
        <v>1438</v>
      </c>
      <c r="Q442" t="s">
        <v>6232</v>
      </c>
      <c r="R442" t="s">
        <v>6232</v>
      </c>
      <c r="AF442" s="29" t="e">
        <f>F410+F409+F408+F407+F406+F405+F404+F403+F402+F401+F400+F399+F398+F397</f>
        <v>#REF!</v>
      </c>
      <c r="AG442" s="29" t="e">
        <f>H410+H409+H408+H407+H406+H405+H404+H403+H402+H401+H400+H399+H398+H397</f>
        <v>#REF!</v>
      </c>
      <c r="AH442" s="29" t="e">
        <f>J410+J409+J408+J407+J406+J405+J404+J403+J402+J401+J400+J399+J398+J397</f>
        <v>#REF!</v>
      </c>
    </row>
    <row r="443" spans="1:61" ht="18.399999999999999" customHeight="1">
      <c r="A443" s="11" t="s">
        <v>5346</v>
      </c>
      <c r="B443" s="2" t="s">
        <v>6232</v>
      </c>
      <c r="C443" s="2"/>
      <c r="D443" s="2" t="s">
        <v>6232</v>
      </c>
      <c r="E443" s="1"/>
      <c r="F443" s="29">
        <v>0</v>
      </c>
      <c r="G443" s="1"/>
      <c r="H443" s="29">
        <v>0</v>
      </c>
      <c r="I443" s="1"/>
      <c r="J443" s="29">
        <v>0</v>
      </c>
      <c r="K443" s="29">
        <f t="shared" si="40"/>
        <v>0</v>
      </c>
      <c r="L443" s="29">
        <f t="shared" si="39"/>
        <v>0</v>
      </c>
      <c r="M443" s="20" t="s">
        <v>6232</v>
      </c>
      <c r="N443" t="s">
        <v>6232</v>
      </c>
      <c r="P443" t="s">
        <v>377</v>
      </c>
      <c r="Q443" t="s">
        <v>6232</v>
      </c>
      <c r="R443" t="s">
        <v>6232</v>
      </c>
    </row>
    <row r="444" spans="1:61" ht="18.399999999999999" customHeight="1">
      <c r="A444" s="11" t="s">
        <v>5346</v>
      </c>
      <c r="B444" s="2" t="s">
        <v>2823</v>
      </c>
      <c r="C444" s="2">
        <v>1</v>
      </c>
      <c r="D444" s="2" t="s">
        <v>3670</v>
      </c>
      <c r="E444" s="29" t="e">
        <f>일위대가목록!#REF!</f>
        <v>#REF!</v>
      </c>
      <c r="F444" s="29" t="e">
        <f t="shared" ref="F444:F465" si="44">TRUNC(E444*C444,0)</f>
        <v>#REF!</v>
      </c>
      <c r="G444" s="29" t="e">
        <f>일위대가목록!#REF!</f>
        <v>#REF!</v>
      </c>
      <c r="H444" s="29" t="e">
        <f t="shared" ref="H444:H465" si="45">TRUNC(G444*C444,0)</f>
        <v>#REF!</v>
      </c>
      <c r="I444" s="29" t="e">
        <f>일위대가목록!#REF!</f>
        <v>#REF!</v>
      </c>
      <c r="J444" s="29" t="e">
        <f t="shared" ref="J444:J465" si="46">TRUNC(I444*C444,0)</f>
        <v>#REF!</v>
      </c>
      <c r="K444" s="29" t="e">
        <f t="shared" si="40"/>
        <v>#REF!</v>
      </c>
      <c r="L444" s="29" t="e">
        <f t="shared" si="39"/>
        <v>#REF!</v>
      </c>
      <c r="M444" s="20" t="s">
        <v>6232</v>
      </c>
      <c r="N444" t="s">
        <v>6232</v>
      </c>
      <c r="P444" t="s">
        <v>3010</v>
      </c>
      <c r="Q444" t="s">
        <v>6232</v>
      </c>
      <c r="R444" t="s">
        <v>1825</v>
      </c>
      <c r="T444" t="s">
        <v>3860</v>
      </c>
      <c r="BI444" s="52" t="str">
        <f>HYPERLINK("#일위대가목록!A460","S130301X750 →")</f>
        <v>S130301X750 →</v>
      </c>
    </row>
    <row r="445" spans="1:61" ht="18.399999999999999" customHeight="1">
      <c r="A445" s="11" t="s">
        <v>5346</v>
      </c>
      <c r="B445" s="2" t="s">
        <v>3826</v>
      </c>
      <c r="C445" s="2">
        <v>1</v>
      </c>
      <c r="D445" s="2" t="s">
        <v>3670</v>
      </c>
      <c r="E445" s="29" t="e">
        <f>일위대가목록!#REF!</f>
        <v>#REF!</v>
      </c>
      <c r="F445" s="29" t="e">
        <f t="shared" si="44"/>
        <v>#REF!</v>
      </c>
      <c r="G445" s="29" t="e">
        <f>일위대가목록!#REF!</f>
        <v>#REF!</v>
      </c>
      <c r="H445" s="29" t="e">
        <f t="shared" si="45"/>
        <v>#REF!</v>
      </c>
      <c r="I445" s="29" t="e">
        <f>일위대가목록!#REF!</f>
        <v>#REF!</v>
      </c>
      <c r="J445" s="29" t="e">
        <f t="shared" si="46"/>
        <v>#REF!</v>
      </c>
      <c r="K445" s="29" t="e">
        <f t="shared" si="40"/>
        <v>#REF!</v>
      </c>
      <c r="L445" s="29" t="e">
        <f t="shared" si="39"/>
        <v>#REF!</v>
      </c>
      <c r="M445" s="20" t="s">
        <v>6232</v>
      </c>
      <c r="N445" t="s">
        <v>6232</v>
      </c>
      <c r="P445" t="s">
        <v>4334</v>
      </c>
      <c r="Q445" t="s">
        <v>6232</v>
      </c>
      <c r="R445" t="s">
        <v>211</v>
      </c>
      <c r="T445" t="s">
        <v>3860</v>
      </c>
      <c r="BI445" s="52" t="str">
        <f>HYPERLINK("#일위대가목록!A461","S130301X700 →")</f>
        <v>S130301X700 →</v>
      </c>
    </row>
    <row r="446" spans="1:61" ht="18.399999999999999" customHeight="1">
      <c r="A446" s="11" t="s">
        <v>5346</v>
      </c>
      <c r="B446" s="2" t="s">
        <v>397</v>
      </c>
      <c r="C446" s="2">
        <v>1</v>
      </c>
      <c r="D446" s="2" t="s">
        <v>3670</v>
      </c>
      <c r="E446" s="29" t="e">
        <f>일위대가목록!#REF!</f>
        <v>#REF!</v>
      </c>
      <c r="F446" s="29" t="e">
        <f t="shared" si="44"/>
        <v>#REF!</v>
      </c>
      <c r="G446" s="29" t="e">
        <f>일위대가목록!#REF!</f>
        <v>#REF!</v>
      </c>
      <c r="H446" s="29" t="e">
        <f t="shared" si="45"/>
        <v>#REF!</v>
      </c>
      <c r="I446" s="29" t="e">
        <f>일위대가목록!#REF!</f>
        <v>#REF!</v>
      </c>
      <c r="J446" s="29" t="e">
        <f t="shared" si="46"/>
        <v>#REF!</v>
      </c>
      <c r="K446" s="29" t="e">
        <f t="shared" si="40"/>
        <v>#REF!</v>
      </c>
      <c r="L446" s="29" t="e">
        <f t="shared" si="39"/>
        <v>#REF!</v>
      </c>
      <c r="M446" s="20" t="s">
        <v>6232</v>
      </c>
      <c r="N446" t="s">
        <v>6232</v>
      </c>
      <c r="P446" t="s">
        <v>5902</v>
      </c>
      <c r="Q446" t="s">
        <v>6232</v>
      </c>
      <c r="R446" t="s">
        <v>2962</v>
      </c>
      <c r="T446" t="s">
        <v>3860</v>
      </c>
      <c r="BI446" s="52" t="str">
        <f>HYPERLINK("#일위대가목록!A462","S130301X650 →")</f>
        <v>S130301X650 →</v>
      </c>
    </row>
    <row r="447" spans="1:61" ht="18.399999999999999" customHeight="1">
      <c r="A447" s="11" t="s">
        <v>5346</v>
      </c>
      <c r="B447" s="2" t="s">
        <v>6105</v>
      </c>
      <c r="C447" s="2">
        <v>1</v>
      </c>
      <c r="D447" s="2" t="s">
        <v>3670</v>
      </c>
      <c r="E447" s="29" t="e">
        <f>일위대가목록!#REF!</f>
        <v>#REF!</v>
      </c>
      <c r="F447" s="29" t="e">
        <f t="shared" si="44"/>
        <v>#REF!</v>
      </c>
      <c r="G447" s="29" t="e">
        <f>일위대가목록!#REF!</f>
        <v>#REF!</v>
      </c>
      <c r="H447" s="29" t="e">
        <f t="shared" si="45"/>
        <v>#REF!</v>
      </c>
      <c r="I447" s="29" t="e">
        <f>일위대가목록!#REF!</f>
        <v>#REF!</v>
      </c>
      <c r="J447" s="29" t="e">
        <f t="shared" si="46"/>
        <v>#REF!</v>
      </c>
      <c r="K447" s="29" t="e">
        <f t="shared" si="40"/>
        <v>#REF!</v>
      </c>
      <c r="L447" s="29" t="e">
        <f t="shared" si="39"/>
        <v>#REF!</v>
      </c>
      <c r="M447" s="20" t="s">
        <v>6232</v>
      </c>
      <c r="N447" t="s">
        <v>6232</v>
      </c>
      <c r="P447" t="s">
        <v>5511</v>
      </c>
      <c r="Q447" t="s">
        <v>6232</v>
      </c>
      <c r="R447" t="s">
        <v>1483</v>
      </c>
      <c r="T447" t="s">
        <v>3860</v>
      </c>
      <c r="BI447" s="52" t="str">
        <f>HYPERLINK("#일위대가목록!A463","S130301X600 →")</f>
        <v>S130301X600 →</v>
      </c>
    </row>
    <row r="448" spans="1:61" ht="18.399999999999999" customHeight="1">
      <c r="A448" s="11" t="s">
        <v>5346</v>
      </c>
      <c r="B448" s="2" t="s">
        <v>6191</v>
      </c>
      <c r="C448" s="2">
        <v>1</v>
      </c>
      <c r="D448" s="2" t="s">
        <v>3670</v>
      </c>
      <c r="E448" s="29" t="e">
        <f>일위대가목록!#REF!</f>
        <v>#REF!</v>
      </c>
      <c r="F448" s="29" t="e">
        <f t="shared" si="44"/>
        <v>#REF!</v>
      </c>
      <c r="G448" s="29" t="e">
        <f>일위대가목록!#REF!</f>
        <v>#REF!</v>
      </c>
      <c r="H448" s="29" t="e">
        <f t="shared" si="45"/>
        <v>#REF!</v>
      </c>
      <c r="I448" s="29" t="e">
        <f>일위대가목록!#REF!</f>
        <v>#REF!</v>
      </c>
      <c r="J448" s="29" t="e">
        <f t="shared" si="46"/>
        <v>#REF!</v>
      </c>
      <c r="K448" s="29" t="e">
        <f t="shared" si="40"/>
        <v>#REF!</v>
      </c>
      <c r="L448" s="29" t="e">
        <f t="shared" si="39"/>
        <v>#REF!</v>
      </c>
      <c r="M448" s="20" t="s">
        <v>6232</v>
      </c>
      <c r="N448" t="s">
        <v>6232</v>
      </c>
      <c r="P448" t="s">
        <v>3934</v>
      </c>
      <c r="Q448" t="s">
        <v>6232</v>
      </c>
      <c r="R448" t="s">
        <v>821</v>
      </c>
      <c r="T448" t="s">
        <v>3860</v>
      </c>
      <c r="BI448" s="52" t="str">
        <f>HYPERLINK("#일위대가목록!A464","S130301X550 →")</f>
        <v>S130301X550 →</v>
      </c>
    </row>
    <row r="449" spans="1:61" ht="18.399999999999999" customHeight="1">
      <c r="A449" s="11" t="s">
        <v>5346</v>
      </c>
      <c r="B449" s="2" t="s">
        <v>524</v>
      </c>
      <c r="C449" s="2">
        <v>1</v>
      </c>
      <c r="D449" s="2" t="s">
        <v>3670</v>
      </c>
      <c r="E449" s="29" t="e">
        <f>일위대가목록!#REF!</f>
        <v>#REF!</v>
      </c>
      <c r="F449" s="29" t="e">
        <f t="shared" si="44"/>
        <v>#REF!</v>
      </c>
      <c r="G449" s="29" t="e">
        <f>일위대가목록!#REF!</f>
        <v>#REF!</v>
      </c>
      <c r="H449" s="29" t="e">
        <f t="shared" si="45"/>
        <v>#REF!</v>
      </c>
      <c r="I449" s="29" t="e">
        <f>일위대가목록!#REF!</f>
        <v>#REF!</v>
      </c>
      <c r="J449" s="29" t="e">
        <f t="shared" si="46"/>
        <v>#REF!</v>
      </c>
      <c r="K449" s="29" t="e">
        <f t="shared" si="40"/>
        <v>#REF!</v>
      </c>
      <c r="L449" s="29" t="e">
        <f t="shared" si="39"/>
        <v>#REF!</v>
      </c>
      <c r="M449" s="20" t="s">
        <v>6232</v>
      </c>
      <c r="N449" t="s">
        <v>6232</v>
      </c>
      <c r="P449" t="s">
        <v>2351</v>
      </c>
      <c r="Q449" t="s">
        <v>6232</v>
      </c>
      <c r="R449" t="s">
        <v>2500</v>
      </c>
      <c r="T449" t="s">
        <v>3860</v>
      </c>
      <c r="BI449" s="52" t="str">
        <f>HYPERLINK("#일위대가목록!A465","S130301X500 →")</f>
        <v>S130301X500 →</v>
      </c>
    </row>
    <row r="450" spans="1:61" ht="18.399999999999999" customHeight="1">
      <c r="A450" s="11" t="s">
        <v>5346</v>
      </c>
      <c r="B450" s="2" t="s">
        <v>3764</v>
      </c>
      <c r="C450" s="2">
        <v>1</v>
      </c>
      <c r="D450" s="2" t="s">
        <v>3670</v>
      </c>
      <c r="E450" s="29" t="e">
        <f>일위대가목록!#REF!</f>
        <v>#REF!</v>
      </c>
      <c r="F450" s="29" t="e">
        <f t="shared" si="44"/>
        <v>#REF!</v>
      </c>
      <c r="G450" s="29" t="e">
        <f>일위대가목록!#REF!</f>
        <v>#REF!</v>
      </c>
      <c r="H450" s="29" t="e">
        <f t="shared" si="45"/>
        <v>#REF!</v>
      </c>
      <c r="I450" s="29" t="e">
        <f>일위대가목록!#REF!</f>
        <v>#REF!</v>
      </c>
      <c r="J450" s="29" t="e">
        <f t="shared" si="46"/>
        <v>#REF!</v>
      </c>
      <c r="K450" s="29" t="e">
        <f t="shared" si="40"/>
        <v>#REF!</v>
      </c>
      <c r="L450" s="29" t="e">
        <f t="shared" si="39"/>
        <v>#REF!</v>
      </c>
      <c r="M450" s="20" t="s">
        <v>6232</v>
      </c>
      <c r="N450" t="s">
        <v>6232</v>
      </c>
      <c r="P450" t="s">
        <v>768</v>
      </c>
      <c r="Q450" t="s">
        <v>6232</v>
      </c>
      <c r="R450" t="s">
        <v>509</v>
      </c>
      <c r="T450" t="s">
        <v>3860</v>
      </c>
      <c r="BI450" s="52" t="str">
        <f>HYPERLINK("#일위대가목록!A466","S130301X450 →")</f>
        <v>S130301X450 →</v>
      </c>
    </row>
    <row r="451" spans="1:61" ht="18.399999999999999" customHeight="1">
      <c r="A451" s="11" t="s">
        <v>5346</v>
      </c>
      <c r="B451" s="2" t="s">
        <v>2715</v>
      </c>
      <c r="C451" s="2">
        <v>1</v>
      </c>
      <c r="D451" s="2" t="s">
        <v>3670</v>
      </c>
      <c r="E451" s="29" t="e">
        <f>일위대가목록!#REF!</f>
        <v>#REF!</v>
      </c>
      <c r="F451" s="29" t="e">
        <f t="shared" si="44"/>
        <v>#REF!</v>
      </c>
      <c r="G451" s="29" t="e">
        <f>일위대가목록!#REF!</f>
        <v>#REF!</v>
      </c>
      <c r="H451" s="29" t="e">
        <f t="shared" si="45"/>
        <v>#REF!</v>
      </c>
      <c r="I451" s="29" t="e">
        <f>일위대가목록!#REF!</f>
        <v>#REF!</v>
      </c>
      <c r="J451" s="29" t="e">
        <f t="shared" si="46"/>
        <v>#REF!</v>
      </c>
      <c r="K451" s="29" t="e">
        <f t="shared" si="40"/>
        <v>#REF!</v>
      </c>
      <c r="L451" s="29" t="e">
        <f t="shared" si="39"/>
        <v>#REF!</v>
      </c>
      <c r="M451" s="20" t="s">
        <v>6232</v>
      </c>
      <c r="N451" t="s">
        <v>6232</v>
      </c>
      <c r="P451" t="s">
        <v>5637</v>
      </c>
      <c r="Q451" t="s">
        <v>6232</v>
      </c>
      <c r="R451" t="s">
        <v>1927</v>
      </c>
      <c r="T451" t="s">
        <v>3860</v>
      </c>
      <c r="BI451" s="52" t="str">
        <f>HYPERLINK("#일위대가목록!A467","S130301X400 →")</f>
        <v>S130301X400 →</v>
      </c>
    </row>
    <row r="452" spans="1:61" ht="18.399999999999999" customHeight="1">
      <c r="A452" s="11" t="s">
        <v>5346</v>
      </c>
      <c r="B452" s="2" t="s">
        <v>809</v>
      </c>
      <c r="C452" s="2">
        <v>1</v>
      </c>
      <c r="D452" s="2" t="s">
        <v>3670</v>
      </c>
      <c r="E452" s="29" t="e">
        <f>일위대가목록!#REF!</f>
        <v>#REF!</v>
      </c>
      <c r="F452" s="29" t="e">
        <f t="shared" si="44"/>
        <v>#REF!</v>
      </c>
      <c r="G452" s="29" t="e">
        <f>일위대가목록!#REF!</f>
        <v>#REF!</v>
      </c>
      <c r="H452" s="29" t="e">
        <f t="shared" si="45"/>
        <v>#REF!</v>
      </c>
      <c r="I452" s="29" t="e">
        <f>일위대가목록!#REF!</f>
        <v>#REF!</v>
      </c>
      <c r="J452" s="29" t="e">
        <f t="shared" si="46"/>
        <v>#REF!</v>
      </c>
      <c r="K452" s="29" t="e">
        <f t="shared" si="40"/>
        <v>#REF!</v>
      </c>
      <c r="L452" s="29" t="e">
        <f t="shared" si="39"/>
        <v>#REF!</v>
      </c>
      <c r="M452" s="20" t="s">
        <v>6232</v>
      </c>
      <c r="N452" t="s">
        <v>6232</v>
      </c>
      <c r="P452" t="s">
        <v>4064</v>
      </c>
      <c r="Q452" t="s">
        <v>6232</v>
      </c>
      <c r="R452" t="s">
        <v>3477</v>
      </c>
      <c r="T452" t="s">
        <v>3860</v>
      </c>
      <c r="BI452" s="52" t="str">
        <f>HYPERLINK("#일위대가목록!A468","S130301X350 →")</f>
        <v>S130301X350 →</v>
      </c>
    </row>
    <row r="453" spans="1:61" ht="18.399999999999999" customHeight="1">
      <c r="A453" s="11" t="s">
        <v>5346</v>
      </c>
      <c r="B453" s="2" t="s">
        <v>4894</v>
      </c>
      <c r="C453" s="2">
        <v>1</v>
      </c>
      <c r="D453" s="2" t="s">
        <v>3670</v>
      </c>
      <c r="E453" s="29" t="e">
        <f>일위대가목록!#REF!</f>
        <v>#REF!</v>
      </c>
      <c r="F453" s="29" t="e">
        <f t="shared" si="44"/>
        <v>#REF!</v>
      </c>
      <c r="G453" s="29" t="e">
        <f>일위대가목록!#REF!</f>
        <v>#REF!</v>
      </c>
      <c r="H453" s="29" t="e">
        <f t="shared" si="45"/>
        <v>#REF!</v>
      </c>
      <c r="I453" s="29" t="e">
        <f>일위대가목록!#REF!</f>
        <v>#REF!</v>
      </c>
      <c r="J453" s="29" t="e">
        <f t="shared" si="46"/>
        <v>#REF!</v>
      </c>
      <c r="K453" s="29" t="e">
        <f t="shared" si="40"/>
        <v>#REF!</v>
      </c>
      <c r="L453" s="29" t="e">
        <f t="shared" si="39"/>
        <v>#REF!</v>
      </c>
      <c r="M453" s="20" t="s">
        <v>6232</v>
      </c>
      <c r="N453" t="s">
        <v>6232</v>
      </c>
      <c r="P453" t="s">
        <v>2463</v>
      </c>
      <c r="Q453" t="s">
        <v>6232</v>
      </c>
      <c r="R453" t="s">
        <v>5184</v>
      </c>
      <c r="T453" t="s">
        <v>3860</v>
      </c>
      <c r="BI453" s="52" t="str">
        <f>HYPERLINK("#일위대가목록!A469","S130301X300 →")</f>
        <v>S130301X300 →</v>
      </c>
    </row>
    <row r="454" spans="1:61" ht="18.399999999999999" customHeight="1">
      <c r="A454" s="11" t="s">
        <v>5346</v>
      </c>
      <c r="B454" s="2" t="s">
        <v>1701</v>
      </c>
      <c r="C454" s="2">
        <v>1</v>
      </c>
      <c r="D454" s="2" t="s">
        <v>3670</v>
      </c>
      <c r="E454" s="29" t="e">
        <f>일위대가목록!#REF!</f>
        <v>#REF!</v>
      </c>
      <c r="F454" s="29" t="e">
        <f t="shared" si="44"/>
        <v>#REF!</v>
      </c>
      <c r="G454" s="29" t="e">
        <f>일위대가목록!#REF!</f>
        <v>#REF!</v>
      </c>
      <c r="H454" s="29" t="e">
        <f t="shared" si="45"/>
        <v>#REF!</v>
      </c>
      <c r="I454" s="29" t="e">
        <f>일위대가목록!#REF!</f>
        <v>#REF!</v>
      </c>
      <c r="J454" s="29" t="e">
        <f t="shared" si="46"/>
        <v>#REF!</v>
      </c>
      <c r="K454" s="29" t="e">
        <f t="shared" si="40"/>
        <v>#REF!</v>
      </c>
      <c r="L454" s="29" t="e">
        <f t="shared" si="39"/>
        <v>#REF!</v>
      </c>
      <c r="M454" s="20" t="s">
        <v>6232</v>
      </c>
      <c r="N454" t="s">
        <v>6232</v>
      </c>
      <c r="P454" t="s">
        <v>880</v>
      </c>
      <c r="Q454" t="s">
        <v>6232</v>
      </c>
      <c r="R454" t="s">
        <v>4075</v>
      </c>
      <c r="T454" t="s">
        <v>3860</v>
      </c>
      <c r="BI454" s="52" t="str">
        <f>HYPERLINK("#일위대가목록!A470","S130301X250 →")</f>
        <v>S130301X250 →</v>
      </c>
    </row>
    <row r="455" spans="1:61" ht="18.399999999999999" customHeight="1">
      <c r="A455" s="11" t="s">
        <v>5346</v>
      </c>
      <c r="B455" s="2" t="s">
        <v>4196</v>
      </c>
      <c r="C455" s="2">
        <v>1</v>
      </c>
      <c r="D455" s="2" t="s">
        <v>3670</v>
      </c>
      <c r="E455" s="29" t="e">
        <f>일위대가목록!#REF!</f>
        <v>#REF!</v>
      </c>
      <c r="F455" s="29" t="e">
        <f t="shared" si="44"/>
        <v>#REF!</v>
      </c>
      <c r="G455" s="29" t="e">
        <f>일위대가목록!#REF!</f>
        <v>#REF!</v>
      </c>
      <c r="H455" s="29" t="e">
        <f t="shared" si="45"/>
        <v>#REF!</v>
      </c>
      <c r="I455" s="29" t="e">
        <f>일위대가목록!#REF!</f>
        <v>#REF!</v>
      </c>
      <c r="J455" s="29" t="e">
        <f t="shared" si="46"/>
        <v>#REF!</v>
      </c>
      <c r="K455" s="29" t="e">
        <f t="shared" si="40"/>
        <v>#REF!</v>
      </c>
      <c r="L455" s="29" t="e">
        <f t="shared" si="39"/>
        <v>#REF!</v>
      </c>
      <c r="M455" s="20" t="s">
        <v>6232</v>
      </c>
      <c r="N455" t="s">
        <v>6232</v>
      </c>
      <c r="P455" t="s">
        <v>5716</v>
      </c>
      <c r="Q455" t="s">
        <v>6232</v>
      </c>
      <c r="R455" t="s">
        <v>5492</v>
      </c>
      <c r="T455" t="s">
        <v>3860</v>
      </c>
      <c r="BI455" s="52" t="str">
        <f>HYPERLINK("#일위대가목록!A471","S130301X200 →")</f>
        <v>S130301X200 →</v>
      </c>
    </row>
    <row r="456" spans="1:61" ht="18.399999999999999" customHeight="1">
      <c r="A456" s="11" t="s">
        <v>5346</v>
      </c>
      <c r="B456" s="2" t="s">
        <v>4124</v>
      </c>
      <c r="C456" s="2">
        <v>1</v>
      </c>
      <c r="D456" s="2" t="s">
        <v>3670</v>
      </c>
      <c r="E456" s="29" t="e">
        <f>일위대가목록!#REF!</f>
        <v>#REF!</v>
      </c>
      <c r="F456" s="29" t="e">
        <f t="shared" si="44"/>
        <v>#REF!</v>
      </c>
      <c r="G456" s="29" t="e">
        <f>일위대가목록!#REF!</f>
        <v>#REF!</v>
      </c>
      <c r="H456" s="29" t="e">
        <f t="shared" si="45"/>
        <v>#REF!</v>
      </c>
      <c r="I456" s="29" t="e">
        <f>일위대가목록!#REF!</f>
        <v>#REF!</v>
      </c>
      <c r="J456" s="29" t="e">
        <f t="shared" si="46"/>
        <v>#REF!</v>
      </c>
      <c r="K456" s="29" t="e">
        <f t="shared" si="40"/>
        <v>#REF!</v>
      </c>
      <c r="L456" s="29" t="e">
        <f t="shared" si="39"/>
        <v>#REF!</v>
      </c>
      <c r="M456" s="20" t="s">
        <v>6232</v>
      </c>
      <c r="N456" t="s">
        <v>6232</v>
      </c>
      <c r="P456" t="s">
        <v>4152</v>
      </c>
      <c r="Q456" t="s">
        <v>6232</v>
      </c>
      <c r="R456" t="s">
        <v>6200</v>
      </c>
      <c r="T456" t="s">
        <v>3860</v>
      </c>
      <c r="BI456" s="52" t="str">
        <f>HYPERLINK("#일위대가목록!A472","S130301X150 →")</f>
        <v>S130301X150 →</v>
      </c>
    </row>
    <row r="457" spans="1:61" ht="18.399999999999999" customHeight="1">
      <c r="A457" s="11" t="s">
        <v>5346</v>
      </c>
      <c r="B457" s="2" t="s">
        <v>2533</v>
      </c>
      <c r="C457" s="2">
        <v>1</v>
      </c>
      <c r="D457" s="2" t="s">
        <v>3670</v>
      </c>
      <c r="E457" s="29" t="e">
        <f>일위대가목록!#REF!</f>
        <v>#REF!</v>
      </c>
      <c r="F457" s="29" t="e">
        <f t="shared" si="44"/>
        <v>#REF!</v>
      </c>
      <c r="G457" s="29" t="e">
        <f>일위대가목록!#REF!</f>
        <v>#REF!</v>
      </c>
      <c r="H457" s="29" t="e">
        <f t="shared" si="45"/>
        <v>#REF!</v>
      </c>
      <c r="I457" s="29" t="e">
        <f>일위대가목록!#REF!</f>
        <v>#REF!</v>
      </c>
      <c r="J457" s="29" t="e">
        <f t="shared" si="46"/>
        <v>#REF!</v>
      </c>
      <c r="K457" s="29" t="e">
        <f t="shared" si="40"/>
        <v>#REF!</v>
      </c>
      <c r="L457" s="29" t="e">
        <f t="shared" ref="L457:L520" si="47">F457+H457+J457</f>
        <v>#REF!</v>
      </c>
      <c r="M457" s="20" t="s">
        <v>6232</v>
      </c>
      <c r="N457" t="s">
        <v>6232</v>
      </c>
      <c r="P457" t="s">
        <v>5147</v>
      </c>
      <c r="Q457" t="s">
        <v>6232</v>
      </c>
      <c r="R457" t="s">
        <v>4416</v>
      </c>
      <c r="T457" t="s">
        <v>3860</v>
      </c>
      <c r="BI457" s="52" t="str">
        <f>HYPERLINK("#일위대가목록!A473","S130301X125 →")</f>
        <v>S130301X125 →</v>
      </c>
    </row>
    <row r="458" spans="1:61" ht="18.399999999999999" customHeight="1">
      <c r="A458" s="11" t="s">
        <v>5346</v>
      </c>
      <c r="B458" s="2" t="s">
        <v>1572</v>
      </c>
      <c r="C458" s="2">
        <v>1</v>
      </c>
      <c r="D458" s="2" t="s">
        <v>3670</v>
      </c>
      <c r="E458" s="29" t="e">
        <f>일위대가목록!#REF!</f>
        <v>#REF!</v>
      </c>
      <c r="F458" s="29" t="e">
        <f t="shared" si="44"/>
        <v>#REF!</v>
      </c>
      <c r="G458" s="29" t="e">
        <f>일위대가목록!#REF!</f>
        <v>#REF!</v>
      </c>
      <c r="H458" s="29" t="e">
        <f t="shared" si="45"/>
        <v>#REF!</v>
      </c>
      <c r="I458" s="29" t="e">
        <f>일위대가목록!#REF!</f>
        <v>#REF!</v>
      </c>
      <c r="J458" s="29" t="e">
        <f t="shared" si="46"/>
        <v>#REF!</v>
      </c>
      <c r="K458" s="29" t="e">
        <f t="shared" ref="K458:K521" si="48">E458+G458+I458</f>
        <v>#REF!</v>
      </c>
      <c r="L458" s="29" t="e">
        <f t="shared" si="47"/>
        <v>#REF!</v>
      </c>
      <c r="M458" s="20" t="s">
        <v>6232</v>
      </c>
      <c r="N458" t="s">
        <v>6232</v>
      </c>
      <c r="P458" t="s">
        <v>3617</v>
      </c>
      <c r="Q458" t="s">
        <v>6232</v>
      </c>
      <c r="R458" t="s">
        <v>4519</v>
      </c>
      <c r="T458" t="s">
        <v>3860</v>
      </c>
      <c r="BI458" s="52" t="str">
        <f>HYPERLINK("#일위대가목록!A474","S130301X100 →")</f>
        <v>S130301X100 →</v>
      </c>
    </row>
    <row r="459" spans="1:61" ht="18.399999999999999" customHeight="1">
      <c r="A459" s="11" t="s">
        <v>5346</v>
      </c>
      <c r="B459" s="2" t="s">
        <v>1160</v>
      </c>
      <c r="C459" s="2">
        <v>1</v>
      </c>
      <c r="D459" s="2" t="s">
        <v>3670</v>
      </c>
      <c r="E459" s="29" t="e">
        <f>일위대가목록!#REF!</f>
        <v>#REF!</v>
      </c>
      <c r="F459" s="29" t="e">
        <f t="shared" si="44"/>
        <v>#REF!</v>
      </c>
      <c r="G459" s="29" t="e">
        <f>일위대가목록!#REF!</f>
        <v>#REF!</v>
      </c>
      <c r="H459" s="29" t="e">
        <f t="shared" si="45"/>
        <v>#REF!</v>
      </c>
      <c r="I459" s="29" t="e">
        <f>일위대가목록!#REF!</f>
        <v>#REF!</v>
      </c>
      <c r="J459" s="29" t="e">
        <f t="shared" si="46"/>
        <v>#REF!</v>
      </c>
      <c r="K459" s="29" t="e">
        <f t="shared" si="48"/>
        <v>#REF!</v>
      </c>
      <c r="L459" s="29" t="e">
        <f t="shared" si="47"/>
        <v>#REF!</v>
      </c>
      <c r="M459" s="20" t="s">
        <v>6232</v>
      </c>
      <c r="N459" t="s">
        <v>6232</v>
      </c>
      <c r="P459" t="s">
        <v>2066</v>
      </c>
      <c r="Q459" t="s">
        <v>6232</v>
      </c>
      <c r="R459" t="s">
        <v>3197</v>
      </c>
      <c r="T459" t="s">
        <v>3860</v>
      </c>
      <c r="BI459" s="52" t="str">
        <f>HYPERLINK("#일위대가목록!A475","S130301X080 →")</f>
        <v>S130301X080 →</v>
      </c>
    </row>
    <row r="460" spans="1:61" ht="18.399999999999999" customHeight="1">
      <c r="A460" s="11" t="s">
        <v>5346</v>
      </c>
      <c r="B460" s="2" t="s">
        <v>3058</v>
      </c>
      <c r="C460" s="2">
        <v>1</v>
      </c>
      <c r="D460" s="2" t="s">
        <v>3670</v>
      </c>
      <c r="E460" s="29" t="e">
        <f>일위대가목록!#REF!</f>
        <v>#REF!</v>
      </c>
      <c r="F460" s="29" t="e">
        <f t="shared" si="44"/>
        <v>#REF!</v>
      </c>
      <c r="G460" s="29" t="e">
        <f>일위대가목록!#REF!</f>
        <v>#REF!</v>
      </c>
      <c r="H460" s="29" t="e">
        <f t="shared" si="45"/>
        <v>#REF!</v>
      </c>
      <c r="I460" s="29" t="e">
        <f>일위대가목록!#REF!</f>
        <v>#REF!</v>
      </c>
      <c r="J460" s="29" t="e">
        <f t="shared" si="46"/>
        <v>#REF!</v>
      </c>
      <c r="K460" s="29" t="e">
        <f t="shared" si="48"/>
        <v>#REF!</v>
      </c>
      <c r="L460" s="29" t="e">
        <f t="shared" si="47"/>
        <v>#REF!</v>
      </c>
      <c r="M460" s="20" t="s">
        <v>6232</v>
      </c>
      <c r="N460" t="s">
        <v>6232</v>
      </c>
      <c r="P460" t="s">
        <v>572</v>
      </c>
      <c r="Q460" t="s">
        <v>6232</v>
      </c>
      <c r="R460" t="s">
        <v>3203</v>
      </c>
      <c r="T460" t="s">
        <v>3860</v>
      </c>
      <c r="BI460" s="52" t="str">
        <f>HYPERLINK("#일위대가목록!A476","S130301X065 →")</f>
        <v>S130301X065 →</v>
      </c>
    </row>
    <row r="461" spans="1:61" ht="18.399999999999999" customHeight="1">
      <c r="A461" s="11" t="s">
        <v>5346</v>
      </c>
      <c r="B461" s="2" t="s">
        <v>2393</v>
      </c>
      <c r="C461" s="2">
        <v>1</v>
      </c>
      <c r="D461" s="2" t="s">
        <v>3670</v>
      </c>
      <c r="E461" s="29" t="e">
        <f>일위대가목록!#REF!</f>
        <v>#REF!</v>
      </c>
      <c r="F461" s="29" t="e">
        <f t="shared" si="44"/>
        <v>#REF!</v>
      </c>
      <c r="G461" s="29" t="e">
        <f>일위대가목록!#REF!</f>
        <v>#REF!</v>
      </c>
      <c r="H461" s="29" t="e">
        <f t="shared" si="45"/>
        <v>#REF!</v>
      </c>
      <c r="I461" s="29" t="e">
        <f>일위대가목록!#REF!</f>
        <v>#REF!</v>
      </c>
      <c r="J461" s="29" t="e">
        <f t="shared" si="46"/>
        <v>#REF!</v>
      </c>
      <c r="K461" s="29" t="e">
        <f t="shared" si="48"/>
        <v>#REF!</v>
      </c>
      <c r="L461" s="29" t="e">
        <f t="shared" si="47"/>
        <v>#REF!</v>
      </c>
      <c r="M461" s="20" t="s">
        <v>6232</v>
      </c>
      <c r="N461" t="s">
        <v>6232</v>
      </c>
      <c r="P461" t="s">
        <v>5050</v>
      </c>
      <c r="Q461" t="s">
        <v>6232</v>
      </c>
      <c r="R461" t="s">
        <v>4887</v>
      </c>
      <c r="T461" t="s">
        <v>3860</v>
      </c>
      <c r="BI461" s="52" t="str">
        <f>HYPERLINK("#일위대가목록!A477","S130301X050 →")</f>
        <v>S130301X050 →</v>
      </c>
    </row>
    <row r="462" spans="1:61" ht="18.399999999999999" customHeight="1">
      <c r="A462" s="11" t="s">
        <v>5346</v>
      </c>
      <c r="B462" s="2" t="s">
        <v>2012</v>
      </c>
      <c r="C462" s="2">
        <v>1</v>
      </c>
      <c r="D462" s="2" t="s">
        <v>3670</v>
      </c>
      <c r="E462" s="29" t="e">
        <f>일위대가목록!#REF!</f>
        <v>#REF!</v>
      </c>
      <c r="F462" s="29" t="e">
        <f t="shared" si="44"/>
        <v>#REF!</v>
      </c>
      <c r="G462" s="29" t="e">
        <f>일위대가목록!#REF!</f>
        <v>#REF!</v>
      </c>
      <c r="H462" s="29" t="e">
        <f t="shared" si="45"/>
        <v>#REF!</v>
      </c>
      <c r="I462" s="29" t="e">
        <f>일위대가목록!#REF!</f>
        <v>#REF!</v>
      </c>
      <c r="J462" s="29" t="e">
        <f t="shared" si="46"/>
        <v>#REF!</v>
      </c>
      <c r="K462" s="29" t="e">
        <f t="shared" si="48"/>
        <v>#REF!</v>
      </c>
      <c r="L462" s="29" t="e">
        <f t="shared" si="47"/>
        <v>#REF!</v>
      </c>
      <c r="M462" s="20" t="s">
        <v>6232</v>
      </c>
      <c r="N462" t="s">
        <v>6232</v>
      </c>
      <c r="P462" t="s">
        <v>3502</v>
      </c>
      <c r="Q462" t="s">
        <v>6232</v>
      </c>
      <c r="R462" t="s">
        <v>3293</v>
      </c>
      <c r="T462" t="s">
        <v>3860</v>
      </c>
      <c r="BI462" s="52" t="str">
        <f>HYPERLINK("#일위대가목록!A478","S130301X040 →")</f>
        <v>S130301X040 →</v>
      </c>
    </row>
    <row r="463" spans="1:61" ht="18.399999999999999" customHeight="1">
      <c r="A463" s="11" t="s">
        <v>5346</v>
      </c>
      <c r="B463" s="2" t="s">
        <v>1993</v>
      </c>
      <c r="C463" s="2">
        <v>1</v>
      </c>
      <c r="D463" s="2" t="s">
        <v>3670</v>
      </c>
      <c r="E463" s="29" t="e">
        <f>일위대가목록!#REF!</f>
        <v>#REF!</v>
      </c>
      <c r="F463" s="29" t="e">
        <f t="shared" si="44"/>
        <v>#REF!</v>
      </c>
      <c r="G463" s="29" t="e">
        <f>일위대가목록!#REF!</f>
        <v>#REF!</v>
      </c>
      <c r="H463" s="29" t="e">
        <f t="shared" si="45"/>
        <v>#REF!</v>
      </c>
      <c r="I463" s="29" t="e">
        <f>일위대가목록!#REF!</f>
        <v>#REF!</v>
      </c>
      <c r="J463" s="29" t="e">
        <f t="shared" si="46"/>
        <v>#REF!</v>
      </c>
      <c r="K463" s="29" t="e">
        <f t="shared" si="48"/>
        <v>#REF!</v>
      </c>
      <c r="L463" s="29" t="e">
        <f t="shared" si="47"/>
        <v>#REF!</v>
      </c>
      <c r="M463" s="20" t="s">
        <v>6232</v>
      </c>
      <c r="N463" t="s">
        <v>6232</v>
      </c>
      <c r="P463" t="s">
        <v>1973</v>
      </c>
      <c r="Q463" t="s">
        <v>6232</v>
      </c>
      <c r="R463" t="s">
        <v>2397</v>
      </c>
      <c r="T463" t="s">
        <v>3860</v>
      </c>
      <c r="BI463" s="52" t="str">
        <f>HYPERLINK("#일위대가목록!A479","S130301X032 →")</f>
        <v>S130301X032 →</v>
      </c>
    </row>
    <row r="464" spans="1:61" ht="18.399999999999999" customHeight="1">
      <c r="A464" s="11" t="s">
        <v>5346</v>
      </c>
      <c r="B464" s="2" t="s">
        <v>3967</v>
      </c>
      <c r="C464" s="2">
        <v>1</v>
      </c>
      <c r="D464" s="2" t="s">
        <v>3670</v>
      </c>
      <c r="E464" s="29" t="e">
        <f>일위대가목록!#REF!</f>
        <v>#REF!</v>
      </c>
      <c r="F464" s="29" t="e">
        <f t="shared" si="44"/>
        <v>#REF!</v>
      </c>
      <c r="G464" s="29" t="e">
        <f>일위대가목록!#REF!</f>
        <v>#REF!</v>
      </c>
      <c r="H464" s="29" t="e">
        <f t="shared" si="45"/>
        <v>#REF!</v>
      </c>
      <c r="I464" s="29" t="e">
        <f>일위대가목록!#REF!</f>
        <v>#REF!</v>
      </c>
      <c r="J464" s="29" t="e">
        <f t="shared" si="46"/>
        <v>#REF!</v>
      </c>
      <c r="K464" s="29" t="e">
        <f t="shared" si="48"/>
        <v>#REF!</v>
      </c>
      <c r="L464" s="29" t="e">
        <f t="shared" si="47"/>
        <v>#REF!</v>
      </c>
      <c r="M464" s="20" t="s">
        <v>6232</v>
      </c>
      <c r="N464" t="s">
        <v>6232</v>
      </c>
      <c r="P464" t="s">
        <v>472</v>
      </c>
      <c r="Q464" t="s">
        <v>6232</v>
      </c>
      <c r="R464" t="s">
        <v>3117</v>
      </c>
      <c r="T464" t="s">
        <v>3860</v>
      </c>
      <c r="BI464" s="52" t="str">
        <f>HYPERLINK("#일위대가목록!A480","S130301X025 →")</f>
        <v>S130301X025 →</v>
      </c>
    </row>
    <row r="465" spans="1:61" ht="18.399999999999999" customHeight="1">
      <c r="A465" s="11" t="s">
        <v>5346</v>
      </c>
      <c r="B465" s="2" t="s">
        <v>5596</v>
      </c>
      <c r="C465" s="2">
        <v>1</v>
      </c>
      <c r="D465" s="2" t="s">
        <v>3670</v>
      </c>
      <c r="E465" s="29" t="e">
        <f>일위대가목록!#REF!</f>
        <v>#REF!</v>
      </c>
      <c r="F465" s="29" t="e">
        <f t="shared" si="44"/>
        <v>#REF!</v>
      </c>
      <c r="G465" s="29" t="e">
        <f>일위대가목록!#REF!</f>
        <v>#REF!</v>
      </c>
      <c r="H465" s="29" t="e">
        <f t="shared" si="45"/>
        <v>#REF!</v>
      </c>
      <c r="I465" s="29" t="e">
        <f>일위대가목록!#REF!</f>
        <v>#REF!</v>
      </c>
      <c r="J465" s="29" t="e">
        <f t="shared" si="46"/>
        <v>#REF!</v>
      </c>
      <c r="K465" s="29" t="e">
        <f t="shared" si="48"/>
        <v>#REF!</v>
      </c>
      <c r="L465" s="29" t="e">
        <f t="shared" si="47"/>
        <v>#REF!</v>
      </c>
      <c r="M465" s="20" t="s">
        <v>6232</v>
      </c>
      <c r="N465" t="s">
        <v>6232</v>
      </c>
      <c r="P465" t="s">
        <v>3781</v>
      </c>
      <c r="Q465" t="s">
        <v>6232</v>
      </c>
      <c r="R465" t="s">
        <v>312</v>
      </c>
      <c r="T465" t="s">
        <v>3860</v>
      </c>
      <c r="BI465" s="52" t="str">
        <f>HYPERLINK("#일위대가목록!A481","S130301X020 →")</f>
        <v>S130301X020 →</v>
      </c>
    </row>
    <row r="466" spans="1:61" ht="18.399999999999999" customHeight="1">
      <c r="A466" s="11" t="s">
        <v>1544</v>
      </c>
      <c r="B466" s="2" t="s">
        <v>6232</v>
      </c>
      <c r="C466" s="2"/>
      <c r="D466" s="2" t="s">
        <v>6232</v>
      </c>
      <c r="E466" s="1"/>
      <c r="F466" s="29" t="e">
        <f>TRUNC(F465+F464+F463+F462+F461+F460+F459+F458+F457+F456+F455+F454+F453+F452+F451+F450+F449+F448+F447+F446+F445+F444,0)</f>
        <v>#REF!</v>
      </c>
      <c r="G466" s="1"/>
      <c r="H466" s="29" t="e">
        <f>TRUNC(H465+H464+H463+H462+H461+H460+H459+H458+H457+H456+H455+H454+H453+H452+H451+H450+H449+H448+H447+H446+H445+H444,0)</f>
        <v>#REF!</v>
      </c>
      <c r="I466" s="1"/>
      <c r="J466" s="29" t="e">
        <f>TRUNC(J465+J464+J463+J462+J461+J460+J459+J458+J457+J456+J455+J454+J453+J452+J451+J450+J449+J448+J447+J446+J445+J444,0)</f>
        <v>#REF!</v>
      </c>
      <c r="K466" s="29">
        <f t="shared" si="48"/>
        <v>0</v>
      </c>
      <c r="L466" s="29" t="e">
        <f t="shared" si="47"/>
        <v>#REF!</v>
      </c>
      <c r="M466" s="20" t="s">
        <v>6232</v>
      </c>
      <c r="N466" t="s">
        <v>6232</v>
      </c>
      <c r="P466" t="s">
        <v>3067</v>
      </c>
      <c r="Q466" t="s">
        <v>6232</v>
      </c>
      <c r="R466" t="s">
        <v>6232</v>
      </c>
    </row>
    <row r="467" spans="1:61" ht="18.399999999999999" customHeight="1">
      <c r="A467" s="11" t="s">
        <v>2495</v>
      </c>
      <c r="B467" s="2" t="s">
        <v>6232</v>
      </c>
      <c r="C467" s="2"/>
      <c r="D467" s="2" t="s">
        <v>6232</v>
      </c>
      <c r="E467" s="1"/>
      <c r="F467" s="29">
        <v>0</v>
      </c>
      <c r="G467" s="1"/>
      <c r="H467" s="29">
        <v>0</v>
      </c>
      <c r="I467" s="1"/>
      <c r="J467" s="29">
        <v>0</v>
      </c>
      <c r="K467" s="29">
        <f t="shared" si="48"/>
        <v>0</v>
      </c>
      <c r="L467" s="29">
        <f t="shared" si="47"/>
        <v>0</v>
      </c>
      <c r="M467" s="20" t="s">
        <v>6232</v>
      </c>
      <c r="N467" t="s">
        <v>6232</v>
      </c>
      <c r="P467" t="s">
        <v>2893</v>
      </c>
      <c r="Q467" t="s">
        <v>6232</v>
      </c>
      <c r="R467" t="s">
        <v>6232</v>
      </c>
    </row>
    <row r="468" spans="1:61" ht="18.399999999999999" customHeight="1">
      <c r="A468" s="11" t="s">
        <v>4324</v>
      </c>
      <c r="B468" s="2" t="s">
        <v>6232</v>
      </c>
      <c r="C468" s="2"/>
      <c r="D468" s="2" t="s">
        <v>6232</v>
      </c>
      <c r="E468" s="1"/>
      <c r="F468" s="29">
        <v>0</v>
      </c>
      <c r="G468" s="1"/>
      <c r="H468" s="29">
        <v>0</v>
      </c>
      <c r="I468" s="1"/>
      <c r="J468" s="29">
        <v>0</v>
      </c>
      <c r="K468" s="29">
        <f t="shared" si="48"/>
        <v>0</v>
      </c>
      <c r="L468" s="29">
        <f t="shared" si="47"/>
        <v>0</v>
      </c>
      <c r="M468" s="20" t="s">
        <v>6232</v>
      </c>
      <c r="N468" t="s">
        <v>6232</v>
      </c>
      <c r="P468" t="s">
        <v>3813</v>
      </c>
      <c r="Q468" t="s">
        <v>6232</v>
      </c>
      <c r="R468" t="s">
        <v>6232</v>
      </c>
    </row>
    <row r="469" spans="1:61" ht="18.399999999999999" customHeight="1">
      <c r="A469" s="11" t="s">
        <v>2843</v>
      </c>
      <c r="B469" s="2" t="s">
        <v>177</v>
      </c>
      <c r="C469" s="2">
        <v>1</v>
      </c>
      <c r="D469" s="2" t="s">
        <v>2289</v>
      </c>
      <c r="E469" s="29" t="e">
        <f>일위대가목록!#REF!</f>
        <v>#REF!</v>
      </c>
      <c r="F469" s="29" t="e">
        <f t="shared" ref="F469:F500" si="49">TRUNC(E469*C469,0)</f>
        <v>#REF!</v>
      </c>
      <c r="G469" s="29" t="e">
        <f>일위대가목록!#REF!</f>
        <v>#REF!</v>
      </c>
      <c r="H469" s="29" t="e">
        <f t="shared" ref="H469:H500" si="50">TRUNC(G469*C469,0)</f>
        <v>#REF!</v>
      </c>
      <c r="I469" s="29" t="e">
        <f>일위대가목록!#REF!</f>
        <v>#REF!</v>
      </c>
      <c r="J469" s="29" t="e">
        <f t="shared" ref="J469:J500" si="51">TRUNC(I469*C469,0)</f>
        <v>#REF!</v>
      </c>
      <c r="K469" s="29" t="e">
        <f t="shared" si="48"/>
        <v>#REF!</v>
      </c>
      <c r="L469" s="29" t="e">
        <f t="shared" si="47"/>
        <v>#REF!</v>
      </c>
      <c r="M469" s="20" t="s">
        <v>6232</v>
      </c>
      <c r="N469" t="s">
        <v>6232</v>
      </c>
      <c r="P469" t="s">
        <v>5676</v>
      </c>
      <c r="Q469" t="s">
        <v>6232</v>
      </c>
      <c r="R469" t="s">
        <v>5349</v>
      </c>
      <c r="T469" t="s">
        <v>3860</v>
      </c>
      <c r="BI469" s="52" t="str">
        <f>HYPERLINK("#일위대가목록!A482","S024W75080 →")</f>
        <v>S024W75080 →</v>
      </c>
    </row>
    <row r="470" spans="1:61" ht="18.399999999999999" customHeight="1">
      <c r="A470" s="11" t="s">
        <v>2843</v>
      </c>
      <c r="B470" s="2" t="s">
        <v>4188</v>
      </c>
      <c r="C470" s="2">
        <v>1</v>
      </c>
      <c r="D470" s="2" t="s">
        <v>2289</v>
      </c>
      <c r="E470" s="29" t="e">
        <f>일위대가목록!#REF!</f>
        <v>#REF!</v>
      </c>
      <c r="F470" s="29" t="e">
        <f t="shared" si="49"/>
        <v>#REF!</v>
      </c>
      <c r="G470" s="29" t="e">
        <f>일위대가목록!#REF!</f>
        <v>#REF!</v>
      </c>
      <c r="H470" s="29" t="e">
        <f t="shared" si="50"/>
        <v>#REF!</v>
      </c>
      <c r="I470" s="29" t="e">
        <f>일위대가목록!#REF!</f>
        <v>#REF!</v>
      </c>
      <c r="J470" s="29" t="e">
        <f t="shared" si="51"/>
        <v>#REF!</v>
      </c>
      <c r="K470" s="29" t="e">
        <f t="shared" si="48"/>
        <v>#REF!</v>
      </c>
      <c r="L470" s="29" t="e">
        <f t="shared" si="47"/>
        <v>#REF!</v>
      </c>
      <c r="M470" s="20" t="s">
        <v>6232</v>
      </c>
      <c r="N470" t="s">
        <v>6232</v>
      </c>
      <c r="P470" t="s">
        <v>4083</v>
      </c>
      <c r="Q470" t="s">
        <v>6232</v>
      </c>
      <c r="R470" t="s">
        <v>1971</v>
      </c>
      <c r="T470" t="s">
        <v>3860</v>
      </c>
      <c r="BI470" s="52" t="str">
        <f>HYPERLINK("#일위대가목록!A483","S024W75060 →")</f>
        <v>S024W75060 →</v>
      </c>
    </row>
    <row r="471" spans="1:61" ht="18.399999999999999" customHeight="1">
      <c r="A471" s="11" t="s">
        <v>2843</v>
      </c>
      <c r="B471" s="2" t="s">
        <v>5014</v>
      </c>
      <c r="C471" s="2">
        <v>1</v>
      </c>
      <c r="D471" s="2" t="s">
        <v>2289</v>
      </c>
      <c r="E471" s="29" t="e">
        <f>일위대가목록!#REF!</f>
        <v>#REF!</v>
      </c>
      <c r="F471" s="29" t="e">
        <f t="shared" si="49"/>
        <v>#REF!</v>
      </c>
      <c r="G471" s="29" t="e">
        <f>일위대가목록!#REF!</f>
        <v>#REF!</v>
      </c>
      <c r="H471" s="29" t="e">
        <f t="shared" si="50"/>
        <v>#REF!</v>
      </c>
      <c r="I471" s="29" t="e">
        <f>일위대가목록!#REF!</f>
        <v>#REF!</v>
      </c>
      <c r="J471" s="29" t="e">
        <f t="shared" si="51"/>
        <v>#REF!</v>
      </c>
      <c r="K471" s="29" t="e">
        <f t="shared" si="48"/>
        <v>#REF!</v>
      </c>
      <c r="L471" s="29" t="e">
        <f t="shared" si="47"/>
        <v>#REF!</v>
      </c>
      <c r="M471" s="20" t="s">
        <v>6232</v>
      </c>
      <c r="N471" t="s">
        <v>6232</v>
      </c>
      <c r="P471" t="s">
        <v>2594</v>
      </c>
      <c r="Q471" t="s">
        <v>6232</v>
      </c>
      <c r="R471" t="s">
        <v>5051</v>
      </c>
      <c r="T471" t="s">
        <v>3860</v>
      </c>
      <c r="BI471" s="52" t="str">
        <f>HYPERLINK("#일위대가목록!A484","S024W75040 →")</f>
        <v>S024W75040 →</v>
      </c>
    </row>
    <row r="472" spans="1:61" ht="18.399999999999999" customHeight="1">
      <c r="A472" s="11" t="s">
        <v>863</v>
      </c>
      <c r="B472" s="2" t="s">
        <v>177</v>
      </c>
      <c r="C472" s="2">
        <v>1</v>
      </c>
      <c r="D472" s="2" t="s">
        <v>2289</v>
      </c>
      <c r="E472" s="29" t="e">
        <f>일위대가목록!#REF!</f>
        <v>#REF!</v>
      </c>
      <c r="F472" s="29" t="e">
        <f t="shared" si="49"/>
        <v>#REF!</v>
      </c>
      <c r="G472" s="29" t="e">
        <f>일위대가목록!#REF!</f>
        <v>#REF!</v>
      </c>
      <c r="H472" s="29" t="e">
        <f t="shared" si="50"/>
        <v>#REF!</v>
      </c>
      <c r="I472" s="29" t="e">
        <f>일위대가목록!#REF!</f>
        <v>#REF!</v>
      </c>
      <c r="J472" s="29" t="e">
        <f t="shared" si="51"/>
        <v>#REF!</v>
      </c>
      <c r="K472" s="29" t="e">
        <f t="shared" si="48"/>
        <v>#REF!</v>
      </c>
      <c r="L472" s="29" t="e">
        <f t="shared" si="47"/>
        <v>#REF!</v>
      </c>
      <c r="M472" s="20" t="s">
        <v>6232</v>
      </c>
      <c r="N472" t="s">
        <v>6232</v>
      </c>
      <c r="P472" t="s">
        <v>1010</v>
      </c>
      <c r="Q472" t="s">
        <v>6232</v>
      </c>
      <c r="R472" t="s">
        <v>5961</v>
      </c>
      <c r="T472" t="s">
        <v>3860</v>
      </c>
      <c r="BI472" s="52" t="str">
        <f>HYPERLINK("#일위대가목록!A485","S024W75080YA →")</f>
        <v>S024W75080YA →</v>
      </c>
    </row>
    <row r="473" spans="1:61" ht="18.399999999999999" customHeight="1">
      <c r="A473" s="11" t="s">
        <v>863</v>
      </c>
      <c r="B473" s="2" t="s">
        <v>4188</v>
      </c>
      <c r="C473" s="2">
        <v>1</v>
      </c>
      <c r="D473" s="2" t="s">
        <v>2289</v>
      </c>
      <c r="E473" s="29" t="e">
        <f>일위대가목록!#REF!</f>
        <v>#REF!</v>
      </c>
      <c r="F473" s="29" t="e">
        <f t="shared" si="49"/>
        <v>#REF!</v>
      </c>
      <c r="G473" s="29" t="e">
        <f>일위대가목록!#REF!</f>
        <v>#REF!</v>
      </c>
      <c r="H473" s="29" t="e">
        <f t="shared" si="50"/>
        <v>#REF!</v>
      </c>
      <c r="I473" s="29" t="e">
        <f>일위대가목록!#REF!</f>
        <v>#REF!</v>
      </c>
      <c r="J473" s="29" t="e">
        <f t="shared" si="51"/>
        <v>#REF!</v>
      </c>
      <c r="K473" s="29" t="e">
        <f t="shared" si="48"/>
        <v>#REF!</v>
      </c>
      <c r="L473" s="29" t="e">
        <f t="shared" si="47"/>
        <v>#REF!</v>
      </c>
      <c r="M473" s="20" t="s">
        <v>6232</v>
      </c>
      <c r="N473" t="s">
        <v>6232</v>
      </c>
      <c r="P473" t="s">
        <v>5777</v>
      </c>
      <c r="Q473" t="s">
        <v>6232</v>
      </c>
      <c r="R473" t="s">
        <v>4816</v>
      </c>
      <c r="T473" t="s">
        <v>3860</v>
      </c>
      <c r="BI473" s="52" t="str">
        <f>HYPERLINK("#일위대가목록!A486","S024W75060YA →")</f>
        <v>S024W75060YA →</v>
      </c>
    </row>
    <row r="474" spans="1:61" ht="18.399999999999999" customHeight="1">
      <c r="A474" s="11" t="s">
        <v>863</v>
      </c>
      <c r="B474" s="2" t="s">
        <v>5014</v>
      </c>
      <c r="C474" s="2">
        <v>1</v>
      </c>
      <c r="D474" s="2" t="s">
        <v>2289</v>
      </c>
      <c r="E474" s="29" t="e">
        <f>일위대가목록!#REF!</f>
        <v>#REF!</v>
      </c>
      <c r="F474" s="29" t="e">
        <f t="shared" si="49"/>
        <v>#REF!</v>
      </c>
      <c r="G474" s="29" t="e">
        <f>일위대가목록!#REF!</f>
        <v>#REF!</v>
      </c>
      <c r="H474" s="29" t="e">
        <f t="shared" si="50"/>
        <v>#REF!</v>
      </c>
      <c r="I474" s="29" t="e">
        <f>일위대가목록!#REF!</f>
        <v>#REF!</v>
      </c>
      <c r="J474" s="29" t="e">
        <f t="shared" si="51"/>
        <v>#REF!</v>
      </c>
      <c r="K474" s="29" t="e">
        <f t="shared" si="48"/>
        <v>#REF!</v>
      </c>
      <c r="L474" s="29" t="e">
        <f t="shared" si="47"/>
        <v>#REF!</v>
      </c>
      <c r="M474" s="20" t="s">
        <v>6232</v>
      </c>
      <c r="N474" t="s">
        <v>6232</v>
      </c>
      <c r="P474" t="s">
        <v>4198</v>
      </c>
      <c r="Q474" t="s">
        <v>6232</v>
      </c>
      <c r="R474" t="s">
        <v>1844</v>
      </c>
      <c r="T474" t="s">
        <v>3860</v>
      </c>
      <c r="BI474" s="52" t="str">
        <f>HYPERLINK("#일위대가목록!A487","S024W75040YA →")</f>
        <v>S024W75040YA →</v>
      </c>
    </row>
    <row r="475" spans="1:61" ht="18.399999999999999" customHeight="1">
      <c r="A475" s="11" t="s">
        <v>2843</v>
      </c>
      <c r="B475" s="2" t="s">
        <v>3062</v>
      </c>
      <c r="C475" s="2">
        <v>1</v>
      </c>
      <c r="D475" s="2" t="s">
        <v>2289</v>
      </c>
      <c r="E475" s="29" t="e">
        <f>일위대가목록!#REF!</f>
        <v>#REF!</v>
      </c>
      <c r="F475" s="29" t="e">
        <f t="shared" si="49"/>
        <v>#REF!</v>
      </c>
      <c r="G475" s="29" t="e">
        <f>일위대가목록!#REF!</f>
        <v>#REF!</v>
      </c>
      <c r="H475" s="29" t="e">
        <f t="shared" si="50"/>
        <v>#REF!</v>
      </c>
      <c r="I475" s="29" t="e">
        <f>일위대가목록!#REF!</f>
        <v>#REF!</v>
      </c>
      <c r="J475" s="29" t="e">
        <f t="shared" si="51"/>
        <v>#REF!</v>
      </c>
      <c r="K475" s="29" t="e">
        <f t="shared" si="48"/>
        <v>#REF!</v>
      </c>
      <c r="L475" s="29" t="e">
        <f t="shared" si="47"/>
        <v>#REF!</v>
      </c>
      <c r="M475" s="20" t="s">
        <v>6232</v>
      </c>
      <c r="N475" t="s">
        <v>6232</v>
      </c>
      <c r="P475" t="s">
        <v>2685</v>
      </c>
      <c r="Q475" t="s">
        <v>6232</v>
      </c>
      <c r="R475" t="s">
        <v>5788</v>
      </c>
      <c r="T475" t="s">
        <v>3860</v>
      </c>
      <c r="BI475" s="52" t="str">
        <f>HYPERLINK("#일위대가목록!A488","S024W70080 →")</f>
        <v>S024W70080 →</v>
      </c>
    </row>
    <row r="476" spans="1:61" ht="18.399999999999999" customHeight="1">
      <c r="A476" s="11" t="s">
        <v>2843</v>
      </c>
      <c r="B476" s="2" t="s">
        <v>5162</v>
      </c>
      <c r="C476" s="2">
        <v>1</v>
      </c>
      <c r="D476" s="2" t="s">
        <v>2289</v>
      </c>
      <c r="E476" s="29" t="e">
        <f>일위대가목록!#REF!</f>
        <v>#REF!</v>
      </c>
      <c r="F476" s="29" t="e">
        <f t="shared" si="49"/>
        <v>#REF!</v>
      </c>
      <c r="G476" s="29" t="e">
        <f>일위대가목록!#REF!</f>
        <v>#REF!</v>
      </c>
      <c r="H476" s="29" t="e">
        <f t="shared" si="50"/>
        <v>#REF!</v>
      </c>
      <c r="I476" s="29" t="e">
        <f>일위대가목록!#REF!</f>
        <v>#REF!</v>
      </c>
      <c r="J476" s="29" t="e">
        <f t="shared" si="51"/>
        <v>#REF!</v>
      </c>
      <c r="K476" s="29" t="e">
        <f t="shared" si="48"/>
        <v>#REF!</v>
      </c>
      <c r="L476" s="29" t="e">
        <f t="shared" si="47"/>
        <v>#REF!</v>
      </c>
      <c r="M476" s="20" t="s">
        <v>6232</v>
      </c>
      <c r="N476" t="s">
        <v>6232</v>
      </c>
      <c r="P476" t="s">
        <v>1098</v>
      </c>
      <c r="Q476" t="s">
        <v>6232</v>
      </c>
      <c r="R476" t="s">
        <v>2320</v>
      </c>
      <c r="T476" t="s">
        <v>3860</v>
      </c>
      <c r="BI476" s="52" t="str">
        <f>HYPERLINK("#일위대가목록!A489","S024W70060 →")</f>
        <v>S024W70060 →</v>
      </c>
    </row>
    <row r="477" spans="1:61" ht="18.399999999999999" customHeight="1">
      <c r="A477" s="11" t="s">
        <v>2843</v>
      </c>
      <c r="B477" s="2" t="s">
        <v>4446</v>
      </c>
      <c r="C477" s="2">
        <v>1</v>
      </c>
      <c r="D477" s="2" t="s">
        <v>2289</v>
      </c>
      <c r="E477" s="29" t="e">
        <f>일위대가목록!#REF!</f>
        <v>#REF!</v>
      </c>
      <c r="F477" s="29" t="e">
        <f t="shared" si="49"/>
        <v>#REF!</v>
      </c>
      <c r="G477" s="29" t="e">
        <f>일위대가목록!#REF!</f>
        <v>#REF!</v>
      </c>
      <c r="H477" s="29" t="e">
        <f t="shared" si="50"/>
        <v>#REF!</v>
      </c>
      <c r="I477" s="29" t="e">
        <f>일위대가목록!#REF!</f>
        <v>#REF!</v>
      </c>
      <c r="J477" s="29" t="e">
        <f t="shared" si="51"/>
        <v>#REF!</v>
      </c>
      <c r="K477" s="29" t="e">
        <f t="shared" si="48"/>
        <v>#REF!</v>
      </c>
      <c r="L477" s="29" t="e">
        <f t="shared" si="47"/>
        <v>#REF!</v>
      </c>
      <c r="M477" s="20" t="s">
        <v>6232</v>
      </c>
      <c r="N477" t="s">
        <v>6232</v>
      </c>
      <c r="P477" t="s">
        <v>5467</v>
      </c>
      <c r="Q477" t="s">
        <v>6232</v>
      </c>
      <c r="R477" t="s">
        <v>5478</v>
      </c>
      <c r="T477" t="s">
        <v>3860</v>
      </c>
      <c r="BI477" s="52" t="str">
        <f>HYPERLINK("#일위대가목록!A490","S024W70040 →")</f>
        <v>S024W70040 →</v>
      </c>
    </row>
    <row r="478" spans="1:61" ht="18.399999999999999" customHeight="1">
      <c r="A478" s="11" t="s">
        <v>863</v>
      </c>
      <c r="B478" s="2" t="s">
        <v>3062</v>
      </c>
      <c r="C478" s="2">
        <v>1</v>
      </c>
      <c r="D478" s="2" t="s">
        <v>2289</v>
      </c>
      <c r="E478" s="29" t="e">
        <f>일위대가목록!#REF!</f>
        <v>#REF!</v>
      </c>
      <c r="F478" s="29" t="e">
        <f t="shared" si="49"/>
        <v>#REF!</v>
      </c>
      <c r="G478" s="29" t="e">
        <f>일위대가목록!#REF!</f>
        <v>#REF!</v>
      </c>
      <c r="H478" s="29" t="e">
        <f t="shared" si="50"/>
        <v>#REF!</v>
      </c>
      <c r="I478" s="29" t="e">
        <f>일위대가목록!#REF!</f>
        <v>#REF!</v>
      </c>
      <c r="J478" s="29" t="e">
        <f t="shared" si="51"/>
        <v>#REF!</v>
      </c>
      <c r="K478" s="29" t="e">
        <f t="shared" si="48"/>
        <v>#REF!</v>
      </c>
      <c r="L478" s="29" t="e">
        <f t="shared" si="47"/>
        <v>#REF!</v>
      </c>
      <c r="M478" s="20" t="s">
        <v>6232</v>
      </c>
      <c r="N478" t="s">
        <v>6232</v>
      </c>
      <c r="P478" t="s">
        <v>3888</v>
      </c>
      <c r="Q478" t="s">
        <v>6232</v>
      </c>
      <c r="R478" t="s">
        <v>1670</v>
      </c>
      <c r="T478" t="s">
        <v>3860</v>
      </c>
      <c r="BI478" s="52" t="str">
        <f>HYPERLINK("#일위대가목록!A491","S024W70080YA →")</f>
        <v>S024W70080YA →</v>
      </c>
    </row>
    <row r="479" spans="1:61" ht="18.399999999999999" customHeight="1">
      <c r="A479" s="11" t="s">
        <v>863</v>
      </c>
      <c r="B479" s="2" t="s">
        <v>5162</v>
      </c>
      <c r="C479" s="2">
        <v>1</v>
      </c>
      <c r="D479" s="2" t="s">
        <v>2289</v>
      </c>
      <c r="E479" s="29" t="e">
        <f>일위대가목록!#REF!</f>
        <v>#REF!</v>
      </c>
      <c r="F479" s="29" t="e">
        <f t="shared" si="49"/>
        <v>#REF!</v>
      </c>
      <c r="G479" s="29" t="e">
        <f>일위대가목록!#REF!</f>
        <v>#REF!</v>
      </c>
      <c r="H479" s="29" t="e">
        <f t="shared" si="50"/>
        <v>#REF!</v>
      </c>
      <c r="I479" s="29" t="e">
        <f>일위대가목록!#REF!</f>
        <v>#REF!</v>
      </c>
      <c r="J479" s="29" t="e">
        <f t="shared" si="51"/>
        <v>#REF!</v>
      </c>
      <c r="K479" s="29" t="e">
        <f t="shared" si="48"/>
        <v>#REF!</v>
      </c>
      <c r="L479" s="29" t="e">
        <f t="shared" si="47"/>
        <v>#REF!</v>
      </c>
      <c r="M479" s="20" t="s">
        <v>6232</v>
      </c>
      <c r="N479" t="s">
        <v>6232</v>
      </c>
      <c r="P479" t="s">
        <v>5395</v>
      </c>
      <c r="Q479" t="s">
        <v>6232</v>
      </c>
      <c r="R479" t="s">
        <v>2816</v>
      </c>
      <c r="T479" t="s">
        <v>3860</v>
      </c>
      <c r="BI479" s="52" t="str">
        <f>HYPERLINK("#일위대가목록!A492","S024W70060YA →")</f>
        <v>S024W70060YA →</v>
      </c>
    </row>
    <row r="480" spans="1:61" ht="18.399999999999999" customHeight="1">
      <c r="A480" s="11" t="s">
        <v>863</v>
      </c>
      <c r="B480" s="2" t="s">
        <v>4446</v>
      </c>
      <c r="C480" s="2">
        <v>1</v>
      </c>
      <c r="D480" s="2" t="s">
        <v>2289</v>
      </c>
      <c r="E480" s="29" t="e">
        <f>일위대가목록!#REF!</f>
        <v>#REF!</v>
      </c>
      <c r="F480" s="29" t="e">
        <f t="shared" si="49"/>
        <v>#REF!</v>
      </c>
      <c r="G480" s="29" t="e">
        <f>일위대가목록!#REF!</f>
        <v>#REF!</v>
      </c>
      <c r="H480" s="29" t="e">
        <f t="shared" si="50"/>
        <v>#REF!</v>
      </c>
      <c r="I480" s="29" t="e">
        <f>일위대가목록!#REF!</f>
        <v>#REF!</v>
      </c>
      <c r="J480" s="29" t="e">
        <f t="shared" si="51"/>
        <v>#REF!</v>
      </c>
      <c r="K480" s="29" t="e">
        <f t="shared" si="48"/>
        <v>#REF!</v>
      </c>
      <c r="L480" s="29" t="e">
        <f t="shared" si="47"/>
        <v>#REF!</v>
      </c>
      <c r="M480" s="20" t="s">
        <v>6232</v>
      </c>
      <c r="N480" t="s">
        <v>6232</v>
      </c>
      <c r="P480" t="s">
        <v>3857</v>
      </c>
      <c r="Q480" t="s">
        <v>6232</v>
      </c>
      <c r="R480" t="s">
        <v>6207</v>
      </c>
      <c r="T480" t="s">
        <v>3860</v>
      </c>
      <c r="BI480" s="52" t="str">
        <f>HYPERLINK("#일위대가목록!A493","S024W70040YA →")</f>
        <v>S024W70040YA →</v>
      </c>
    </row>
    <row r="481" spans="1:61" ht="18.399999999999999" customHeight="1">
      <c r="A481" s="11" t="s">
        <v>2843</v>
      </c>
      <c r="B481" s="2" t="s">
        <v>3481</v>
      </c>
      <c r="C481" s="2">
        <v>1</v>
      </c>
      <c r="D481" s="2" t="s">
        <v>2289</v>
      </c>
      <c r="E481" s="29" t="e">
        <f>일위대가목록!#REF!</f>
        <v>#REF!</v>
      </c>
      <c r="F481" s="29" t="e">
        <f t="shared" si="49"/>
        <v>#REF!</v>
      </c>
      <c r="G481" s="29" t="e">
        <f>일위대가목록!#REF!</f>
        <v>#REF!</v>
      </c>
      <c r="H481" s="29" t="e">
        <f t="shared" si="50"/>
        <v>#REF!</v>
      </c>
      <c r="I481" s="29" t="e">
        <f>일위대가목록!#REF!</f>
        <v>#REF!</v>
      </c>
      <c r="J481" s="29" t="e">
        <f t="shared" si="51"/>
        <v>#REF!</v>
      </c>
      <c r="K481" s="29" t="e">
        <f t="shared" si="48"/>
        <v>#REF!</v>
      </c>
      <c r="L481" s="29" t="e">
        <f t="shared" si="47"/>
        <v>#REF!</v>
      </c>
      <c r="M481" s="20" t="s">
        <v>6232</v>
      </c>
      <c r="N481" t="s">
        <v>6232</v>
      </c>
      <c r="P481" t="s">
        <v>2212</v>
      </c>
      <c r="Q481" t="s">
        <v>6232</v>
      </c>
      <c r="R481" t="s">
        <v>2627</v>
      </c>
      <c r="T481" t="s">
        <v>3860</v>
      </c>
      <c r="BI481" s="52" t="str">
        <f>HYPERLINK("#일위대가목록!A494","S024W65080 →")</f>
        <v>S024W65080 →</v>
      </c>
    </row>
    <row r="482" spans="1:61" ht="18.399999999999999" customHeight="1">
      <c r="A482" s="11" t="s">
        <v>2843</v>
      </c>
      <c r="B482" s="2" t="s">
        <v>1426</v>
      </c>
      <c r="C482" s="2">
        <v>1</v>
      </c>
      <c r="D482" s="2" t="s">
        <v>2289</v>
      </c>
      <c r="E482" s="29" t="e">
        <f>일위대가목록!#REF!</f>
        <v>#REF!</v>
      </c>
      <c r="F482" s="29" t="e">
        <f t="shared" si="49"/>
        <v>#REF!</v>
      </c>
      <c r="G482" s="29" t="e">
        <f>일위대가목록!#REF!</f>
        <v>#REF!</v>
      </c>
      <c r="H482" s="29" t="e">
        <f t="shared" si="50"/>
        <v>#REF!</v>
      </c>
      <c r="I482" s="29" t="e">
        <f>일위대가목록!#REF!</f>
        <v>#REF!</v>
      </c>
      <c r="J482" s="29" t="e">
        <f t="shared" si="51"/>
        <v>#REF!</v>
      </c>
      <c r="K482" s="29" t="e">
        <f t="shared" si="48"/>
        <v>#REF!</v>
      </c>
      <c r="L482" s="29" t="e">
        <f t="shared" si="47"/>
        <v>#REF!</v>
      </c>
      <c r="M482" s="20" t="s">
        <v>6232</v>
      </c>
      <c r="N482" t="s">
        <v>6232</v>
      </c>
      <c r="P482" t="s">
        <v>697</v>
      </c>
      <c r="Q482" t="s">
        <v>6232</v>
      </c>
      <c r="R482" t="s">
        <v>5491</v>
      </c>
      <c r="T482" t="s">
        <v>3860</v>
      </c>
      <c r="BI482" s="52" t="str">
        <f>HYPERLINK("#일위대가목록!A495","S024W65060 →")</f>
        <v>S024W65060 →</v>
      </c>
    </row>
    <row r="483" spans="1:61" ht="18.399999999999999" customHeight="1">
      <c r="A483" s="11" t="s">
        <v>2843</v>
      </c>
      <c r="B483" s="2" t="s">
        <v>2132</v>
      </c>
      <c r="C483" s="2">
        <v>1</v>
      </c>
      <c r="D483" s="2" t="s">
        <v>2289</v>
      </c>
      <c r="E483" s="29" t="e">
        <f>일위대가목록!#REF!</f>
        <v>#REF!</v>
      </c>
      <c r="F483" s="29" t="e">
        <f t="shared" si="49"/>
        <v>#REF!</v>
      </c>
      <c r="G483" s="29" t="e">
        <f>일위대가목록!#REF!</f>
        <v>#REF!</v>
      </c>
      <c r="H483" s="29" t="e">
        <f t="shared" si="50"/>
        <v>#REF!</v>
      </c>
      <c r="I483" s="29" t="e">
        <f>일위대가목록!#REF!</f>
        <v>#REF!</v>
      </c>
      <c r="J483" s="29" t="e">
        <f t="shared" si="51"/>
        <v>#REF!</v>
      </c>
      <c r="K483" s="29" t="e">
        <f t="shared" si="48"/>
        <v>#REF!</v>
      </c>
      <c r="L483" s="29" t="e">
        <f t="shared" si="47"/>
        <v>#REF!</v>
      </c>
      <c r="M483" s="20" t="s">
        <v>6232</v>
      </c>
      <c r="N483" t="s">
        <v>6232</v>
      </c>
      <c r="P483" t="s">
        <v>5308</v>
      </c>
      <c r="Q483" t="s">
        <v>6232</v>
      </c>
      <c r="R483" t="s">
        <v>2335</v>
      </c>
      <c r="T483" t="s">
        <v>3860</v>
      </c>
      <c r="BI483" s="52" t="str">
        <f>HYPERLINK("#일위대가목록!A496","S024W65040 →")</f>
        <v>S024W65040 →</v>
      </c>
    </row>
    <row r="484" spans="1:61" ht="18.399999999999999" customHeight="1">
      <c r="A484" s="11" t="s">
        <v>863</v>
      </c>
      <c r="B484" s="2" t="s">
        <v>3481</v>
      </c>
      <c r="C484" s="2">
        <v>1</v>
      </c>
      <c r="D484" s="2" t="s">
        <v>2289</v>
      </c>
      <c r="E484" s="29" t="e">
        <f>일위대가목록!#REF!</f>
        <v>#REF!</v>
      </c>
      <c r="F484" s="29" t="e">
        <f t="shared" si="49"/>
        <v>#REF!</v>
      </c>
      <c r="G484" s="29" t="e">
        <f>일위대가목록!#REF!</f>
        <v>#REF!</v>
      </c>
      <c r="H484" s="29" t="e">
        <f t="shared" si="50"/>
        <v>#REF!</v>
      </c>
      <c r="I484" s="29" t="e">
        <f>일위대가목록!#REF!</f>
        <v>#REF!</v>
      </c>
      <c r="J484" s="29" t="e">
        <f t="shared" si="51"/>
        <v>#REF!</v>
      </c>
      <c r="K484" s="29" t="e">
        <f t="shared" si="48"/>
        <v>#REF!</v>
      </c>
      <c r="L484" s="29" t="e">
        <f t="shared" si="47"/>
        <v>#REF!</v>
      </c>
      <c r="M484" s="20" t="s">
        <v>6232</v>
      </c>
      <c r="N484" t="s">
        <v>6232</v>
      </c>
      <c r="P484" t="s">
        <v>3777</v>
      </c>
      <c r="Q484" t="s">
        <v>6232</v>
      </c>
      <c r="R484" t="s">
        <v>1560</v>
      </c>
      <c r="T484" t="s">
        <v>3860</v>
      </c>
      <c r="BI484" s="52" t="str">
        <f>HYPERLINK("#일위대가목록!A497","S024W65080YA →")</f>
        <v>S024W65080YA →</v>
      </c>
    </row>
    <row r="485" spans="1:61" ht="18.399999999999999" customHeight="1">
      <c r="A485" s="11" t="s">
        <v>863</v>
      </c>
      <c r="B485" s="2" t="s">
        <v>1426</v>
      </c>
      <c r="C485" s="2">
        <v>1</v>
      </c>
      <c r="D485" s="2" t="s">
        <v>2289</v>
      </c>
      <c r="E485" s="29" t="e">
        <f>일위대가목록!#REF!</f>
        <v>#REF!</v>
      </c>
      <c r="F485" s="29" t="e">
        <f t="shared" si="49"/>
        <v>#REF!</v>
      </c>
      <c r="G485" s="29" t="e">
        <f>일위대가목록!#REF!</f>
        <v>#REF!</v>
      </c>
      <c r="H485" s="29" t="e">
        <f t="shared" si="50"/>
        <v>#REF!</v>
      </c>
      <c r="I485" s="29" t="e">
        <f>일위대가목록!#REF!</f>
        <v>#REF!</v>
      </c>
      <c r="J485" s="29" t="e">
        <f t="shared" si="51"/>
        <v>#REF!</v>
      </c>
      <c r="K485" s="29" t="e">
        <f t="shared" si="48"/>
        <v>#REF!</v>
      </c>
      <c r="L485" s="29" t="e">
        <f t="shared" si="47"/>
        <v>#REF!</v>
      </c>
      <c r="M485" s="20" t="s">
        <v>6232</v>
      </c>
      <c r="N485" t="s">
        <v>6232</v>
      </c>
      <c r="P485" t="s">
        <v>2141</v>
      </c>
      <c r="Q485" t="s">
        <v>6232</v>
      </c>
      <c r="R485" t="s">
        <v>2751</v>
      </c>
      <c r="T485" t="s">
        <v>3860</v>
      </c>
      <c r="BI485" s="52" t="str">
        <f>HYPERLINK("#일위대가목록!A498","S024W65060YA →")</f>
        <v>S024W65060YA →</v>
      </c>
    </row>
    <row r="486" spans="1:61" ht="18.399999999999999" customHeight="1">
      <c r="A486" s="11" t="s">
        <v>863</v>
      </c>
      <c r="B486" s="2" t="s">
        <v>2132</v>
      </c>
      <c r="C486" s="2">
        <v>1</v>
      </c>
      <c r="D486" s="2" t="s">
        <v>2289</v>
      </c>
      <c r="E486" s="29" t="e">
        <f>일위대가목록!#REF!</f>
        <v>#REF!</v>
      </c>
      <c r="F486" s="29" t="e">
        <f t="shared" si="49"/>
        <v>#REF!</v>
      </c>
      <c r="G486" s="29" t="e">
        <f>일위대가목록!#REF!</f>
        <v>#REF!</v>
      </c>
      <c r="H486" s="29" t="e">
        <f t="shared" si="50"/>
        <v>#REF!</v>
      </c>
      <c r="I486" s="29" t="e">
        <f>일위대가목록!#REF!</f>
        <v>#REF!</v>
      </c>
      <c r="J486" s="29" t="e">
        <f t="shared" si="51"/>
        <v>#REF!</v>
      </c>
      <c r="K486" s="29" t="e">
        <f t="shared" si="48"/>
        <v>#REF!</v>
      </c>
      <c r="L486" s="29" t="e">
        <f t="shared" si="47"/>
        <v>#REF!</v>
      </c>
      <c r="M486" s="20" t="s">
        <v>6232</v>
      </c>
      <c r="N486" t="s">
        <v>6232</v>
      </c>
      <c r="P486" t="s">
        <v>629</v>
      </c>
      <c r="Q486" t="s">
        <v>6232</v>
      </c>
      <c r="R486" t="s">
        <v>6053</v>
      </c>
      <c r="T486" t="s">
        <v>3860</v>
      </c>
      <c r="BI486" s="52" t="str">
        <f>HYPERLINK("#일위대가목록!A499","S024W65040YA →")</f>
        <v>S024W65040YA →</v>
      </c>
    </row>
    <row r="487" spans="1:61" ht="18.399999999999999" customHeight="1">
      <c r="A487" s="11" t="s">
        <v>2843</v>
      </c>
      <c r="B487" s="2" t="s">
        <v>5660</v>
      </c>
      <c r="C487" s="2">
        <v>1</v>
      </c>
      <c r="D487" s="2" t="s">
        <v>2289</v>
      </c>
      <c r="E487" s="29" t="e">
        <f>일위대가목록!#REF!</f>
        <v>#REF!</v>
      </c>
      <c r="F487" s="29" t="e">
        <f t="shared" si="49"/>
        <v>#REF!</v>
      </c>
      <c r="G487" s="29" t="e">
        <f>일위대가목록!#REF!</f>
        <v>#REF!</v>
      </c>
      <c r="H487" s="29" t="e">
        <f t="shared" si="50"/>
        <v>#REF!</v>
      </c>
      <c r="I487" s="29" t="e">
        <f>일위대가목록!#REF!</f>
        <v>#REF!</v>
      </c>
      <c r="J487" s="29" t="e">
        <f t="shared" si="51"/>
        <v>#REF!</v>
      </c>
      <c r="K487" s="29" t="e">
        <f t="shared" si="48"/>
        <v>#REF!</v>
      </c>
      <c r="L487" s="29" t="e">
        <f t="shared" si="47"/>
        <v>#REF!</v>
      </c>
      <c r="M487" s="20" t="s">
        <v>6232</v>
      </c>
      <c r="N487" t="s">
        <v>6232</v>
      </c>
      <c r="P487" t="s">
        <v>5205</v>
      </c>
      <c r="Q487" t="s">
        <v>6232</v>
      </c>
      <c r="R487" t="s">
        <v>2273</v>
      </c>
      <c r="T487" t="s">
        <v>3860</v>
      </c>
      <c r="BI487" s="52" t="str">
        <f>HYPERLINK("#일위대가목록!A500","S024W60080 →")</f>
        <v>S024W60080 →</v>
      </c>
    </row>
    <row r="488" spans="1:61" ht="18.399999999999999" customHeight="1">
      <c r="A488" s="11" t="s">
        <v>2843</v>
      </c>
      <c r="B488" s="2" t="s">
        <v>1607</v>
      </c>
      <c r="C488" s="2">
        <v>1</v>
      </c>
      <c r="D488" s="2" t="s">
        <v>2289</v>
      </c>
      <c r="E488" s="29" t="e">
        <f>일위대가목록!#REF!</f>
        <v>#REF!</v>
      </c>
      <c r="F488" s="29" t="e">
        <f t="shared" si="49"/>
        <v>#REF!</v>
      </c>
      <c r="G488" s="29" t="e">
        <f>일위대가목록!#REF!</f>
        <v>#REF!</v>
      </c>
      <c r="H488" s="29" t="e">
        <f t="shared" si="50"/>
        <v>#REF!</v>
      </c>
      <c r="I488" s="29" t="e">
        <f>일위대가목록!#REF!</f>
        <v>#REF!</v>
      </c>
      <c r="J488" s="29" t="e">
        <f t="shared" si="51"/>
        <v>#REF!</v>
      </c>
      <c r="K488" s="29" t="e">
        <f t="shared" si="48"/>
        <v>#REF!</v>
      </c>
      <c r="L488" s="29" t="e">
        <f t="shared" si="47"/>
        <v>#REF!</v>
      </c>
      <c r="M488" s="20" t="s">
        <v>6232</v>
      </c>
      <c r="N488" t="s">
        <v>6232</v>
      </c>
      <c r="P488" t="s">
        <v>3692</v>
      </c>
      <c r="Q488" t="s">
        <v>6232</v>
      </c>
      <c r="R488" t="s">
        <v>5044</v>
      </c>
      <c r="T488" t="s">
        <v>3860</v>
      </c>
      <c r="BI488" s="52" t="str">
        <f>HYPERLINK("#일위대가목록!A501","S024W60060 →")</f>
        <v>S024W60060 →</v>
      </c>
    </row>
    <row r="489" spans="1:61" ht="18.399999999999999" customHeight="1">
      <c r="A489" s="11" t="s">
        <v>2843</v>
      </c>
      <c r="B489" s="2" t="s">
        <v>767</v>
      </c>
      <c r="C489" s="2">
        <v>1</v>
      </c>
      <c r="D489" s="2" t="s">
        <v>2289</v>
      </c>
      <c r="E489" s="29" t="e">
        <f>일위대가목록!#REF!</f>
        <v>#REF!</v>
      </c>
      <c r="F489" s="29" t="e">
        <f t="shared" si="49"/>
        <v>#REF!</v>
      </c>
      <c r="G489" s="29" t="e">
        <f>일위대가목록!#REF!</f>
        <v>#REF!</v>
      </c>
      <c r="H489" s="29" t="e">
        <f t="shared" si="50"/>
        <v>#REF!</v>
      </c>
      <c r="I489" s="29" t="e">
        <f>일위대가목록!#REF!</f>
        <v>#REF!</v>
      </c>
      <c r="J489" s="29" t="e">
        <f t="shared" si="51"/>
        <v>#REF!</v>
      </c>
      <c r="K489" s="29" t="e">
        <f t="shared" si="48"/>
        <v>#REF!</v>
      </c>
      <c r="L489" s="29" t="e">
        <f t="shared" si="47"/>
        <v>#REF!</v>
      </c>
      <c r="M489" s="20" t="s">
        <v>6232</v>
      </c>
      <c r="N489" t="s">
        <v>6232</v>
      </c>
      <c r="P489" t="s">
        <v>1249</v>
      </c>
      <c r="Q489" t="s">
        <v>6232</v>
      </c>
      <c r="R489" t="s">
        <v>1958</v>
      </c>
      <c r="T489" t="s">
        <v>3860</v>
      </c>
      <c r="BI489" s="52" t="str">
        <f>HYPERLINK("#일위대가목록!A502","S024W60040 →")</f>
        <v>S024W60040 →</v>
      </c>
    </row>
    <row r="490" spans="1:61" ht="18.399999999999999" customHeight="1">
      <c r="A490" s="11" t="s">
        <v>863</v>
      </c>
      <c r="B490" s="2" t="s">
        <v>5660</v>
      </c>
      <c r="C490" s="2">
        <v>1</v>
      </c>
      <c r="D490" s="2" t="s">
        <v>2289</v>
      </c>
      <c r="E490" s="29" t="e">
        <f>일위대가목록!#REF!</f>
        <v>#REF!</v>
      </c>
      <c r="F490" s="29" t="e">
        <f t="shared" si="49"/>
        <v>#REF!</v>
      </c>
      <c r="G490" s="29" t="e">
        <f>일위대가목록!#REF!</f>
        <v>#REF!</v>
      </c>
      <c r="H490" s="29" t="e">
        <f t="shared" si="50"/>
        <v>#REF!</v>
      </c>
      <c r="I490" s="29" t="e">
        <f>일위대가목록!#REF!</f>
        <v>#REF!</v>
      </c>
      <c r="J490" s="29" t="e">
        <f t="shared" si="51"/>
        <v>#REF!</v>
      </c>
      <c r="K490" s="29" t="e">
        <f t="shared" si="48"/>
        <v>#REF!</v>
      </c>
      <c r="L490" s="29" t="e">
        <f t="shared" si="47"/>
        <v>#REF!</v>
      </c>
      <c r="M490" s="20" t="s">
        <v>6232</v>
      </c>
      <c r="N490" t="s">
        <v>6232</v>
      </c>
      <c r="P490" t="s">
        <v>2815</v>
      </c>
      <c r="Q490" t="s">
        <v>6232</v>
      </c>
      <c r="R490" t="s">
        <v>5875</v>
      </c>
      <c r="T490" t="s">
        <v>3860</v>
      </c>
      <c r="BI490" s="52" t="str">
        <f>HYPERLINK("#일위대가목록!A503","S024W60080YA →")</f>
        <v>S024W60080YA →</v>
      </c>
    </row>
    <row r="491" spans="1:61" ht="18.399999999999999" customHeight="1">
      <c r="A491" s="11" t="s">
        <v>863</v>
      </c>
      <c r="B491" s="2" t="s">
        <v>1607</v>
      </c>
      <c r="C491" s="2">
        <v>1</v>
      </c>
      <c r="D491" s="2" t="s">
        <v>2289</v>
      </c>
      <c r="E491" s="29" t="e">
        <f>일위대가목록!#REF!</f>
        <v>#REF!</v>
      </c>
      <c r="F491" s="29" t="e">
        <f t="shared" si="49"/>
        <v>#REF!</v>
      </c>
      <c r="G491" s="29" t="e">
        <f>일위대가목록!#REF!</f>
        <v>#REF!</v>
      </c>
      <c r="H491" s="29" t="e">
        <f t="shared" si="50"/>
        <v>#REF!</v>
      </c>
      <c r="I491" s="29" t="e">
        <f>일위대가목록!#REF!</f>
        <v>#REF!</v>
      </c>
      <c r="J491" s="29" t="e">
        <f t="shared" si="51"/>
        <v>#REF!</v>
      </c>
      <c r="K491" s="29" t="e">
        <f t="shared" si="48"/>
        <v>#REF!</v>
      </c>
      <c r="L491" s="29" t="e">
        <f t="shared" si="47"/>
        <v>#REF!</v>
      </c>
      <c r="M491" s="20" t="s">
        <v>6232</v>
      </c>
      <c r="N491" t="s">
        <v>6232</v>
      </c>
      <c r="P491" t="s">
        <v>4409</v>
      </c>
      <c r="Q491" t="s">
        <v>6232</v>
      </c>
      <c r="R491" t="s">
        <v>4679</v>
      </c>
      <c r="T491" t="s">
        <v>3860</v>
      </c>
      <c r="BI491" s="52" t="str">
        <f>HYPERLINK("#일위대가목록!A504","S024W60060YA →")</f>
        <v>S024W60060YA →</v>
      </c>
    </row>
    <row r="492" spans="1:61" ht="18.399999999999999" customHeight="1">
      <c r="A492" s="11" t="s">
        <v>863</v>
      </c>
      <c r="B492" s="2" t="s">
        <v>767</v>
      </c>
      <c r="C492" s="2">
        <v>1</v>
      </c>
      <c r="D492" s="2" t="s">
        <v>2289</v>
      </c>
      <c r="E492" s="29" t="e">
        <f>일위대가목록!#REF!</f>
        <v>#REF!</v>
      </c>
      <c r="F492" s="29" t="e">
        <f t="shared" si="49"/>
        <v>#REF!</v>
      </c>
      <c r="G492" s="29" t="e">
        <f>일위대가목록!#REF!</f>
        <v>#REF!</v>
      </c>
      <c r="H492" s="29" t="e">
        <f t="shared" si="50"/>
        <v>#REF!</v>
      </c>
      <c r="I492" s="29" t="e">
        <f>일위대가목록!#REF!</f>
        <v>#REF!</v>
      </c>
      <c r="J492" s="29" t="e">
        <f t="shared" si="51"/>
        <v>#REF!</v>
      </c>
      <c r="K492" s="29" t="e">
        <f t="shared" si="48"/>
        <v>#REF!</v>
      </c>
      <c r="L492" s="29" t="e">
        <f t="shared" si="47"/>
        <v>#REF!</v>
      </c>
      <c r="M492" s="20" t="s">
        <v>6232</v>
      </c>
      <c r="N492" t="s">
        <v>6232</v>
      </c>
      <c r="P492" t="s">
        <v>6010</v>
      </c>
      <c r="Q492" t="s">
        <v>6232</v>
      </c>
      <c r="R492" t="s">
        <v>1786</v>
      </c>
      <c r="T492" t="s">
        <v>3860</v>
      </c>
      <c r="BI492" s="52" t="str">
        <f>HYPERLINK("#일위대가목록!A505","S024W60040YA →")</f>
        <v>S024W60040YA →</v>
      </c>
    </row>
    <row r="493" spans="1:61" ht="18.399999999999999" customHeight="1">
      <c r="A493" s="11" t="s">
        <v>2843</v>
      </c>
      <c r="B493" s="2" t="s">
        <v>2518</v>
      </c>
      <c r="C493" s="2">
        <v>1</v>
      </c>
      <c r="D493" s="2" t="s">
        <v>2289</v>
      </c>
      <c r="E493" s="29" t="e">
        <f>일위대가목록!#REF!</f>
        <v>#REF!</v>
      </c>
      <c r="F493" s="29" t="e">
        <f t="shared" si="49"/>
        <v>#REF!</v>
      </c>
      <c r="G493" s="29" t="e">
        <f>일위대가목록!#REF!</f>
        <v>#REF!</v>
      </c>
      <c r="H493" s="29" t="e">
        <f t="shared" si="50"/>
        <v>#REF!</v>
      </c>
      <c r="I493" s="29" t="e">
        <f>일위대가목록!#REF!</f>
        <v>#REF!</v>
      </c>
      <c r="J493" s="29" t="e">
        <f t="shared" si="51"/>
        <v>#REF!</v>
      </c>
      <c r="K493" s="29" t="e">
        <f t="shared" si="48"/>
        <v>#REF!</v>
      </c>
      <c r="L493" s="29" t="e">
        <f t="shared" si="47"/>
        <v>#REF!</v>
      </c>
      <c r="M493" s="20" t="s">
        <v>6232</v>
      </c>
      <c r="N493" t="s">
        <v>6232</v>
      </c>
      <c r="P493" t="s">
        <v>1159</v>
      </c>
      <c r="Q493" t="s">
        <v>6232</v>
      </c>
      <c r="R493" t="s">
        <v>4564</v>
      </c>
      <c r="T493" t="s">
        <v>3860</v>
      </c>
      <c r="BI493" s="52" t="str">
        <f>HYPERLINK("#일위대가목록!A506","S024W55080 →")</f>
        <v>S024W55080 →</v>
      </c>
    </row>
    <row r="494" spans="1:61" ht="18.399999999999999" customHeight="1">
      <c r="A494" s="11" t="s">
        <v>2843</v>
      </c>
      <c r="B494" s="2" t="s">
        <v>4734</v>
      </c>
      <c r="C494" s="2">
        <v>1</v>
      </c>
      <c r="D494" s="2" t="s">
        <v>2289</v>
      </c>
      <c r="E494" s="29" t="e">
        <f>일위대가목록!#REF!</f>
        <v>#REF!</v>
      </c>
      <c r="F494" s="29" t="e">
        <f t="shared" si="49"/>
        <v>#REF!</v>
      </c>
      <c r="G494" s="29" t="e">
        <f>일위대가목록!#REF!</f>
        <v>#REF!</v>
      </c>
      <c r="H494" s="29" t="e">
        <f t="shared" si="50"/>
        <v>#REF!</v>
      </c>
      <c r="I494" s="29" t="e">
        <f>일위대가목록!#REF!</f>
        <v>#REF!</v>
      </c>
      <c r="J494" s="29" t="e">
        <f t="shared" si="51"/>
        <v>#REF!</v>
      </c>
      <c r="K494" s="29" t="e">
        <f t="shared" si="48"/>
        <v>#REF!</v>
      </c>
      <c r="L494" s="29" t="e">
        <f t="shared" si="47"/>
        <v>#REF!</v>
      </c>
      <c r="M494" s="20" t="s">
        <v>6232</v>
      </c>
      <c r="N494" t="s">
        <v>6232</v>
      </c>
      <c r="P494" t="s">
        <v>2737</v>
      </c>
      <c r="Q494" t="s">
        <v>6232</v>
      </c>
      <c r="R494" t="s">
        <v>1226</v>
      </c>
      <c r="T494" t="s">
        <v>3860</v>
      </c>
      <c r="BI494" s="52" t="str">
        <f>HYPERLINK("#일위대가목록!A507","S024W55060 →")</f>
        <v>S024W55060 →</v>
      </c>
    </row>
    <row r="495" spans="1:61" ht="18.399999999999999" customHeight="1">
      <c r="A495" s="11" t="s">
        <v>2843</v>
      </c>
      <c r="B495" s="2" t="s">
        <v>3881</v>
      </c>
      <c r="C495" s="2">
        <v>1</v>
      </c>
      <c r="D495" s="2" t="s">
        <v>2289</v>
      </c>
      <c r="E495" s="29" t="e">
        <f>일위대가목록!#REF!</f>
        <v>#REF!</v>
      </c>
      <c r="F495" s="29" t="e">
        <f t="shared" si="49"/>
        <v>#REF!</v>
      </c>
      <c r="G495" s="29" t="e">
        <f>일위대가목록!#REF!</f>
        <v>#REF!</v>
      </c>
      <c r="H495" s="29" t="e">
        <f t="shared" si="50"/>
        <v>#REF!</v>
      </c>
      <c r="I495" s="29" t="e">
        <f>일위대가목록!#REF!</f>
        <v>#REF!</v>
      </c>
      <c r="J495" s="29" t="e">
        <f t="shared" si="51"/>
        <v>#REF!</v>
      </c>
      <c r="K495" s="29" t="e">
        <f t="shared" si="48"/>
        <v>#REF!</v>
      </c>
      <c r="L495" s="29" t="e">
        <f t="shared" si="47"/>
        <v>#REF!</v>
      </c>
      <c r="M495" s="20" t="s">
        <v>6232</v>
      </c>
      <c r="N495" t="s">
        <v>6232</v>
      </c>
      <c r="P495" t="s">
        <v>4343</v>
      </c>
      <c r="Q495" t="s">
        <v>6232</v>
      </c>
      <c r="R495" t="s">
        <v>4289</v>
      </c>
      <c r="T495" t="s">
        <v>3860</v>
      </c>
      <c r="BI495" s="52" t="str">
        <f>HYPERLINK("#일위대가목록!A508","S024W55040 →")</f>
        <v>S024W55040 →</v>
      </c>
    </row>
    <row r="496" spans="1:61" ht="18.399999999999999" customHeight="1">
      <c r="A496" s="11" t="s">
        <v>863</v>
      </c>
      <c r="B496" s="2" t="s">
        <v>2518</v>
      </c>
      <c r="C496" s="2">
        <v>1</v>
      </c>
      <c r="D496" s="2" t="s">
        <v>2289</v>
      </c>
      <c r="E496" s="29" t="e">
        <f>일위대가목록!#REF!</f>
        <v>#REF!</v>
      </c>
      <c r="F496" s="29" t="e">
        <f t="shared" si="49"/>
        <v>#REF!</v>
      </c>
      <c r="G496" s="29" t="e">
        <f>일위대가목록!#REF!</f>
        <v>#REF!</v>
      </c>
      <c r="H496" s="29" t="e">
        <f t="shared" si="50"/>
        <v>#REF!</v>
      </c>
      <c r="I496" s="29" t="e">
        <f>일위대가목록!#REF!</f>
        <v>#REF!</v>
      </c>
      <c r="J496" s="29" t="e">
        <f t="shared" si="51"/>
        <v>#REF!</v>
      </c>
      <c r="K496" s="29" t="e">
        <f t="shared" si="48"/>
        <v>#REF!</v>
      </c>
      <c r="L496" s="29" t="e">
        <f t="shared" si="47"/>
        <v>#REF!</v>
      </c>
      <c r="M496" s="20" t="s">
        <v>6232</v>
      </c>
      <c r="N496" t="s">
        <v>6232</v>
      </c>
      <c r="P496" t="s">
        <v>5915</v>
      </c>
      <c r="Q496" t="s">
        <v>6232</v>
      </c>
      <c r="R496" t="s">
        <v>5355</v>
      </c>
      <c r="T496" t="s">
        <v>3860</v>
      </c>
      <c r="BI496" s="52" t="str">
        <f>HYPERLINK("#일위대가목록!A509","S024W55080YA →")</f>
        <v>S024W55080YA →</v>
      </c>
    </row>
    <row r="497" spans="1:61" ht="18.399999999999999" customHeight="1">
      <c r="A497" s="11" t="s">
        <v>863</v>
      </c>
      <c r="B497" s="2" t="s">
        <v>4734</v>
      </c>
      <c r="C497" s="2">
        <v>1</v>
      </c>
      <c r="D497" s="2" t="s">
        <v>2289</v>
      </c>
      <c r="E497" s="29" t="e">
        <f>일위대가목록!#REF!</f>
        <v>#REF!</v>
      </c>
      <c r="F497" s="29" t="e">
        <f t="shared" si="49"/>
        <v>#REF!</v>
      </c>
      <c r="G497" s="29" t="e">
        <f>일위대가목록!#REF!</f>
        <v>#REF!</v>
      </c>
      <c r="H497" s="29" t="e">
        <f t="shared" si="50"/>
        <v>#REF!</v>
      </c>
      <c r="I497" s="29" t="e">
        <f>일위대가목록!#REF!</f>
        <v>#REF!</v>
      </c>
      <c r="J497" s="29" t="e">
        <f t="shared" si="51"/>
        <v>#REF!</v>
      </c>
      <c r="K497" s="29" t="e">
        <f t="shared" si="48"/>
        <v>#REF!</v>
      </c>
      <c r="L497" s="29" t="e">
        <f t="shared" si="47"/>
        <v>#REF!</v>
      </c>
      <c r="M497" s="20" t="s">
        <v>6232</v>
      </c>
      <c r="N497" t="s">
        <v>6232</v>
      </c>
      <c r="P497" t="s">
        <v>1444</v>
      </c>
      <c r="Q497" t="s">
        <v>6232</v>
      </c>
      <c r="R497" t="s">
        <v>5816</v>
      </c>
      <c r="T497" t="s">
        <v>3860</v>
      </c>
      <c r="BI497" s="52" t="str">
        <f>HYPERLINK("#일위대가목록!A510","S024W55060YA →")</f>
        <v>S024W55060YA →</v>
      </c>
    </row>
    <row r="498" spans="1:61" ht="18.399999999999999" customHeight="1">
      <c r="A498" s="11" t="s">
        <v>863</v>
      </c>
      <c r="B498" s="2" t="s">
        <v>3881</v>
      </c>
      <c r="C498" s="2">
        <v>1</v>
      </c>
      <c r="D498" s="2" t="s">
        <v>2289</v>
      </c>
      <c r="E498" s="29" t="e">
        <f>일위대가목록!#REF!</f>
        <v>#REF!</v>
      </c>
      <c r="F498" s="29" t="e">
        <f t="shared" si="49"/>
        <v>#REF!</v>
      </c>
      <c r="G498" s="29" t="e">
        <f>일위대가목록!#REF!</f>
        <v>#REF!</v>
      </c>
      <c r="H498" s="29" t="e">
        <f t="shared" si="50"/>
        <v>#REF!</v>
      </c>
      <c r="I498" s="29" t="e">
        <f>일위대가목록!#REF!</f>
        <v>#REF!</v>
      </c>
      <c r="J498" s="29" t="e">
        <f t="shared" si="51"/>
        <v>#REF!</v>
      </c>
      <c r="K498" s="29" t="e">
        <f t="shared" si="48"/>
        <v>#REF!</v>
      </c>
      <c r="L498" s="29" t="e">
        <f t="shared" si="47"/>
        <v>#REF!</v>
      </c>
      <c r="M498" s="20" t="s">
        <v>6232</v>
      </c>
      <c r="N498" t="s">
        <v>6232</v>
      </c>
      <c r="P498" t="s">
        <v>3021</v>
      </c>
      <c r="Q498" t="s">
        <v>6232</v>
      </c>
      <c r="R498" t="s">
        <v>2423</v>
      </c>
      <c r="T498" t="s">
        <v>3860</v>
      </c>
      <c r="BI498" s="52" t="str">
        <f>HYPERLINK("#일위대가목록!A511","S024W55040YA →")</f>
        <v>S024W55040YA →</v>
      </c>
    </row>
    <row r="499" spans="1:61" ht="18.399999999999999" customHeight="1">
      <c r="A499" s="11" t="s">
        <v>2843</v>
      </c>
      <c r="B499" s="2" t="s">
        <v>382</v>
      </c>
      <c r="C499" s="2">
        <v>1</v>
      </c>
      <c r="D499" s="2" t="s">
        <v>2289</v>
      </c>
      <c r="E499" s="29" t="e">
        <f>일위대가목록!#REF!</f>
        <v>#REF!</v>
      </c>
      <c r="F499" s="29" t="e">
        <f t="shared" si="49"/>
        <v>#REF!</v>
      </c>
      <c r="G499" s="29" t="e">
        <f>일위대가목록!#REF!</f>
        <v>#REF!</v>
      </c>
      <c r="H499" s="29" t="e">
        <f t="shared" si="50"/>
        <v>#REF!</v>
      </c>
      <c r="I499" s="29" t="e">
        <f>일위대가목록!#REF!</f>
        <v>#REF!</v>
      </c>
      <c r="J499" s="29" t="e">
        <f t="shared" si="51"/>
        <v>#REF!</v>
      </c>
      <c r="K499" s="29" t="e">
        <f t="shared" si="48"/>
        <v>#REF!</v>
      </c>
      <c r="L499" s="29" t="e">
        <f t="shared" si="47"/>
        <v>#REF!</v>
      </c>
      <c r="M499" s="20" t="s">
        <v>6232</v>
      </c>
      <c r="N499" t="s">
        <v>6232</v>
      </c>
      <c r="P499" t="s">
        <v>71</v>
      </c>
      <c r="Q499" t="s">
        <v>6232</v>
      </c>
      <c r="R499" t="s">
        <v>3424</v>
      </c>
      <c r="T499" t="s">
        <v>3860</v>
      </c>
      <c r="BI499" s="52" t="str">
        <f>HYPERLINK("#일위대가목록!A512","S024W50080 →")</f>
        <v>S024W50080 →</v>
      </c>
    </row>
    <row r="500" spans="1:61" ht="18.399999999999999" customHeight="1">
      <c r="A500" s="11" t="s">
        <v>2843</v>
      </c>
      <c r="B500" s="2" t="s">
        <v>4524</v>
      </c>
      <c r="C500" s="2">
        <v>1</v>
      </c>
      <c r="D500" s="2" t="s">
        <v>2289</v>
      </c>
      <c r="E500" s="29" t="e">
        <f>일위대가목록!#REF!</f>
        <v>#REF!</v>
      </c>
      <c r="F500" s="29" t="e">
        <f t="shared" si="49"/>
        <v>#REF!</v>
      </c>
      <c r="G500" s="29" t="e">
        <f>일위대가목록!#REF!</f>
        <v>#REF!</v>
      </c>
      <c r="H500" s="29" t="e">
        <f t="shared" si="50"/>
        <v>#REF!</v>
      </c>
      <c r="I500" s="29" t="e">
        <f>일위대가목록!#REF!</f>
        <v>#REF!</v>
      </c>
      <c r="J500" s="29" t="e">
        <f t="shared" si="51"/>
        <v>#REF!</v>
      </c>
      <c r="K500" s="29" t="e">
        <f t="shared" si="48"/>
        <v>#REF!</v>
      </c>
      <c r="L500" s="29" t="e">
        <f t="shared" si="47"/>
        <v>#REF!</v>
      </c>
      <c r="M500" s="20" t="s">
        <v>6232</v>
      </c>
      <c r="N500" t="s">
        <v>6232</v>
      </c>
      <c r="P500" t="s">
        <v>1580</v>
      </c>
      <c r="Q500" t="s">
        <v>6232</v>
      </c>
      <c r="R500" t="s">
        <v>2</v>
      </c>
      <c r="T500" t="s">
        <v>3860</v>
      </c>
      <c r="BI500" s="52" t="str">
        <f>HYPERLINK("#일위대가목록!A513","S024W50060 →")</f>
        <v>S024W50060 →</v>
      </c>
    </row>
    <row r="501" spans="1:61" ht="18.399999999999999" customHeight="1">
      <c r="A501" s="11" t="s">
        <v>2843</v>
      </c>
      <c r="B501" s="2" t="s">
        <v>5250</v>
      </c>
      <c r="C501" s="2">
        <v>1</v>
      </c>
      <c r="D501" s="2" t="s">
        <v>2289</v>
      </c>
      <c r="E501" s="29" t="e">
        <f>일위대가목록!#REF!</f>
        <v>#REF!</v>
      </c>
      <c r="F501" s="29" t="e">
        <f t="shared" ref="F501:F532" si="52">TRUNC(E501*C501,0)</f>
        <v>#REF!</v>
      </c>
      <c r="G501" s="29" t="e">
        <f>일위대가목록!#REF!</f>
        <v>#REF!</v>
      </c>
      <c r="H501" s="29" t="e">
        <f t="shared" ref="H501:H532" si="53">TRUNC(G501*C501,0)</f>
        <v>#REF!</v>
      </c>
      <c r="I501" s="29" t="e">
        <f>일위대가목록!#REF!</f>
        <v>#REF!</v>
      </c>
      <c r="J501" s="29" t="e">
        <f t="shared" ref="J501:J532" si="54">TRUNC(I501*C501,0)</f>
        <v>#REF!</v>
      </c>
      <c r="K501" s="29" t="e">
        <f t="shared" si="48"/>
        <v>#REF!</v>
      </c>
      <c r="L501" s="29" t="e">
        <f t="shared" si="47"/>
        <v>#REF!</v>
      </c>
      <c r="M501" s="20" t="s">
        <v>6232</v>
      </c>
      <c r="N501" t="s">
        <v>6232</v>
      </c>
      <c r="P501" t="s">
        <v>3100</v>
      </c>
      <c r="Q501" t="s">
        <v>6232</v>
      </c>
      <c r="R501" t="s">
        <v>3137</v>
      </c>
      <c r="T501" t="s">
        <v>3860</v>
      </c>
      <c r="BI501" s="52" t="str">
        <f>HYPERLINK("#일위대가목록!A514","S024W50040 →")</f>
        <v>S024W50040 →</v>
      </c>
    </row>
    <row r="502" spans="1:61" ht="18.399999999999999" customHeight="1">
      <c r="A502" s="11" t="s">
        <v>863</v>
      </c>
      <c r="B502" s="2" t="s">
        <v>382</v>
      </c>
      <c r="C502" s="2">
        <v>1</v>
      </c>
      <c r="D502" s="2" t="s">
        <v>2289</v>
      </c>
      <c r="E502" s="29" t="e">
        <f>일위대가목록!#REF!</f>
        <v>#REF!</v>
      </c>
      <c r="F502" s="29" t="e">
        <f t="shared" si="52"/>
        <v>#REF!</v>
      </c>
      <c r="G502" s="29" t="e">
        <f>일위대가목록!#REF!</f>
        <v>#REF!</v>
      </c>
      <c r="H502" s="29" t="e">
        <f t="shared" si="53"/>
        <v>#REF!</v>
      </c>
      <c r="I502" s="29" t="e">
        <f>일위대가목록!#REF!</f>
        <v>#REF!</v>
      </c>
      <c r="J502" s="29" t="e">
        <f t="shared" si="54"/>
        <v>#REF!</v>
      </c>
      <c r="K502" s="29" t="e">
        <f t="shared" si="48"/>
        <v>#REF!</v>
      </c>
      <c r="L502" s="29" t="e">
        <f t="shared" si="47"/>
        <v>#REF!</v>
      </c>
      <c r="M502" s="20" t="s">
        <v>6232</v>
      </c>
      <c r="N502" t="s">
        <v>6232</v>
      </c>
      <c r="P502" t="s">
        <v>4651</v>
      </c>
      <c r="Q502" t="s">
        <v>6232</v>
      </c>
      <c r="R502" t="s">
        <v>2679</v>
      </c>
      <c r="T502" t="s">
        <v>3860</v>
      </c>
      <c r="BI502" s="52" t="str">
        <f>HYPERLINK("#일위대가목록!A515","S024W50080YA →")</f>
        <v>S024W50080YA →</v>
      </c>
    </row>
    <row r="503" spans="1:61" ht="18.399999999999999" customHeight="1">
      <c r="A503" s="11" t="s">
        <v>863</v>
      </c>
      <c r="B503" s="2" t="s">
        <v>4524</v>
      </c>
      <c r="C503" s="2">
        <v>1</v>
      </c>
      <c r="D503" s="2" t="s">
        <v>2289</v>
      </c>
      <c r="E503" s="29" t="e">
        <f>일위대가목록!#REF!</f>
        <v>#REF!</v>
      </c>
      <c r="F503" s="29" t="e">
        <f t="shared" si="52"/>
        <v>#REF!</v>
      </c>
      <c r="G503" s="29" t="e">
        <f>일위대가목록!#REF!</f>
        <v>#REF!</v>
      </c>
      <c r="H503" s="29" t="e">
        <f t="shared" si="53"/>
        <v>#REF!</v>
      </c>
      <c r="I503" s="29" t="e">
        <f>일위대가목록!#REF!</f>
        <v>#REF!</v>
      </c>
      <c r="J503" s="29" t="e">
        <f t="shared" si="54"/>
        <v>#REF!</v>
      </c>
      <c r="K503" s="29" t="e">
        <f t="shared" si="48"/>
        <v>#REF!</v>
      </c>
      <c r="L503" s="29" t="e">
        <f t="shared" si="47"/>
        <v>#REF!</v>
      </c>
      <c r="M503" s="20" t="s">
        <v>6232</v>
      </c>
      <c r="N503" t="s">
        <v>6232</v>
      </c>
      <c r="P503" t="s">
        <v>175</v>
      </c>
      <c r="Q503" t="s">
        <v>6232</v>
      </c>
      <c r="R503" t="s">
        <v>2209</v>
      </c>
      <c r="T503" t="s">
        <v>3860</v>
      </c>
      <c r="BI503" s="52" t="str">
        <f>HYPERLINK("#일위대가목록!A516","S024W50060YA →")</f>
        <v>S024W50060YA →</v>
      </c>
    </row>
    <row r="504" spans="1:61" ht="18.399999999999999" customHeight="1">
      <c r="A504" s="11" t="s">
        <v>863</v>
      </c>
      <c r="B504" s="2" t="s">
        <v>5250</v>
      </c>
      <c r="C504" s="2">
        <v>1</v>
      </c>
      <c r="D504" s="2" t="s">
        <v>2289</v>
      </c>
      <c r="E504" s="29" t="e">
        <f>일위대가목록!#REF!</f>
        <v>#REF!</v>
      </c>
      <c r="F504" s="29" t="e">
        <f t="shared" si="52"/>
        <v>#REF!</v>
      </c>
      <c r="G504" s="29" t="e">
        <f>일위대가목록!#REF!</f>
        <v>#REF!</v>
      </c>
      <c r="H504" s="29" t="e">
        <f t="shared" si="53"/>
        <v>#REF!</v>
      </c>
      <c r="I504" s="29" t="e">
        <f>일위대가목록!#REF!</f>
        <v>#REF!</v>
      </c>
      <c r="J504" s="29" t="e">
        <f t="shared" si="54"/>
        <v>#REF!</v>
      </c>
      <c r="K504" s="29" t="e">
        <f t="shared" si="48"/>
        <v>#REF!</v>
      </c>
      <c r="L504" s="29" t="e">
        <f t="shared" si="47"/>
        <v>#REF!</v>
      </c>
      <c r="M504" s="20" t="s">
        <v>6232</v>
      </c>
      <c r="N504" t="s">
        <v>6232</v>
      </c>
      <c r="P504" t="s">
        <v>1682</v>
      </c>
      <c r="Q504" t="s">
        <v>6232</v>
      </c>
      <c r="R504" t="s">
        <v>5234</v>
      </c>
      <c r="T504" t="s">
        <v>3860</v>
      </c>
      <c r="BI504" s="52" t="str">
        <f>HYPERLINK("#일위대가목록!A517","S024W50040YA →")</f>
        <v>S024W50040YA →</v>
      </c>
    </row>
    <row r="505" spans="1:61" ht="18.399999999999999" customHeight="1">
      <c r="A505" s="11" t="s">
        <v>2843</v>
      </c>
      <c r="B505" s="2" t="s">
        <v>6210</v>
      </c>
      <c r="C505" s="2">
        <v>1</v>
      </c>
      <c r="D505" s="2" t="s">
        <v>2289</v>
      </c>
      <c r="E505" s="29" t="e">
        <f>일위대가목록!#REF!</f>
        <v>#REF!</v>
      </c>
      <c r="F505" s="29" t="e">
        <f t="shared" si="52"/>
        <v>#REF!</v>
      </c>
      <c r="G505" s="29" t="e">
        <f>일위대가목록!#REF!</f>
        <v>#REF!</v>
      </c>
      <c r="H505" s="29" t="e">
        <f t="shared" si="53"/>
        <v>#REF!</v>
      </c>
      <c r="I505" s="29" t="e">
        <f>일위대가목록!#REF!</f>
        <v>#REF!</v>
      </c>
      <c r="J505" s="29" t="e">
        <f t="shared" si="54"/>
        <v>#REF!</v>
      </c>
      <c r="K505" s="29" t="e">
        <f t="shared" si="48"/>
        <v>#REF!</v>
      </c>
      <c r="L505" s="29" t="e">
        <f t="shared" si="47"/>
        <v>#REF!</v>
      </c>
      <c r="M505" s="20" t="s">
        <v>6232</v>
      </c>
      <c r="N505" t="s">
        <v>6232</v>
      </c>
      <c r="P505" t="s">
        <v>3222</v>
      </c>
      <c r="Q505" t="s">
        <v>6232</v>
      </c>
      <c r="R505" t="s">
        <v>278</v>
      </c>
      <c r="T505" t="s">
        <v>3860</v>
      </c>
      <c r="BI505" s="52" t="str">
        <f>HYPERLINK("#일위대가목록!A518","S024W45080 →")</f>
        <v>S024W45080 →</v>
      </c>
    </row>
    <row r="506" spans="1:61" ht="18.399999999999999" customHeight="1">
      <c r="A506" s="11" t="s">
        <v>2843</v>
      </c>
      <c r="B506" s="2" t="s">
        <v>2030</v>
      </c>
      <c r="C506" s="2">
        <v>1</v>
      </c>
      <c r="D506" s="2" t="s">
        <v>2289</v>
      </c>
      <c r="E506" s="29" t="e">
        <f>일위대가목록!#REF!</f>
        <v>#REF!</v>
      </c>
      <c r="F506" s="29" t="e">
        <f t="shared" si="52"/>
        <v>#REF!</v>
      </c>
      <c r="G506" s="29" t="e">
        <f>일위대가목록!#REF!</f>
        <v>#REF!</v>
      </c>
      <c r="H506" s="29" t="e">
        <f t="shared" si="53"/>
        <v>#REF!</v>
      </c>
      <c r="I506" s="29" t="e">
        <f>일위대가목록!#REF!</f>
        <v>#REF!</v>
      </c>
      <c r="J506" s="29" t="e">
        <f t="shared" si="54"/>
        <v>#REF!</v>
      </c>
      <c r="K506" s="29" t="e">
        <f t="shared" si="48"/>
        <v>#REF!</v>
      </c>
      <c r="L506" s="29" t="e">
        <f t="shared" si="47"/>
        <v>#REF!</v>
      </c>
      <c r="M506" s="20" t="s">
        <v>6232</v>
      </c>
      <c r="N506" t="s">
        <v>6232</v>
      </c>
      <c r="P506" t="s">
        <v>4780</v>
      </c>
      <c r="Q506" t="s">
        <v>6232</v>
      </c>
      <c r="R506" t="s">
        <v>3143</v>
      </c>
      <c r="T506" t="s">
        <v>3860</v>
      </c>
      <c r="BI506" s="52" t="str">
        <f>HYPERLINK("#일위대가목록!A519","S024W45060 →")</f>
        <v>S024W45060 →</v>
      </c>
    </row>
    <row r="507" spans="1:61" ht="18.399999999999999" customHeight="1">
      <c r="A507" s="11" t="s">
        <v>2843</v>
      </c>
      <c r="B507" s="2" t="s">
        <v>1330</v>
      </c>
      <c r="C507" s="2">
        <v>1</v>
      </c>
      <c r="D507" s="2" t="s">
        <v>2289</v>
      </c>
      <c r="E507" s="29" t="e">
        <f>일위대가목록!#REF!</f>
        <v>#REF!</v>
      </c>
      <c r="F507" s="29" t="e">
        <f t="shared" si="52"/>
        <v>#REF!</v>
      </c>
      <c r="G507" s="29" t="e">
        <f>일위대가목록!#REF!</f>
        <v>#REF!</v>
      </c>
      <c r="H507" s="29" t="e">
        <f t="shared" si="53"/>
        <v>#REF!</v>
      </c>
      <c r="I507" s="29" t="e">
        <f>일위대가목록!#REF!</f>
        <v>#REF!</v>
      </c>
      <c r="J507" s="29" t="e">
        <f t="shared" si="54"/>
        <v>#REF!</v>
      </c>
      <c r="K507" s="29" t="e">
        <f t="shared" si="48"/>
        <v>#REF!</v>
      </c>
      <c r="L507" s="29" t="e">
        <f t="shared" si="47"/>
        <v>#REF!</v>
      </c>
      <c r="M507" s="20" t="s">
        <v>6232</v>
      </c>
      <c r="N507" t="s">
        <v>6232</v>
      </c>
      <c r="P507" t="s">
        <v>258</v>
      </c>
      <c r="Q507" t="s">
        <v>6232</v>
      </c>
      <c r="R507" t="s">
        <v>16</v>
      </c>
      <c r="T507" t="s">
        <v>3860</v>
      </c>
      <c r="BI507" s="52" t="str">
        <f>HYPERLINK("#일위대가목록!A520","S024W45040 →")</f>
        <v>S024W45040 →</v>
      </c>
    </row>
    <row r="508" spans="1:61" ht="18.399999999999999" customHeight="1">
      <c r="A508" s="11" t="s">
        <v>863</v>
      </c>
      <c r="B508" s="2" t="s">
        <v>6210</v>
      </c>
      <c r="C508" s="2">
        <v>1</v>
      </c>
      <c r="D508" s="2" t="s">
        <v>2289</v>
      </c>
      <c r="E508" s="29" t="e">
        <f>일위대가목록!#REF!</f>
        <v>#REF!</v>
      </c>
      <c r="F508" s="29" t="e">
        <f t="shared" si="52"/>
        <v>#REF!</v>
      </c>
      <c r="G508" s="29" t="e">
        <f>일위대가목록!#REF!</f>
        <v>#REF!</v>
      </c>
      <c r="H508" s="29" t="e">
        <f t="shared" si="53"/>
        <v>#REF!</v>
      </c>
      <c r="I508" s="29" t="e">
        <f>일위대가목록!#REF!</f>
        <v>#REF!</v>
      </c>
      <c r="J508" s="29" t="e">
        <f t="shared" si="54"/>
        <v>#REF!</v>
      </c>
      <c r="K508" s="29" t="e">
        <f t="shared" si="48"/>
        <v>#REF!</v>
      </c>
      <c r="L508" s="29" t="e">
        <f t="shared" si="47"/>
        <v>#REF!</v>
      </c>
      <c r="M508" s="20" t="s">
        <v>6232</v>
      </c>
      <c r="N508" t="s">
        <v>6232</v>
      </c>
      <c r="P508" t="s">
        <v>1783</v>
      </c>
      <c r="Q508" t="s">
        <v>6232</v>
      </c>
      <c r="R508" t="s">
        <v>2521</v>
      </c>
      <c r="T508" t="s">
        <v>3860</v>
      </c>
      <c r="BI508" s="52" t="str">
        <f>HYPERLINK("#일위대가목록!A521","S024W45080YA →")</f>
        <v>S024W45080YA →</v>
      </c>
    </row>
    <row r="509" spans="1:61" ht="18.399999999999999" customHeight="1">
      <c r="A509" s="11" t="s">
        <v>863</v>
      </c>
      <c r="B509" s="2" t="s">
        <v>2030</v>
      </c>
      <c r="C509" s="2">
        <v>1</v>
      </c>
      <c r="D509" s="2" t="s">
        <v>2289</v>
      </c>
      <c r="E509" s="29" t="e">
        <f>일위대가목록!#REF!</f>
        <v>#REF!</v>
      </c>
      <c r="F509" s="29" t="e">
        <f t="shared" si="52"/>
        <v>#REF!</v>
      </c>
      <c r="G509" s="29" t="e">
        <f>일위대가목록!#REF!</f>
        <v>#REF!</v>
      </c>
      <c r="H509" s="29" t="e">
        <f t="shared" si="53"/>
        <v>#REF!</v>
      </c>
      <c r="I509" s="29" t="e">
        <f>일위대가목록!#REF!</f>
        <v>#REF!</v>
      </c>
      <c r="J509" s="29" t="e">
        <f t="shared" si="54"/>
        <v>#REF!</v>
      </c>
      <c r="K509" s="29" t="e">
        <f t="shared" si="48"/>
        <v>#REF!</v>
      </c>
      <c r="L509" s="29" t="e">
        <f t="shared" si="47"/>
        <v>#REF!</v>
      </c>
      <c r="M509" s="20" t="s">
        <v>6232</v>
      </c>
      <c r="N509" t="s">
        <v>6232</v>
      </c>
      <c r="P509" t="s">
        <v>2172</v>
      </c>
      <c r="Q509" t="s">
        <v>6232</v>
      </c>
      <c r="R509" t="s">
        <v>2200</v>
      </c>
      <c r="T509" t="s">
        <v>3860</v>
      </c>
      <c r="BI509" s="52" t="str">
        <f>HYPERLINK("#일위대가목록!A522","S024W45060YA →")</f>
        <v>S024W45060YA →</v>
      </c>
    </row>
    <row r="510" spans="1:61" ht="18.399999999999999" customHeight="1">
      <c r="A510" s="11" t="s">
        <v>863</v>
      </c>
      <c r="B510" s="2" t="s">
        <v>1330</v>
      </c>
      <c r="C510" s="2">
        <v>1</v>
      </c>
      <c r="D510" s="2" t="s">
        <v>2289</v>
      </c>
      <c r="E510" s="29" t="e">
        <f>일위대가목록!#REF!</f>
        <v>#REF!</v>
      </c>
      <c r="F510" s="29" t="e">
        <f t="shared" si="52"/>
        <v>#REF!</v>
      </c>
      <c r="G510" s="29" t="e">
        <f>일위대가목록!#REF!</f>
        <v>#REF!</v>
      </c>
      <c r="H510" s="29" t="e">
        <f t="shared" si="53"/>
        <v>#REF!</v>
      </c>
      <c r="I510" s="29" t="e">
        <f>일위대가목록!#REF!</f>
        <v>#REF!</v>
      </c>
      <c r="J510" s="29" t="e">
        <f t="shared" si="54"/>
        <v>#REF!</v>
      </c>
      <c r="K510" s="29" t="e">
        <f t="shared" si="48"/>
        <v>#REF!</v>
      </c>
      <c r="L510" s="29" t="e">
        <f t="shared" si="47"/>
        <v>#REF!</v>
      </c>
      <c r="M510" s="20" t="s">
        <v>6232</v>
      </c>
      <c r="N510" t="s">
        <v>6232</v>
      </c>
      <c r="P510" t="s">
        <v>670</v>
      </c>
      <c r="Q510" t="s">
        <v>6232</v>
      </c>
      <c r="R510" t="s">
        <v>5043</v>
      </c>
      <c r="T510" t="s">
        <v>3860</v>
      </c>
      <c r="BI510" s="52" t="str">
        <f>HYPERLINK("#일위대가목록!A523","S024W45040YA →")</f>
        <v>S024W45040YA →</v>
      </c>
    </row>
    <row r="511" spans="1:61" ht="18.399999999999999" customHeight="1">
      <c r="A511" s="11" t="s">
        <v>2843</v>
      </c>
      <c r="B511" s="2" t="s">
        <v>3270</v>
      </c>
      <c r="C511" s="2">
        <v>1</v>
      </c>
      <c r="D511" s="2" t="s">
        <v>2289</v>
      </c>
      <c r="E511" s="29" t="e">
        <f>일위대가목록!#REF!</f>
        <v>#REF!</v>
      </c>
      <c r="F511" s="29" t="e">
        <f t="shared" si="52"/>
        <v>#REF!</v>
      </c>
      <c r="G511" s="29" t="e">
        <f>일위대가목록!#REF!</f>
        <v>#REF!</v>
      </c>
      <c r="H511" s="29" t="e">
        <f t="shared" si="53"/>
        <v>#REF!</v>
      </c>
      <c r="I511" s="29" t="e">
        <f>일위대가목록!#REF!</f>
        <v>#REF!</v>
      </c>
      <c r="J511" s="29" t="e">
        <f t="shared" si="54"/>
        <v>#REF!</v>
      </c>
      <c r="K511" s="29" t="e">
        <f t="shared" si="48"/>
        <v>#REF!</v>
      </c>
      <c r="L511" s="29" t="e">
        <f t="shared" si="47"/>
        <v>#REF!</v>
      </c>
      <c r="M511" s="20" t="s">
        <v>6232</v>
      </c>
      <c r="N511" t="s">
        <v>6232</v>
      </c>
      <c r="P511" t="s">
        <v>5251</v>
      </c>
      <c r="Q511" t="s">
        <v>6232</v>
      </c>
      <c r="R511" t="s">
        <v>1481</v>
      </c>
      <c r="T511" t="s">
        <v>3860</v>
      </c>
      <c r="BI511" s="52" t="str">
        <f>HYPERLINK("#일위대가목록!A524","S024W40080 →")</f>
        <v>S024W40080 →</v>
      </c>
    </row>
    <row r="512" spans="1:61" ht="18.399999999999999" customHeight="1">
      <c r="A512" s="11" t="s">
        <v>2843</v>
      </c>
      <c r="B512" s="2" t="s">
        <v>1056</v>
      </c>
      <c r="C512" s="2">
        <v>1</v>
      </c>
      <c r="D512" s="2" t="s">
        <v>2289</v>
      </c>
      <c r="E512" s="29" t="e">
        <f>일위대가목록!#REF!</f>
        <v>#REF!</v>
      </c>
      <c r="F512" s="29" t="e">
        <f t="shared" si="52"/>
        <v>#REF!</v>
      </c>
      <c r="G512" s="29" t="e">
        <f>일위대가목록!#REF!</f>
        <v>#REF!</v>
      </c>
      <c r="H512" s="29" t="e">
        <f t="shared" si="53"/>
        <v>#REF!</v>
      </c>
      <c r="I512" s="29" t="e">
        <f>일위대가목록!#REF!</f>
        <v>#REF!</v>
      </c>
      <c r="J512" s="29" t="e">
        <f t="shared" si="54"/>
        <v>#REF!</v>
      </c>
      <c r="K512" s="29" t="e">
        <f t="shared" si="48"/>
        <v>#REF!</v>
      </c>
      <c r="L512" s="29" t="e">
        <f t="shared" si="47"/>
        <v>#REF!</v>
      </c>
      <c r="M512" s="20" t="s">
        <v>6232</v>
      </c>
      <c r="N512" t="s">
        <v>6232</v>
      </c>
      <c r="P512" t="s">
        <v>3733</v>
      </c>
      <c r="Q512" t="s">
        <v>6232</v>
      </c>
      <c r="R512" t="s">
        <v>4278</v>
      </c>
      <c r="T512" t="s">
        <v>3860</v>
      </c>
      <c r="BI512" s="52" t="str">
        <f>HYPERLINK("#일위대가목록!A525","S024W40060 →")</f>
        <v>S024W40060 →</v>
      </c>
    </row>
    <row r="513" spans="1:61" ht="18.399999999999999" customHeight="1">
      <c r="A513" s="11" t="s">
        <v>2843</v>
      </c>
      <c r="B513" s="2" t="s">
        <v>1887</v>
      </c>
      <c r="C513" s="2">
        <v>1</v>
      </c>
      <c r="D513" s="2" t="s">
        <v>2289</v>
      </c>
      <c r="E513" s="29" t="e">
        <f>일위대가목록!#REF!</f>
        <v>#REF!</v>
      </c>
      <c r="F513" s="29" t="e">
        <f t="shared" si="52"/>
        <v>#REF!</v>
      </c>
      <c r="G513" s="29" t="e">
        <f>일위대가목록!#REF!</f>
        <v>#REF!</v>
      </c>
      <c r="H513" s="29" t="e">
        <f t="shared" si="53"/>
        <v>#REF!</v>
      </c>
      <c r="I513" s="29" t="e">
        <f>일위대가목록!#REF!</f>
        <v>#REF!</v>
      </c>
      <c r="J513" s="29" t="e">
        <f t="shared" si="54"/>
        <v>#REF!</v>
      </c>
      <c r="K513" s="29" t="e">
        <f t="shared" si="48"/>
        <v>#REF!</v>
      </c>
      <c r="L513" s="29" t="e">
        <f t="shared" si="47"/>
        <v>#REF!</v>
      </c>
      <c r="M513" s="20" t="s">
        <v>6232</v>
      </c>
      <c r="N513" t="s">
        <v>6232</v>
      </c>
      <c r="P513" t="s">
        <v>2268</v>
      </c>
      <c r="Q513" t="s">
        <v>6232</v>
      </c>
      <c r="R513" t="s">
        <v>1197</v>
      </c>
      <c r="T513" t="s">
        <v>3860</v>
      </c>
      <c r="BI513" s="52" t="str">
        <f>HYPERLINK("#일위대가목록!A526","S024W40040 →")</f>
        <v>S024W40040 →</v>
      </c>
    </row>
    <row r="514" spans="1:61" ht="18.399999999999999" customHeight="1">
      <c r="A514" s="11" t="s">
        <v>863</v>
      </c>
      <c r="B514" s="2" t="s">
        <v>3270</v>
      </c>
      <c r="C514" s="2">
        <v>1</v>
      </c>
      <c r="D514" s="2" t="s">
        <v>2289</v>
      </c>
      <c r="E514" s="29" t="e">
        <f>일위대가목록!#REF!</f>
        <v>#REF!</v>
      </c>
      <c r="F514" s="29" t="e">
        <f t="shared" si="52"/>
        <v>#REF!</v>
      </c>
      <c r="G514" s="29" t="e">
        <f>일위대가목록!#REF!</f>
        <v>#REF!</v>
      </c>
      <c r="H514" s="29" t="e">
        <f t="shared" si="53"/>
        <v>#REF!</v>
      </c>
      <c r="I514" s="29" t="e">
        <f>일위대가목록!#REF!</f>
        <v>#REF!</v>
      </c>
      <c r="J514" s="29" t="e">
        <f t="shared" si="54"/>
        <v>#REF!</v>
      </c>
      <c r="K514" s="29" t="e">
        <f t="shared" si="48"/>
        <v>#REF!</v>
      </c>
      <c r="L514" s="29" t="e">
        <f t="shared" si="47"/>
        <v>#REF!</v>
      </c>
      <c r="M514" s="20" t="s">
        <v>6232</v>
      </c>
      <c r="N514" t="s">
        <v>6232</v>
      </c>
      <c r="P514" t="s">
        <v>752</v>
      </c>
      <c r="Q514" t="s">
        <v>6232</v>
      </c>
      <c r="R514" t="s">
        <v>5327</v>
      </c>
      <c r="T514" t="s">
        <v>3860</v>
      </c>
      <c r="BI514" s="52" t="str">
        <f>HYPERLINK("#일위대가목록!A527","S024W40080YA →")</f>
        <v>S024W40080YA →</v>
      </c>
    </row>
    <row r="515" spans="1:61" ht="18.399999999999999" customHeight="1">
      <c r="A515" s="11" t="s">
        <v>863</v>
      </c>
      <c r="B515" s="2" t="s">
        <v>1056</v>
      </c>
      <c r="C515" s="2">
        <v>1</v>
      </c>
      <c r="D515" s="2" t="s">
        <v>2289</v>
      </c>
      <c r="E515" s="29" t="e">
        <f>일위대가목록!#REF!</f>
        <v>#REF!</v>
      </c>
      <c r="F515" s="29" t="e">
        <f t="shared" si="52"/>
        <v>#REF!</v>
      </c>
      <c r="G515" s="29" t="e">
        <f>일위대가목록!#REF!</f>
        <v>#REF!</v>
      </c>
      <c r="H515" s="29" t="e">
        <f t="shared" si="53"/>
        <v>#REF!</v>
      </c>
      <c r="I515" s="29" t="e">
        <f>일위대가목록!#REF!</f>
        <v>#REF!</v>
      </c>
      <c r="J515" s="29" t="e">
        <f t="shared" si="54"/>
        <v>#REF!</v>
      </c>
      <c r="K515" s="29" t="e">
        <f t="shared" si="48"/>
        <v>#REF!</v>
      </c>
      <c r="L515" s="29" t="e">
        <f t="shared" si="47"/>
        <v>#REF!</v>
      </c>
      <c r="M515" s="20" t="s">
        <v>6232</v>
      </c>
      <c r="N515" t="s">
        <v>6232</v>
      </c>
      <c r="P515" t="s">
        <v>5348</v>
      </c>
      <c r="Q515" t="s">
        <v>6232</v>
      </c>
      <c r="R515" t="s">
        <v>5647</v>
      </c>
      <c r="T515" t="s">
        <v>3860</v>
      </c>
      <c r="BI515" s="52" t="str">
        <f>HYPERLINK("#일위대가목록!A528","S024W40060YA →")</f>
        <v>S024W40060YA →</v>
      </c>
    </row>
    <row r="516" spans="1:61" ht="18.399999999999999" customHeight="1">
      <c r="A516" s="11" t="s">
        <v>863</v>
      </c>
      <c r="B516" s="2" t="s">
        <v>1887</v>
      </c>
      <c r="C516" s="2">
        <v>1</v>
      </c>
      <c r="D516" s="2" t="s">
        <v>2289</v>
      </c>
      <c r="E516" s="29" t="e">
        <f>일위대가목록!#REF!</f>
        <v>#REF!</v>
      </c>
      <c r="F516" s="29" t="e">
        <f t="shared" si="52"/>
        <v>#REF!</v>
      </c>
      <c r="G516" s="29" t="e">
        <f>일위대가목록!#REF!</f>
        <v>#REF!</v>
      </c>
      <c r="H516" s="29" t="e">
        <f t="shared" si="53"/>
        <v>#REF!</v>
      </c>
      <c r="I516" s="29" t="e">
        <f>일위대가목록!#REF!</f>
        <v>#REF!</v>
      </c>
      <c r="J516" s="29" t="e">
        <f t="shared" si="54"/>
        <v>#REF!</v>
      </c>
      <c r="K516" s="29" t="e">
        <f t="shared" si="48"/>
        <v>#REF!</v>
      </c>
      <c r="L516" s="29" t="e">
        <f t="shared" si="47"/>
        <v>#REF!</v>
      </c>
      <c r="M516" s="20" t="s">
        <v>6232</v>
      </c>
      <c r="N516" t="s">
        <v>6232</v>
      </c>
      <c r="P516" t="s">
        <v>3805</v>
      </c>
      <c r="Q516" t="s">
        <v>6232</v>
      </c>
      <c r="R516" t="s">
        <v>2406</v>
      </c>
      <c r="T516" t="s">
        <v>3860</v>
      </c>
      <c r="BI516" s="52" t="str">
        <f>HYPERLINK("#일위대가목록!A529","S024W40040YA →")</f>
        <v>S024W40040YA →</v>
      </c>
    </row>
    <row r="517" spans="1:61" ht="18.399999999999999" customHeight="1">
      <c r="A517" s="11" t="s">
        <v>2843</v>
      </c>
      <c r="B517" s="2" t="s">
        <v>5272</v>
      </c>
      <c r="C517" s="2">
        <v>1</v>
      </c>
      <c r="D517" s="2" t="s">
        <v>2289</v>
      </c>
      <c r="E517" s="29" t="e">
        <f>일위대가목록!#REF!</f>
        <v>#REF!</v>
      </c>
      <c r="F517" s="29" t="e">
        <f t="shared" si="52"/>
        <v>#REF!</v>
      </c>
      <c r="G517" s="29" t="e">
        <f>일위대가목록!#REF!</f>
        <v>#REF!</v>
      </c>
      <c r="H517" s="29" t="e">
        <f t="shared" si="53"/>
        <v>#REF!</v>
      </c>
      <c r="I517" s="29" t="e">
        <f>일위대가목록!#REF!</f>
        <v>#REF!</v>
      </c>
      <c r="J517" s="29" t="e">
        <f t="shared" si="54"/>
        <v>#REF!</v>
      </c>
      <c r="K517" s="29" t="e">
        <f t="shared" si="48"/>
        <v>#REF!</v>
      </c>
      <c r="L517" s="29" t="e">
        <f t="shared" si="47"/>
        <v>#REF!</v>
      </c>
      <c r="M517" s="20" t="s">
        <v>6232</v>
      </c>
      <c r="N517" t="s">
        <v>6232</v>
      </c>
      <c r="P517" t="s">
        <v>1964</v>
      </c>
      <c r="Q517" t="s">
        <v>6232</v>
      </c>
      <c r="R517" t="s">
        <v>674</v>
      </c>
      <c r="T517" t="s">
        <v>3860</v>
      </c>
      <c r="BI517" s="52" t="str">
        <f>HYPERLINK("#일위대가목록!A530","S024W35080 →")</f>
        <v>S024W35080 →</v>
      </c>
    </row>
    <row r="518" spans="1:61" ht="18.399999999999999" customHeight="1">
      <c r="A518" s="11" t="s">
        <v>2843</v>
      </c>
      <c r="B518" s="2" t="s">
        <v>2752</v>
      </c>
      <c r="C518" s="2">
        <v>1</v>
      </c>
      <c r="D518" s="2" t="s">
        <v>2289</v>
      </c>
      <c r="E518" s="29" t="e">
        <f>일위대가목록!#REF!</f>
        <v>#REF!</v>
      </c>
      <c r="F518" s="29" t="e">
        <f t="shared" si="52"/>
        <v>#REF!</v>
      </c>
      <c r="G518" s="29" t="e">
        <f>일위대가목록!#REF!</f>
        <v>#REF!</v>
      </c>
      <c r="H518" s="29" t="e">
        <f t="shared" si="53"/>
        <v>#REF!</v>
      </c>
      <c r="I518" s="29" t="e">
        <f>일위대가목록!#REF!</f>
        <v>#REF!</v>
      </c>
      <c r="J518" s="29" t="e">
        <f t="shared" si="54"/>
        <v>#REF!</v>
      </c>
      <c r="K518" s="29" t="e">
        <f t="shared" si="48"/>
        <v>#REF!</v>
      </c>
      <c r="L518" s="29" t="e">
        <f t="shared" si="47"/>
        <v>#REF!</v>
      </c>
      <c r="M518" s="20" t="s">
        <v>6232</v>
      </c>
      <c r="N518" t="s">
        <v>6232</v>
      </c>
      <c r="P518" t="s">
        <v>463</v>
      </c>
      <c r="Q518" t="s">
        <v>6232</v>
      </c>
      <c r="R518" t="s">
        <v>3513</v>
      </c>
      <c r="T518" t="s">
        <v>3860</v>
      </c>
      <c r="BI518" s="52" t="str">
        <f>HYPERLINK("#일위대가목록!A531","S024W35060 →")</f>
        <v>S024W35060 →</v>
      </c>
    </row>
    <row r="519" spans="1:61" ht="18.399999999999999" customHeight="1">
      <c r="A519" s="11" t="s">
        <v>2843</v>
      </c>
      <c r="B519" s="2" t="s">
        <v>417</v>
      </c>
      <c r="C519" s="2">
        <v>1</v>
      </c>
      <c r="D519" s="2" t="s">
        <v>2289</v>
      </c>
      <c r="E519" s="29" t="e">
        <f>일위대가목록!#REF!</f>
        <v>#REF!</v>
      </c>
      <c r="F519" s="29" t="e">
        <f t="shared" si="52"/>
        <v>#REF!</v>
      </c>
      <c r="G519" s="29" t="e">
        <f>일위대가목록!#REF!</f>
        <v>#REF!</v>
      </c>
      <c r="H519" s="29" t="e">
        <f t="shared" si="53"/>
        <v>#REF!</v>
      </c>
      <c r="I519" s="29" t="e">
        <f>일위대가목록!#REF!</f>
        <v>#REF!</v>
      </c>
      <c r="J519" s="29" t="e">
        <f t="shared" si="54"/>
        <v>#REF!</v>
      </c>
      <c r="K519" s="29" t="e">
        <f t="shared" si="48"/>
        <v>#REF!</v>
      </c>
      <c r="L519" s="29" t="e">
        <f t="shared" si="47"/>
        <v>#REF!</v>
      </c>
      <c r="M519" s="20" t="s">
        <v>6232</v>
      </c>
      <c r="N519" t="s">
        <v>6232</v>
      </c>
      <c r="P519" t="s">
        <v>2648</v>
      </c>
      <c r="Q519" t="s">
        <v>6232</v>
      </c>
      <c r="R519" t="s">
        <v>379</v>
      </c>
      <c r="T519" t="s">
        <v>3860</v>
      </c>
      <c r="BI519" s="52" t="str">
        <f>HYPERLINK("#일위대가목록!A532","S024W35040 →")</f>
        <v>S024W35040 →</v>
      </c>
    </row>
    <row r="520" spans="1:61" ht="18.399999999999999" customHeight="1">
      <c r="A520" s="11" t="s">
        <v>863</v>
      </c>
      <c r="B520" s="2" t="s">
        <v>5272</v>
      </c>
      <c r="C520" s="2">
        <v>1</v>
      </c>
      <c r="D520" s="2" t="s">
        <v>2289</v>
      </c>
      <c r="E520" s="29" t="e">
        <f>일위대가목록!#REF!</f>
        <v>#REF!</v>
      </c>
      <c r="F520" s="29" t="e">
        <f t="shared" si="52"/>
        <v>#REF!</v>
      </c>
      <c r="G520" s="29" t="e">
        <f>일위대가목록!#REF!</f>
        <v>#REF!</v>
      </c>
      <c r="H520" s="29" t="e">
        <f t="shared" si="53"/>
        <v>#REF!</v>
      </c>
      <c r="I520" s="29" t="e">
        <f>일위대가목록!#REF!</f>
        <v>#REF!</v>
      </c>
      <c r="J520" s="29" t="e">
        <f t="shared" si="54"/>
        <v>#REF!</v>
      </c>
      <c r="K520" s="29" t="e">
        <f t="shared" si="48"/>
        <v>#REF!</v>
      </c>
      <c r="L520" s="29" t="e">
        <f t="shared" si="47"/>
        <v>#REF!</v>
      </c>
      <c r="M520" s="20" t="s">
        <v>6232</v>
      </c>
      <c r="N520" t="s">
        <v>6232</v>
      </c>
      <c r="P520" t="s">
        <v>1062</v>
      </c>
      <c r="Q520" t="s">
        <v>6232</v>
      </c>
      <c r="R520" t="s">
        <v>5613</v>
      </c>
      <c r="T520" t="s">
        <v>3860</v>
      </c>
      <c r="BI520" s="52" t="str">
        <f>HYPERLINK("#일위대가목록!A533","S024W35080YA →")</f>
        <v>S024W35080YA →</v>
      </c>
    </row>
    <row r="521" spans="1:61" ht="18.399999999999999" customHeight="1">
      <c r="A521" s="11" t="s">
        <v>863</v>
      </c>
      <c r="B521" s="2" t="s">
        <v>2752</v>
      </c>
      <c r="C521" s="2">
        <v>1</v>
      </c>
      <c r="D521" s="2" t="s">
        <v>2289</v>
      </c>
      <c r="E521" s="29" t="e">
        <f>일위대가목록!#REF!</f>
        <v>#REF!</v>
      </c>
      <c r="F521" s="29" t="e">
        <f t="shared" si="52"/>
        <v>#REF!</v>
      </c>
      <c r="G521" s="29" t="e">
        <f>일위대가목록!#REF!</f>
        <v>#REF!</v>
      </c>
      <c r="H521" s="29" t="e">
        <f t="shared" si="53"/>
        <v>#REF!</v>
      </c>
      <c r="I521" s="29" t="e">
        <f>일위대가목록!#REF!</f>
        <v>#REF!</v>
      </c>
      <c r="J521" s="29" t="e">
        <f t="shared" si="54"/>
        <v>#REF!</v>
      </c>
      <c r="K521" s="29" t="e">
        <f t="shared" si="48"/>
        <v>#REF!</v>
      </c>
      <c r="L521" s="29" t="e">
        <f t="shared" ref="L521:L584" si="55">F521+H521+J521</f>
        <v>#REF!</v>
      </c>
      <c r="M521" s="20" t="s">
        <v>6232</v>
      </c>
      <c r="N521" t="s">
        <v>6232</v>
      </c>
      <c r="P521" t="s">
        <v>5820</v>
      </c>
      <c r="Q521" t="s">
        <v>6232</v>
      </c>
      <c r="R521" t="s">
        <v>5180</v>
      </c>
      <c r="T521" t="s">
        <v>3860</v>
      </c>
      <c r="BI521" s="52" t="str">
        <f>HYPERLINK("#일위대가목록!A534","S024W35060YA →")</f>
        <v>S024W35060YA →</v>
      </c>
    </row>
    <row r="522" spans="1:61" ht="18.399999999999999" customHeight="1">
      <c r="A522" s="11" t="s">
        <v>863</v>
      </c>
      <c r="B522" s="2" t="s">
        <v>417</v>
      </c>
      <c r="C522" s="2">
        <v>1</v>
      </c>
      <c r="D522" s="2" t="s">
        <v>2289</v>
      </c>
      <c r="E522" s="29" t="e">
        <f>일위대가목록!#REF!</f>
        <v>#REF!</v>
      </c>
      <c r="F522" s="29" t="e">
        <f t="shared" si="52"/>
        <v>#REF!</v>
      </c>
      <c r="G522" s="29" t="e">
        <f>일위대가목록!#REF!</f>
        <v>#REF!</v>
      </c>
      <c r="H522" s="29" t="e">
        <f t="shared" si="53"/>
        <v>#REF!</v>
      </c>
      <c r="I522" s="29" t="e">
        <f>일위대가목록!#REF!</f>
        <v>#REF!</v>
      </c>
      <c r="J522" s="29" t="e">
        <f t="shared" si="54"/>
        <v>#REF!</v>
      </c>
      <c r="K522" s="29" t="e">
        <f t="shared" ref="K522:K585" si="56">E522+G522+I522</f>
        <v>#REF!</v>
      </c>
      <c r="L522" s="29" t="e">
        <f t="shared" si="55"/>
        <v>#REF!</v>
      </c>
      <c r="M522" s="20" t="s">
        <v>6232</v>
      </c>
      <c r="N522" t="s">
        <v>6232</v>
      </c>
      <c r="P522" t="s">
        <v>4243</v>
      </c>
      <c r="Q522" t="s">
        <v>6232</v>
      </c>
      <c r="R522" t="s">
        <v>2271</v>
      </c>
      <c r="T522" t="s">
        <v>3860</v>
      </c>
      <c r="BI522" s="52" t="str">
        <f>HYPERLINK("#일위대가목록!A535","S024W35040YA →")</f>
        <v>S024W35040YA →</v>
      </c>
    </row>
    <row r="523" spans="1:61" ht="18.399999999999999" customHeight="1">
      <c r="A523" s="11" t="s">
        <v>2843</v>
      </c>
      <c r="B523" s="2" t="s">
        <v>3920</v>
      </c>
      <c r="C523" s="2">
        <v>1</v>
      </c>
      <c r="D523" s="2" t="s">
        <v>2289</v>
      </c>
      <c r="E523" s="29" t="e">
        <f>일위대가목록!#REF!</f>
        <v>#REF!</v>
      </c>
      <c r="F523" s="29" t="e">
        <f t="shared" si="52"/>
        <v>#REF!</v>
      </c>
      <c r="G523" s="29" t="e">
        <f>일위대가목록!#REF!</f>
        <v>#REF!</v>
      </c>
      <c r="H523" s="29" t="e">
        <f t="shared" si="53"/>
        <v>#REF!</v>
      </c>
      <c r="I523" s="29" t="e">
        <f>일위대가목록!#REF!</f>
        <v>#REF!</v>
      </c>
      <c r="J523" s="29" t="e">
        <f t="shared" si="54"/>
        <v>#REF!</v>
      </c>
      <c r="K523" s="29" t="e">
        <f t="shared" si="56"/>
        <v>#REF!</v>
      </c>
      <c r="L523" s="29" t="e">
        <f t="shared" si="55"/>
        <v>#REF!</v>
      </c>
      <c r="M523" s="20" t="s">
        <v>6232</v>
      </c>
      <c r="N523" t="s">
        <v>6232</v>
      </c>
      <c r="P523" t="s">
        <v>2541</v>
      </c>
      <c r="Q523" t="s">
        <v>6232</v>
      </c>
      <c r="R523" t="s">
        <v>1104</v>
      </c>
      <c r="T523" t="s">
        <v>3860</v>
      </c>
      <c r="BI523" s="52" t="str">
        <f>HYPERLINK("#일위대가목록!A536","S024W30080 →")</f>
        <v>S024W30080 →</v>
      </c>
    </row>
    <row r="524" spans="1:61" ht="18.399999999999999" customHeight="1">
      <c r="A524" s="11" t="s">
        <v>2843</v>
      </c>
      <c r="B524" s="2" t="s">
        <v>228</v>
      </c>
      <c r="C524" s="2">
        <v>1</v>
      </c>
      <c r="D524" s="2" t="s">
        <v>2289</v>
      </c>
      <c r="E524" s="29" t="e">
        <f>일위대가목록!#REF!</f>
        <v>#REF!</v>
      </c>
      <c r="F524" s="29" t="e">
        <f t="shared" si="52"/>
        <v>#REF!</v>
      </c>
      <c r="G524" s="29" t="e">
        <f>일위대가목록!#REF!</f>
        <v>#REF!</v>
      </c>
      <c r="H524" s="29" t="e">
        <f t="shared" si="53"/>
        <v>#REF!</v>
      </c>
      <c r="I524" s="29" t="e">
        <f>일위대가목록!#REF!</f>
        <v>#REF!</v>
      </c>
      <c r="J524" s="29" t="e">
        <f t="shared" si="54"/>
        <v>#REF!</v>
      </c>
      <c r="K524" s="29" t="e">
        <f t="shared" si="56"/>
        <v>#REF!</v>
      </c>
      <c r="L524" s="29" t="e">
        <f t="shared" si="55"/>
        <v>#REF!</v>
      </c>
      <c r="M524" s="20" t="s">
        <v>6232</v>
      </c>
      <c r="N524" t="s">
        <v>6232</v>
      </c>
      <c r="P524" t="s">
        <v>976</v>
      </c>
      <c r="Q524" t="s">
        <v>6232</v>
      </c>
      <c r="R524" t="s">
        <v>3901</v>
      </c>
      <c r="T524" t="s">
        <v>3860</v>
      </c>
      <c r="BI524" s="52" t="str">
        <f>HYPERLINK("#일위대가목록!A537","S024W30060 →")</f>
        <v>S024W30060 →</v>
      </c>
    </row>
    <row r="525" spans="1:61" ht="18.399999999999999" customHeight="1">
      <c r="A525" s="11" t="s">
        <v>2843</v>
      </c>
      <c r="B525" s="2" t="s">
        <v>2540</v>
      </c>
      <c r="C525" s="2">
        <v>1</v>
      </c>
      <c r="D525" s="2" t="s">
        <v>2289</v>
      </c>
      <c r="E525" s="29" t="e">
        <f>일위대가목록!#REF!</f>
        <v>#REF!</v>
      </c>
      <c r="F525" s="29" t="e">
        <f t="shared" si="52"/>
        <v>#REF!</v>
      </c>
      <c r="G525" s="29" t="e">
        <f>일위대가목록!#REF!</f>
        <v>#REF!</v>
      </c>
      <c r="H525" s="29" t="e">
        <f t="shared" si="53"/>
        <v>#REF!</v>
      </c>
      <c r="I525" s="29" t="e">
        <f>일위대가목록!#REF!</f>
        <v>#REF!</v>
      </c>
      <c r="J525" s="29" t="e">
        <f t="shared" si="54"/>
        <v>#REF!</v>
      </c>
      <c r="K525" s="29" t="e">
        <f t="shared" si="56"/>
        <v>#REF!</v>
      </c>
      <c r="L525" s="29" t="e">
        <f t="shared" si="55"/>
        <v>#REF!</v>
      </c>
      <c r="M525" s="20" t="s">
        <v>6232</v>
      </c>
      <c r="N525" t="s">
        <v>6232</v>
      </c>
      <c r="P525" t="s">
        <v>5708</v>
      </c>
      <c r="Q525" t="s">
        <v>6232</v>
      </c>
      <c r="R525" t="s">
        <v>826</v>
      </c>
      <c r="T525" t="s">
        <v>3860</v>
      </c>
      <c r="BI525" s="52" t="str">
        <f>HYPERLINK("#일위대가목록!A538","S024W30040 →")</f>
        <v>S024W30040 →</v>
      </c>
    </row>
    <row r="526" spans="1:61" ht="18.399999999999999" customHeight="1">
      <c r="A526" s="11" t="s">
        <v>863</v>
      </c>
      <c r="B526" s="2" t="s">
        <v>3920</v>
      </c>
      <c r="C526" s="2">
        <v>1</v>
      </c>
      <c r="D526" s="2" t="s">
        <v>2289</v>
      </c>
      <c r="E526" s="29" t="e">
        <f>일위대가목록!#REF!</f>
        <v>#REF!</v>
      </c>
      <c r="F526" s="29" t="e">
        <f t="shared" si="52"/>
        <v>#REF!</v>
      </c>
      <c r="G526" s="29" t="e">
        <f>일위대가목록!#REF!</f>
        <v>#REF!</v>
      </c>
      <c r="H526" s="29" t="e">
        <f t="shared" si="53"/>
        <v>#REF!</v>
      </c>
      <c r="I526" s="29" t="e">
        <f>일위대가목록!#REF!</f>
        <v>#REF!</v>
      </c>
      <c r="J526" s="29" t="e">
        <f t="shared" si="54"/>
        <v>#REF!</v>
      </c>
      <c r="K526" s="29" t="e">
        <f t="shared" si="56"/>
        <v>#REF!</v>
      </c>
      <c r="L526" s="29" t="e">
        <f t="shared" si="55"/>
        <v>#REF!</v>
      </c>
      <c r="M526" s="20" t="s">
        <v>6232</v>
      </c>
      <c r="N526" t="s">
        <v>6232</v>
      </c>
      <c r="P526" t="s">
        <v>4137</v>
      </c>
      <c r="Q526" t="s">
        <v>6232</v>
      </c>
      <c r="R526" t="s">
        <v>2048</v>
      </c>
      <c r="T526" t="s">
        <v>3860</v>
      </c>
      <c r="BI526" s="52" t="str">
        <f>HYPERLINK("#일위대가목록!A539","S024W30080YA →")</f>
        <v>S024W30080YA →</v>
      </c>
    </row>
    <row r="527" spans="1:61" ht="18.399999999999999" customHeight="1">
      <c r="A527" s="11" t="s">
        <v>863</v>
      </c>
      <c r="B527" s="2" t="s">
        <v>228</v>
      </c>
      <c r="C527" s="2">
        <v>1</v>
      </c>
      <c r="D527" s="2" t="s">
        <v>2289</v>
      </c>
      <c r="E527" s="29" t="e">
        <f>일위대가목록!#REF!</f>
        <v>#REF!</v>
      </c>
      <c r="F527" s="29" t="e">
        <f t="shared" si="52"/>
        <v>#REF!</v>
      </c>
      <c r="G527" s="29" t="e">
        <f>일위대가목록!#REF!</f>
        <v>#REF!</v>
      </c>
      <c r="H527" s="29" t="e">
        <f t="shared" si="53"/>
        <v>#REF!</v>
      </c>
      <c r="I527" s="29" t="e">
        <f>일위대가목록!#REF!</f>
        <v>#REF!</v>
      </c>
      <c r="J527" s="29" t="e">
        <f t="shared" si="54"/>
        <v>#REF!</v>
      </c>
      <c r="K527" s="29" t="e">
        <f t="shared" si="56"/>
        <v>#REF!</v>
      </c>
      <c r="L527" s="29" t="e">
        <f t="shared" si="55"/>
        <v>#REF!</v>
      </c>
      <c r="M527" s="20" t="s">
        <v>6232</v>
      </c>
      <c r="N527" t="s">
        <v>6232</v>
      </c>
      <c r="P527" t="s">
        <v>2449</v>
      </c>
      <c r="Q527" t="s">
        <v>6232</v>
      </c>
      <c r="R527" t="s">
        <v>2470</v>
      </c>
      <c r="T527" t="s">
        <v>3860</v>
      </c>
      <c r="BI527" s="52" t="str">
        <f>HYPERLINK("#일위대가목록!A540","S024W30060YA →")</f>
        <v>S024W30060YA →</v>
      </c>
    </row>
    <row r="528" spans="1:61" ht="18.399999999999999" customHeight="1">
      <c r="A528" s="11" t="s">
        <v>863</v>
      </c>
      <c r="B528" s="2" t="s">
        <v>2540</v>
      </c>
      <c r="C528" s="2">
        <v>1</v>
      </c>
      <c r="D528" s="2" t="s">
        <v>2289</v>
      </c>
      <c r="E528" s="29" t="e">
        <f>일위대가목록!#REF!</f>
        <v>#REF!</v>
      </c>
      <c r="F528" s="29" t="e">
        <f t="shared" si="52"/>
        <v>#REF!</v>
      </c>
      <c r="G528" s="29" t="e">
        <f>일위대가목록!#REF!</f>
        <v>#REF!</v>
      </c>
      <c r="H528" s="29" t="e">
        <f t="shared" si="53"/>
        <v>#REF!</v>
      </c>
      <c r="I528" s="29" t="e">
        <f>일위대가목록!#REF!</f>
        <v>#REF!</v>
      </c>
      <c r="J528" s="29" t="e">
        <f t="shared" si="54"/>
        <v>#REF!</v>
      </c>
      <c r="K528" s="29" t="e">
        <f t="shared" si="56"/>
        <v>#REF!</v>
      </c>
      <c r="L528" s="29" t="e">
        <f t="shared" si="55"/>
        <v>#REF!</v>
      </c>
      <c r="M528" s="20" t="s">
        <v>6232</v>
      </c>
      <c r="N528" t="s">
        <v>6232</v>
      </c>
      <c r="P528" t="s">
        <v>870</v>
      </c>
      <c r="Q528" t="s">
        <v>6232</v>
      </c>
      <c r="R528" t="s">
        <v>5774</v>
      </c>
      <c r="T528" t="s">
        <v>3860</v>
      </c>
      <c r="BI528" s="52" t="str">
        <f>HYPERLINK("#일위대가목록!A541","S024W30040YA →")</f>
        <v>S024W30040YA →</v>
      </c>
    </row>
    <row r="529" spans="1:61" ht="18.399999999999999" customHeight="1">
      <c r="A529" s="11" t="s">
        <v>2843</v>
      </c>
      <c r="B529" s="2" t="s">
        <v>1883</v>
      </c>
      <c r="C529" s="2">
        <v>1</v>
      </c>
      <c r="D529" s="2" t="s">
        <v>2289</v>
      </c>
      <c r="E529" s="29" t="e">
        <f>일위대가목록!#REF!</f>
        <v>#REF!</v>
      </c>
      <c r="F529" s="29" t="e">
        <f t="shared" si="52"/>
        <v>#REF!</v>
      </c>
      <c r="G529" s="29" t="e">
        <f>일위대가목록!#REF!</f>
        <v>#REF!</v>
      </c>
      <c r="H529" s="29" t="e">
        <f t="shared" si="53"/>
        <v>#REF!</v>
      </c>
      <c r="I529" s="29" t="e">
        <f>일위대가목록!#REF!</f>
        <v>#REF!</v>
      </c>
      <c r="J529" s="29" t="e">
        <f t="shared" si="54"/>
        <v>#REF!</v>
      </c>
      <c r="K529" s="29" t="e">
        <f t="shared" si="56"/>
        <v>#REF!</v>
      </c>
      <c r="L529" s="29" t="e">
        <f t="shared" si="55"/>
        <v>#REF!</v>
      </c>
      <c r="M529" s="20" t="s">
        <v>6232</v>
      </c>
      <c r="N529" t="s">
        <v>6232</v>
      </c>
      <c r="P529" t="s">
        <v>5663</v>
      </c>
      <c r="Q529" t="s">
        <v>6232</v>
      </c>
      <c r="R529" t="s">
        <v>4182</v>
      </c>
      <c r="T529" t="s">
        <v>3860</v>
      </c>
      <c r="BI529" s="52" t="str">
        <f>HYPERLINK("#일위대가목록!A542","S024W25080 →")</f>
        <v>S024W25080 →</v>
      </c>
    </row>
    <row r="530" spans="1:61" ht="18.399999999999999" customHeight="1">
      <c r="A530" s="11" t="s">
        <v>2843</v>
      </c>
      <c r="B530" s="2" t="s">
        <v>5564</v>
      </c>
      <c r="C530" s="2">
        <v>1</v>
      </c>
      <c r="D530" s="2" t="s">
        <v>2289</v>
      </c>
      <c r="E530" s="29" t="e">
        <f>일위대가목록!#REF!</f>
        <v>#REF!</v>
      </c>
      <c r="F530" s="29" t="e">
        <f t="shared" si="52"/>
        <v>#REF!</v>
      </c>
      <c r="G530" s="29" t="e">
        <f>일위대가목록!#REF!</f>
        <v>#REF!</v>
      </c>
      <c r="H530" s="29" t="e">
        <f t="shared" si="53"/>
        <v>#REF!</v>
      </c>
      <c r="I530" s="29" t="e">
        <f>일위대가목록!#REF!</f>
        <v>#REF!</v>
      </c>
      <c r="J530" s="29" t="e">
        <f t="shared" si="54"/>
        <v>#REF!</v>
      </c>
      <c r="K530" s="29" t="e">
        <f t="shared" si="56"/>
        <v>#REF!</v>
      </c>
      <c r="L530" s="29" t="e">
        <f t="shared" si="55"/>
        <v>#REF!</v>
      </c>
      <c r="M530" s="20" t="s">
        <v>6232</v>
      </c>
      <c r="N530" t="s">
        <v>6232</v>
      </c>
      <c r="P530" t="s">
        <v>4115</v>
      </c>
      <c r="Q530" t="s">
        <v>6232</v>
      </c>
      <c r="R530" t="s">
        <v>810</v>
      </c>
      <c r="T530" t="s">
        <v>3860</v>
      </c>
      <c r="BI530" s="52" t="str">
        <f>HYPERLINK("#일위대가목록!A543","S024W25060 →")</f>
        <v>S024W25060 →</v>
      </c>
    </row>
    <row r="531" spans="1:61" ht="18.399999999999999" customHeight="1">
      <c r="A531" s="11" t="s">
        <v>2843</v>
      </c>
      <c r="B531" s="2" t="s">
        <v>3231</v>
      </c>
      <c r="C531" s="2">
        <v>1</v>
      </c>
      <c r="D531" s="2" t="s">
        <v>2289</v>
      </c>
      <c r="E531" s="29" t="e">
        <f>일위대가목록!#REF!</f>
        <v>#REF!</v>
      </c>
      <c r="F531" s="29" t="e">
        <f t="shared" si="52"/>
        <v>#REF!</v>
      </c>
      <c r="G531" s="29" t="e">
        <f>일위대가목록!#REF!</f>
        <v>#REF!</v>
      </c>
      <c r="H531" s="29" t="e">
        <f t="shared" si="53"/>
        <v>#REF!</v>
      </c>
      <c r="I531" s="29" t="e">
        <f>일위대가목록!#REF!</f>
        <v>#REF!</v>
      </c>
      <c r="J531" s="29" t="e">
        <f t="shared" si="54"/>
        <v>#REF!</v>
      </c>
      <c r="K531" s="29" t="e">
        <f t="shared" si="56"/>
        <v>#REF!</v>
      </c>
      <c r="L531" s="29" t="e">
        <f t="shared" si="55"/>
        <v>#REF!</v>
      </c>
      <c r="M531" s="20" t="s">
        <v>6232</v>
      </c>
      <c r="N531" t="s">
        <v>6232</v>
      </c>
      <c r="P531" t="s">
        <v>2578</v>
      </c>
      <c r="Q531" t="s">
        <v>6232</v>
      </c>
      <c r="R531" t="s">
        <v>3879</v>
      </c>
      <c r="T531" t="s">
        <v>3860</v>
      </c>
      <c r="BI531" s="52" t="str">
        <f>HYPERLINK("#일위대가목록!A544","S024W25040 →")</f>
        <v>S024W25040 →</v>
      </c>
    </row>
    <row r="532" spans="1:61" ht="18.399999999999999" customHeight="1">
      <c r="A532" s="11" t="s">
        <v>863</v>
      </c>
      <c r="B532" s="2" t="s">
        <v>1883</v>
      </c>
      <c r="C532" s="2">
        <v>1</v>
      </c>
      <c r="D532" s="2" t="s">
        <v>2289</v>
      </c>
      <c r="E532" s="29" t="e">
        <f>일위대가목록!#REF!</f>
        <v>#REF!</v>
      </c>
      <c r="F532" s="29" t="e">
        <f t="shared" si="52"/>
        <v>#REF!</v>
      </c>
      <c r="G532" s="29" t="e">
        <f>일위대가목록!#REF!</f>
        <v>#REF!</v>
      </c>
      <c r="H532" s="29" t="e">
        <f t="shared" si="53"/>
        <v>#REF!</v>
      </c>
      <c r="I532" s="29" t="e">
        <f>일위대가목록!#REF!</f>
        <v>#REF!</v>
      </c>
      <c r="J532" s="29" t="e">
        <f t="shared" si="54"/>
        <v>#REF!</v>
      </c>
      <c r="K532" s="29" t="e">
        <f t="shared" si="56"/>
        <v>#REF!</v>
      </c>
      <c r="L532" s="29" t="e">
        <f t="shared" si="55"/>
        <v>#REF!</v>
      </c>
      <c r="M532" s="20" t="s">
        <v>6232</v>
      </c>
      <c r="N532" t="s">
        <v>6232</v>
      </c>
      <c r="P532" t="s">
        <v>1051</v>
      </c>
      <c r="Q532" t="s">
        <v>6232</v>
      </c>
      <c r="R532" t="s">
        <v>1978</v>
      </c>
      <c r="T532" t="s">
        <v>3860</v>
      </c>
      <c r="BI532" s="52" t="str">
        <f>HYPERLINK("#일위대가목록!A545","S024W25080YA →")</f>
        <v>S024W25080YA →</v>
      </c>
    </row>
    <row r="533" spans="1:61" ht="18.399999999999999" customHeight="1">
      <c r="A533" s="11" t="s">
        <v>863</v>
      </c>
      <c r="B533" s="2" t="s">
        <v>5564</v>
      </c>
      <c r="C533" s="2">
        <v>1</v>
      </c>
      <c r="D533" s="2" t="s">
        <v>2289</v>
      </c>
      <c r="E533" s="29" t="e">
        <f>일위대가목록!#REF!</f>
        <v>#REF!</v>
      </c>
      <c r="F533" s="29" t="e">
        <f t="shared" ref="F533:F564" si="57">TRUNC(E533*C533,0)</f>
        <v>#REF!</v>
      </c>
      <c r="G533" s="29" t="e">
        <f>일위대가목록!#REF!</f>
        <v>#REF!</v>
      </c>
      <c r="H533" s="29" t="e">
        <f t="shared" ref="H533:H564" si="58">TRUNC(G533*C533,0)</f>
        <v>#REF!</v>
      </c>
      <c r="I533" s="29" t="e">
        <f>일위대가목록!#REF!</f>
        <v>#REF!</v>
      </c>
      <c r="J533" s="29" t="e">
        <f t="shared" ref="J533:J564" si="59">TRUNC(I533*C533,0)</f>
        <v>#REF!</v>
      </c>
      <c r="K533" s="29" t="e">
        <f t="shared" si="56"/>
        <v>#REF!</v>
      </c>
      <c r="L533" s="29" t="e">
        <f t="shared" si="55"/>
        <v>#REF!</v>
      </c>
      <c r="M533" s="20" t="s">
        <v>6232</v>
      </c>
      <c r="N533" t="s">
        <v>6232</v>
      </c>
      <c r="P533" t="s">
        <v>5737</v>
      </c>
      <c r="Q533" t="s">
        <v>6232</v>
      </c>
      <c r="R533" t="s">
        <v>2352</v>
      </c>
      <c r="T533" t="s">
        <v>3860</v>
      </c>
      <c r="BI533" s="52" t="str">
        <f>HYPERLINK("#일위대가목록!A546","S024W25060YA →")</f>
        <v>S024W25060YA →</v>
      </c>
    </row>
    <row r="534" spans="1:61" ht="18.399999999999999" customHeight="1">
      <c r="A534" s="11" t="s">
        <v>863</v>
      </c>
      <c r="B534" s="2" t="s">
        <v>3231</v>
      </c>
      <c r="C534" s="2">
        <v>1</v>
      </c>
      <c r="D534" s="2" t="s">
        <v>2289</v>
      </c>
      <c r="E534" s="29" t="e">
        <f>일위대가목록!#REF!</f>
        <v>#REF!</v>
      </c>
      <c r="F534" s="29" t="e">
        <f t="shared" si="57"/>
        <v>#REF!</v>
      </c>
      <c r="G534" s="29" t="e">
        <f>일위대가목록!#REF!</f>
        <v>#REF!</v>
      </c>
      <c r="H534" s="29" t="e">
        <f t="shared" si="58"/>
        <v>#REF!</v>
      </c>
      <c r="I534" s="29" t="e">
        <f>일위대가목록!#REF!</f>
        <v>#REF!</v>
      </c>
      <c r="J534" s="29" t="e">
        <f t="shared" si="59"/>
        <v>#REF!</v>
      </c>
      <c r="K534" s="29" t="e">
        <f t="shared" si="56"/>
        <v>#REF!</v>
      </c>
      <c r="L534" s="29" t="e">
        <f t="shared" si="55"/>
        <v>#REF!</v>
      </c>
      <c r="M534" s="20" t="s">
        <v>6232</v>
      </c>
      <c r="N534" t="s">
        <v>6232</v>
      </c>
      <c r="P534" t="s">
        <v>4208</v>
      </c>
      <c r="Q534" t="s">
        <v>6232</v>
      </c>
      <c r="R534" t="s">
        <v>5690</v>
      </c>
      <c r="T534" t="s">
        <v>3860</v>
      </c>
      <c r="BI534" s="52" t="str">
        <f>HYPERLINK("#일위대가목록!A547","S024W25040YA →")</f>
        <v>S024W25040YA →</v>
      </c>
    </row>
    <row r="535" spans="1:61" ht="18.399999999999999" customHeight="1">
      <c r="A535" s="11" t="s">
        <v>2843</v>
      </c>
      <c r="B535" s="2" t="s">
        <v>1285</v>
      </c>
      <c r="C535" s="2">
        <v>1</v>
      </c>
      <c r="D535" s="2" t="s">
        <v>2289</v>
      </c>
      <c r="E535" s="29" t="e">
        <f>일위대가목록!#REF!</f>
        <v>#REF!</v>
      </c>
      <c r="F535" s="29" t="e">
        <f t="shared" si="57"/>
        <v>#REF!</v>
      </c>
      <c r="G535" s="29" t="e">
        <f>일위대가목록!#REF!</f>
        <v>#REF!</v>
      </c>
      <c r="H535" s="29" t="e">
        <f t="shared" si="58"/>
        <v>#REF!</v>
      </c>
      <c r="I535" s="29" t="e">
        <f>일위대가목록!#REF!</f>
        <v>#REF!</v>
      </c>
      <c r="J535" s="29" t="e">
        <f t="shared" si="59"/>
        <v>#REF!</v>
      </c>
      <c r="K535" s="29" t="e">
        <f t="shared" si="56"/>
        <v>#REF!</v>
      </c>
      <c r="L535" s="29" t="e">
        <f t="shared" si="55"/>
        <v>#REF!</v>
      </c>
      <c r="M535" s="20" t="s">
        <v>6232</v>
      </c>
      <c r="N535" t="s">
        <v>6232</v>
      </c>
      <c r="P535" t="s">
        <v>2654</v>
      </c>
      <c r="Q535" t="s">
        <v>6232</v>
      </c>
      <c r="R535" t="s">
        <v>3846</v>
      </c>
      <c r="T535" t="s">
        <v>3860</v>
      </c>
      <c r="BI535" s="52" t="str">
        <f>HYPERLINK("#일위대가목록!A548","S024W20080 →")</f>
        <v>S024W20080 →</v>
      </c>
    </row>
    <row r="536" spans="1:61" ht="18.399999999999999" customHeight="1">
      <c r="A536" s="11" t="s">
        <v>2843</v>
      </c>
      <c r="B536" s="2" t="s">
        <v>3819</v>
      </c>
      <c r="C536" s="2">
        <v>1</v>
      </c>
      <c r="D536" s="2" t="s">
        <v>2289</v>
      </c>
      <c r="E536" s="29" t="e">
        <f>일위대가목록!#REF!</f>
        <v>#REF!</v>
      </c>
      <c r="F536" s="29" t="e">
        <f t="shared" si="57"/>
        <v>#REF!</v>
      </c>
      <c r="G536" s="29" t="e">
        <f>일위대가목록!#REF!</f>
        <v>#REF!</v>
      </c>
      <c r="H536" s="29" t="e">
        <f t="shared" si="58"/>
        <v>#REF!</v>
      </c>
      <c r="I536" s="29" t="e">
        <f>일위대가목록!#REF!</f>
        <v>#REF!</v>
      </c>
      <c r="J536" s="29" t="e">
        <f t="shared" si="59"/>
        <v>#REF!</v>
      </c>
      <c r="K536" s="29" t="e">
        <f t="shared" si="56"/>
        <v>#REF!</v>
      </c>
      <c r="L536" s="29" t="e">
        <f t="shared" si="55"/>
        <v>#REF!</v>
      </c>
      <c r="M536" s="20" t="s">
        <v>6232</v>
      </c>
      <c r="N536" t="s">
        <v>6232</v>
      </c>
      <c r="P536" t="s">
        <v>1120</v>
      </c>
      <c r="Q536" t="s">
        <v>6232</v>
      </c>
      <c r="R536" t="s">
        <v>396</v>
      </c>
      <c r="T536" t="s">
        <v>3860</v>
      </c>
      <c r="BI536" s="52" t="str">
        <f>HYPERLINK("#일위대가목록!A549","S024W20060 →")</f>
        <v>S024W20060 →</v>
      </c>
    </row>
    <row r="537" spans="1:61" ht="18.399999999999999" customHeight="1">
      <c r="A537" s="11" t="s">
        <v>2843</v>
      </c>
      <c r="B537" s="2" t="s">
        <v>6203</v>
      </c>
      <c r="C537" s="2">
        <v>1</v>
      </c>
      <c r="D537" s="2" t="s">
        <v>2289</v>
      </c>
      <c r="E537" s="29" t="e">
        <f>일위대가목록!#REF!</f>
        <v>#REF!</v>
      </c>
      <c r="F537" s="29" t="e">
        <f t="shared" si="57"/>
        <v>#REF!</v>
      </c>
      <c r="G537" s="29" t="e">
        <f>일위대가목록!#REF!</f>
        <v>#REF!</v>
      </c>
      <c r="H537" s="29" t="e">
        <f t="shared" si="58"/>
        <v>#REF!</v>
      </c>
      <c r="I537" s="29" t="e">
        <f>일위대가목록!#REF!</f>
        <v>#REF!</v>
      </c>
      <c r="J537" s="29" t="e">
        <f t="shared" si="59"/>
        <v>#REF!</v>
      </c>
      <c r="K537" s="29" t="e">
        <f t="shared" si="56"/>
        <v>#REF!</v>
      </c>
      <c r="L537" s="29" t="e">
        <f t="shared" si="55"/>
        <v>#REF!</v>
      </c>
      <c r="M537" s="20" t="s">
        <v>6232</v>
      </c>
      <c r="N537" t="s">
        <v>6232</v>
      </c>
      <c r="P537" t="s">
        <v>5435</v>
      </c>
      <c r="Q537" t="s">
        <v>6232</v>
      </c>
      <c r="R537" t="s">
        <v>3534</v>
      </c>
      <c r="T537" t="s">
        <v>3860</v>
      </c>
      <c r="BI537" s="52" t="str">
        <f>HYPERLINK("#일위대가목록!A550","S024W20040 →")</f>
        <v>S024W20040 →</v>
      </c>
    </row>
    <row r="538" spans="1:61" ht="18.399999999999999" customHeight="1">
      <c r="A538" s="11" t="s">
        <v>863</v>
      </c>
      <c r="B538" s="2" t="s">
        <v>1285</v>
      </c>
      <c r="C538" s="2">
        <v>1</v>
      </c>
      <c r="D538" s="2" t="s">
        <v>2289</v>
      </c>
      <c r="E538" s="29" t="e">
        <f>일위대가목록!#REF!</f>
        <v>#REF!</v>
      </c>
      <c r="F538" s="29" t="e">
        <f t="shared" si="57"/>
        <v>#REF!</v>
      </c>
      <c r="G538" s="29" t="e">
        <f>일위대가목록!#REF!</f>
        <v>#REF!</v>
      </c>
      <c r="H538" s="29" t="e">
        <f t="shared" si="58"/>
        <v>#REF!</v>
      </c>
      <c r="I538" s="29" t="e">
        <f>일위대가목록!#REF!</f>
        <v>#REF!</v>
      </c>
      <c r="J538" s="29" t="e">
        <f t="shared" si="59"/>
        <v>#REF!</v>
      </c>
      <c r="K538" s="29" t="e">
        <f t="shared" si="56"/>
        <v>#REF!</v>
      </c>
      <c r="L538" s="29" t="e">
        <f t="shared" si="55"/>
        <v>#REF!</v>
      </c>
      <c r="M538" s="20" t="s">
        <v>6232</v>
      </c>
      <c r="N538" t="s">
        <v>6232</v>
      </c>
      <c r="P538" t="s">
        <v>3903</v>
      </c>
      <c r="Q538" t="s">
        <v>6232</v>
      </c>
      <c r="R538" t="s">
        <v>5460</v>
      </c>
      <c r="T538" t="s">
        <v>3860</v>
      </c>
      <c r="BI538" s="52" t="str">
        <f>HYPERLINK("#일위대가목록!A551","S024W20080YA →")</f>
        <v>S024W20080YA →</v>
      </c>
    </row>
    <row r="539" spans="1:61" ht="18.399999999999999" customHeight="1">
      <c r="A539" s="11" t="s">
        <v>863</v>
      </c>
      <c r="B539" s="2" t="s">
        <v>3819</v>
      </c>
      <c r="C539" s="2">
        <v>1</v>
      </c>
      <c r="D539" s="2" t="s">
        <v>2289</v>
      </c>
      <c r="E539" s="29" t="e">
        <f>일위대가목록!#REF!</f>
        <v>#REF!</v>
      </c>
      <c r="F539" s="29" t="e">
        <f t="shared" si="57"/>
        <v>#REF!</v>
      </c>
      <c r="G539" s="29" t="e">
        <f>일위대가목록!#REF!</f>
        <v>#REF!</v>
      </c>
      <c r="H539" s="29" t="e">
        <f t="shared" si="58"/>
        <v>#REF!</v>
      </c>
      <c r="I539" s="29" t="e">
        <f>일위대가목록!#REF!</f>
        <v>#REF!</v>
      </c>
      <c r="J539" s="29" t="e">
        <f t="shared" si="59"/>
        <v>#REF!</v>
      </c>
      <c r="K539" s="29" t="e">
        <f t="shared" si="56"/>
        <v>#REF!</v>
      </c>
      <c r="L539" s="29" t="e">
        <f t="shared" si="55"/>
        <v>#REF!</v>
      </c>
      <c r="M539" s="20" t="s">
        <v>6232</v>
      </c>
      <c r="N539" t="s">
        <v>6232</v>
      </c>
      <c r="P539" t="s">
        <v>5423</v>
      </c>
      <c r="Q539" t="s">
        <v>6232</v>
      </c>
      <c r="R539" t="s">
        <v>5085</v>
      </c>
      <c r="T539" t="s">
        <v>3860</v>
      </c>
      <c r="BI539" s="52" t="str">
        <f>HYPERLINK("#일위대가목록!A552","S024W20060YA →")</f>
        <v>S024W20060YA →</v>
      </c>
    </row>
    <row r="540" spans="1:61" ht="18.399999999999999" customHeight="1">
      <c r="A540" s="11" t="s">
        <v>863</v>
      </c>
      <c r="B540" s="2" t="s">
        <v>6203</v>
      </c>
      <c r="C540" s="2">
        <v>1</v>
      </c>
      <c r="D540" s="2" t="s">
        <v>2289</v>
      </c>
      <c r="E540" s="29" t="e">
        <f>일위대가목록!#REF!</f>
        <v>#REF!</v>
      </c>
      <c r="F540" s="29" t="e">
        <f t="shared" si="57"/>
        <v>#REF!</v>
      </c>
      <c r="G540" s="29" t="e">
        <f>일위대가목록!#REF!</f>
        <v>#REF!</v>
      </c>
      <c r="H540" s="29" t="e">
        <f t="shared" si="58"/>
        <v>#REF!</v>
      </c>
      <c r="I540" s="29" t="e">
        <f>일위대가목록!#REF!</f>
        <v>#REF!</v>
      </c>
      <c r="J540" s="29" t="e">
        <f t="shared" si="59"/>
        <v>#REF!</v>
      </c>
      <c r="K540" s="29" t="e">
        <f t="shared" si="56"/>
        <v>#REF!</v>
      </c>
      <c r="L540" s="29" t="e">
        <f t="shared" si="55"/>
        <v>#REF!</v>
      </c>
      <c r="M540" s="20" t="s">
        <v>6232</v>
      </c>
      <c r="N540" t="s">
        <v>6232</v>
      </c>
      <c r="P540" t="s">
        <v>3844</v>
      </c>
      <c r="Q540" t="s">
        <v>6232</v>
      </c>
      <c r="R540" t="s">
        <v>2155</v>
      </c>
      <c r="T540" t="s">
        <v>3860</v>
      </c>
      <c r="BI540" s="52" t="str">
        <f>HYPERLINK("#일위대가목록!A553","S024W20040YA →")</f>
        <v>S024W20040YA →</v>
      </c>
    </row>
    <row r="541" spans="1:61" ht="18.399999999999999" customHeight="1">
      <c r="A541" s="11" t="s">
        <v>2843</v>
      </c>
      <c r="B541" s="2" t="s">
        <v>4401</v>
      </c>
      <c r="C541" s="2">
        <v>1</v>
      </c>
      <c r="D541" s="2" t="s">
        <v>2289</v>
      </c>
      <c r="E541" s="29" t="e">
        <f>일위대가목록!#REF!</f>
        <v>#REF!</v>
      </c>
      <c r="F541" s="29" t="e">
        <f t="shared" si="57"/>
        <v>#REF!</v>
      </c>
      <c r="G541" s="29" t="e">
        <f>일위대가목록!#REF!</f>
        <v>#REF!</v>
      </c>
      <c r="H541" s="29" t="e">
        <f t="shared" si="58"/>
        <v>#REF!</v>
      </c>
      <c r="I541" s="29" t="e">
        <f>일위대가목록!#REF!</f>
        <v>#REF!</v>
      </c>
      <c r="J541" s="29" t="e">
        <f t="shared" si="59"/>
        <v>#REF!</v>
      </c>
      <c r="K541" s="29" t="e">
        <f t="shared" si="56"/>
        <v>#REF!</v>
      </c>
      <c r="L541" s="29" t="e">
        <f t="shared" si="55"/>
        <v>#REF!</v>
      </c>
      <c r="M541" s="20" t="s">
        <v>6232</v>
      </c>
      <c r="N541" t="s">
        <v>6232</v>
      </c>
      <c r="P541" t="s">
        <v>2252</v>
      </c>
      <c r="Q541" t="s">
        <v>6232</v>
      </c>
      <c r="R541" t="s">
        <v>2983</v>
      </c>
      <c r="T541" t="s">
        <v>3860</v>
      </c>
      <c r="BI541" s="52" t="str">
        <f>HYPERLINK("#일위대가목록!A554","S024W15080 →")</f>
        <v>S024W15080 →</v>
      </c>
    </row>
    <row r="542" spans="1:61" ht="18.399999999999999" customHeight="1">
      <c r="A542" s="11" t="s">
        <v>2843</v>
      </c>
      <c r="B542" s="2" t="s">
        <v>720</v>
      </c>
      <c r="C542" s="2">
        <v>1</v>
      </c>
      <c r="D542" s="2" t="s">
        <v>2289</v>
      </c>
      <c r="E542" s="29" t="e">
        <f>일위대가목록!#REF!</f>
        <v>#REF!</v>
      </c>
      <c r="F542" s="29" t="e">
        <f t="shared" si="57"/>
        <v>#REF!</v>
      </c>
      <c r="G542" s="29" t="e">
        <f>일위대가목록!#REF!</f>
        <v>#REF!</v>
      </c>
      <c r="H542" s="29" t="e">
        <f t="shared" si="58"/>
        <v>#REF!</v>
      </c>
      <c r="I542" s="29" t="e">
        <f>일위대가목록!#REF!</f>
        <v>#REF!</v>
      </c>
      <c r="J542" s="29" t="e">
        <f t="shared" si="59"/>
        <v>#REF!</v>
      </c>
      <c r="K542" s="29" t="e">
        <f t="shared" si="56"/>
        <v>#REF!</v>
      </c>
      <c r="L542" s="29" t="e">
        <f t="shared" si="55"/>
        <v>#REF!</v>
      </c>
      <c r="M542" s="20" t="s">
        <v>6232</v>
      </c>
      <c r="N542" t="s">
        <v>6232</v>
      </c>
      <c r="P542" t="s">
        <v>684</v>
      </c>
      <c r="Q542" t="s">
        <v>6232</v>
      </c>
      <c r="R542" t="s">
        <v>5876</v>
      </c>
      <c r="T542" t="s">
        <v>3860</v>
      </c>
      <c r="BI542" s="52" t="str">
        <f>HYPERLINK("#일위대가목록!A555","S024W15060 →")</f>
        <v>S024W15060 →</v>
      </c>
    </row>
    <row r="543" spans="1:61" ht="18.399999999999999" customHeight="1">
      <c r="A543" s="11" t="s">
        <v>2843</v>
      </c>
      <c r="B543" s="2" t="s">
        <v>3047</v>
      </c>
      <c r="C543" s="2">
        <v>1</v>
      </c>
      <c r="D543" s="2" t="s">
        <v>2289</v>
      </c>
      <c r="E543" s="29" t="e">
        <f>일위대가목록!#REF!</f>
        <v>#REF!</v>
      </c>
      <c r="F543" s="29" t="e">
        <f t="shared" si="57"/>
        <v>#REF!</v>
      </c>
      <c r="G543" s="29" t="e">
        <f>일위대가목록!#REF!</f>
        <v>#REF!</v>
      </c>
      <c r="H543" s="29" t="e">
        <f t="shared" si="58"/>
        <v>#REF!</v>
      </c>
      <c r="I543" s="29" t="e">
        <f>일위대가목록!#REF!</f>
        <v>#REF!</v>
      </c>
      <c r="J543" s="29" t="e">
        <f t="shared" si="59"/>
        <v>#REF!</v>
      </c>
      <c r="K543" s="29" t="e">
        <f t="shared" si="56"/>
        <v>#REF!</v>
      </c>
      <c r="L543" s="29" t="e">
        <f t="shared" si="55"/>
        <v>#REF!</v>
      </c>
      <c r="M543" s="20" t="s">
        <v>6232</v>
      </c>
      <c r="N543" t="s">
        <v>6232</v>
      </c>
      <c r="P543" t="s">
        <v>5319</v>
      </c>
      <c r="Q543" t="s">
        <v>6232</v>
      </c>
      <c r="R543" t="s">
        <v>2697</v>
      </c>
      <c r="T543" t="s">
        <v>3860</v>
      </c>
      <c r="BI543" s="52" t="str">
        <f>HYPERLINK("#일위대가목록!A556","S024W15040 →")</f>
        <v>S024W15040 →</v>
      </c>
    </row>
    <row r="544" spans="1:61" ht="18.399999999999999" customHeight="1">
      <c r="A544" s="11" t="s">
        <v>863</v>
      </c>
      <c r="B544" s="2" t="s">
        <v>4401</v>
      </c>
      <c r="C544" s="2">
        <v>1</v>
      </c>
      <c r="D544" s="2" t="s">
        <v>2289</v>
      </c>
      <c r="E544" s="29" t="e">
        <f>일위대가목록!#REF!</f>
        <v>#REF!</v>
      </c>
      <c r="F544" s="29" t="e">
        <f t="shared" si="57"/>
        <v>#REF!</v>
      </c>
      <c r="G544" s="29" t="e">
        <f>일위대가목록!#REF!</f>
        <v>#REF!</v>
      </c>
      <c r="H544" s="29" t="e">
        <f t="shared" si="58"/>
        <v>#REF!</v>
      </c>
      <c r="I544" s="29" t="e">
        <f>일위대가목록!#REF!</f>
        <v>#REF!</v>
      </c>
      <c r="J544" s="29" t="e">
        <f t="shared" si="59"/>
        <v>#REF!</v>
      </c>
      <c r="K544" s="29" t="e">
        <f t="shared" si="56"/>
        <v>#REF!</v>
      </c>
      <c r="L544" s="29" t="e">
        <f t="shared" si="55"/>
        <v>#REF!</v>
      </c>
      <c r="M544" s="20" t="s">
        <v>6232</v>
      </c>
      <c r="N544" t="s">
        <v>6232</v>
      </c>
      <c r="P544" t="s">
        <v>3744</v>
      </c>
      <c r="Q544" t="s">
        <v>6232</v>
      </c>
      <c r="R544" t="s">
        <v>5030</v>
      </c>
      <c r="T544" t="s">
        <v>3860</v>
      </c>
      <c r="BI544" s="52" t="str">
        <f>HYPERLINK("#일위대가목록!A557","S024W15080YA →")</f>
        <v>S024W15080YA →</v>
      </c>
    </row>
    <row r="545" spans="1:61" ht="18.399999999999999" customHeight="1">
      <c r="A545" s="11" t="s">
        <v>863</v>
      </c>
      <c r="B545" s="2" t="s">
        <v>720</v>
      </c>
      <c r="C545" s="2">
        <v>1</v>
      </c>
      <c r="D545" s="2" t="s">
        <v>2289</v>
      </c>
      <c r="E545" s="29" t="e">
        <f>일위대가목록!#REF!</f>
        <v>#REF!</v>
      </c>
      <c r="F545" s="29" t="e">
        <f t="shared" si="57"/>
        <v>#REF!</v>
      </c>
      <c r="G545" s="29" t="e">
        <f>일위대가목록!#REF!</f>
        <v>#REF!</v>
      </c>
      <c r="H545" s="29" t="e">
        <f t="shared" si="58"/>
        <v>#REF!</v>
      </c>
      <c r="I545" s="29" t="e">
        <f>일위대가목록!#REF!</f>
        <v>#REF!</v>
      </c>
      <c r="J545" s="29" t="e">
        <f t="shared" si="59"/>
        <v>#REF!</v>
      </c>
      <c r="K545" s="29" t="e">
        <f t="shared" si="56"/>
        <v>#REF!</v>
      </c>
      <c r="L545" s="29" t="e">
        <f t="shared" si="55"/>
        <v>#REF!</v>
      </c>
      <c r="M545" s="20" t="s">
        <v>6232</v>
      </c>
      <c r="N545" t="s">
        <v>6232</v>
      </c>
      <c r="P545" t="s">
        <v>2146</v>
      </c>
      <c r="Q545" t="s">
        <v>6232</v>
      </c>
      <c r="R545" t="s">
        <v>6146</v>
      </c>
      <c r="T545" t="s">
        <v>3860</v>
      </c>
      <c r="BI545" s="52" t="str">
        <f>HYPERLINK("#일위대가목록!A558","S024W15060YA →")</f>
        <v>S024W15060YA →</v>
      </c>
    </row>
    <row r="546" spans="1:61" ht="18.399999999999999" customHeight="1">
      <c r="A546" s="11" t="s">
        <v>863</v>
      </c>
      <c r="B546" s="2" t="s">
        <v>3047</v>
      </c>
      <c r="C546" s="2">
        <v>1</v>
      </c>
      <c r="D546" s="2" t="s">
        <v>2289</v>
      </c>
      <c r="E546" s="29" t="e">
        <f>일위대가목록!#REF!</f>
        <v>#REF!</v>
      </c>
      <c r="F546" s="29" t="e">
        <f t="shared" si="57"/>
        <v>#REF!</v>
      </c>
      <c r="G546" s="29" t="e">
        <f>일위대가목록!#REF!</f>
        <v>#REF!</v>
      </c>
      <c r="H546" s="29" t="e">
        <f t="shared" si="58"/>
        <v>#REF!</v>
      </c>
      <c r="I546" s="29" t="e">
        <f>일위대가목록!#REF!</f>
        <v>#REF!</v>
      </c>
      <c r="J546" s="29" t="e">
        <f t="shared" si="59"/>
        <v>#REF!</v>
      </c>
      <c r="K546" s="29" t="e">
        <f t="shared" si="56"/>
        <v>#REF!</v>
      </c>
      <c r="L546" s="29" t="e">
        <f t="shared" si="55"/>
        <v>#REF!</v>
      </c>
      <c r="M546" s="20" t="s">
        <v>6232</v>
      </c>
      <c r="N546" t="s">
        <v>6232</v>
      </c>
      <c r="P546" t="s">
        <v>599</v>
      </c>
      <c r="Q546" t="s">
        <v>6232</v>
      </c>
      <c r="R546" t="s">
        <v>2870</v>
      </c>
      <c r="T546" t="s">
        <v>3860</v>
      </c>
      <c r="BI546" s="52" t="str">
        <f>HYPERLINK("#일위대가목록!A559","S024W15040YA →")</f>
        <v>S024W15040YA →</v>
      </c>
    </row>
    <row r="547" spans="1:61" ht="18.399999999999999" customHeight="1">
      <c r="A547" s="11" t="s">
        <v>2843</v>
      </c>
      <c r="B547" s="2" t="s">
        <v>45</v>
      </c>
      <c r="C547" s="2">
        <v>1</v>
      </c>
      <c r="D547" s="2" t="s">
        <v>2289</v>
      </c>
      <c r="E547" s="29" t="e">
        <f>일위대가목록!#REF!</f>
        <v>#REF!</v>
      </c>
      <c r="F547" s="29" t="e">
        <f t="shared" si="57"/>
        <v>#REF!</v>
      </c>
      <c r="G547" s="29" t="e">
        <f>일위대가목록!#REF!</f>
        <v>#REF!</v>
      </c>
      <c r="H547" s="29" t="e">
        <f t="shared" si="58"/>
        <v>#REF!</v>
      </c>
      <c r="I547" s="29" t="e">
        <f>일위대가목록!#REF!</f>
        <v>#REF!</v>
      </c>
      <c r="J547" s="29" t="e">
        <f t="shared" si="59"/>
        <v>#REF!</v>
      </c>
      <c r="K547" s="29" t="e">
        <f t="shared" si="56"/>
        <v>#REF!</v>
      </c>
      <c r="L547" s="29" t="e">
        <f t="shared" si="55"/>
        <v>#REF!</v>
      </c>
      <c r="M547" s="20" t="s">
        <v>6232</v>
      </c>
      <c r="N547" t="s">
        <v>6232</v>
      </c>
      <c r="P547" t="s">
        <v>5221</v>
      </c>
      <c r="Q547" t="s">
        <v>6232</v>
      </c>
      <c r="R547" t="s">
        <v>1094</v>
      </c>
      <c r="T547" t="s">
        <v>3860</v>
      </c>
      <c r="BI547" s="52" t="str">
        <f>HYPERLINK("#일위대가목록!A560","S024W12580 →")</f>
        <v>S024W12580 →</v>
      </c>
    </row>
    <row r="548" spans="1:61" ht="18.399999999999999" customHeight="1">
      <c r="A548" s="11" t="s">
        <v>2843</v>
      </c>
      <c r="B548" s="2" t="s">
        <v>4136</v>
      </c>
      <c r="C548" s="2">
        <v>1</v>
      </c>
      <c r="D548" s="2" t="s">
        <v>2289</v>
      </c>
      <c r="E548" s="29" t="e">
        <f>일위대가목록!#REF!</f>
        <v>#REF!</v>
      </c>
      <c r="F548" s="29" t="e">
        <f t="shared" si="57"/>
        <v>#REF!</v>
      </c>
      <c r="G548" s="29" t="e">
        <f>일위대가목록!#REF!</f>
        <v>#REF!</v>
      </c>
      <c r="H548" s="29" t="e">
        <f t="shared" si="58"/>
        <v>#REF!</v>
      </c>
      <c r="I548" s="29" t="e">
        <f>일위대가목록!#REF!</f>
        <v>#REF!</v>
      </c>
      <c r="J548" s="29" t="e">
        <f t="shared" si="59"/>
        <v>#REF!</v>
      </c>
      <c r="K548" s="29" t="e">
        <f t="shared" si="56"/>
        <v>#REF!</v>
      </c>
      <c r="L548" s="29" t="e">
        <f t="shared" si="55"/>
        <v>#REF!</v>
      </c>
      <c r="M548" s="20" t="s">
        <v>6232</v>
      </c>
      <c r="N548" t="s">
        <v>6232</v>
      </c>
      <c r="P548" t="s">
        <v>3650</v>
      </c>
      <c r="Q548" t="s">
        <v>6232</v>
      </c>
      <c r="R548" t="s">
        <v>3889</v>
      </c>
      <c r="T548" t="s">
        <v>3860</v>
      </c>
      <c r="BI548" s="52" t="str">
        <f>HYPERLINK("#일위대가목록!A561","S024W12560 →")</f>
        <v>S024W12560 →</v>
      </c>
    </row>
    <row r="549" spans="1:61" ht="18.399999999999999" customHeight="1">
      <c r="A549" s="11" t="s">
        <v>2843</v>
      </c>
      <c r="B549" s="2" t="s">
        <v>4868</v>
      </c>
      <c r="C549" s="2">
        <v>1</v>
      </c>
      <c r="D549" s="2" t="s">
        <v>2289</v>
      </c>
      <c r="E549" s="29" t="e">
        <f>일위대가목록!#REF!</f>
        <v>#REF!</v>
      </c>
      <c r="F549" s="29" t="e">
        <f t="shared" si="57"/>
        <v>#REF!</v>
      </c>
      <c r="G549" s="29" t="e">
        <f>일위대가목록!#REF!</f>
        <v>#REF!</v>
      </c>
      <c r="H549" s="29" t="e">
        <f t="shared" si="58"/>
        <v>#REF!</v>
      </c>
      <c r="I549" s="29" t="e">
        <f>일위대가목록!#REF!</f>
        <v>#REF!</v>
      </c>
      <c r="J549" s="29" t="e">
        <f t="shared" si="59"/>
        <v>#REF!</v>
      </c>
      <c r="K549" s="29" t="e">
        <f t="shared" si="56"/>
        <v>#REF!</v>
      </c>
      <c r="L549" s="29" t="e">
        <f t="shared" si="55"/>
        <v>#REF!</v>
      </c>
      <c r="M549" s="20" t="s">
        <v>6232</v>
      </c>
      <c r="N549" t="s">
        <v>6232</v>
      </c>
      <c r="P549" t="s">
        <v>3242</v>
      </c>
      <c r="Q549" t="s">
        <v>6232</v>
      </c>
      <c r="R549" t="s">
        <v>832</v>
      </c>
      <c r="T549" t="s">
        <v>3860</v>
      </c>
      <c r="BI549" s="52" t="str">
        <f>HYPERLINK("#일위대가목록!A562","S024W12540 →")</f>
        <v>S024W12540 →</v>
      </c>
    </row>
    <row r="550" spans="1:61" ht="18.399999999999999" customHeight="1">
      <c r="A550" s="11" t="s">
        <v>863</v>
      </c>
      <c r="B550" s="2" t="s">
        <v>45</v>
      </c>
      <c r="C550" s="2">
        <v>1</v>
      </c>
      <c r="D550" s="2" t="s">
        <v>2289</v>
      </c>
      <c r="E550" s="29" t="e">
        <f>일위대가목록!#REF!</f>
        <v>#REF!</v>
      </c>
      <c r="F550" s="29" t="e">
        <f t="shared" si="57"/>
        <v>#REF!</v>
      </c>
      <c r="G550" s="29" t="e">
        <f>일위대가목록!#REF!</f>
        <v>#REF!</v>
      </c>
      <c r="H550" s="29" t="e">
        <f t="shared" si="58"/>
        <v>#REF!</v>
      </c>
      <c r="I550" s="29" t="e">
        <f>일위대가목록!#REF!</f>
        <v>#REF!</v>
      </c>
      <c r="J550" s="29" t="e">
        <f t="shared" si="59"/>
        <v>#REF!</v>
      </c>
      <c r="K550" s="29" t="e">
        <f t="shared" si="56"/>
        <v>#REF!</v>
      </c>
      <c r="L550" s="29" t="e">
        <f t="shared" si="55"/>
        <v>#REF!</v>
      </c>
      <c r="M550" s="20" t="s">
        <v>6232</v>
      </c>
      <c r="N550" t="s">
        <v>6232</v>
      </c>
      <c r="P550" t="s">
        <v>4830</v>
      </c>
      <c r="Q550" t="s">
        <v>6232</v>
      </c>
      <c r="R550" t="s">
        <v>167</v>
      </c>
      <c r="T550" t="s">
        <v>3860</v>
      </c>
      <c r="BI550" s="52" t="str">
        <f>HYPERLINK("#일위대가목록!A563","S024W12580YA →")</f>
        <v>S024W12580YA →</v>
      </c>
    </row>
    <row r="551" spans="1:61" ht="18.399999999999999" customHeight="1">
      <c r="A551" s="11" t="s">
        <v>863</v>
      </c>
      <c r="B551" s="2" t="s">
        <v>4136</v>
      </c>
      <c r="C551" s="2">
        <v>1</v>
      </c>
      <c r="D551" s="2" t="s">
        <v>2289</v>
      </c>
      <c r="E551" s="29" t="e">
        <f>일위대가목록!#REF!</f>
        <v>#REF!</v>
      </c>
      <c r="F551" s="29" t="e">
        <f t="shared" si="57"/>
        <v>#REF!</v>
      </c>
      <c r="G551" s="29" t="e">
        <f>일위대가목록!#REF!</f>
        <v>#REF!</v>
      </c>
      <c r="H551" s="29" t="e">
        <f t="shared" si="58"/>
        <v>#REF!</v>
      </c>
      <c r="I551" s="29" t="e">
        <f>일위대가목록!#REF!</f>
        <v>#REF!</v>
      </c>
      <c r="J551" s="29" t="e">
        <f t="shared" si="59"/>
        <v>#REF!</v>
      </c>
      <c r="K551" s="29" t="e">
        <f t="shared" si="56"/>
        <v>#REF!</v>
      </c>
      <c r="L551" s="29" t="e">
        <f t="shared" si="55"/>
        <v>#REF!</v>
      </c>
      <c r="M551" s="20" t="s">
        <v>6232</v>
      </c>
      <c r="N551" t="s">
        <v>6232</v>
      </c>
      <c r="P551" t="s">
        <v>87</v>
      </c>
      <c r="Q551" t="s">
        <v>6232</v>
      </c>
      <c r="R551" t="s">
        <v>1251</v>
      </c>
      <c r="T551" t="s">
        <v>3860</v>
      </c>
      <c r="BI551" s="52" t="str">
        <f>HYPERLINK("#일위대가목록!A564","S024W12560YA →")</f>
        <v>S024W12560YA →</v>
      </c>
    </row>
    <row r="552" spans="1:61" ht="18.399999999999999" customHeight="1">
      <c r="A552" s="11" t="s">
        <v>863</v>
      </c>
      <c r="B552" s="2" t="s">
        <v>4868</v>
      </c>
      <c r="C552" s="2">
        <v>1</v>
      </c>
      <c r="D552" s="2" t="s">
        <v>2289</v>
      </c>
      <c r="E552" s="29" t="e">
        <f>일위대가목록!#REF!</f>
        <v>#REF!</v>
      </c>
      <c r="F552" s="29" t="e">
        <f t="shared" si="57"/>
        <v>#REF!</v>
      </c>
      <c r="G552" s="29" t="e">
        <f>일위대가목록!#REF!</f>
        <v>#REF!</v>
      </c>
      <c r="H552" s="29" t="e">
        <f t="shared" si="58"/>
        <v>#REF!</v>
      </c>
      <c r="I552" s="29" t="e">
        <f>일위대가목록!#REF!</f>
        <v>#REF!</v>
      </c>
      <c r="J552" s="29" t="e">
        <f t="shared" si="59"/>
        <v>#REF!</v>
      </c>
      <c r="K552" s="29" t="e">
        <f t="shared" si="56"/>
        <v>#REF!</v>
      </c>
      <c r="L552" s="29" t="e">
        <f t="shared" si="55"/>
        <v>#REF!</v>
      </c>
      <c r="M552" s="20" t="s">
        <v>6232</v>
      </c>
      <c r="N552" t="s">
        <v>6232</v>
      </c>
      <c r="P552" t="s">
        <v>1643</v>
      </c>
      <c r="Q552" t="s">
        <v>6232</v>
      </c>
      <c r="R552" t="s">
        <v>4635</v>
      </c>
      <c r="T552" t="s">
        <v>3860</v>
      </c>
      <c r="BI552" s="52" t="str">
        <f>HYPERLINK("#일위대가목록!A565","S024W12540YA →")</f>
        <v>S024W12540YA →</v>
      </c>
    </row>
    <row r="553" spans="1:61" ht="18.399999999999999" customHeight="1">
      <c r="A553" s="11" t="s">
        <v>2843</v>
      </c>
      <c r="B553" s="2" t="s">
        <v>5008</v>
      </c>
      <c r="C553" s="2">
        <v>1</v>
      </c>
      <c r="D553" s="2" t="s">
        <v>2289</v>
      </c>
      <c r="E553" s="29" t="e">
        <f>일위대가목록!#REF!</f>
        <v>#REF!</v>
      </c>
      <c r="F553" s="29" t="e">
        <f t="shared" si="57"/>
        <v>#REF!</v>
      </c>
      <c r="G553" s="29" t="e">
        <f>일위대가목록!#REF!</f>
        <v>#REF!</v>
      </c>
      <c r="H553" s="29" t="e">
        <f t="shared" si="58"/>
        <v>#REF!</v>
      </c>
      <c r="I553" s="29" t="e">
        <f>일위대가목록!#REF!</f>
        <v>#REF!</v>
      </c>
      <c r="J553" s="29" t="e">
        <f t="shared" si="59"/>
        <v>#REF!</v>
      </c>
      <c r="K553" s="29" t="e">
        <f t="shared" si="56"/>
        <v>#REF!</v>
      </c>
      <c r="L553" s="29" t="e">
        <f t="shared" si="55"/>
        <v>#REF!</v>
      </c>
      <c r="M553" s="20" t="s">
        <v>6232</v>
      </c>
      <c r="N553" t="s">
        <v>6232</v>
      </c>
      <c r="P553" t="s">
        <v>3141</v>
      </c>
      <c r="Q553" t="s">
        <v>6232</v>
      </c>
      <c r="R553" t="s">
        <v>1871</v>
      </c>
      <c r="T553" t="s">
        <v>3860</v>
      </c>
      <c r="BI553" s="52" t="str">
        <f>HYPERLINK("#일위대가목록!A566","S024W10080 →")</f>
        <v>S024W10080 →</v>
      </c>
    </row>
    <row r="554" spans="1:61" ht="18.399999999999999" customHeight="1">
      <c r="A554" s="11" t="s">
        <v>2843</v>
      </c>
      <c r="B554" s="2" t="s">
        <v>2448</v>
      </c>
      <c r="C554" s="2">
        <v>1</v>
      </c>
      <c r="D554" s="2" t="s">
        <v>2289</v>
      </c>
      <c r="E554" s="29" t="e">
        <f>일위대가목록!#REF!</f>
        <v>#REF!</v>
      </c>
      <c r="F554" s="29" t="e">
        <f t="shared" si="57"/>
        <v>#REF!</v>
      </c>
      <c r="G554" s="29" t="e">
        <f>일위대가목록!#REF!</f>
        <v>#REF!</v>
      </c>
      <c r="H554" s="29" t="e">
        <f t="shared" si="58"/>
        <v>#REF!</v>
      </c>
      <c r="I554" s="29" t="e">
        <f>일위대가목록!#REF!</f>
        <v>#REF!</v>
      </c>
      <c r="J554" s="29" t="e">
        <f t="shared" si="59"/>
        <v>#REF!</v>
      </c>
      <c r="K554" s="29" t="e">
        <f t="shared" si="56"/>
        <v>#REF!</v>
      </c>
      <c r="L554" s="29" t="e">
        <f t="shared" si="55"/>
        <v>#REF!</v>
      </c>
      <c r="M554" s="20" t="s">
        <v>6232</v>
      </c>
      <c r="N554" t="s">
        <v>6232</v>
      </c>
      <c r="P554" t="s">
        <v>4736</v>
      </c>
      <c r="Q554" t="s">
        <v>6232</v>
      </c>
      <c r="R554" t="s">
        <v>4661</v>
      </c>
      <c r="T554" t="s">
        <v>3860</v>
      </c>
      <c r="BI554" s="52" t="str">
        <f>HYPERLINK("#일위대가목록!A567","S024W10060 →")</f>
        <v>S024W10060 →</v>
      </c>
    </row>
    <row r="555" spans="1:61" ht="18.399999999999999" customHeight="1">
      <c r="A555" s="11" t="s">
        <v>2843</v>
      </c>
      <c r="B555" s="2" t="s">
        <v>139</v>
      </c>
      <c r="C555" s="2">
        <v>1</v>
      </c>
      <c r="D555" s="2" t="s">
        <v>2289</v>
      </c>
      <c r="E555" s="29" t="e">
        <f>일위대가목록!#REF!</f>
        <v>#REF!</v>
      </c>
      <c r="F555" s="29" t="e">
        <f t="shared" si="57"/>
        <v>#REF!</v>
      </c>
      <c r="G555" s="29" t="e">
        <f>일위대가목록!#REF!</f>
        <v>#REF!</v>
      </c>
      <c r="H555" s="29" t="e">
        <f t="shared" si="58"/>
        <v>#REF!</v>
      </c>
      <c r="I555" s="29" t="e">
        <f>일위대가목록!#REF!</f>
        <v>#REF!</v>
      </c>
      <c r="J555" s="29" t="e">
        <f t="shared" si="59"/>
        <v>#REF!</v>
      </c>
      <c r="K555" s="29" t="e">
        <f t="shared" si="56"/>
        <v>#REF!</v>
      </c>
      <c r="L555" s="29" t="e">
        <f t="shared" si="55"/>
        <v>#REF!</v>
      </c>
      <c r="M555" s="20" t="s">
        <v>6232</v>
      </c>
      <c r="N555" t="s">
        <v>6232</v>
      </c>
      <c r="P555" t="s">
        <v>19</v>
      </c>
      <c r="Q555" t="s">
        <v>6232</v>
      </c>
      <c r="R555" t="s">
        <v>1601</v>
      </c>
      <c r="T555" t="s">
        <v>3860</v>
      </c>
      <c r="BI555" s="52" t="str">
        <f>HYPERLINK("#일위대가목록!A568","S024W10040 →")</f>
        <v>S024W10040 →</v>
      </c>
    </row>
    <row r="556" spans="1:61" ht="18.399999999999999" customHeight="1">
      <c r="A556" s="11" t="s">
        <v>863</v>
      </c>
      <c r="B556" s="2" t="s">
        <v>5008</v>
      </c>
      <c r="C556" s="2">
        <v>1</v>
      </c>
      <c r="D556" s="2" t="s">
        <v>2289</v>
      </c>
      <c r="E556" s="29" t="e">
        <f>일위대가목록!#REF!</f>
        <v>#REF!</v>
      </c>
      <c r="F556" s="29" t="e">
        <f t="shared" si="57"/>
        <v>#REF!</v>
      </c>
      <c r="G556" s="29" t="e">
        <f>일위대가목록!#REF!</f>
        <v>#REF!</v>
      </c>
      <c r="H556" s="29" t="e">
        <f t="shared" si="58"/>
        <v>#REF!</v>
      </c>
      <c r="I556" s="29" t="e">
        <f>일위대가목록!#REF!</f>
        <v>#REF!</v>
      </c>
      <c r="J556" s="29" t="e">
        <f t="shared" si="59"/>
        <v>#REF!</v>
      </c>
      <c r="K556" s="29" t="e">
        <f t="shared" si="56"/>
        <v>#REF!</v>
      </c>
      <c r="L556" s="29" t="e">
        <f t="shared" si="55"/>
        <v>#REF!</v>
      </c>
      <c r="M556" s="20" t="s">
        <v>6232</v>
      </c>
      <c r="N556" t="s">
        <v>6232</v>
      </c>
      <c r="P556" t="s">
        <v>1561</v>
      </c>
      <c r="Q556" t="s">
        <v>6232</v>
      </c>
      <c r="R556" t="s">
        <v>2981</v>
      </c>
      <c r="T556" t="s">
        <v>3860</v>
      </c>
      <c r="BI556" s="52" t="str">
        <f>HYPERLINK("#일위대가목록!A569","S024W10080YA →")</f>
        <v>S024W10080YA →</v>
      </c>
    </row>
    <row r="557" spans="1:61" ht="18.399999999999999" customHeight="1">
      <c r="A557" s="11" t="s">
        <v>863</v>
      </c>
      <c r="B557" s="2" t="s">
        <v>2448</v>
      </c>
      <c r="C557" s="2">
        <v>1</v>
      </c>
      <c r="D557" s="2" t="s">
        <v>2289</v>
      </c>
      <c r="E557" s="29" t="e">
        <f>일위대가목록!#REF!</f>
        <v>#REF!</v>
      </c>
      <c r="F557" s="29" t="e">
        <f t="shared" si="57"/>
        <v>#REF!</v>
      </c>
      <c r="G557" s="29" t="e">
        <f>일위대가목록!#REF!</f>
        <v>#REF!</v>
      </c>
      <c r="H557" s="29" t="e">
        <f t="shared" si="58"/>
        <v>#REF!</v>
      </c>
      <c r="I557" s="29" t="e">
        <f>일위대가목록!#REF!</f>
        <v>#REF!</v>
      </c>
      <c r="J557" s="29" t="e">
        <f t="shared" si="59"/>
        <v>#REF!</v>
      </c>
      <c r="K557" s="29" t="e">
        <f t="shared" si="56"/>
        <v>#REF!</v>
      </c>
      <c r="L557" s="29" t="e">
        <f t="shared" si="55"/>
        <v>#REF!</v>
      </c>
      <c r="M557" s="20" t="s">
        <v>6232</v>
      </c>
      <c r="N557" t="s">
        <v>6232</v>
      </c>
      <c r="P557" t="s">
        <v>3446</v>
      </c>
      <c r="Q557" t="s">
        <v>6232</v>
      </c>
      <c r="R557" t="s">
        <v>1886</v>
      </c>
      <c r="T557" t="s">
        <v>3860</v>
      </c>
      <c r="BI557" s="52" t="str">
        <f>HYPERLINK("#일위대가목록!A570","S024W10060YA →")</f>
        <v>S024W10060YA →</v>
      </c>
    </row>
    <row r="558" spans="1:61" ht="18.399999999999999" customHeight="1">
      <c r="A558" s="11" t="s">
        <v>863</v>
      </c>
      <c r="B558" s="2" t="s">
        <v>139</v>
      </c>
      <c r="C558" s="2">
        <v>1</v>
      </c>
      <c r="D558" s="2" t="s">
        <v>2289</v>
      </c>
      <c r="E558" s="29" t="e">
        <f>일위대가목록!#REF!</f>
        <v>#REF!</v>
      </c>
      <c r="F558" s="29" t="e">
        <f t="shared" si="57"/>
        <v>#REF!</v>
      </c>
      <c r="G558" s="29" t="e">
        <f>일위대가목록!#REF!</f>
        <v>#REF!</v>
      </c>
      <c r="H558" s="29" t="e">
        <f t="shared" si="58"/>
        <v>#REF!</v>
      </c>
      <c r="I558" s="29" t="e">
        <f>일위대가목록!#REF!</f>
        <v>#REF!</v>
      </c>
      <c r="J558" s="29" t="e">
        <f t="shared" si="59"/>
        <v>#REF!</v>
      </c>
      <c r="K558" s="29" t="e">
        <f t="shared" si="56"/>
        <v>#REF!</v>
      </c>
      <c r="L558" s="29" t="e">
        <f t="shared" si="55"/>
        <v>#REF!</v>
      </c>
      <c r="M558" s="20" t="s">
        <v>6232</v>
      </c>
      <c r="N558" t="s">
        <v>6232</v>
      </c>
      <c r="P558" t="s">
        <v>5027</v>
      </c>
      <c r="Q558" t="s">
        <v>6232</v>
      </c>
      <c r="R558" t="s">
        <v>4773</v>
      </c>
      <c r="T558" t="s">
        <v>3860</v>
      </c>
      <c r="BI558" s="52" t="str">
        <f>HYPERLINK("#일위대가목록!A571","S024W10040YA →")</f>
        <v>S024W10040YA →</v>
      </c>
    </row>
    <row r="559" spans="1:61" ht="18.399999999999999" customHeight="1">
      <c r="A559" s="11" t="s">
        <v>2843</v>
      </c>
      <c r="B559" s="2" t="s">
        <v>1454</v>
      </c>
      <c r="C559" s="2">
        <v>1</v>
      </c>
      <c r="D559" s="2" t="s">
        <v>2289</v>
      </c>
      <c r="E559" s="29" t="e">
        <f>일위대가목록!#REF!</f>
        <v>#REF!</v>
      </c>
      <c r="F559" s="29" t="e">
        <f t="shared" si="57"/>
        <v>#REF!</v>
      </c>
      <c r="G559" s="29" t="e">
        <f>일위대가목록!#REF!</f>
        <v>#REF!</v>
      </c>
      <c r="H559" s="29" t="e">
        <f t="shared" si="58"/>
        <v>#REF!</v>
      </c>
      <c r="I559" s="29" t="e">
        <f>일위대가목록!#REF!</f>
        <v>#REF!</v>
      </c>
      <c r="J559" s="29" t="e">
        <f t="shared" si="59"/>
        <v>#REF!</v>
      </c>
      <c r="K559" s="29" t="e">
        <f t="shared" si="56"/>
        <v>#REF!</v>
      </c>
      <c r="L559" s="29" t="e">
        <f t="shared" si="55"/>
        <v>#REF!</v>
      </c>
      <c r="M559" s="20" t="s">
        <v>6232</v>
      </c>
      <c r="N559" t="s">
        <v>6232</v>
      </c>
      <c r="P559" t="s">
        <v>4307</v>
      </c>
      <c r="Q559" t="s">
        <v>6232</v>
      </c>
      <c r="R559" t="s">
        <v>415</v>
      </c>
      <c r="T559" t="s">
        <v>3860</v>
      </c>
      <c r="BI559" s="52" t="str">
        <f>HYPERLINK("#일위대가목록!A572","S024W08080 →")</f>
        <v>S024W08080 →</v>
      </c>
    </row>
    <row r="560" spans="1:61" ht="18.399999999999999" customHeight="1">
      <c r="A560" s="11" t="s">
        <v>2843</v>
      </c>
      <c r="B560" s="2" t="s">
        <v>3672</v>
      </c>
      <c r="C560" s="2">
        <v>1</v>
      </c>
      <c r="D560" s="2" t="s">
        <v>2289</v>
      </c>
      <c r="E560" s="29" t="e">
        <f>일위대가목록!#REF!</f>
        <v>#REF!</v>
      </c>
      <c r="F560" s="29" t="e">
        <f t="shared" si="57"/>
        <v>#REF!</v>
      </c>
      <c r="G560" s="29" t="e">
        <f>일위대가목록!#REF!</f>
        <v>#REF!</v>
      </c>
      <c r="H560" s="29" t="e">
        <f t="shared" si="58"/>
        <v>#REF!</v>
      </c>
      <c r="I560" s="29" t="e">
        <f>일위대가목록!#REF!</f>
        <v>#REF!</v>
      </c>
      <c r="J560" s="29" t="e">
        <f t="shared" si="59"/>
        <v>#REF!</v>
      </c>
      <c r="K560" s="29" t="e">
        <f t="shared" si="56"/>
        <v>#REF!</v>
      </c>
      <c r="L560" s="29" t="e">
        <f t="shared" si="55"/>
        <v>#REF!</v>
      </c>
      <c r="M560" s="20" t="s">
        <v>6232</v>
      </c>
      <c r="N560" t="s">
        <v>6232</v>
      </c>
      <c r="P560" t="s">
        <v>5828</v>
      </c>
      <c r="Q560" t="s">
        <v>6232</v>
      </c>
      <c r="R560" t="s">
        <v>3864</v>
      </c>
      <c r="T560" t="s">
        <v>3860</v>
      </c>
      <c r="BI560" s="52" t="str">
        <f>HYPERLINK("#일위대가목록!A573","S024W08060 →")</f>
        <v>S024W08060 →</v>
      </c>
    </row>
    <row r="561" spans="1:61" ht="18.399999999999999" customHeight="1">
      <c r="A561" s="11" t="s">
        <v>2843</v>
      </c>
      <c r="B561" s="2" t="s">
        <v>5932</v>
      </c>
      <c r="C561" s="2">
        <v>1</v>
      </c>
      <c r="D561" s="2" t="s">
        <v>2289</v>
      </c>
      <c r="E561" s="29" t="e">
        <f>일위대가목록!#REF!</f>
        <v>#REF!</v>
      </c>
      <c r="F561" s="29" t="e">
        <f t="shared" si="57"/>
        <v>#REF!</v>
      </c>
      <c r="G561" s="29" t="e">
        <f>일위대가목록!#REF!</f>
        <v>#REF!</v>
      </c>
      <c r="H561" s="29" t="e">
        <f t="shared" si="58"/>
        <v>#REF!</v>
      </c>
      <c r="I561" s="29" t="e">
        <f>일위대가목록!#REF!</f>
        <v>#REF!</v>
      </c>
      <c r="J561" s="29" t="e">
        <f t="shared" si="59"/>
        <v>#REF!</v>
      </c>
      <c r="K561" s="29" t="e">
        <f t="shared" si="56"/>
        <v>#REF!</v>
      </c>
      <c r="L561" s="29" t="e">
        <f t="shared" si="55"/>
        <v>#REF!</v>
      </c>
      <c r="M561" s="20" t="s">
        <v>6232</v>
      </c>
      <c r="N561" t="s">
        <v>6232</v>
      </c>
      <c r="P561" t="s">
        <v>1242</v>
      </c>
      <c r="Q561" t="s">
        <v>6232</v>
      </c>
      <c r="R561" t="s">
        <v>714</v>
      </c>
      <c r="T561" t="s">
        <v>3860</v>
      </c>
      <c r="BI561" s="52" t="str">
        <f>HYPERLINK("#일위대가목록!A574","S024W08040 →")</f>
        <v>S024W08040 →</v>
      </c>
    </row>
    <row r="562" spans="1:61" ht="18.399999999999999" customHeight="1">
      <c r="A562" s="11" t="s">
        <v>863</v>
      </c>
      <c r="B562" s="2" t="s">
        <v>1454</v>
      </c>
      <c r="C562" s="2">
        <v>1</v>
      </c>
      <c r="D562" s="2" t="s">
        <v>2289</v>
      </c>
      <c r="E562" s="29" t="e">
        <f>일위대가목록!#REF!</f>
        <v>#REF!</v>
      </c>
      <c r="F562" s="29" t="e">
        <f t="shared" si="57"/>
        <v>#REF!</v>
      </c>
      <c r="G562" s="29" t="e">
        <f>일위대가목록!#REF!</f>
        <v>#REF!</v>
      </c>
      <c r="H562" s="29" t="e">
        <f t="shared" si="58"/>
        <v>#REF!</v>
      </c>
      <c r="I562" s="29" t="e">
        <f>일위대가목록!#REF!</f>
        <v>#REF!</v>
      </c>
      <c r="J562" s="29" t="e">
        <f t="shared" si="59"/>
        <v>#REF!</v>
      </c>
      <c r="K562" s="29" t="e">
        <f t="shared" si="56"/>
        <v>#REF!</v>
      </c>
      <c r="L562" s="29" t="e">
        <f t="shared" si="55"/>
        <v>#REF!</v>
      </c>
      <c r="M562" s="20" t="s">
        <v>6232</v>
      </c>
      <c r="N562" t="s">
        <v>6232</v>
      </c>
      <c r="P562" t="s">
        <v>2742</v>
      </c>
      <c r="Q562" t="s">
        <v>6232</v>
      </c>
      <c r="R562" t="s">
        <v>4043</v>
      </c>
      <c r="T562" t="s">
        <v>3860</v>
      </c>
      <c r="BI562" s="52" t="str">
        <f>HYPERLINK("#일위대가목록!A575","S024W08080YA →")</f>
        <v>S024W08080YA →</v>
      </c>
    </row>
    <row r="563" spans="1:61" ht="18.399999999999999" customHeight="1">
      <c r="A563" s="11" t="s">
        <v>863</v>
      </c>
      <c r="B563" s="2" t="s">
        <v>3672</v>
      </c>
      <c r="C563" s="2">
        <v>1</v>
      </c>
      <c r="D563" s="2" t="s">
        <v>2289</v>
      </c>
      <c r="E563" s="29" t="e">
        <f>일위대가목록!#REF!</f>
        <v>#REF!</v>
      </c>
      <c r="F563" s="29" t="e">
        <f t="shared" si="57"/>
        <v>#REF!</v>
      </c>
      <c r="G563" s="29" t="e">
        <f>일위대가목록!#REF!</f>
        <v>#REF!</v>
      </c>
      <c r="H563" s="29" t="e">
        <f t="shared" si="58"/>
        <v>#REF!</v>
      </c>
      <c r="I563" s="29" t="e">
        <f>일위대가목록!#REF!</f>
        <v>#REF!</v>
      </c>
      <c r="J563" s="29" t="e">
        <f t="shared" si="59"/>
        <v>#REF!</v>
      </c>
      <c r="K563" s="29" t="e">
        <f t="shared" si="56"/>
        <v>#REF!</v>
      </c>
      <c r="L563" s="29" t="e">
        <f t="shared" si="55"/>
        <v>#REF!</v>
      </c>
      <c r="M563" s="20" t="s">
        <v>6232</v>
      </c>
      <c r="N563" t="s">
        <v>6232</v>
      </c>
      <c r="P563" t="s">
        <v>4395</v>
      </c>
      <c r="Q563" t="s">
        <v>6232</v>
      </c>
      <c r="R563" t="s">
        <v>3654</v>
      </c>
      <c r="T563" t="s">
        <v>3860</v>
      </c>
      <c r="BI563" s="52" t="str">
        <f>HYPERLINK("#일위대가목록!A576","S024W08060YA →")</f>
        <v>S024W08060YA →</v>
      </c>
    </row>
    <row r="564" spans="1:61" ht="18.399999999999999" customHeight="1">
      <c r="A564" s="11" t="s">
        <v>863</v>
      </c>
      <c r="B564" s="2" t="s">
        <v>5932</v>
      </c>
      <c r="C564" s="2">
        <v>1</v>
      </c>
      <c r="D564" s="2" t="s">
        <v>2289</v>
      </c>
      <c r="E564" s="29" t="e">
        <f>일위대가목록!#REF!</f>
        <v>#REF!</v>
      </c>
      <c r="F564" s="29" t="e">
        <f t="shared" si="57"/>
        <v>#REF!</v>
      </c>
      <c r="G564" s="29" t="e">
        <f>일위대가목록!#REF!</f>
        <v>#REF!</v>
      </c>
      <c r="H564" s="29" t="e">
        <f t="shared" si="58"/>
        <v>#REF!</v>
      </c>
      <c r="I564" s="29" t="e">
        <f>일위대가목록!#REF!</f>
        <v>#REF!</v>
      </c>
      <c r="J564" s="29" t="e">
        <f t="shared" si="59"/>
        <v>#REF!</v>
      </c>
      <c r="K564" s="29" t="e">
        <f t="shared" si="56"/>
        <v>#REF!</v>
      </c>
      <c r="L564" s="29" t="e">
        <f t="shared" si="55"/>
        <v>#REF!</v>
      </c>
      <c r="M564" s="20" t="s">
        <v>6232</v>
      </c>
      <c r="N564" t="s">
        <v>6232</v>
      </c>
      <c r="P564" t="s">
        <v>5944</v>
      </c>
      <c r="Q564" t="s">
        <v>6232</v>
      </c>
      <c r="R564" t="s">
        <v>703</v>
      </c>
      <c r="T564" t="s">
        <v>3860</v>
      </c>
      <c r="BI564" s="52" t="str">
        <f>HYPERLINK("#일위대가목록!A577","S024W08040YA →")</f>
        <v>S024W08040YA →</v>
      </c>
    </row>
    <row r="565" spans="1:61" ht="18.399999999999999" customHeight="1">
      <c r="A565" s="11" t="s">
        <v>2843</v>
      </c>
      <c r="B565" s="2" t="s">
        <v>444</v>
      </c>
      <c r="C565" s="2">
        <v>1</v>
      </c>
      <c r="D565" s="2" t="s">
        <v>2289</v>
      </c>
      <c r="E565" s="29" t="e">
        <f>일위대가목록!#REF!</f>
        <v>#REF!</v>
      </c>
      <c r="F565" s="29" t="e">
        <f t="shared" ref="F565:F596" si="60">TRUNC(E565*C565,0)</f>
        <v>#REF!</v>
      </c>
      <c r="G565" s="29" t="e">
        <f>일위대가목록!#REF!</f>
        <v>#REF!</v>
      </c>
      <c r="H565" s="29" t="e">
        <f t="shared" ref="H565:H596" si="61">TRUNC(G565*C565,0)</f>
        <v>#REF!</v>
      </c>
      <c r="I565" s="29" t="e">
        <f>일위대가목록!#REF!</f>
        <v>#REF!</v>
      </c>
      <c r="J565" s="29" t="e">
        <f t="shared" ref="J565:J596" si="62">TRUNC(I565*C565,0)</f>
        <v>#REF!</v>
      </c>
      <c r="K565" s="29" t="e">
        <f t="shared" si="56"/>
        <v>#REF!</v>
      </c>
      <c r="L565" s="29" t="e">
        <f t="shared" si="55"/>
        <v>#REF!</v>
      </c>
      <c r="M565" s="20" t="s">
        <v>6232</v>
      </c>
      <c r="N565" t="s">
        <v>6232</v>
      </c>
      <c r="P565" t="s">
        <v>1327</v>
      </c>
      <c r="Q565" t="s">
        <v>6232</v>
      </c>
      <c r="R565" t="s">
        <v>4872</v>
      </c>
      <c r="T565" t="s">
        <v>3860</v>
      </c>
      <c r="BI565" s="52" t="str">
        <f>HYPERLINK("#일위대가목록!A578","S024W06580 →")</f>
        <v>S024W06580 →</v>
      </c>
    </row>
    <row r="566" spans="1:61" ht="18.399999999999999" customHeight="1">
      <c r="A566" s="11" t="s">
        <v>2843</v>
      </c>
      <c r="B566" s="2" t="s">
        <v>4487</v>
      </c>
      <c r="C566" s="2">
        <v>1</v>
      </c>
      <c r="D566" s="2" t="s">
        <v>2289</v>
      </c>
      <c r="E566" s="29" t="e">
        <f>일위대가목록!#REF!</f>
        <v>#REF!</v>
      </c>
      <c r="F566" s="29" t="e">
        <f t="shared" si="60"/>
        <v>#REF!</v>
      </c>
      <c r="G566" s="29" t="e">
        <f>일위대가목록!#REF!</f>
        <v>#REF!</v>
      </c>
      <c r="H566" s="29" t="e">
        <f t="shared" si="61"/>
        <v>#REF!</v>
      </c>
      <c r="I566" s="29" t="e">
        <f>일위대가목록!#REF!</f>
        <v>#REF!</v>
      </c>
      <c r="J566" s="29" t="e">
        <f t="shared" si="62"/>
        <v>#REF!</v>
      </c>
      <c r="K566" s="29" t="e">
        <f t="shared" si="56"/>
        <v>#REF!</v>
      </c>
      <c r="L566" s="29" t="e">
        <f t="shared" si="55"/>
        <v>#REF!</v>
      </c>
      <c r="M566" s="20" t="s">
        <v>6232</v>
      </c>
      <c r="N566" t="s">
        <v>6232</v>
      </c>
      <c r="P566" t="s">
        <v>2844</v>
      </c>
      <c r="Q566" t="s">
        <v>6232</v>
      </c>
      <c r="R566" t="s">
        <v>1696</v>
      </c>
      <c r="T566" t="s">
        <v>3860</v>
      </c>
      <c r="BI566" s="52" t="str">
        <f>HYPERLINK("#일위대가목록!A579","S024W06560 →")</f>
        <v>S024W06560 →</v>
      </c>
    </row>
    <row r="567" spans="1:61" ht="18.399999999999999" customHeight="1">
      <c r="A567" s="11" t="s">
        <v>2843</v>
      </c>
      <c r="B567" s="2" t="s">
        <v>5310</v>
      </c>
      <c r="C567" s="2">
        <v>1</v>
      </c>
      <c r="D567" s="2" t="s">
        <v>2289</v>
      </c>
      <c r="E567" s="29" t="e">
        <f>일위대가목록!#REF!</f>
        <v>#REF!</v>
      </c>
      <c r="F567" s="29" t="e">
        <f t="shared" si="60"/>
        <v>#REF!</v>
      </c>
      <c r="G567" s="29" t="e">
        <f>일위대가목록!#REF!</f>
        <v>#REF!</v>
      </c>
      <c r="H567" s="29" t="e">
        <f t="shared" si="61"/>
        <v>#REF!</v>
      </c>
      <c r="I567" s="29" t="e">
        <f>일위대가목록!#REF!</f>
        <v>#REF!</v>
      </c>
      <c r="J567" s="29" t="e">
        <f t="shared" si="62"/>
        <v>#REF!</v>
      </c>
      <c r="K567" s="29" t="e">
        <f t="shared" si="56"/>
        <v>#REF!</v>
      </c>
      <c r="L567" s="29" t="e">
        <f t="shared" si="55"/>
        <v>#REF!</v>
      </c>
      <c r="M567" s="20" t="s">
        <v>6232</v>
      </c>
      <c r="N567" t="s">
        <v>6232</v>
      </c>
      <c r="P567" t="s">
        <v>4490</v>
      </c>
      <c r="Q567" t="s">
        <v>6232</v>
      </c>
      <c r="R567" t="s">
        <v>4790</v>
      </c>
      <c r="T567" t="s">
        <v>3860</v>
      </c>
      <c r="BI567" s="52" t="str">
        <f>HYPERLINK("#일위대가목록!A580","S024W06540 →")</f>
        <v>S024W06540 →</v>
      </c>
    </row>
    <row r="568" spans="1:61" ht="18.399999999999999" customHeight="1">
      <c r="A568" s="11" t="s">
        <v>863</v>
      </c>
      <c r="B568" s="2" t="s">
        <v>444</v>
      </c>
      <c r="C568" s="2">
        <v>1</v>
      </c>
      <c r="D568" s="2" t="s">
        <v>2289</v>
      </c>
      <c r="E568" s="29" t="e">
        <f>일위대가목록!#REF!</f>
        <v>#REF!</v>
      </c>
      <c r="F568" s="29" t="e">
        <f t="shared" si="60"/>
        <v>#REF!</v>
      </c>
      <c r="G568" s="29" t="e">
        <f>일위대가목록!#REF!</f>
        <v>#REF!</v>
      </c>
      <c r="H568" s="29" t="e">
        <f t="shared" si="61"/>
        <v>#REF!</v>
      </c>
      <c r="I568" s="29" t="e">
        <f>일위대가목록!#REF!</f>
        <v>#REF!</v>
      </c>
      <c r="J568" s="29" t="e">
        <f t="shared" si="62"/>
        <v>#REF!</v>
      </c>
      <c r="K568" s="29" t="e">
        <f t="shared" si="56"/>
        <v>#REF!</v>
      </c>
      <c r="L568" s="29" t="e">
        <f t="shared" si="55"/>
        <v>#REF!</v>
      </c>
      <c r="M568" s="20" t="s">
        <v>6232</v>
      </c>
      <c r="N568" t="s">
        <v>6232</v>
      </c>
      <c r="P568" t="s">
        <v>6036</v>
      </c>
      <c r="Q568" t="s">
        <v>6232</v>
      </c>
      <c r="R568" t="s">
        <v>4021</v>
      </c>
      <c r="T568" t="s">
        <v>3860</v>
      </c>
      <c r="BI568" s="52" t="str">
        <f>HYPERLINK("#일위대가목록!A581","S024W06580YA →")</f>
        <v>S024W06580YA →</v>
      </c>
    </row>
    <row r="569" spans="1:61" ht="18.399999999999999" customHeight="1">
      <c r="A569" s="11" t="s">
        <v>863</v>
      </c>
      <c r="B569" s="2" t="s">
        <v>4487</v>
      </c>
      <c r="C569" s="2">
        <v>1</v>
      </c>
      <c r="D569" s="2" t="s">
        <v>2289</v>
      </c>
      <c r="E569" s="29" t="e">
        <f>일위대가목록!#REF!</f>
        <v>#REF!</v>
      </c>
      <c r="F569" s="29" t="e">
        <f t="shared" si="60"/>
        <v>#REF!</v>
      </c>
      <c r="G569" s="29" t="e">
        <f>일위대가목록!#REF!</f>
        <v>#REF!</v>
      </c>
      <c r="H569" s="29" t="e">
        <f t="shared" si="61"/>
        <v>#REF!</v>
      </c>
      <c r="I569" s="29" t="e">
        <f>일위대가목록!#REF!</f>
        <v>#REF!</v>
      </c>
      <c r="J569" s="29" t="e">
        <f t="shared" si="62"/>
        <v>#REF!</v>
      </c>
      <c r="K569" s="29" t="e">
        <f t="shared" si="56"/>
        <v>#REF!</v>
      </c>
      <c r="L569" s="29" t="e">
        <f t="shared" si="55"/>
        <v>#REF!</v>
      </c>
      <c r="M569" s="20" t="s">
        <v>6232</v>
      </c>
      <c r="N569" t="s">
        <v>6232</v>
      </c>
      <c r="P569" t="s">
        <v>3390</v>
      </c>
      <c r="Q569" t="s">
        <v>6232</v>
      </c>
      <c r="R569" t="s">
        <v>3646</v>
      </c>
      <c r="T569" t="s">
        <v>3860</v>
      </c>
      <c r="BI569" s="52" t="str">
        <f>HYPERLINK("#일위대가목록!A582","S024W06560YA →")</f>
        <v>S024W06560YA →</v>
      </c>
    </row>
    <row r="570" spans="1:61" ht="18.399999999999999" customHeight="1">
      <c r="A570" s="11" t="s">
        <v>863</v>
      </c>
      <c r="B570" s="2" t="s">
        <v>5310</v>
      </c>
      <c r="C570" s="2">
        <v>1</v>
      </c>
      <c r="D570" s="2" t="s">
        <v>2289</v>
      </c>
      <c r="E570" s="29" t="e">
        <f>일위대가목록!#REF!</f>
        <v>#REF!</v>
      </c>
      <c r="F570" s="29" t="e">
        <f t="shared" si="60"/>
        <v>#REF!</v>
      </c>
      <c r="G570" s="29" t="e">
        <f>일위대가목록!#REF!</f>
        <v>#REF!</v>
      </c>
      <c r="H570" s="29" t="e">
        <f t="shared" si="61"/>
        <v>#REF!</v>
      </c>
      <c r="I570" s="29" t="e">
        <f>일위대가목록!#REF!</f>
        <v>#REF!</v>
      </c>
      <c r="J570" s="29" t="e">
        <f t="shared" si="62"/>
        <v>#REF!</v>
      </c>
      <c r="K570" s="29" t="e">
        <f t="shared" si="56"/>
        <v>#REF!</v>
      </c>
      <c r="L570" s="29" t="e">
        <f t="shared" si="55"/>
        <v>#REF!</v>
      </c>
      <c r="M570" s="20" t="s">
        <v>6232</v>
      </c>
      <c r="N570" t="s">
        <v>6232</v>
      </c>
      <c r="P570" t="s">
        <v>4981</v>
      </c>
      <c r="Q570" t="s">
        <v>6232</v>
      </c>
      <c r="R570" t="s">
        <v>712</v>
      </c>
      <c r="T570" t="s">
        <v>3860</v>
      </c>
      <c r="BI570" s="52" t="str">
        <f>HYPERLINK("#일위대가목록!A583","S024W06540YA →")</f>
        <v>S024W06540YA →</v>
      </c>
    </row>
    <row r="571" spans="1:61" ht="18.399999999999999" customHeight="1">
      <c r="A571" s="11" t="s">
        <v>2843</v>
      </c>
      <c r="B571" s="2" t="s">
        <v>6077</v>
      </c>
      <c r="C571" s="2">
        <v>1</v>
      </c>
      <c r="D571" s="2" t="s">
        <v>2289</v>
      </c>
      <c r="E571" s="29" t="e">
        <f>일위대가목록!#REF!</f>
        <v>#REF!</v>
      </c>
      <c r="F571" s="29" t="e">
        <f t="shared" si="60"/>
        <v>#REF!</v>
      </c>
      <c r="G571" s="29" t="e">
        <f>일위대가목록!#REF!</f>
        <v>#REF!</v>
      </c>
      <c r="H571" s="29" t="e">
        <f t="shared" si="61"/>
        <v>#REF!</v>
      </c>
      <c r="I571" s="29" t="e">
        <f>일위대가목록!#REF!</f>
        <v>#REF!</v>
      </c>
      <c r="J571" s="29" t="e">
        <f t="shared" si="62"/>
        <v>#REF!</v>
      </c>
      <c r="K571" s="29" t="e">
        <f t="shared" si="56"/>
        <v>#REF!</v>
      </c>
      <c r="L571" s="29" t="e">
        <f t="shared" si="55"/>
        <v>#REF!</v>
      </c>
      <c r="M571" s="20" t="s">
        <v>6232</v>
      </c>
      <c r="N571" t="s">
        <v>6232</v>
      </c>
      <c r="P571" t="s">
        <v>310</v>
      </c>
      <c r="Q571" t="s">
        <v>6232</v>
      </c>
      <c r="R571" t="s">
        <v>4941</v>
      </c>
      <c r="T571" t="s">
        <v>3860</v>
      </c>
      <c r="BI571" s="52" t="str">
        <f>HYPERLINK("#일위대가목록!A584","S024W05080 →")</f>
        <v>S024W05080 →</v>
      </c>
    </row>
    <row r="572" spans="1:61" ht="18.399999999999999" customHeight="1">
      <c r="A572" s="11" t="s">
        <v>2843</v>
      </c>
      <c r="B572" s="2" t="s">
        <v>1950</v>
      </c>
      <c r="C572" s="2">
        <v>1</v>
      </c>
      <c r="D572" s="2" t="s">
        <v>2289</v>
      </c>
      <c r="E572" s="29" t="e">
        <f>일위대가목록!#REF!</f>
        <v>#REF!</v>
      </c>
      <c r="F572" s="29" t="e">
        <f t="shared" si="60"/>
        <v>#REF!</v>
      </c>
      <c r="G572" s="29" t="e">
        <f>일위대가목록!#REF!</f>
        <v>#REF!</v>
      </c>
      <c r="H572" s="29" t="e">
        <f t="shared" si="61"/>
        <v>#REF!</v>
      </c>
      <c r="I572" s="29" t="e">
        <f>일위대가목록!#REF!</f>
        <v>#REF!</v>
      </c>
      <c r="J572" s="29" t="e">
        <f t="shared" si="62"/>
        <v>#REF!</v>
      </c>
      <c r="K572" s="29" t="e">
        <f t="shared" si="56"/>
        <v>#REF!</v>
      </c>
      <c r="L572" s="29" t="e">
        <f t="shared" si="55"/>
        <v>#REF!</v>
      </c>
      <c r="M572" s="20" t="s">
        <v>6232</v>
      </c>
      <c r="N572" t="s">
        <v>6232</v>
      </c>
      <c r="P572" t="s">
        <v>1885</v>
      </c>
      <c r="Q572" t="s">
        <v>6232</v>
      </c>
      <c r="R572" t="s">
        <v>1586</v>
      </c>
      <c r="T572" t="s">
        <v>3860</v>
      </c>
      <c r="BI572" s="52" t="str">
        <f>HYPERLINK("#일위대가목록!A585","S024W05060 →")</f>
        <v>S024W05060 →</v>
      </c>
    </row>
    <row r="573" spans="1:61" ht="18.399999999999999" customHeight="1">
      <c r="A573" s="11" t="s">
        <v>2843</v>
      </c>
      <c r="B573" s="2" t="s">
        <v>1224</v>
      </c>
      <c r="C573" s="2">
        <v>1</v>
      </c>
      <c r="D573" s="2" t="s">
        <v>2289</v>
      </c>
      <c r="E573" s="29" t="e">
        <f>일위대가목록!#REF!</f>
        <v>#REF!</v>
      </c>
      <c r="F573" s="29" t="e">
        <f t="shared" si="60"/>
        <v>#REF!</v>
      </c>
      <c r="G573" s="29" t="e">
        <f>일위대가목록!#REF!</f>
        <v>#REF!</v>
      </c>
      <c r="H573" s="29" t="e">
        <f t="shared" si="61"/>
        <v>#REF!</v>
      </c>
      <c r="I573" s="29" t="e">
        <f>일위대가목록!#REF!</f>
        <v>#REF!</v>
      </c>
      <c r="J573" s="29" t="e">
        <f t="shared" si="62"/>
        <v>#REF!</v>
      </c>
      <c r="K573" s="29" t="e">
        <f t="shared" si="56"/>
        <v>#REF!</v>
      </c>
      <c r="L573" s="29" t="e">
        <f t="shared" si="55"/>
        <v>#REF!</v>
      </c>
      <c r="M573" s="20" t="s">
        <v>6232</v>
      </c>
      <c r="N573" t="s">
        <v>6232</v>
      </c>
      <c r="P573" t="s">
        <v>3292</v>
      </c>
      <c r="Q573" t="s">
        <v>6232</v>
      </c>
      <c r="R573" t="s">
        <v>4648</v>
      </c>
      <c r="T573" t="s">
        <v>3860</v>
      </c>
      <c r="BI573" s="52" t="str">
        <f>HYPERLINK("#일위대가목록!A586","S024W05040 →")</f>
        <v>S024W05040 →</v>
      </c>
    </row>
    <row r="574" spans="1:61" ht="18.399999999999999" customHeight="1">
      <c r="A574" s="11" t="s">
        <v>863</v>
      </c>
      <c r="B574" s="2" t="s">
        <v>6077</v>
      </c>
      <c r="C574" s="2">
        <v>1</v>
      </c>
      <c r="D574" s="2" t="s">
        <v>2289</v>
      </c>
      <c r="E574" s="29" t="e">
        <f>일위대가목록!#REF!</f>
        <v>#REF!</v>
      </c>
      <c r="F574" s="29" t="e">
        <f t="shared" si="60"/>
        <v>#REF!</v>
      </c>
      <c r="G574" s="29" t="e">
        <f>일위대가목록!#REF!</f>
        <v>#REF!</v>
      </c>
      <c r="H574" s="29" t="e">
        <f t="shared" si="61"/>
        <v>#REF!</v>
      </c>
      <c r="I574" s="29" t="e">
        <f>일위대가목록!#REF!</f>
        <v>#REF!</v>
      </c>
      <c r="J574" s="29" t="e">
        <f t="shared" si="62"/>
        <v>#REF!</v>
      </c>
      <c r="K574" s="29" t="e">
        <f t="shared" si="56"/>
        <v>#REF!</v>
      </c>
      <c r="L574" s="29" t="e">
        <f t="shared" si="55"/>
        <v>#REF!</v>
      </c>
      <c r="M574" s="20" t="s">
        <v>6232</v>
      </c>
      <c r="N574" t="s">
        <v>6232</v>
      </c>
      <c r="P574" t="s">
        <v>4886</v>
      </c>
      <c r="Q574" t="s">
        <v>6232</v>
      </c>
      <c r="R574" t="s">
        <v>2965</v>
      </c>
      <c r="T574" t="s">
        <v>3860</v>
      </c>
      <c r="BI574" s="52" t="str">
        <f>HYPERLINK("#일위대가목록!A587","S024W05080YA →")</f>
        <v>S024W05080YA →</v>
      </c>
    </row>
    <row r="575" spans="1:61" ht="18.399999999999999" customHeight="1">
      <c r="A575" s="11" t="s">
        <v>863</v>
      </c>
      <c r="B575" s="2" t="s">
        <v>1950</v>
      </c>
      <c r="C575" s="2">
        <v>1</v>
      </c>
      <c r="D575" s="2" t="s">
        <v>2289</v>
      </c>
      <c r="E575" s="29" t="e">
        <f>일위대가목록!#REF!</f>
        <v>#REF!</v>
      </c>
      <c r="F575" s="29" t="e">
        <f t="shared" si="60"/>
        <v>#REF!</v>
      </c>
      <c r="G575" s="29" t="e">
        <f>일위대가목록!#REF!</f>
        <v>#REF!</v>
      </c>
      <c r="H575" s="29" t="e">
        <f t="shared" si="61"/>
        <v>#REF!</v>
      </c>
      <c r="I575" s="29" t="e">
        <f>일위대가목록!#REF!</f>
        <v>#REF!</v>
      </c>
      <c r="J575" s="29" t="e">
        <f t="shared" si="62"/>
        <v>#REF!</v>
      </c>
      <c r="K575" s="29" t="e">
        <f t="shared" si="56"/>
        <v>#REF!</v>
      </c>
      <c r="L575" s="29" t="e">
        <f t="shared" si="55"/>
        <v>#REF!</v>
      </c>
      <c r="M575" s="20" t="s">
        <v>6232</v>
      </c>
      <c r="N575" t="s">
        <v>6232</v>
      </c>
      <c r="P575" t="s">
        <v>243</v>
      </c>
      <c r="Q575" t="s">
        <v>6232</v>
      </c>
      <c r="R575" t="s">
        <v>1727</v>
      </c>
      <c r="T575" t="s">
        <v>3860</v>
      </c>
      <c r="BI575" s="52" t="str">
        <f>HYPERLINK("#일위대가목록!A588","S024W05060YA →")</f>
        <v>S024W05060YA →</v>
      </c>
    </row>
    <row r="576" spans="1:61" ht="18.399999999999999" customHeight="1">
      <c r="A576" s="11" t="s">
        <v>863</v>
      </c>
      <c r="B576" s="2" t="s">
        <v>1224</v>
      </c>
      <c r="C576" s="2">
        <v>1</v>
      </c>
      <c r="D576" s="2" t="s">
        <v>2289</v>
      </c>
      <c r="E576" s="29" t="e">
        <f>일위대가목록!#REF!</f>
        <v>#REF!</v>
      </c>
      <c r="F576" s="29" t="e">
        <f t="shared" si="60"/>
        <v>#REF!</v>
      </c>
      <c r="G576" s="29" t="e">
        <f>일위대가목록!#REF!</f>
        <v>#REF!</v>
      </c>
      <c r="H576" s="29" t="e">
        <f t="shared" si="61"/>
        <v>#REF!</v>
      </c>
      <c r="I576" s="29" t="e">
        <f>일위대가목록!#REF!</f>
        <v>#REF!</v>
      </c>
      <c r="J576" s="29" t="e">
        <f t="shared" si="62"/>
        <v>#REF!</v>
      </c>
      <c r="K576" s="29" t="e">
        <f t="shared" si="56"/>
        <v>#REF!</v>
      </c>
      <c r="L576" s="29" t="e">
        <f t="shared" si="55"/>
        <v>#REF!</v>
      </c>
      <c r="M576" s="20" t="s">
        <v>6232</v>
      </c>
      <c r="N576" t="s">
        <v>6232</v>
      </c>
      <c r="P576" t="s">
        <v>1804</v>
      </c>
      <c r="Q576" t="s">
        <v>6232</v>
      </c>
      <c r="R576" t="s">
        <v>4733</v>
      </c>
      <c r="T576" t="s">
        <v>3860</v>
      </c>
      <c r="BI576" s="52" t="str">
        <f>HYPERLINK("#일위대가목록!A589","S024W05040YA →")</f>
        <v>S024W05040YA →</v>
      </c>
    </row>
    <row r="577" spans="1:61" ht="18.399999999999999" customHeight="1">
      <c r="A577" s="11" t="s">
        <v>2843</v>
      </c>
      <c r="B577" s="2" t="s">
        <v>5367</v>
      </c>
      <c r="C577" s="2">
        <v>1</v>
      </c>
      <c r="D577" s="2" t="s">
        <v>2289</v>
      </c>
      <c r="E577" s="29" t="e">
        <f>일위대가목록!#REF!</f>
        <v>#REF!</v>
      </c>
      <c r="F577" s="29" t="e">
        <f t="shared" si="60"/>
        <v>#REF!</v>
      </c>
      <c r="G577" s="29" t="e">
        <f>일위대가목록!#REF!</f>
        <v>#REF!</v>
      </c>
      <c r="H577" s="29" t="e">
        <f t="shared" si="61"/>
        <v>#REF!</v>
      </c>
      <c r="I577" s="29" t="e">
        <f>일위대가목록!#REF!</f>
        <v>#REF!</v>
      </c>
      <c r="J577" s="29" t="e">
        <f t="shared" si="62"/>
        <v>#REF!</v>
      </c>
      <c r="K577" s="29" t="e">
        <f t="shared" si="56"/>
        <v>#REF!</v>
      </c>
      <c r="L577" s="29" t="e">
        <f t="shared" si="55"/>
        <v>#REF!</v>
      </c>
      <c r="M577" s="20" t="s">
        <v>6232</v>
      </c>
      <c r="N577" t="s">
        <v>6232</v>
      </c>
      <c r="P577" t="s">
        <v>3198</v>
      </c>
      <c r="Q577" t="s">
        <v>6232</v>
      </c>
      <c r="R577" t="s">
        <v>4105</v>
      </c>
      <c r="T577" t="s">
        <v>3860</v>
      </c>
      <c r="BI577" s="52" t="str">
        <f>HYPERLINK("#일위대가목록!A590","S024W04080 →")</f>
        <v>S024W04080 →</v>
      </c>
    </row>
    <row r="578" spans="1:61" ht="18.399999999999999" customHeight="1">
      <c r="A578" s="11" t="s">
        <v>2843</v>
      </c>
      <c r="B578" s="2" t="s">
        <v>2849</v>
      </c>
      <c r="C578" s="2">
        <v>1</v>
      </c>
      <c r="D578" s="2" t="s">
        <v>2289</v>
      </c>
      <c r="E578" s="29" t="e">
        <f>일위대가목록!#REF!</f>
        <v>#REF!</v>
      </c>
      <c r="F578" s="29" t="e">
        <f t="shared" si="60"/>
        <v>#REF!</v>
      </c>
      <c r="G578" s="29" t="e">
        <f>일위대가목록!#REF!</f>
        <v>#REF!</v>
      </c>
      <c r="H578" s="29" t="e">
        <f t="shared" si="61"/>
        <v>#REF!</v>
      </c>
      <c r="I578" s="29" t="e">
        <f>일위대가목록!#REF!</f>
        <v>#REF!</v>
      </c>
      <c r="J578" s="29" t="e">
        <f t="shared" si="62"/>
        <v>#REF!</v>
      </c>
      <c r="K578" s="29" t="e">
        <f t="shared" si="56"/>
        <v>#REF!</v>
      </c>
      <c r="L578" s="29" t="e">
        <f t="shared" si="55"/>
        <v>#REF!</v>
      </c>
      <c r="M578" s="20" t="s">
        <v>6232</v>
      </c>
      <c r="N578" t="s">
        <v>6232</v>
      </c>
      <c r="P578" t="s">
        <v>4798</v>
      </c>
      <c r="Q578" t="s">
        <v>6232</v>
      </c>
      <c r="R578" t="s">
        <v>944</v>
      </c>
      <c r="T578" t="s">
        <v>3860</v>
      </c>
      <c r="BI578" s="52" t="str">
        <f>HYPERLINK("#일위대가목록!A591","S024W04060 →")</f>
        <v>S024W04060 →</v>
      </c>
    </row>
    <row r="579" spans="1:61" ht="18.399999999999999" customHeight="1">
      <c r="A579" s="11" t="s">
        <v>2843</v>
      </c>
      <c r="B579" s="2" t="s">
        <v>527</v>
      </c>
      <c r="C579" s="2">
        <v>1</v>
      </c>
      <c r="D579" s="2" t="s">
        <v>2289</v>
      </c>
      <c r="E579" s="29" t="e">
        <f>일위대가목록!#REF!</f>
        <v>#REF!</v>
      </c>
      <c r="F579" s="29" t="e">
        <f t="shared" si="60"/>
        <v>#REF!</v>
      </c>
      <c r="G579" s="29" t="e">
        <f>일위대가목록!#REF!</f>
        <v>#REF!</v>
      </c>
      <c r="H579" s="29" t="e">
        <f t="shared" si="61"/>
        <v>#REF!</v>
      </c>
      <c r="I579" s="29" t="e">
        <f>일위대가목록!#REF!</f>
        <v>#REF!</v>
      </c>
      <c r="J579" s="29" t="e">
        <f t="shared" si="62"/>
        <v>#REF!</v>
      </c>
      <c r="K579" s="29" t="e">
        <f t="shared" si="56"/>
        <v>#REF!</v>
      </c>
      <c r="L579" s="29" t="e">
        <f t="shared" si="55"/>
        <v>#REF!</v>
      </c>
      <c r="M579" s="20" t="s">
        <v>6232</v>
      </c>
      <c r="N579" t="s">
        <v>6232</v>
      </c>
      <c r="P579" t="s">
        <v>4521</v>
      </c>
      <c r="Q579" t="s">
        <v>6232</v>
      </c>
      <c r="R579" t="s">
        <v>4030</v>
      </c>
      <c r="T579" t="s">
        <v>3860</v>
      </c>
      <c r="BI579" s="52" t="str">
        <f>HYPERLINK("#일위대가목록!A592","S024W04040 →")</f>
        <v>S024W04040 →</v>
      </c>
    </row>
    <row r="580" spans="1:61" ht="18.399999999999999" customHeight="1">
      <c r="A580" s="11" t="s">
        <v>863</v>
      </c>
      <c r="B580" s="2" t="s">
        <v>5367</v>
      </c>
      <c r="C580" s="2">
        <v>1</v>
      </c>
      <c r="D580" s="2" t="s">
        <v>2289</v>
      </c>
      <c r="E580" s="29" t="e">
        <f>일위대가목록!#REF!</f>
        <v>#REF!</v>
      </c>
      <c r="F580" s="29" t="e">
        <f t="shared" si="60"/>
        <v>#REF!</v>
      </c>
      <c r="G580" s="29" t="e">
        <f>일위대가목록!#REF!</f>
        <v>#REF!</v>
      </c>
      <c r="H580" s="29" t="e">
        <f t="shared" si="61"/>
        <v>#REF!</v>
      </c>
      <c r="I580" s="29" t="e">
        <f>일위대가목록!#REF!</f>
        <v>#REF!</v>
      </c>
      <c r="J580" s="29" t="e">
        <f t="shared" si="62"/>
        <v>#REF!</v>
      </c>
      <c r="K580" s="29" t="e">
        <f t="shared" si="56"/>
        <v>#REF!</v>
      </c>
      <c r="L580" s="29" t="e">
        <f t="shared" si="55"/>
        <v>#REF!</v>
      </c>
      <c r="M580" s="20" t="s">
        <v>6232</v>
      </c>
      <c r="N580" t="s">
        <v>6232</v>
      </c>
      <c r="P580" t="s">
        <v>6071</v>
      </c>
      <c r="Q580" t="s">
        <v>6232</v>
      </c>
      <c r="R580" t="s">
        <v>5390</v>
      </c>
      <c r="T580" t="s">
        <v>3860</v>
      </c>
      <c r="BI580" s="52" t="str">
        <f>HYPERLINK("#일위대가목록!A593","S024W04080YA →")</f>
        <v>S024W04080YA →</v>
      </c>
    </row>
    <row r="581" spans="1:61" ht="18.399999999999999" customHeight="1">
      <c r="A581" s="11" t="s">
        <v>863</v>
      </c>
      <c r="B581" s="2" t="s">
        <v>2849</v>
      </c>
      <c r="C581" s="2">
        <v>1</v>
      </c>
      <c r="D581" s="2" t="s">
        <v>2289</v>
      </c>
      <c r="E581" s="29" t="e">
        <f>일위대가목록!#REF!</f>
        <v>#REF!</v>
      </c>
      <c r="F581" s="29" t="e">
        <f t="shared" si="60"/>
        <v>#REF!</v>
      </c>
      <c r="G581" s="29" t="e">
        <f>일위대가목록!#REF!</f>
        <v>#REF!</v>
      </c>
      <c r="H581" s="29" t="e">
        <f t="shared" si="61"/>
        <v>#REF!</v>
      </c>
      <c r="I581" s="29" t="e">
        <f>일위대가목록!#REF!</f>
        <v>#REF!</v>
      </c>
      <c r="J581" s="29" t="e">
        <f t="shared" si="62"/>
        <v>#REF!</v>
      </c>
      <c r="K581" s="29" t="e">
        <f t="shared" si="56"/>
        <v>#REF!</v>
      </c>
      <c r="L581" s="29" t="e">
        <f t="shared" si="55"/>
        <v>#REF!</v>
      </c>
      <c r="M581" s="20" t="s">
        <v>6232</v>
      </c>
      <c r="N581" t="s">
        <v>6232</v>
      </c>
      <c r="P581" t="s">
        <v>1368</v>
      </c>
      <c r="Q581" t="s">
        <v>6232</v>
      </c>
      <c r="R581" t="s">
        <v>5767</v>
      </c>
      <c r="T581" t="s">
        <v>3860</v>
      </c>
      <c r="BI581" s="52" t="str">
        <f>HYPERLINK("#일위대가목록!A594","S024W04060YA →")</f>
        <v>S024W04060YA →</v>
      </c>
    </row>
    <row r="582" spans="1:61" ht="18.399999999999999" customHeight="1">
      <c r="A582" s="11" t="s">
        <v>863</v>
      </c>
      <c r="B582" s="2" t="s">
        <v>527</v>
      </c>
      <c r="C582" s="2">
        <v>1</v>
      </c>
      <c r="D582" s="2" t="s">
        <v>2289</v>
      </c>
      <c r="E582" s="29" t="e">
        <f>일위대가목록!#REF!</f>
        <v>#REF!</v>
      </c>
      <c r="F582" s="29" t="e">
        <f t="shared" si="60"/>
        <v>#REF!</v>
      </c>
      <c r="G582" s="29" t="e">
        <f>일위대가목록!#REF!</f>
        <v>#REF!</v>
      </c>
      <c r="H582" s="29" t="e">
        <f t="shared" si="61"/>
        <v>#REF!</v>
      </c>
      <c r="I582" s="29" t="e">
        <f>일위대가목록!#REF!</f>
        <v>#REF!</v>
      </c>
      <c r="J582" s="29" t="e">
        <f t="shared" si="62"/>
        <v>#REF!</v>
      </c>
      <c r="K582" s="29" t="e">
        <f t="shared" si="56"/>
        <v>#REF!</v>
      </c>
      <c r="L582" s="29" t="e">
        <f t="shared" si="55"/>
        <v>#REF!</v>
      </c>
      <c r="M582" s="20" t="s">
        <v>6232</v>
      </c>
      <c r="N582" t="s">
        <v>6232</v>
      </c>
      <c r="P582" t="s">
        <v>2896</v>
      </c>
      <c r="Q582" t="s">
        <v>6232</v>
      </c>
      <c r="R582" t="s">
        <v>2477</v>
      </c>
      <c r="T582" t="s">
        <v>3860</v>
      </c>
      <c r="BI582" s="52" t="str">
        <f>HYPERLINK("#일위대가목록!A595","S024W04040YA →")</f>
        <v>S024W04040YA →</v>
      </c>
    </row>
    <row r="583" spans="1:61" ht="18.399999999999999" customHeight="1">
      <c r="A583" s="11" t="s">
        <v>2843</v>
      </c>
      <c r="B583" s="2" t="s">
        <v>1017</v>
      </c>
      <c r="C583" s="2">
        <v>1</v>
      </c>
      <c r="D583" s="2" t="s">
        <v>2289</v>
      </c>
      <c r="E583" s="29" t="e">
        <f>일위대가목록!#REF!</f>
        <v>#REF!</v>
      </c>
      <c r="F583" s="29" t="e">
        <f t="shared" si="60"/>
        <v>#REF!</v>
      </c>
      <c r="G583" s="29" t="e">
        <f>일위대가목록!#REF!</f>
        <v>#REF!</v>
      </c>
      <c r="H583" s="29" t="e">
        <f t="shared" si="61"/>
        <v>#REF!</v>
      </c>
      <c r="I583" s="29" t="e">
        <f>일위대가목록!#REF!</f>
        <v>#REF!</v>
      </c>
      <c r="J583" s="29" t="e">
        <f t="shared" si="62"/>
        <v>#REF!</v>
      </c>
      <c r="K583" s="29" t="e">
        <f t="shared" si="56"/>
        <v>#REF!</v>
      </c>
      <c r="L583" s="29" t="e">
        <f t="shared" si="55"/>
        <v>#REF!</v>
      </c>
      <c r="M583" s="20" t="s">
        <v>6232</v>
      </c>
      <c r="N583" t="s">
        <v>6232</v>
      </c>
      <c r="P583" t="s">
        <v>4644</v>
      </c>
      <c r="Q583" t="s">
        <v>6232</v>
      </c>
      <c r="R583" t="s">
        <v>3050</v>
      </c>
      <c r="T583" t="s">
        <v>3860</v>
      </c>
      <c r="BI583" s="52" t="str">
        <f>HYPERLINK("#일위대가목록!A596","S024W03280 →")</f>
        <v>S024W03280 →</v>
      </c>
    </row>
    <row r="584" spans="1:61" ht="18.399999999999999" customHeight="1">
      <c r="A584" s="11" t="s">
        <v>2843</v>
      </c>
      <c r="B584" s="2" t="s">
        <v>3108</v>
      </c>
      <c r="C584" s="2">
        <v>1</v>
      </c>
      <c r="D584" s="2" t="s">
        <v>2289</v>
      </c>
      <c r="E584" s="29" t="e">
        <f>일위대가목록!#REF!</f>
        <v>#REF!</v>
      </c>
      <c r="F584" s="29" t="e">
        <f t="shared" si="60"/>
        <v>#REF!</v>
      </c>
      <c r="G584" s="29" t="e">
        <f>일위대가목록!#REF!</f>
        <v>#REF!</v>
      </c>
      <c r="H584" s="29" t="e">
        <f t="shared" si="61"/>
        <v>#REF!</v>
      </c>
      <c r="I584" s="29" t="e">
        <f>일위대가목록!#REF!</f>
        <v>#REF!</v>
      </c>
      <c r="J584" s="29" t="e">
        <f t="shared" si="62"/>
        <v>#REF!</v>
      </c>
      <c r="K584" s="29" t="e">
        <f t="shared" si="56"/>
        <v>#REF!</v>
      </c>
      <c r="L584" s="29" t="e">
        <f t="shared" si="55"/>
        <v>#REF!</v>
      </c>
      <c r="M584" s="20" t="s">
        <v>6232</v>
      </c>
      <c r="N584" t="s">
        <v>6232</v>
      </c>
      <c r="P584" t="s">
        <v>6201</v>
      </c>
      <c r="Q584" t="s">
        <v>6232</v>
      </c>
      <c r="R584" t="s">
        <v>5844</v>
      </c>
      <c r="T584" t="s">
        <v>3860</v>
      </c>
      <c r="BI584" s="52" t="str">
        <f>HYPERLINK("#일위대가목록!A597","S024W03260 →")</f>
        <v>S024W03260 →</v>
      </c>
    </row>
    <row r="585" spans="1:61" ht="18.399999999999999" customHeight="1">
      <c r="A585" s="11" t="s">
        <v>2843</v>
      </c>
      <c r="B585" s="2" t="s">
        <v>5485</v>
      </c>
      <c r="C585" s="2">
        <v>1</v>
      </c>
      <c r="D585" s="2" t="s">
        <v>2289</v>
      </c>
      <c r="E585" s="29" t="e">
        <f>일위대가목록!#REF!</f>
        <v>#REF!</v>
      </c>
      <c r="F585" s="29" t="e">
        <f t="shared" si="60"/>
        <v>#REF!</v>
      </c>
      <c r="G585" s="29" t="e">
        <f>일위대가목록!#REF!</f>
        <v>#REF!</v>
      </c>
      <c r="H585" s="29" t="e">
        <f t="shared" si="61"/>
        <v>#REF!</v>
      </c>
      <c r="I585" s="29" t="e">
        <f>일위대가목록!#REF!</f>
        <v>#REF!</v>
      </c>
      <c r="J585" s="29" t="e">
        <f t="shared" si="62"/>
        <v>#REF!</v>
      </c>
      <c r="K585" s="29" t="e">
        <f t="shared" si="56"/>
        <v>#REF!</v>
      </c>
      <c r="L585" s="29" t="e">
        <f t="shared" ref="L585:L648" si="63">F585+H585+J585</f>
        <v>#REF!</v>
      </c>
      <c r="M585" s="20" t="s">
        <v>6232</v>
      </c>
      <c r="N585" t="s">
        <v>6232</v>
      </c>
      <c r="P585" t="s">
        <v>1468</v>
      </c>
      <c r="Q585" t="s">
        <v>6232</v>
      </c>
      <c r="R585" t="s">
        <v>2747</v>
      </c>
      <c r="T585" t="s">
        <v>3860</v>
      </c>
      <c r="BI585" s="52" t="str">
        <f>HYPERLINK("#일위대가목록!A598","S024W03240 →")</f>
        <v>S024W03240 →</v>
      </c>
    </row>
    <row r="586" spans="1:61" ht="18.399999999999999" customHeight="1">
      <c r="A586" s="11" t="s">
        <v>863</v>
      </c>
      <c r="B586" s="2" t="s">
        <v>1017</v>
      </c>
      <c r="C586" s="2">
        <v>1</v>
      </c>
      <c r="D586" s="2" t="s">
        <v>2289</v>
      </c>
      <c r="E586" s="29" t="e">
        <f>일위대가목록!#REF!</f>
        <v>#REF!</v>
      </c>
      <c r="F586" s="29" t="e">
        <f t="shared" si="60"/>
        <v>#REF!</v>
      </c>
      <c r="G586" s="29" t="e">
        <f>일위대가목록!#REF!</f>
        <v>#REF!</v>
      </c>
      <c r="H586" s="29" t="e">
        <f t="shared" si="61"/>
        <v>#REF!</v>
      </c>
      <c r="I586" s="29" t="e">
        <f>일위대가목록!#REF!</f>
        <v>#REF!</v>
      </c>
      <c r="J586" s="29" t="e">
        <f t="shared" si="62"/>
        <v>#REF!</v>
      </c>
      <c r="K586" s="29" t="e">
        <f t="shared" ref="K586:K649" si="64">E586+G586+I586</f>
        <v>#REF!</v>
      </c>
      <c r="L586" s="29" t="e">
        <f t="shared" si="63"/>
        <v>#REF!</v>
      </c>
      <c r="M586" s="20" t="s">
        <v>6232</v>
      </c>
      <c r="N586" t="s">
        <v>6232</v>
      </c>
      <c r="P586" t="s">
        <v>2990</v>
      </c>
      <c r="Q586" t="s">
        <v>6232</v>
      </c>
      <c r="R586" t="s">
        <v>142</v>
      </c>
      <c r="T586" t="s">
        <v>3860</v>
      </c>
      <c r="BI586" s="52" t="str">
        <f>HYPERLINK("#일위대가목록!A599","S024W03280YA →")</f>
        <v>S024W03280YA →</v>
      </c>
    </row>
    <row r="587" spans="1:61" ht="18.399999999999999" customHeight="1">
      <c r="A587" s="11" t="s">
        <v>863</v>
      </c>
      <c r="B587" s="2" t="s">
        <v>3108</v>
      </c>
      <c r="C587" s="2">
        <v>1</v>
      </c>
      <c r="D587" s="2" t="s">
        <v>2289</v>
      </c>
      <c r="E587" s="29" t="e">
        <f>일위대가목록!#REF!</f>
        <v>#REF!</v>
      </c>
      <c r="F587" s="29" t="e">
        <f t="shared" si="60"/>
        <v>#REF!</v>
      </c>
      <c r="G587" s="29" t="e">
        <f>일위대가목록!#REF!</f>
        <v>#REF!</v>
      </c>
      <c r="H587" s="29" t="e">
        <f t="shared" si="61"/>
        <v>#REF!</v>
      </c>
      <c r="I587" s="29" t="e">
        <f>일위대가목록!#REF!</f>
        <v>#REF!</v>
      </c>
      <c r="J587" s="29" t="e">
        <f t="shared" si="62"/>
        <v>#REF!</v>
      </c>
      <c r="K587" s="29" t="e">
        <f t="shared" si="64"/>
        <v>#REF!</v>
      </c>
      <c r="L587" s="29" t="e">
        <f t="shared" si="63"/>
        <v>#REF!</v>
      </c>
      <c r="M587" s="20" t="s">
        <v>6232</v>
      </c>
      <c r="N587" t="s">
        <v>6232</v>
      </c>
      <c r="P587" t="s">
        <v>4360</v>
      </c>
      <c r="Q587" t="s">
        <v>6232</v>
      </c>
      <c r="R587" t="s">
        <v>1273</v>
      </c>
      <c r="T587" t="s">
        <v>3860</v>
      </c>
      <c r="BI587" s="52" t="str">
        <f>HYPERLINK("#일위대가목록!A600","S024W03260YA →")</f>
        <v>S024W03260YA →</v>
      </c>
    </row>
    <row r="588" spans="1:61" ht="18.399999999999999" customHeight="1">
      <c r="A588" s="11" t="s">
        <v>863</v>
      </c>
      <c r="B588" s="2" t="s">
        <v>5485</v>
      </c>
      <c r="C588" s="2">
        <v>1</v>
      </c>
      <c r="D588" s="2" t="s">
        <v>2289</v>
      </c>
      <c r="E588" s="29" t="e">
        <f>일위대가목록!#REF!</f>
        <v>#REF!</v>
      </c>
      <c r="F588" s="29" t="e">
        <f t="shared" si="60"/>
        <v>#REF!</v>
      </c>
      <c r="G588" s="29" t="e">
        <f>일위대가목록!#REF!</f>
        <v>#REF!</v>
      </c>
      <c r="H588" s="29" t="e">
        <f t="shared" si="61"/>
        <v>#REF!</v>
      </c>
      <c r="I588" s="29" t="e">
        <f>일위대가목록!#REF!</f>
        <v>#REF!</v>
      </c>
      <c r="J588" s="29" t="e">
        <f t="shared" si="62"/>
        <v>#REF!</v>
      </c>
      <c r="K588" s="29" t="e">
        <f t="shared" si="64"/>
        <v>#REF!</v>
      </c>
      <c r="L588" s="29" t="e">
        <f t="shared" si="63"/>
        <v>#REF!</v>
      </c>
      <c r="M588" s="20" t="s">
        <v>6232</v>
      </c>
      <c r="N588" t="s">
        <v>6232</v>
      </c>
      <c r="P588" t="s">
        <v>5885</v>
      </c>
      <c r="Q588" t="s">
        <v>6232</v>
      </c>
      <c r="R588" t="s">
        <v>4609</v>
      </c>
      <c r="T588" t="s">
        <v>3860</v>
      </c>
      <c r="BI588" s="52" t="str">
        <f>HYPERLINK("#일위대가목록!A601","S024W03240YA →")</f>
        <v>S024W03240YA →</v>
      </c>
    </row>
    <row r="589" spans="1:61" ht="18.399999999999999" customHeight="1">
      <c r="A589" s="11" t="s">
        <v>2843</v>
      </c>
      <c r="B589" s="2" t="s">
        <v>1851</v>
      </c>
      <c r="C589" s="2">
        <v>1</v>
      </c>
      <c r="D589" s="2" t="s">
        <v>2289</v>
      </c>
      <c r="E589" s="29" t="e">
        <f>일위대가목록!#REF!</f>
        <v>#REF!</v>
      </c>
      <c r="F589" s="29" t="e">
        <f t="shared" si="60"/>
        <v>#REF!</v>
      </c>
      <c r="G589" s="29" t="e">
        <f>일위대가목록!#REF!</f>
        <v>#REF!</v>
      </c>
      <c r="H589" s="29" t="e">
        <f t="shared" si="61"/>
        <v>#REF!</v>
      </c>
      <c r="I589" s="29" t="e">
        <f>일위대가목록!#REF!</f>
        <v>#REF!</v>
      </c>
      <c r="J589" s="29" t="e">
        <f t="shared" si="62"/>
        <v>#REF!</v>
      </c>
      <c r="K589" s="29" t="e">
        <f t="shared" si="64"/>
        <v>#REF!</v>
      </c>
      <c r="L589" s="29" t="e">
        <f t="shared" si="63"/>
        <v>#REF!</v>
      </c>
      <c r="M589" s="20" t="s">
        <v>6232</v>
      </c>
      <c r="N589" t="s">
        <v>6232</v>
      </c>
      <c r="P589" t="s">
        <v>2363</v>
      </c>
      <c r="Q589" t="s">
        <v>6232</v>
      </c>
      <c r="R589" t="s">
        <v>3835</v>
      </c>
      <c r="T589" t="s">
        <v>3860</v>
      </c>
      <c r="BI589" s="52" t="str">
        <f>HYPERLINK("#일위대가목록!A602","S024W02580 →")</f>
        <v>S024W02580 →</v>
      </c>
    </row>
    <row r="590" spans="1:61" ht="18.399999999999999" customHeight="1">
      <c r="A590" s="11" t="s">
        <v>2843</v>
      </c>
      <c r="B590" s="2" t="s">
        <v>5593</v>
      </c>
      <c r="C590" s="2">
        <v>1</v>
      </c>
      <c r="D590" s="2" t="s">
        <v>2289</v>
      </c>
      <c r="E590" s="29" t="e">
        <f>일위대가목록!#REF!</f>
        <v>#REF!</v>
      </c>
      <c r="F590" s="29" t="e">
        <f t="shared" si="60"/>
        <v>#REF!</v>
      </c>
      <c r="G590" s="29" t="e">
        <f>일위대가목록!#REF!</f>
        <v>#REF!</v>
      </c>
      <c r="H590" s="29" t="e">
        <f t="shared" si="61"/>
        <v>#REF!</v>
      </c>
      <c r="I590" s="29" t="e">
        <f>일위대가목록!#REF!</f>
        <v>#REF!</v>
      </c>
      <c r="J590" s="29" t="e">
        <f t="shared" si="62"/>
        <v>#REF!</v>
      </c>
      <c r="K590" s="29" t="e">
        <f t="shared" si="64"/>
        <v>#REF!</v>
      </c>
      <c r="L590" s="29" t="e">
        <f t="shared" si="63"/>
        <v>#REF!</v>
      </c>
      <c r="M590" s="20" t="s">
        <v>6232</v>
      </c>
      <c r="N590" t="s">
        <v>6232</v>
      </c>
      <c r="P590" t="s">
        <v>846</v>
      </c>
      <c r="Q590" t="s">
        <v>6232</v>
      </c>
      <c r="R590" t="s">
        <v>387</v>
      </c>
      <c r="T590" t="s">
        <v>3860</v>
      </c>
      <c r="BI590" s="52" t="str">
        <f>HYPERLINK("#일위대가목록!A603","S024W02560 →")</f>
        <v>S024W02560 →</v>
      </c>
    </row>
    <row r="591" spans="1:61" ht="18.399999999999999" customHeight="1">
      <c r="A591" s="11" t="s">
        <v>2843</v>
      </c>
      <c r="B591" s="2" t="s">
        <v>3209</v>
      </c>
      <c r="C591" s="2">
        <v>1</v>
      </c>
      <c r="D591" s="2" t="s">
        <v>2289</v>
      </c>
      <c r="E591" s="29" t="e">
        <f>일위대가목록!#REF!</f>
        <v>#REF!</v>
      </c>
      <c r="F591" s="29" t="e">
        <f t="shared" si="60"/>
        <v>#REF!</v>
      </c>
      <c r="G591" s="29" t="e">
        <f>일위대가목록!#REF!</f>
        <v>#REF!</v>
      </c>
      <c r="H591" s="29" t="e">
        <f t="shared" si="61"/>
        <v>#REF!</v>
      </c>
      <c r="I591" s="29" t="e">
        <f>일위대가목록!#REF!</f>
        <v>#REF!</v>
      </c>
      <c r="J591" s="29" t="e">
        <f t="shared" si="62"/>
        <v>#REF!</v>
      </c>
      <c r="K591" s="29" t="e">
        <f t="shared" si="64"/>
        <v>#REF!</v>
      </c>
      <c r="L591" s="29" t="e">
        <f t="shared" si="63"/>
        <v>#REF!</v>
      </c>
      <c r="M591" s="20" t="s">
        <v>6232</v>
      </c>
      <c r="N591" t="s">
        <v>6232</v>
      </c>
      <c r="P591" t="s">
        <v>5440</v>
      </c>
      <c r="Q591" t="s">
        <v>6232</v>
      </c>
      <c r="R591" t="s">
        <v>3539</v>
      </c>
      <c r="T591" t="s">
        <v>3860</v>
      </c>
      <c r="BI591" s="52" t="str">
        <f>HYPERLINK("#일위대가목록!A604","S024W02540 →")</f>
        <v>S024W02540 →</v>
      </c>
    </row>
    <row r="592" spans="1:61" ht="18.399999999999999" customHeight="1">
      <c r="A592" s="11" t="s">
        <v>863</v>
      </c>
      <c r="B592" s="2" t="s">
        <v>1851</v>
      </c>
      <c r="C592" s="2">
        <v>1</v>
      </c>
      <c r="D592" s="2" t="s">
        <v>2289</v>
      </c>
      <c r="E592" s="29" t="e">
        <f>일위대가목록!#REF!</f>
        <v>#REF!</v>
      </c>
      <c r="F592" s="29" t="e">
        <f t="shared" si="60"/>
        <v>#REF!</v>
      </c>
      <c r="G592" s="29" t="e">
        <f>일위대가목록!#REF!</f>
        <v>#REF!</v>
      </c>
      <c r="H592" s="29" t="e">
        <f t="shared" si="61"/>
        <v>#REF!</v>
      </c>
      <c r="I592" s="29" t="e">
        <f>일위대가목록!#REF!</f>
        <v>#REF!</v>
      </c>
      <c r="J592" s="29" t="e">
        <f t="shared" si="62"/>
        <v>#REF!</v>
      </c>
      <c r="K592" s="29" t="e">
        <f t="shared" si="64"/>
        <v>#REF!</v>
      </c>
      <c r="L592" s="29" t="e">
        <f t="shared" si="63"/>
        <v>#REF!</v>
      </c>
      <c r="M592" s="20" t="s">
        <v>6232</v>
      </c>
      <c r="N592" t="s">
        <v>6232</v>
      </c>
      <c r="P592" t="s">
        <v>3908</v>
      </c>
      <c r="Q592" t="s">
        <v>6232</v>
      </c>
      <c r="R592" t="s">
        <v>4354</v>
      </c>
      <c r="T592" t="s">
        <v>3860</v>
      </c>
      <c r="BI592" s="52" t="str">
        <f>HYPERLINK("#일위대가목록!A605","S024W02580YA →")</f>
        <v>S024W02580YA →</v>
      </c>
    </row>
    <row r="593" spans="1:61" ht="18.399999999999999" customHeight="1">
      <c r="A593" s="11" t="s">
        <v>863</v>
      </c>
      <c r="B593" s="2" t="s">
        <v>5593</v>
      </c>
      <c r="C593" s="2">
        <v>1</v>
      </c>
      <c r="D593" s="2" t="s">
        <v>2289</v>
      </c>
      <c r="E593" s="29" t="e">
        <f>일위대가목록!#REF!</f>
        <v>#REF!</v>
      </c>
      <c r="F593" s="29" t="e">
        <f t="shared" si="60"/>
        <v>#REF!</v>
      </c>
      <c r="G593" s="29" t="e">
        <f>일위대가목록!#REF!</f>
        <v>#REF!</v>
      </c>
      <c r="H593" s="29" t="e">
        <f t="shared" si="61"/>
        <v>#REF!</v>
      </c>
      <c r="I593" s="29" t="e">
        <f>일위대가목록!#REF!</f>
        <v>#REF!</v>
      </c>
      <c r="J593" s="29" t="e">
        <f t="shared" si="62"/>
        <v>#REF!</v>
      </c>
      <c r="K593" s="29" t="e">
        <f t="shared" si="64"/>
        <v>#REF!</v>
      </c>
      <c r="L593" s="29" t="e">
        <f t="shared" si="63"/>
        <v>#REF!</v>
      </c>
      <c r="M593" s="20" t="s">
        <v>6232</v>
      </c>
      <c r="N593" t="s">
        <v>6232</v>
      </c>
      <c r="P593" t="s">
        <v>2482</v>
      </c>
      <c r="Q593" t="s">
        <v>6232</v>
      </c>
      <c r="R593" t="s">
        <v>3078</v>
      </c>
      <c r="T593" t="s">
        <v>3860</v>
      </c>
      <c r="BI593" s="52" t="str">
        <f>HYPERLINK("#일위대가목록!A606","S024W02560YA →")</f>
        <v>S024W02560YA →</v>
      </c>
    </row>
    <row r="594" spans="1:61" ht="18.399999999999999" customHeight="1">
      <c r="A594" s="11" t="s">
        <v>863</v>
      </c>
      <c r="B594" s="2" t="s">
        <v>3209</v>
      </c>
      <c r="C594" s="2">
        <v>1</v>
      </c>
      <c r="D594" s="2" t="s">
        <v>2289</v>
      </c>
      <c r="E594" s="29" t="e">
        <f>일위대가목록!#REF!</f>
        <v>#REF!</v>
      </c>
      <c r="F594" s="29" t="e">
        <f t="shared" si="60"/>
        <v>#REF!</v>
      </c>
      <c r="G594" s="29" t="e">
        <f>일위대가목록!#REF!</f>
        <v>#REF!</v>
      </c>
      <c r="H594" s="29" t="e">
        <f t="shared" si="61"/>
        <v>#REF!</v>
      </c>
      <c r="I594" s="29" t="e">
        <f>일위대가목록!#REF!</f>
        <v>#REF!</v>
      </c>
      <c r="J594" s="29" t="e">
        <f t="shared" si="62"/>
        <v>#REF!</v>
      </c>
      <c r="K594" s="29" t="e">
        <f t="shared" si="64"/>
        <v>#REF!</v>
      </c>
      <c r="L594" s="29" t="e">
        <f t="shared" si="63"/>
        <v>#REF!</v>
      </c>
      <c r="M594" s="20" t="s">
        <v>6232</v>
      </c>
      <c r="N594" t="s">
        <v>6232</v>
      </c>
      <c r="P594" t="s">
        <v>961</v>
      </c>
      <c r="Q594" t="s">
        <v>6232</v>
      </c>
      <c r="R594" t="s">
        <v>260</v>
      </c>
      <c r="T594" t="s">
        <v>3860</v>
      </c>
      <c r="BI594" s="52" t="str">
        <f>HYPERLINK("#일위대가목록!A607","S024W02540YA →")</f>
        <v>S024W02540YA →</v>
      </c>
    </row>
    <row r="595" spans="1:61" ht="18.399999999999999" customHeight="1">
      <c r="A595" s="11" t="s">
        <v>2843</v>
      </c>
      <c r="B595" s="2" t="s">
        <v>3404</v>
      </c>
      <c r="C595" s="2">
        <v>1</v>
      </c>
      <c r="D595" s="2" t="s">
        <v>2289</v>
      </c>
      <c r="E595" s="29" t="e">
        <f>일위대가목록!#REF!</f>
        <v>#REF!</v>
      </c>
      <c r="F595" s="29" t="e">
        <f t="shared" si="60"/>
        <v>#REF!</v>
      </c>
      <c r="G595" s="29" t="e">
        <f>일위대가목록!#REF!</f>
        <v>#REF!</v>
      </c>
      <c r="H595" s="29" t="e">
        <f t="shared" si="61"/>
        <v>#REF!</v>
      </c>
      <c r="I595" s="29" t="e">
        <f>일위대가목록!#REF!</f>
        <v>#REF!</v>
      </c>
      <c r="J595" s="29" t="e">
        <f t="shared" si="62"/>
        <v>#REF!</v>
      </c>
      <c r="K595" s="29" t="e">
        <f t="shared" si="64"/>
        <v>#REF!</v>
      </c>
      <c r="L595" s="29" t="e">
        <f t="shared" si="63"/>
        <v>#REF!</v>
      </c>
      <c r="M595" s="20" t="s">
        <v>6232</v>
      </c>
      <c r="N595" t="s">
        <v>6232</v>
      </c>
      <c r="P595" t="s">
        <v>5551</v>
      </c>
      <c r="Q595" t="s">
        <v>6232</v>
      </c>
      <c r="R595" t="s">
        <v>2821</v>
      </c>
      <c r="T595" t="s">
        <v>3860</v>
      </c>
      <c r="BI595" s="52" t="str">
        <f>HYPERLINK("#일위대가목록!A608","S024W02080 →")</f>
        <v>S024W02080 →</v>
      </c>
    </row>
    <row r="596" spans="1:61" ht="18.399999999999999" customHeight="1">
      <c r="A596" s="11" t="s">
        <v>2843</v>
      </c>
      <c r="B596" s="2" t="s">
        <v>934</v>
      </c>
      <c r="C596" s="2">
        <v>1</v>
      </c>
      <c r="D596" s="2" t="s">
        <v>2289</v>
      </c>
      <c r="E596" s="29" t="e">
        <f>일위대가목록!#REF!</f>
        <v>#REF!</v>
      </c>
      <c r="F596" s="29" t="e">
        <f t="shared" si="60"/>
        <v>#REF!</v>
      </c>
      <c r="G596" s="29" t="e">
        <f>일위대가목록!#REF!</f>
        <v>#REF!</v>
      </c>
      <c r="H596" s="29" t="e">
        <f t="shared" si="61"/>
        <v>#REF!</v>
      </c>
      <c r="I596" s="29" t="e">
        <f>일위대가목록!#REF!</f>
        <v>#REF!</v>
      </c>
      <c r="J596" s="29" t="e">
        <f t="shared" si="62"/>
        <v>#REF!</v>
      </c>
      <c r="K596" s="29" t="e">
        <f t="shared" si="64"/>
        <v>#REF!</v>
      </c>
      <c r="L596" s="29" t="e">
        <f t="shared" si="63"/>
        <v>#REF!</v>
      </c>
      <c r="M596" s="20" t="s">
        <v>6232</v>
      </c>
      <c r="N596" t="s">
        <v>6232</v>
      </c>
      <c r="P596" t="s">
        <v>4032</v>
      </c>
      <c r="Q596" t="s">
        <v>6232</v>
      </c>
      <c r="R596" t="s">
        <v>6111</v>
      </c>
      <c r="T596" t="s">
        <v>3860</v>
      </c>
      <c r="BI596" s="52" t="str">
        <f>HYPERLINK("#일위대가목록!A609","S024W02060 →")</f>
        <v>S024W02060 →</v>
      </c>
    </row>
    <row r="597" spans="1:61" ht="18.399999999999999" customHeight="1">
      <c r="A597" s="11" t="s">
        <v>2843</v>
      </c>
      <c r="B597" s="2" t="s">
        <v>1654</v>
      </c>
      <c r="C597" s="2">
        <v>1</v>
      </c>
      <c r="D597" s="2" t="s">
        <v>2289</v>
      </c>
      <c r="E597" s="29" t="e">
        <f>일위대가목록!#REF!</f>
        <v>#REF!</v>
      </c>
      <c r="F597" s="29" t="e">
        <f t="shared" ref="F597:F600" si="65">TRUNC(E597*C597,0)</f>
        <v>#REF!</v>
      </c>
      <c r="G597" s="29" t="e">
        <f>일위대가목록!#REF!</f>
        <v>#REF!</v>
      </c>
      <c r="H597" s="29" t="e">
        <f t="shared" ref="H597:H600" si="66">TRUNC(G597*C597,0)</f>
        <v>#REF!</v>
      </c>
      <c r="I597" s="29" t="e">
        <f>일위대가목록!#REF!</f>
        <v>#REF!</v>
      </c>
      <c r="J597" s="29" t="e">
        <f t="shared" ref="J597:J600" si="67">TRUNC(I597*C597,0)</f>
        <v>#REF!</v>
      </c>
      <c r="K597" s="29" t="e">
        <f t="shared" si="64"/>
        <v>#REF!</v>
      </c>
      <c r="L597" s="29" t="e">
        <f t="shared" si="63"/>
        <v>#REF!</v>
      </c>
      <c r="M597" s="20" t="s">
        <v>6232</v>
      </c>
      <c r="N597" t="s">
        <v>6232</v>
      </c>
      <c r="P597" t="s">
        <v>2571</v>
      </c>
      <c r="Q597" t="s">
        <v>6232</v>
      </c>
      <c r="R597" t="s">
        <v>4954</v>
      </c>
      <c r="T597" t="s">
        <v>3860</v>
      </c>
      <c r="BI597" s="52" t="str">
        <f>HYPERLINK("#일위대가목록!A610","S02W02040 →")</f>
        <v>S02W02040 →</v>
      </c>
    </row>
    <row r="598" spans="1:61" ht="18.399999999999999" customHeight="1">
      <c r="A598" s="11" t="s">
        <v>863</v>
      </c>
      <c r="B598" s="2" t="s">
        <v>3404</v>
      </c>
      <c r="C598" s="2">
        <v>1</v>
      </c>
      <c r="D598" s="2" t="s">
        <v>2289</v>
      </c>
      <c r="E598" s="29" t="e">
        <f>일위대가목록!#REF!</f>
        <v>#REF!</v>
      </c>
      <c r="F598" s="29" t="e">
        <f t="shared" si="65"/>
        <v>#REF!</v>
      </c>
      <c r="G598" s="29" t="e">
        <f>일위대가목록!#REF!</f>
        <v>#REF!</v>
      </c>
      <c r="H598" s="29" t="e">
        <f t="shared" si="66"/>
        <v>#REF!</v>
      </c>
      <c r="I598" s="29" t="e">
        <f>일위대가목록!#REF!</f>
        <v>#REF!</v>
      </c>
      <c r="J598" s="29" t="e">
        <f t="shared" si="67"/>
        <v>#REF!</v>
      </c>
      <c r="K598" s="29" t="e">
        <f t="shared" si="64"/>
        <v>#REF!</v>
      </c>
      <c r="L598" s="29" t="e">
        <f t="shared" si="63"/>
        <v>#REF!</v>
      </c>
      <c r="M598" s="20" t="s">
        <v>6232</v>
      </c>
      <c r="N598" t="s">
        <v>6232</v>
      </c>
      <c r="P598" t="s">
        <v>1043</v>
      </c>
      <c r="Q598" t="s">
        <v>6232</v>
      </c>
      <c r="R598" t="s">
        <v>4741</v>
      </c>
      <c r="T598" t="s">
        <v>3860</v>
      </c>
      <c r="BI598" s="52" t="str">
        <f>HYPERLINK("#일위대가목록!A611","S024W02080YA →")</f>
        <v>S024W02080YA →</v>
      </c>
    </row>
    <row r="599" spans="1:61" ht="18.399999999999999" customHeight="1">
      <c r="A599" s="11" t="s">
        <v>863</v>
      </c>
      <c r="B599" s="2" t="s">
        <v>934</v>
      </c>
      <c r="C599" s="2">
        <v>1</v>
      </c>
      <c r="D599" s="2" t="s">
        <v>2289</v>
      </c>
      <c r="E599" s="29" t="e">
        <f>일위대가목록!#REF!</f>
        <v>#REF!</v>
      </c>
      <c r="F599" s="29" t="e">
        <f t="shared" si="65"/>
        <v>#REF!</v>
      </c>
      <c r="G599" s="29" t="e">
        <f>일위대가목록!#REF!</f>
        <v>#REF!</v>
      </c>
      <c r="H599" s="29" t="e">
        <f t="shared" si="66"/>
        <v>#REF!</v>
      </c>
      <c r="I599" s="29" t="e">
        <f>일위대가목록!#REF!</f>
        <v>#REF!</v>
      </c>
      <c r="J599" s="29" t="e">
        <f t="shared" si="67"/>
        <v>#REF!</v>
      </c>
      <c r="K599" s="29" t="e">
        <f t="shared" si="64"/>
        <v>#REF!</v>
      </c>
      <c r="L599" s="29" t="e">
        <f t="shared" si="63"/>
        <v>#REF!</v>
      </c>
      <c r="M599" s="20" t="s">
        <v>6232</v>
      </c>
      <c r="N599" t="s">
        <v>6232</v>
      </c>
      <c r="P599" t="s">
        <v>2051</v>
      </c>
      <c r="Q599" t="s">
        <v>6232</v>
      </c>
      <c r="R599" t="s">
        <v>5836</v>
      </c>
      <c r="T599" t="s">
        <v>3860</v>
      </c>
      <c r="BI599" s="52" t="str">
        <f>HYPERLINK("#일위대가목록!A612","S024W02060YA →")</f>
        <v>S024W02060YA →</v>
      </c>
    </row>
    <row r="600" spans="1:61" ht="18.399999999999999" customHeight="1">
      <c r="A600" s="11" t="s">
        <v>863</v>
      </c>
      <c r="B600" s="2" t="s">
        <v>1654</v>
      </c>
      <c r="C600" s="2">
        <v>1</v>
      </c>
      <c r="D600" s="2" t="s">
        <v>2289</v>
      </c>
      <c r="E600" s="29" t="e">
        <f>일위대가목록!#REF!</f>
        <v>#REF!</v>
      </c>
      <c r="F600" s="29" t="e">
        <f t="shared" si="65"/>
        <v>#REF!</v>
      </c>
      <c r="G600" s="29" t="e">
        <f>일위대가목록!#REF!</f>
        <v>#REF!</v>
      </c>
      <c r="H600" s="29" t="e">
        <f t="shared" si="66"/>
        <v>#REF!</v>
      </c>
      <c r="I600" s="29" t="e">
        <f>일위대가목록!#REF!</f>
        <v>#REF!</v>
      </c>
      <c r="J600" s="29" t="e">
        <f t="shared" si="67"/>
        <v>#REF!</v>
      </c>
      <c r="K600" s="29" t="e">
        <f t="shared" si="64"/>
        <v>#REF!</v>
      </c>
      <c r="L600" s="29" t="e">
        <f t="shared" si="63"/>
        <v>#REF!</v>
      </c>
      <c r="M600" s="20" t="s">
        <v>6232</v>
      </c>
      <c r="N600" t="s">
        <v>6232</v>
      </c>
      <c r="P600" t="s">
        <v>484</v>
      </c>
      <c r="Q600" t="s">
        <v>6232</v>
      </c>
      <c r="R600" t="s">
        <v>2953</v>
      </c>
      <c r="T600" t="s">
        <v>3860</v>
      </c>
      <c r="BI600" s="52" t="str">
        <f>HYPERLINK("#일위대가목록!A613","S024W02040YA →")</f>
        <v>S024W02040YA →</v>
      </c>
    </row>
    <row r="601" spans="1:61" ht="18.399999999999999" customHeight="1">
      <c r="A601" s="11" t="s">
        <v>1544</v>
      </c>
      <c r="B601" s="2" t="s">
        <v>6232</v>
      </c>
      <c r="C601" s="2"/>
      <c r="D601" s="2" t="s">
        <v>6232</v>
      </c>
      <c r="E601" s="1"/>
      <c r="F601" s="29" t="e">
        <f>TRUNC(SUM(AF601:AF605),0)</f>
        <v>#REF!</v>
      </c>
      <c r="G601" s="1"/>
      <c r="H601" s="29" t="e">
        <f>TRUNC(SUM(AG601:AG605),0)</f>
        <v>#REF!</v>
      </c>
      <c r="I601" s="1"/>
      <c r="J601" s="29" t="e">
        <f>TRUNC(SUM(AH601:AH605),0)</f>
        <v>#REF!</v>
      </c>
      <c r="K601" s="29">
        <f t="shared" si="64"/>
        <v>0</v>
      </c>
      <c r="L601" s="29" t="e">
        <f t="shared" si="63"/>
        <v>#REF!</v>
      </c>
      <c r="M601" s="20" t="s">
        <v>6232</v>
      </c>
      <c r="N601" t="s">
        <v>6232</v>
      </c>
      <c r="P601" t="s">
        <v>5219</v>
      </c>
      <c r="Q601" t="s">
        <v>6232</v>
      </c>
      <c r="R601" t="s">
        <v>6232</v>
      </c>
      <c r="AF601" s="29" t="e">
        <f>F600+F599+F598+F597+F596+F595+F594+F593+F592+F591+F590+F589+F588+F587+F586+F585+F584+F583+F582+F581+F580+F579+F578+F577+F576+F575+F574+F573+F572+F571</f>
        <v>#REF!</v>
      </c>
      <c r="AG601" s="29" t="e">
        <f>H600+H599+H598+H597+H596+H595+H594+H593+H592+H591+H590+H589+H588+H587+H586+H585+H584+H583+H582+H581+H580+H579+H578+H577+H576+H575+H574+H573+H572+H571</f>
        <v>#REF!</v>
      </c>
      <c r="AH601" s="29" t="e">
        <f>J600+J599+J598+J597+J596+J595+J594+J593+J592+J591+J590+J589+J588+J587+J586+J585+J584+J583+J582+J581+J580+J579+J578+J577+J576+J575+J574+J573+J572+J571</f>
        <v>#REF!</v>
      </c>
    </row>
    <row r="602" spans="1:61" ht="18.399999999999999" customHeight="1">
      <c r="A602" s="11" t="s">
        <v>2495</v>
      </c>
      <c r="B602" s="2" t="s">
        <v>6232</v>
      </c>
      <c r="C602" s="2"/>
      <c r="D602" s="2" t="s">
        <v>6232</v>
      </c>
      <c r="E602" s="1"/>
      <c r="F602" s="29">
        <v>0</v>
      </c>
      <c r="G602" s="1"/>
      <c r="H602" s="29">
        <v>0</v>
      </c>
      <c r="I602" s="1"/>
      <c r="J602" s="29">
        <v>0</v>
      </c>
      <c r="K602" s="29">
        <f t="shared" si="64"/>
        <v>0</v>
      </c>
      <c r="L602" s="29">
        <f t="shared" si="63"/>
        <v>0</v>
      </c>
      <c r="M602" s="20" t="s">
        <v>6232</v>
      </c>
      <c r="N602" t="s">
        <v>6232</v>
      </c>
      <c r="P602" t="s">
        <v>3642</v>
      </c>
      <c r="Q602" t="s">
        <v>6232</v>
      </c>
      <c r="R602" t="s">
        <v>6232</v>
      </c>
      <c r="AF602" s="29" t="e">
        <f>F570+F569+F568+F567+F566+F565+F564+F563+F562+F561+F560+F559+F558+F557+F556+F555+F554+F553+F552+F551+F550+F549+F548+F547+F546+F545+F544+F543+F542+F541</f>
        <v>#REF!</v>
      </c>
      <c r="AG602" s="29" t="e">
        <f>H570+H569+H568+H567+H566+H565+H564+H563+H562+H561+H560+H559+H558+H557+H556+H555+H554+H553+H552+H551+H550+H549+H548+H547+H546+H545+H544+H543+H542+H541</f>
        <v>#REF!</v>
      </c>
      <c r="AH602" s="29" t="e">
        <f>J570+J569+J568+J567+J566+J565+J564+J563+J562+J561+J560+J559+J558+J557+J556+J555+J554+J553+J552+J551+J550+J549+J548+J547+J546+J545+J544+J543+J542+J541</f>
        <v>#REF!</v>
      </c>
    </row>
    <row r="603" spans="1:61" ht="18.399999999999999" customHeight="1">
      <c r="A603" s="11" t="s">
        <v>5419</v>
      </c>
      <c r="B603" s="2" t="s">
        <v>6232</v>
      </c>
      <c r="C603" s="2"/>
      <c r="D603" s="2" t="s">
        <v>6232</v>
      </c>
      <c r="E603" s="1"/>
      <c r="F603" s="29">
        <v>0</v>
      </c>
      <c r="G603" s="1"/>
      <c r="H603" s="29">
        <v>0</v>
      </c>
      <c r="I603" s="1"/>
      <c r="J603" s="29">
        <v>0</v>
      </c>
      <c r="K603" s="29">
        <f t="shared" si="64"/>
        <v>0</v>
      </c>
      <c r="L603" s="29">
        <f t="shared" si="63"/>
        <v>0</v>
      </c>
      <c r="M603" s="20" t="s">
        <v>6232</v>
      </c>
      <c r="N603" t="s">
        <v>6232</v>
      </c>
      <c r="P603" t="s">
        <v>1946</v>
      </c>
      <c r="Q603" t="s">
        <v>6232</v>
      </c>
      <c r="R603" t="s">
        <v>6232</v>
      </c>
      <c r="AF603" s="29" t="e">
        <f>F540+F539+F538+F537+F536+F535+F534+F533+F532+F531+F530+F529+F528+F527+F526+F525+F524+F523+F522+F521+F520+F519+F518+F517+F516+F515+F514+F513+F512+F511</f>
        <v>#REF!</v>
      </c>
      <c r="AG603" s="29" t="e">
        <f>H540+H539+H538+H537+H536+H535+H534+H533+H532+H531+H530+H529+H528+H527+H526+H525+H524+H523+H522+H521+H520+H519+H518+H517+H516+H515+H514+H513+H512+H511</f>
        <v>#REF!</v>
      </c>
      <c r="AH603" s="29" t="e">
        <f>J540+J539+J538+J537+J536+J535+J534+J533+J532+J531+J530+J529+J528+J527+J526+J525+J524+J523+J522+J521+J520+J519+J518+J517+J516+J515+J514+J513+J512+J511</f>
        <v>#REF!</v>
      </c>
    </row>
    <row r="604" spans="1:61" ht="18.399999999999999" customHeight="1">
      <c r="A604" s="11" t="s">
        <v>5376</v>
      </c>
      <c r="B604" s="2" t="s">
        <v>471</v>
      </c>
      <c r="C604" s="2">
        <v>1</v>
      </c>
      <c r="D604" s="2" t="s">
        <v>2289</v>
      </c>
      <c r="E604" s="29" t="e">
        <f>일위대가목록!#REF!</f>
        <v>#REF!</v>
      </c>
      <c r="F604" s="29" t="e">
        <f t="shared" ref="F604:F635" si="68">TRUNC(E604*C604,0)</f>
        <v>#REF!</v>
      </c>
      <c r="G604" s="29" t="e">
        <f>일위대가목록!#REF!</f>
        <v>#REF!</v>
      </c>
      <c r="H604" s="29" t="e">
        <f t="shared" ref="H604:H635" si="69">TRUNC(G604*C604,0)</f>
        <v>#REF!</v>
      </c>
      <c r="I604" s="29" t="e">
        <f>일위대가목록!#REF!</f>
        <v>#REF!</v>
      </c>
      <c r="J604" s="29" t="e">
        <f t="shared" ref="J604:J635" si="70">TRUNC(I604*C604,0)</f>
        <v>#REF!</v>
      </c>
      <c r="K604" s="29" t="e">
        <f t="shared" si="64"/>
        <v>#REF!</v>
      </c>
      <c r="L604" s="29" t="e">
        <f t="shared" si="63"/>
        <v>#REF!</v>
      </c>
      <c r="M604" s="20" t="s">
        <v>6232</v>
      </c>
      <c r="N604" t="s">
        <v>6232</v>
      </c>
      <c r="P604" t="s">
        <v>389</v>
      </c>
      <c r="Q604" t="s">
        <v>6232</v>
      </c>
      <c r="R604" t="s">
        <v>2535</v>
      </c>
      <c r="T604" t="s">
        <v>3860</v>
      </c>
      <c r="AF604" s="29" t="e">
        <f>F510+F509+F508+F507+F506+F505+F504+F503+F502+F501+F500+F499+F498+F497+F496+F495+F494+F493+F492+F491+F490+F489+F488+F487+F486+F485+F484+F483+F482+F481</f>
        <v>#REF!</v>
      </c>
      <c r="AG604" s="29" t="e">
        <f>H510+H509+H508+H507+H506+H505+H504+H503+H502+H501+H500+H499+H498+H497+H496+H495+H494+H493+H492+H491+H490+H489+H488+H487+H486+H485+H484+H483+H482+H481</f>
        <v>#REF!</v>
      </c>
      <c r="AH604" s="29" t="e">
        <f>J510+J509+J508+J507+J506+J505+J504+J503+J502+J501+J500+J499+J498+J497+J496+J495+J494+J493+J492+J491+J490+J489+J488+J487+J486+J485+J484+J483+J482+J481</f>
        <v>#REF!</v>
      </c>
      <c r="BI604" s="52" t="str">
        <f>HYPERLINK("#일위대가목록!A614","S02W75080 →")</f>
        <v>S02W75080 →</v>
      </c>
    </row>
    <row r="605" spans="1:61" ht="18.399999999999999" customHeight="1">
      <c r="A605" s="11" t="s">
        <v>5376</v>
      </c>
      <c r="B605" s="2" t="s">
        <v>4455</v>
      </c>
      <c r="C605" s="2">
        <v>1</v>
      </c>
      <c r="D605" s="2" t="s">
        <v>2289</v>
      </c>
      <c r="E605" s="29" t="e">
        <f>일위대가목록!#REF!</f>
        <v>#REF!</v>
      </c>
      <c r="F605" s="29" t="e">
        <f t="shared" si="68"/>
        <v>#REF!</v>
      </c>
      <c r="G605" s="29" t="e">
        <f>일위대가목록!#REF!</f>
        <v>#REF!</v>
      </c>
      <c r="H605" s="29" t="e">
        <f t="shared" si="69"/>
        <v>#REF!</v>
      </c>
      <c r="I605" s="29" t="e">
        <f>일위대가목록!#REF!</f>
        <v>#REF!</v>
      </c>
      <c r="J605" s="29" t="e">
        <f t="shared" si="70"/>
        <v>#REF!</v>
      </c>
      <c r="K605" s="29" t="e">
        <f t="shared" si="64"/>
        <v>#REF!</v>
      </c>
      <c r="L605" s="29" t="e">
        <f t="shared" si="63"/>
        <v>#REF!</v>
      </c>
      <c r="M605" s="20" t="s">
        <v>6232</v>
      </c>
      <c r="N605" t="s">
        <v>6232</v>
      </c>
      <c r="P605" t="s">
        <v>5131</v>
      </c>
      <c r="Q605" t="s">
        <v>6232</v>
      </c>
      <c r="R605" t="s">
        <v>5625</v>
      </c>
      <c r="T605" t="s">
        <v>3860</v>
      </c>
      <c r="AF605" s="29" t="e">
        <f>F480+F479+F478+F477+F476+F475+F474+F473+F472+F471+F470+F469</f>
        <v>#REF!</v>
      </c>
      <c r="AG605" s="29" t="e">
        <f>H480+H479+H478+H477+H476+H475+H474+H473+H472+H471+H470+H469</f>
        <v>#REF!</v>
      </c>
      <c r="AH605" s="29" t="e">
        <f>J480+J479+J478+J477+J476+J475+J474+J473+J472+J471+J470+J469</f>
        <v>#REF!</v>
      </c>
      <c r="BI605" s="52" t="str">
        <f>HYPERLINK("#일위대가목록!A615","S02W75060 →")</f>
        <v>S02W75060 →</v>
      </c>
    </row>
    <row r="606" spans="1:61" ht="18.399999999999999" customHeight="1">
      <c r="A606" s="11" t="s">
        <v>5376</v>
      </c>
      <c r="B606" s="2" t="s">
        <v>5323</v>
      </c>
      <c r="C606" s="2">
        <v>1</v>
      </c>
      <c r="D606" s="2" t="s">
        <v>2289</v>
      </c>
      <c r="E606" s="29" t="e">
        <f>일위대가목록!#REF!</f>
        <v>#REF!</v>
      </c>
      <c r="F606" s="29" t="e">
        <f t="shared" si="68"/>
        <v>#REF!</v>
      </c>
      <c r="G606" s="29" t="e">
        <f>일위대가목록!#REF!</f>
        <v>#REF!</v>
      </c>
      <c r="H606" s="29" t="e">
        <f t="shared" si="69"/>
        <v>#REF!</v>
      </c>
      <c r="I606" s="29" t="e">
        <f>일위대가목록!#REF!</f>
        <v>#REF!</v>
      </c>
      <c r="J606" s="29" t="e">
        <f t="shared" si="70"/>
        <v>#REF!</v>
      </c>
      <c r="K606" s="29" t="e">
        <f t="shared" si="64"/>
        <v>#REF!</v>
      </c>
      <c r="L606" s="29" t="e">
        <f t="shared" si="63"/>
        <v>#REF!</v>
      </c>
      <c r="M606" s="20" t="s">
        <v>6232</v>
      </c>
      <c r="N606" t="s">
        <v>6232</v>
      </c>
      <c r="P606" t="s">
        <v>3541</v>
      </c>
      <c r="Q606" t="s">
        <v>6232</v>
      </c>
      <c r="R606" t="s">
        <v>2444</v>
      </c>
      <c r="T606" t="s">
        <v>3860</v>
      </c>
      <c r="BI606" s="52" t="str">
        <f>HYPERLINK("#일위대가목록!A616","S02W75040 →")</f>
        <v>S02W75040 →</v>
      </c>
    </row>
    <row r="607" spans="1:61" ht="18.399999999999999" customHeight="1">
      <c r="A607" s="11" t="s">
        <v>4482</v>
      </c>
      <c r="B607" s="2" t="s">
        <v>471</v>
      </c>
      <c r="C607" s="2">
        <v>1</v>
      </c>
      <c r="D607" s="2" t="s">
        <v>2289</v>
      </c>
      <c r="E607" s="29" t="e">
        <f>일위대가목록!#REF!</f>
        <v>#REF!</v>
      </c>
      <c r="F607" s="29" t="e">
        <f t="shared" si="68"/>
        <v>#REF!</v>
      </c>
      <c r="G607" s="29" t="e">
        <f>일위대가목록!#REF!</f>
        <v>#REF!</v>
      </c>
      <c r="H607" s="29" t="e">
        <f t="shared" si="69"/>
        <v>#REF!</v>
      </c>
      <c r="I607" s="29" t="e">
        <f>일위대가목록!#REF!</f>
        <v>#REF!</v>
      </c>
      <c r="J607" s="29" t="e">
        <f t="shared" si="70"/>
        <v>#REF!</v>
      </c>
      <c r="K607" s="29" t="e">
        <f t="shared" si="64"/>
        <v>#REF!</v>
      </c>
      <c r="L607" s="29" t="e">
        <f t="shared" si="63"/>
        <v>#REF!</v>
      </c>
      <c r="M607" s="20" t="s">
        <v>6232</v>
      </c>
      <c r="N607" t="s">
        <v>6232</v>
      </c>
      <c r="P607" t="s">
        <v>2265</v>
      </c>
      <c r="Q607" t="s">
        <v>6232</v>
      </c>
      <c r="R607" t="s">
        <v>94</v>
      </c>
      <c r="T607" t="s">
        <v>3860</v>
      </c>
      <c r="BI607" s="52" t="str">
        <f>HYPERLINK("#일위대가목록!A617","S02W75080YA →")</f>
        <v>S02W75080YA →</v>
      </c>
    </row>
    <row r="608" spans="1:61" ht="18.399999999999999" customHeight="1">
      <c r="A608" s="11" t="s">
        <v>4482</v>
      </c>
      <c r="B608" s="2" t="s">
        <v>4455</v>
      </c>
      <c r="C608" s="2">
        <v>1</v>
      </c>
      <c r="D608" s="2" t="s">
        <v>2289</v>
      </c>
      <c r="E608" s="29" t="e">
        <f>일위대가목록!#REF!</f>
        <v>#REF!</v>
      </c>
      <c r="F608" s="29" t="e">
        <f t="shared" si="68"/>
        <v>#REF!</v>
      </c>
      <c r="G608" s="29" t="e">
        <f>일위대가목록!#REF!</f>
        <v>#REF!</v>
      </c>
      <c r="H608" s="29" t="e">
        <f t="shared" si="69"/>
        <v>#REF!</v>
      </c>
      <c r="I608" s="29" t="e">
        <f>일위대가목록!#REF!</f>
        <v>#REF!</v>
      </c>
      <c r="J608" s="29" t="e">
        <f t="shared" si="70"/>
        <v>#REF!</v>
      </c>
      <c r="K608" s="29" t="e">
        <f t="shared" si="64"/>
        <v>#REF!</v>
      </c>
      <c r="L608" s="29" t="e">
        <f t="shared" si="63"/>
        <v>#REF!</v>
      </c>
      <c r="M608" s="20" t="s">
        <v>6232</v>
      </c>
      <c r="N608" t="s">
        <v>6232</v>
      </c>
      <c r="P608" t="s">
        <v>687</v>
      </c>
      <c r="Q608" t="s">
        <v>6232</v>
      </c>
      <c r="R608" t="s">
        <v>1311</v>
      </c>
      <c r="T608" t="s">
        <v>3860</v>
      </c>
      <c r="BI608" s="52" t="str">
        <f>HYPERLINK("#일위대가목록!A618","S02W75060YA →")</f>
        <v>S02W75060YA →</v>
      </c>
    </row>
    <row r="609" spans="1:61" ht="18.399999999999999" customHeight="1">
      <c r="A609" s="11" t="s">
        <v>4482</v>
      </c>
      <c r="B609" s="2" t="s">
        <v>5323</v>
      </c>
      <c r="C609" s="2">
        <v>1</v>
      </c>
      <c r="D609" s="2" t="s">
        <v>2289</v>
      </c>
      <c r="E609" s="29" t="e">
        <f>일위대가목록!#REF!</f>
        <v>#REF!</v>
      </c>
      <c r="F609" s="29" t="e">
        <f t="shared" si="68"/>
        <v>#REF!</v>
      </c>
      <c r="G609" s="29" t="e">
        <f>일위대가목록!#REF!</f>
        <v>#REF!</v>
      </c>
      <c r="H609" s="29" t="e">
        <f t="shared" si="69"/>
        <v>#REF!</v>
      </c>
      <c r="I609" s="29" t="e">
        <f>일위대가목록!#REF!</f>
        <v>#REF!</v>
      </c>
      <c r="J609" s="29" t="e">
        <f t="shared" si="70"/>
        <v>#REF!</v>
      </c>
      <c r="K609" s="29" t="e">
        <f t="shared" si="64"/>
        <v>#REF!</v>
      </c>
      <c r="L609" s="29" t="e">
        <f t="shared" si="63"/>
        <v>#REF!</v>
      </c>
      <c r="M609" s="20" t="s">
        <v>6232</v>
      </c>
      <c r="N609" t="s">
        <v>6232</v>
      </c>
      <c r="P609" t="s">
        <v>272</v>
      </c>
      <c r="Q609" t="s">
        <v>6232</v>
      </c>
      <c r="R609" t="s">
        <v>4563</v>
      </c>
      <c r="T609" t="s">
        <v>3860</v>
      </c>
      <c r="BI609" s="52" t="str">
        <f>HYPERLINK("#일위대가목록!A619","S02W75040YA →")</f>
        <v>S02W75040YA →</v>
      </c>
    </row>
    <row r="610" spans="1:61" ht="18.399999999999999" customHeight="1">
      <c r="A610" s="11" t="s">
        <v>5376</v>
      </c>
      <c r="B610" s="2" t="s">
        <v>2589</v>
      </c>
      <c r="C610" s="2">
        <v>1</v>
      </c>
      <c r="D610" s="2" t="s">
        <v>2289</v>
      </c>
      <c r="E610" s="29" t="e">
        <f>일위대가목록!#REF!</f>
        <v>#REF!</v>
      </c>
      <c r="F610" s="29" t="e">
        <f t="shared" si="68"/>
        <v>#REF!</v>
      </c>
      <c r="G610" s="29" t="e">
        <f>일위대가목록!#REF!</f>
        <v>#REF!</v>
      </c>
      <c r="H610" s="29" t="e">
        <f t="shared" si="69"/>
        <v>#REF!</v>
      </c>
      <c r="I610" s="29" t="e">
        <f>일위대가목록!#REF!</f>
        <v>#REF!</v>
      </c>
      <c r="J610" s="29" t="e">
        <f t="shared" si="70"/>
        <v>#REF!</v>
      </c>
      <c r="K610" s="29" t="e">
        <f t="shared" si="64"/>
        <v>#REF!</v>
      </c>
      <c r="L610" s="29" t="e">
        <f t="shared" si="63"/>
        <v>#REF!</v>
      </c>
      <c r="M610" s="20" t="s">
        <v>6232</v>
      </c>
      <c r="N610" t="s">
        <v>6232</v>
      </c>
      <c r="P610" t="s">
        <v>1856</v>
      </c>
      <c r="Q610" t="s">
        <v>6232</v>
      </c>
      <c r="R610" t="s">
        <v>2201</v>
      </c>
      <c r="T610" t="s">
        <v>3860</v>
      </c>
      <c r="BI610" s="52" t="str">
        <f>HYPERLINK("#일위대가목록!A620","S02W70080 →")</f>
        <v>S02W70080 →</v>
      </c>
    </row>
    <row r="611" spans="1:61" ht="18.399999999999999" customHeight="1">
      <c r="A611" s="11" t="s">
        <v>5376</v>
      </c>
      <c r="B611" s="2" t="s">
        <v>4664</v>
      </c>
      <c r="C611" s="2">
        <v>1</v>
      </c>
      <c r="D611" s="2" t="s">
        <v>2289</v>
      </c>
      <c r="E611" s="29" t="e">
        <f>일위대가목록!#REF!</f>
        <v>#REF!</v>
      </c>
      <c r="F611" s="29" t="e">
        <f t="shared" si="68"/>
        <v>#REF!</v>
      </c>
      <c r="G611" s="29" t="e">
        <f>일위대가목록!#REF!</f>
        <v>#REF!</v>
      </c>
      <c r="H611" s="29" t="e">
        <f t="shared" si="69"/>
        <v>#REF!</v>
      </c>
      <c r="I611" s="29" t="e">
        <f>일위대가목록!#REF!</f>
        <v>#REF!</v>
      </c>
      <c r="J611" s="29" t="e">
        <f t="shared" si="70"/>
        <v>#REF!</v>
      </c>
      <c r="K611" s="29" t="e">
        <f t="shared" si="64"/>
        <v>#REF!</v>
      </c>
      <c r="L611" s="29" t="e">
        <f t="shared" si="63"/>
        <v>#REF!</v>
      </c>
      <c r="M611" s="20" t="s">
        <v>6232</v>
      </c>
      <c r="N611" t="s">
        <v>6232</v>
      </c>
      <c r="P611" t="s">
        <v>3438</v>
      </c>
      <c r="Q611" t="s">
        <v>6232</v>
      </c>
      <c r="R611" t="s">
        <v>5181</v>
      </c>
      <c r="T611" t="s">
        <v>3860</v>
      </c>
      <c r="BI611" s="52" t="str">
        <f>HYPERLINK("#일위대가목록!A621","S02W70060 →")</f>
        <v>S02W70060 →</v>
      </c>
    </row>
    <row r="612" spans="1:61" ht="18.399999999999999" customHeight="1">
      <c r="A612" s="11" t="s">
        <v>5376</v>
      </c>
      <c r="B612" s="2" t="s">
        <v>3972</v>
      </c>
      <c r="C612" s="2">
        <v>1</v>
      </c>
      <c r="D612" s="2" t="s">
        <v>2289</v>
      </c>
      <c r="E612" s="29" t="e">
        <f>일위대가목록!#REF!</f>
        <v>#REF!</v>
      </c>
      <c r="F612" s="29" t="e">
        <f t="shared" si="68"/>
        <v>#REF!</v>
      </c>
      <c r="G612" s="29" t="e">
        <f>일위대가목록!#REF!</f>
        <v>#REF!</v>
      </c>
      <c r="H612" s="29" t="e">
        <f t="shared" si="69"/>
        <v>#REF!</v>
      </c>
      <c r="I612" s="29" t="e">
        <f>일위대가목록!#REF!</f>
        <v>#REF!</v>
      </c>
      <c r="J612" s="29" t="e">
        <f t="shared" si="70"/>
        <v>#REF!</v>
      </c>
      <c r="K612" s="29" t="e">
        <f t="shared" si="64"/>
        <v>#REF!</v>
      </c>
      <c r="L612" s="29" t="e">
        <f t="shared" si="63"/>
        <v>#REF!</v>
      </c>
      <c r="M612" s="20" t="s">
        <v>6232</v>
      </c>
      <c r="N612" t="s">
        <v>6232</v>
      </c>
      <c r="P612" t="s">
        <v>5024</v>
      </c>
      <c r="Q612" t="s">
        <v>6232</v>
      </c>
      <c r="R612" t="s">
        <v>2116</v>
      </c>
      <c r="T612" t="s">
        <v>3860</v>
      </c>
      <c r="BI612" s="52" t="str">
        <f>HYPERLINK("#일위대가목록!A622","S02W70040 →")</f>
        <v>S02W70040 →</v>
      </c>
    </row>
    <row r="613" spans="1:61" ht="18.399999999999999" customHeight="1">
      <c r="A613" s="11" t="s">
        <v>4482</v>
      </c>
      <c r="B613" s="2" t="s">
        <v>2589</v>
      </c>
      <c r="C613" s="2">
        <v>1</v>
      </c>
      <c r="D613" s="2" t="s">
        <v>2289</v>
      </c>
      <c r="E613" s="29" t="e">
        <f>일위대가목록!#REF!</f>
        <v>#REF!</v>
      </c>
      <c r="F613" s="29" t="e">
        <f t="shared" si="68"/>
        <v>#REF!</v>
      </c>
      <c r="G613" s="29" t="e">
        <f>일위대가목록!#REF!</f>
        <v>#REF!</v>
      </c>
      <c r="H613" s="29" t="e">
        <f t="shared" si="69"/>
        <v>#REF!</v>
      </c>
      <c r="I613" s="29" t="e">
        <f>일위대가목록!#REF!</f>
        <v>#REF!</v>
      </c>
      <c r="J613" s="29" t="e">
        <f t="shared" si="70"/>
        <v>#REF!</v>
      </c>
      <c r="K613" s="29" t="e">
        <f t="shared" si="64"/>
        <v>#REF!</v>
      </c>
      <c r="L613" s="29" t="e">
        <f t="shared" si="63"/>
        <v>#REF!</v>
      </c>
      <c r="M613" s="20" t="s">
        <v>6232</v>
      </c>
      <c r="N613" t="s">
        <v>6232</v>
      </c>
      <c r="P613" t="s">
        <v>180</v>
      </c>
      <c r="Q613" t="s">
        <v>6232</v>
      </c>
      <c r="R613" t="s">
        <v>4445</v>
      </c>
      <c r="T613" t="s">
        <v>3860</v>
      </c>
      <c r="BI613" s="52" t="str">
        <f>HYPERLINK("#일위대가목록!A623","S02W70080YA →")</f>
        <v>S02W70080YA →</v>
      </c>
    </row>
    <row r="614" spans="1:61" ht="18.399999999999999" customHeight="1">
      <c r="A614" s="11" t="s">
        <v>4482</v>
      </c>
      <c r="B614" s="2" t="s">
        <v>4664</v>
      </c>
      <c r="C614" s="2">
        <v>1</v>
      </c>
      <c r="D614" s="2" t="s">
        <v>2289</v>
      </c>
      <c r="E614" s="29" t="e">
        <f>일위대가목록!#REF!</f>
        <v>#REF!</v>
      </c>
      <c r="F614" s="29" t="e">
        <f t="shared" si="68"/>
        <v>#REF!</v>
      </c>
      <c r="G614" s="29" t="e">
        <f>일위대가목록!#REF!</f>
        <v>#REF!</v>
      </c>
      <c r="H614" s="29" t="e">
        <f t="shared" si="69"/>
        <v>#REF!</v>
      </c>
      <c r="I614" s="29" t="e">
        <f>일위대가목록!#REF!</f>
        <v>#REF!</v>
      </c>
      <c r="J614" s="29" t="e">
        <f t="shared" si="70"/>
        <v>#REF!</v>
      </c>
      <c r="K614" s="29" t="e">
        <f t="shared" si="64"/>
        <v>#REF!</v>
      </c>
      <c r="L614" s="29" t="e">
        <f t="shared" si="63"/>
        <v>#REF!</v>
      </c>
      <c r="M614" s="20" t="s">
        <v>6232</v>
      </c>
      <c r="N614" t="s">
        <v>6232</v>
      </c>
      <c r="P614" t="s">
        <v>1743</v>
      </c>
      <c r="Q614" t="s">
        <v>6232</v>
      </c>
      <c r="R614" t="s">
        <v>3190</v>
      </c>
      <c r="T614" t="s">
        <v>3860</v>
      </c>
      <c r="BI614" s="52" t="str">
        <f>HYPERLINK("#일위대가목록!A624","S02W70060YA →")</f>
        <v>S02W70060YA →</v>
      </c>
    </row>
    <row r="615" spans="1:61" ht="18.399999999999999" customHeight="1">
      <c r="A615" s="11" t="s">
        <v>4482</v>
      </c>
      <c r="B615" s="2" t="s">
        <v>3972</v>
      </c>
      <c r="C615" s="2">
        <v>1</v>
      </c>
      <c r="D615" s="2" t="s">
        <v>2289</v>
      </c>
      <c r="E615" s="29" t="e">
        <f>일위대가목록!#REF!</f>
        <v>#REF!</v>
      </c>
      <c r="F615" s="29" t="e">
        <f t="shared" si="68"/>
        <v>#REF!</v>
      </c>
      <c r="G615" s="29" t="e">
        <f>일위대가목록!#REF!</f>
        <v>#REF!</v>
      </c>
      <c r="H615" s="29" t="e">
        <f t="shared" si="69"/>
        <v>#REF!</v>
      </c>
      <c r="I615" s="29" t="e">
        <f>일위대가목록!#REF!</f>
        <v>#REF!</v>
      </c>
      <c r="J615" s="29" t="e">
        <f t="shared" si="70"/>
        <v>#REF!</v>
      </c>
      <c r="K615" s="29" t="e">
        <f t="shared" si="64"/>
        <v>#REF!</v>
      </c>
      <c r="L615" s="29" t="e">
        <f t="shared" si="63"/>
        <v>#REF!</v>
      </c>
      <c r="M615" s="20" t="s">
        <v>6232</v>
      </c>
      <c r="N615" t="s">
        <v>6232</v>
      </c>
      <c r="P615" t="s">
        <v>3344</v>
      </c>
      <c r="Q615" t="s">
        <v>6232</v>
      </c>
      <c r="R615" t="s">
        <v>342</v>
      </c>
      <c r="T615" t="s">
        <v>3860</v>
      </c>
      <c r="BI615" s="52" t="str">
        <f>HYPERLINK("#일위대가목록!A625","S02W70040YA →")</f>
        <v>S02W70040YA →</v>
      </c>
    </row>
    <row r="616" spans="1:61" ht="18.399999999999999" customHeight="1">
      <c r="A616" s="11" t="s">
        <v>5376</v>
      </c>
      <c r="B616" s="2" t="s">
        <v>3184</v>
      </c>
      <c r="C616" s="2">
        <v>1</v>
      </c>
      <c r="D616" s="2" t="s">
        <v>2289</v>
      </c>
      <c r="E616" s="29" t="e">
        <f>일위대가목록!#REF!</f>
        <v>#REF!</v>
      </c>
      <c r="F616" s="29" t="e">
        <f t="shared" si="68"/>
        <v>#REF!</v>
      </c>
      <c r="G616" s="29" t="e">
        <f>일위대가목록!#REF!</f>
        <v>#REF!</v>
      </c>
      <c r="H616" s="29" t="e">
        <f t="shared" si="69"/>
        <v>#REF!</v>
      </c>
      <c r="I616" s="29" t="e">
        <f>일위대가목록!#REF!</f>
        <v>#REF!</v>
      </c>
      <c r="J616" s="29" t="e">
        <f t="shared" si="70"/>
        <v>#REF!</v>
      </c>
      <c r="K616" s="29" t="e">
        <f t="shared" si="64"/>
        <v>#REF!</v>
      </c>
      <c r="L616" s="29" t="e">
        <f t="shared" si="63"/>
        <v>#REF!</v>
      </c>
      <c r="M616" s="20" t="s">
        <v>6232</v>
      </c>
      <c r="N616" t="s">
        <v>6232</v>
      </c>
      <c r="P616" t="s">
        <v>4925</v>
      </c>
      <c r="Q616" t="s">
        <v>6232</v>
      </c>
      <c r="R616" t="s">
        <v>5274</v>
      </c>
      <c r="T616" t="s">
        <v>3860</v>
      </c>
      <c r="BI616" s="52" t="str">
        <f>HYPERLINK("#일위대가목록!A626","S02W65080 →")</f>
        <v>S02W65080 →</v>
      </c>
    </row>
    <row r="617" spans="1:61" ht="18.399999999999999" customHeight="1">
      <c r="A617" s="11" t="s">
        <v>5376</v>
      </c>
      <c r="B617" s="2" t="s">
        <v>1128</v>
      </c>
      <c r="C617" s="2">
        <v>1</v>
      </c>
      <c r="D617" s="2" t="s">
        <v>2289</v>
      </c>
      <c r="E617" s="29" t="e">
        <f>일위대가목록!#REF!</f>
        <v>#REF!</v>
      </c>
      <c r="F617" s="29" t="e">
        <f t="shared" si="68"/>
        <v>#REF!</v>
      </c>
      <c r="G617" s="29" t="e">
        <f>일위대가목록!#REF!</f>
        <v>#REF!</v>
      </c>
      <c r="H617" s="29" t="e">
        <f t="shared" si="69"/>
        <v>#REF!</v>
      </c>
      <c r="I617" s="29" t="e">
        <f>일위대가목록!#REF!</f>
        <v>#REF!</v>
      </c>
      <c r="J617" s="29" t="e">
        <f t="shared" si="70"/>
        <v>#REF!</v>
      </c>
      <c r="K617" s="29" t="e">
        <f t="shared" si="64"/>
        <v>#REF!</v>
      </c>
      <c r="L617" s="29" t="e">
        <f t="shared" si="63"/>
        <v>#REF!</v>
      </c>
      <c r="M617" s="20" t="s">
        <v>6232</v>
      </c>
      <c r="N617" t="s">
        <v>6232</v>
      </c>
      <c r="P617" t="s">
        <v>91</v>
      </c>
      <c r="Q617" t="s">
        <v>6232</v>
      </c>
      <c r="R617" t="s">
        <v>2091</v>
      </c>
      <c r="T617" t="s">
        <v>3860</v>
      </c>
      <c r="BI617" s="52" t="str">
        <f>HYPERLINK("#일위대가목록!A627","S02W65060 →")</f>
        <v>S02W65060 →</v>
      </c>
    </row>
    <row r="618" spans="1:61" ht="18.399999999999999" customHeight="1">
      <c r="A618" s="11" t="s">
        <v>5376</v>
      </c>
      <c r="B618" s="2" t="s">
        <v>1824</v>
      </c>
      <c r="C618" s="2">
        <v>1</v>
      </c>
      <c r="D618" s="2" t="s">
        <v>2289</v>
      </c>
      <c r="E618" s="29" t="e">
        <f>일위대가목록!#REF!</f>
        <v>#REF!</v>
      </c>
      <c r="F618" s="29" t="e">
        <f t="shared" si="68"/>
        <v>#REF!</v>
      </c>
      <c r="G618" s="29" t="e">
        <f>일위대가목록!#REF!</f>
        <v>#REF!</v>
      </c>
      <c r="H618" s="29" t="e">
        <f t="shared" si="69"/>
        <v>#REF!</v>
      </c>
      <c r="I618" s="29" t="e">
        <f>일위대가목록!#REF!</f>
        <v>#REF!</v>
      </c>
      <c r="J618" s="29" t="e">
        <f t="shared" si="70"/>
        <v>#REF!</v>
      </c>
      <c r="K618" s="29" t="e">
        <f t="shared" si="64"/>
        <v>#REF!</v>
      </c>
      <c r="L618" s="29" t="e">
        <f t="shared" si="63"/>
        <v>#REF!</v>
      </c>
      <c r="M618" s="20" t="s">
        <v>6232</v>
      </c>
      <c r="N618" t="s">
        <v>6232</v>
      </c>
      <c r="P618" t="s">
        <v>1649</v>
      </c>
      <c r="Q618" t="s">
        <v>6232</v>
      </c>
      <c r="R618" t="s">
        <v>5173</v>
      </c>
      <c r="T618" t="s">
        <v>3860</v>
      </c>
      <c r="BI618" s="52" t="str">
        <f>HYPERLINK("#일위대가목록!A628","S02W65040 →")</f>
        <v>S02W65040 →</v>
      </c>
    </row>
    <row r="619" spans="1:61" ht="18.399999999999999" customHeight="1">
      <c r="A619" s="11" t="s">
        <v>4482</v>
      </c>
      <c r="B619" s="2" t="s">
        <v>3184</v>
      </c>
      <c r="C619" s="2">
        <v>1</v>
      </c>
      <c r="D619" s="2" t="s">
        <v>2289</v>
      </c>
      <c r="E619" s="29" t="e">
        <f>일위대가목록!#REF!</f>
        <v>#REF!</v>
      </c>
      <c r="F619" s="29" t="e">
        <f t="shared" si="68"/>
        <v>#REF!</v>
      </c>
      <c r="G619" s="29" t="e">
        <f>일위대가목록!#REF!</f>
        <v>#REF!</v>
      </c>
      <c r="H619" s="29" t="e">
        <f t="shared" si="69"/>
        <v>#REF!</v>
      </c>
      <c r="I619" s="29" t="e">
        <f>일위대가목록!#REF!</f>
        <v>#REF!</v>
      </c>
      <c r="J619" s="29" t="e">
        <f t="shared" si="70"/>
        <v>#REF!</v>
      </c>
      <c r="K619" s="29" t="e">
        <f t="shared" si="64"/>
        <v>#REF!</v>
      </c>
      <c r="L619" s="29" t="e">
        <f t="shared" si="63"/>
        <v>#REF!</v>
      </c>
      <c r="M619" s="20" t="s">
        <v>6232</v>
      </c>
      <c r="N619" t="s">
        <v>6232</v>
      </c>
      <c r="P619" t="s">
        <v>1430</v>
      </c>
      <c r="Q619" t="s">
        <v>6232</v>
      </c>
      <c r="R619" t="s">
        <v>4287</v>
      </c>
      <c r="T619" t="s">
        <v>3860</v>
      </c>
      <c r="BI619" s="52" t="str">
        <f>HYPERLINK("#일위대가목록!A629","S02W65080YA →")</f>
        <v>S02W65080YA →</v>
      </c>
    </row>
    <row r="620" spans="1:61" ht="18.399999999999999" customHeight="1">
      <c r="A620" s="11" t="s">
        <v>4482</v>
      </c>
      <c r="B620" s="2" t="s">
        <v>1128</v>
      </c>
      <c r="C620" s="2">
        <v>1</v>
      </c>
      <c r="D620" s="2" t="s">
        <v>2289</v>
      </c>
      <c r="E620" s="29" t="e">
        <f>일위대가목록!#REF!</f>
        <v>#REF!</v>
      </c>
      <c r="F620" s="29" t="e">
        <f t="shared" si="68"/>
        <v>#REF!</v>
      </c>
      <c r="G620" s="29" t="e">
        <f>일위대가목록!#REF!</f>
        <v>#REF!</v>
      </c>
      <c r="H620" s="29" t="e">
        <f t="shared" si="69"/>
        <v>#REF!</v>
      </c>
      <c r="I620" s="29" t="e">
        <f>일위대가목록!#REF!</f>
        <v>#REF!</v>
      </c>
      <c r="J620" s="29" t="e">
        <f t="shared" si="70"/>
        <v>#REF!</v>
      </c>
      <c r="K620" s="29" t="e">
        <f t="shared" si="64"/>
        <v>#REF!</v>
      </c>
      <c r="L620" s="29" t="e">
        <f t="shared" si="63"/>
        <v>#REF!</v>
      </c>
      <c r="M620" s="20" t="s">
        <v>6232</v>
      </c>
      <c r="N620" t="s">
        <v>6232</v>
      </c>
      <c r="P620" t="s">
        <v>2941</v>
      </c>
      <c r="Q620" t="s">
        <v>6232</v>
      </c>
      <c r="R620" t="s">
        <v>3151</v>
      </c>
      <c r="T620" t="s">
        <v>3860</v>
      </c>
      <c r="BI620" s="52" t="str">
        <f>HYPERLINK("#일위대가목록!A630","S02W65060YA →")</f>
        <v>S02W65060YA →</v>
      </c>
    </row>
    <row r="621" spans="1:61" ht="18.399999999999999" customHeight="1">
      <c r="A621" s="11" t="s">
        <v>4482</v>
      </c>
      <c r="B621" s="2" t="s">
        <v>1824</v>
      </c>
      <c r="C621" s="2">
        <v>1</v>
      </c>
      <c r="D621" s="2" t="s">
        <v>2289</v>
      </c>
      <c r="E621" s="29" t="e">
        <f>일위대가목록!#REF!</f>
        <v>#REF!</v>
      </c>
      <c r="F621" s="29" t="e">
        <f t="shared" si="68"/>
        <v>#REF!</v>
      </c>
      <c r="G621" s="29" t="e">
        <f>일위대가목록!#REF!</f>
        <v>#REF!</v>
      </c>
      <c r="H621" s="29" t="e">
        <f t="shared" si="69"/>
        <v>#REF!</v>
      </c>
      <c r="I621" s="29" t="e">
        <f>일위대가목록!#REF!</f>
        <v>#REF!</v>
      </c>
      <c r="J621" s="29" t="e">
        <f t="shared" si="70"/>
        <v>#REF!</v>
      </c>
      <c r="K621" s="29" t="e">
        <f t="shared" si="64"/>
        <v>#REF!</v>
      </c>
      <c r="L621" s="29" t="e">
        <f t="shared" si="63"/>
        <v>#REF!</v>
      </c>
      <c r="M621" s="20" t="s">
        <v>6232</v>
      </c>
      <c r="N621" t="s">
        <v>6232</v>
      </c>
      <c r="P621" t="s">
        <v>4497</v>
      </c>
      <c r="Q621" t="s">
        <v>6232</v>
      </c>
      <c r="R621" t="s">
        <v>195</v>
      </c>
      <c r="T621" t="s">
        <v>3860</v>
      </c>
      <c r="BI621" s="52" t="str">
        <f>HYPERLINK("#일위대가목록!A631","S02W65040YA →")</f>
        <v>S02W65040YA →</v>
      </c>
    </row>
    <row r="622" spans="1:61" ht="18.399999999999999" customHeight="1">
      <c r="A622" s="11" t="s">
        <v>5376</v>
      </c>
      <c r="B622" s="2" t="s">
        <v>6144</v>
      </c>
      <c r="C622" s="2">
        <v>1</v>
      </c>
      <c r="D622" s="2" t="s">
        <v>2289</v>
      </c>
      <c r="E622" s="29" t="e">
        <f>일위대가목록!#REF!</f>
        <v>#REF!</v>
      </c>
      <c r="F622" s="29" t="e">
        <f t="shared" si="68"/>
        <v>#REF!</v>
      </c>
      <c r="G622" s="29" t="e">
        <f>일위대가목록!#REF!</f>
        <v>#REF!</v>
      </c>
      <c r="H622" s="29" t="e">
        <f t="shared" si="69"/>
        <v>#REF!</v>
      </c>
      <c r="I622" s="29" t="e">
        <f>일위대가목록!#REF!</f>
        <v>#REF!</v>
      </c>
      <c r="J622" s="29" t="e">
        <f t="shared" si="70"/>
        <v>#REF!</v>
      </c>
      <c r="K622" s="29" t="e">
        <f t="shared" si="64"/>
        <v>#REF!</v>
      </c>
      <c r="L622" s="29" t="e">
        <f t="shared" si="63"/>
        <v>#REF!</v>
      </c>
      <c r="M622" s="20" t="s">
        <v>6232</v>
      </c>
      <c r="N622" t="s">
        <v>6232</v>
      </c>
      <c r="P622" t="s">
        <v>6047</v>
      </c>
      <c r="Q622" t="s">
        <v>6232</v>
      </c>
      <c r="R622" t="s">
        <v>5718</v>
      </c>
      <c r="T622" t="s">
        <v>3860</v>
      </c>
      <c r="BI622" s="52" t="str">
        <f>HYPERLINK("#일위대가목록!A632","S02W60080 →")</f>
        <v>S02W60080 →</v>
      </c>
    </row>
    <row r="623" spans="1:61" ht="18.399999999999999" customHeight="1">
      <c r="A623" s="11" t="s">
        <v>5376</v>
      </c>
      <c r="B623" s="2" t="s">
        <v>2097</v>
      </c>
      <c r="C623" s="2">
        <v>1</v>
      </c>
      <c r="D623" s="2" t="s">
        <v>2289</v>
      </c>
      <c r="E623" s="29" t="e">
        <f>일위대가목록!#REF!</f>
        <v>#REF!</v>
      </c>
      <c r="F623" s="29" t="e">
        <f t="shared" si="68"/>
        <v>#REF!</v>
      </c>
      <c r="G623" s="29" t="e">
        <f>일위대가목록!#REF!</f>
        <v>#REF!</v>
      </c>
      <c r="H623" s="29" t="e">
        <f t="shared" si="69"/>
        <v>#REF!</v>
      </c>
      <c r="I623" s="29" t="e">
        <f>일위대가목록!#REF!</f>
        <v>#REF!</v>
      </c>
      <c r="J623" s="29" t="e">
        <f t="shared" si="70"/>
        <v>#REF!</v>
      </c>
      <c r="K623" s="29" t="e">
        <f t="shared" si="64"/>
        <v>#REF!</v>
      </c>
      <c r="L623" s="29" t="e">
        <f t="shared" si="63"/>
        <v>#REF!</v>
      </c>
      <c r="M623" s="20" t="s">
        <v>6232</v>
      </c>
      <c r="N623" t="s">
        <v>6232</v>
      </c>
      <c r="P623" t="s">
        <v>1505</v>
      </c>
      <c r="Q623" t="s">
        <v>6232</v>
      </c>
      <c r="R623" t="s">
        <v>2461</v>
      </c>
      <c r="T623" t="s">
        <v>3860</v>
      </c>
      <c r="BI623" s="52" t="str">
        <f>HYPERLINK("#일위대가목록!A633","S02W60060 →")</f>
        <v>S02W60060 →</v>
      </c>
    </row>
    <row r="624" spans="1:61" ht="18.399999999999999" customHeight="1">
      <c r="A624" s="11" t="s">
        <v>5376</v>
      </c>
      <c r="B624" s="2" t="s">
        <v>1255</v>
      </c>
      <c r="C624" s="2">
        <v>1</v>
      </c>
      <c r="D624" s="2" t="s">
        <v>2289</v>
      </c>
      <c r="E624" s="29" t="e">
        <f>일위대가목록!#REF!</f>
        <v>#REF!</v>
      </c>
      <c r="F624" s="29" t="e">
        <f t="shared" si="68"/>
        <v>#REF!</v>
      </c>
      <c r="G624" s="29" t="e">
        <f>일위대가목록!#REF!</f>
        <v>#REF!</v>
      </c>
      <c r="H624" s="29" t="e">
        <f t="shared" si="69"/>
        <v>#REF!</v>
      </c>
      <c r="I624" s="29" t="e">
        <f>일위대가목록!#REF!</f>
        <v>#REF!</v>
      </c>
      <c r="J624" s="29" t="e">
        <f t="shared" si="70"/>
        <v>#REF!</v>
      </c>
      <c r="K624" s="29" t="e">
        <f t="shared" si="64"/>
        <v>#REF!</v>
      </c>
      <c r="L624" s="29" t="e">
        <f t="shared" si="63"/>
        <v>#REF!</v>
      </c>
      <c r="M624" s="20" t="s">
        <v>6232</v>
      </c>
      <c r="N624" t="s">
        <v>6232</v>
      </c>
      <c r="P624" t="s">
        <v>3038</v>
      </c>
      <c r="Q624" t="s">
        <v>6232</v>
      </c>
      <c r="R624" t="s">
        <v>5636</v>
      </c>
      <c r="T624" t="s">
        <v>3860</v>
      </c>
      <c r="BI624" s="52" t="str">
        <f>HYPERLINK("#일위대가목록!A634","S02W60040 →")</f>
        <v>S02W60040 →</v>
      </c>
    </row>
    <row r="625" spans="1:61" ht="18.399999999999999" customHeight="1">
      <c r="A625" s="11" t="s">
        <v>4482</v>
      </c>
      <c r="B625" s="2" t="s">
        <v>6144</v>
      </c>
      <c r="C625" s="2">
        <v>1</v>
      </c>
      <c r="D625" s="2" t="s">
        <v>2289</v>
      </c>
      <c r="E625" s="29" t="e">
        <f>일위대가목록!#REF!</f>
        <v>#REF!</v>
      </c>
      <c r="F625" s="29" t="e">
        <f t="shared" si="68"/>
        <v>#REF!</v>
      </c>
      <c r="G625" s="29" t="e">
        <f>일위대가목록!#REF!</f>
        <v>#REF!</v>
      </c>
      <c r="H625" s="29" t="e">
        <f t="shared" si="69"/>
        <v>#REF!</v>
      </c>
      <c r="I625" s="29" t="e">
        <f>일위대가목록!#REF!</f>
        <v>#REF!</v>
      </c>
      <c r="J625" s="29" t="e">
        <f t="shared" si="70"/>
        <v>#REF!</v>
      </c>
      <c r="K625" s="29" t="e">
        <f t="shared" si="64"/>
        <v>#REF!</v>
      </c>
      <c r="L625" s="29" t="e">
        <f t="shared" si="63"/>
        <v>#REF!</v>
      </c>
      <c r="M625" s="20" t="s">
        <v>6232</v>
      </c>
      <c r="N625" t="s">
        <v>6232</v>
      </c>
      <c r="P625" t="s">
        <v>4569</v>
      </c>
      <c r="Q625" t="s">
        <v>6232</v>
      </c>
      <c r="R625" t="s">
        <v>84</v>
      </c>
      <c r="T625" t="s">
        <v>3860</v>
      </c>
      <c r="BI625" s="52" t="str">
        <f>HYPERLINK("#일위대가목록!A635","S02W60080YA →")</f>
        <v>S02W60080YA →</v>
      </c>
    </row>
    <row r="626" spans="1:61" ht="18.399999999999999" customHeight="1">
      <c r="A626" s="11" t="s">
        <v>4482</v>
      </c>
      <c r="B626" s="2" t="s">
        <v>2097</v>
      </c>
      <c r="C626" s="2">
        <v>1</v>
      </c>
      <c r="D626" s="2" t="s">
        <v>2289</v>
      </c>
      <c r="E626" s="29" t="e">
        <f>일위대가목록!#REF!</f>
        <v>#REF!</v>
      </c>
      <c r="F626" s="29" t="e">
        <f t="shared" si="68"/>
        <v>#REF!</v>
      </c>
      <c r="G626" s="29" t="e">
        <f>일위대가목록!#REF!</f>
        <v>#REF!</v>
      </c>
      <c r="H626" s="29" t="e">
        <f t="shared" si="69"/>
        <v>#REF!</v>
      </c>
      <c r="I626" s="29" t="e">
        <f>일위대가목록!#REF!</f>
        <v>#REF!</v>
      </c>
      <c r="J626" s="29" t="e">
        <f t="shared" si="70"/>
        <v>#REF!</v>
      </c>
      <c r="K626" s="29" t="e">
        <f t="shared" si="64"/>
        <v>#REF!</v>
      </c>
      <c r="L626" s="29" t="e">
        <f t="shared" si="63"/>
        <v>#REF!</v>
      </c>
      <c r="M626" s="20" t="s">
        <v>6232</v>
      </c>
      <c r="N626" t="s">
        <v>6232</v>
      </c>
      <c r="P626" t="s">
        <v>6139</v>
      </c>
      <c r="Q626" t="s">
        <v>6232</v>
      </c>
      <c r="R626" t="s">
        <v>1156</v>
      </c>
      <c r="T626" t="s">
        <v>3860</v>
      </c>
      <c r="BI626" s="52" t="str">
        <f>HYPERLINK("#일위대가목록!A636","S02W60060YA →")</f>
        <v>S02W60060YA →</v>
      </c>
    </row>
    <row r="627" spans="1:61" ht="18.399999999999999" customHeight="1">
      <c r="A627" s="11" t="s">
        <v>4482</v>
      </c>
      <c r="B627" s="2" t="s">
        <v>1255</v>
      </c>
      <c r="C627" s="2">
        <v>1</v>
      </c>
      <c r="D627" s="2" t="s">
        <v>2289</v>
      </c>
      <c r="E627" s="29" t="e">
        <f>일위대가목록!#REF!</f>
        <v>#REF!</v>
      </c>
      <c r="F627" s="29" t="e">
        <f t="shared" si="68"/>
        <v>#REF!</v>
      </c>
      <c r="G627" s="29" t="e">
        <f>일위대가목록!#REF!</f>
        <v>#REF!</v>
      </c>
      <c r="H627" s="29" t="e">
        <f t="shared" si="69"/>
        <v>#REF!</v>
      </c>
      <c r="I627" s="29" t="e">
        <f>일위대가목록!#REF!</f>
        <v>#REF!</v>
      </c>
      <c r="J627" s="29" t="e">
        <f t="shared" si="70"/>
        <v>#REF!</v>
      </c>
      <c r="K627" s="29" t="e">
        <f t="shared" si="64"/>
        <v>#REF!</v>
      </c>
      <c r="L627" s="29" t="e">
        <f t="shared" si="63"/>
        <v>#REF!</v>
      </c>
      <c r="M627" s="20" t="s">
        <v>6232</v>
      </c>
      <c r="N627" t="s">
        <v>6232</v>
      </c>
      <c r="P627" t="s">
        <v>1229</v>
      </c>
      <c r="Q627" t="s">
        <v>6232</v>
      </c>
      <c r="R627" t="s">
        <v>4522</v>
      </c>
      <c r="T627" t="s">
        <v>3860</v>
      </c>
      <c r="BI627" s="52" t="str">
        <f>HYPERLINK("#일위대가목록!A637","S02W60040YA →")</f>
        <v>S02W60040YA →</v>
      </c>
    </row>
    <row r="628" spans="1:61" ht="18.399999999999999" customHeight="1">
      <c r="A628" s="11" t="s">
        <v>5376</v>
      </c>
      <c r="B628" s="2" t="s">
        <v>2984</v>
      </c>
      <c r="C628" s="2">
        <v>1</v>
      </c>
      <c r="D628" s="2" t="s">
        <v>2289</v>
      </c>
      <c r="E628" s="29" t="e">
        <f>일위대가목록!#REF!</f>
        <v>#REF!</v>
      </c>
      <c r="F628" s="29" t="e">
        <f t="shared" si="68"/>
        <v>#REF!</v>
      </c>
      <c r="G628" s="29" t="e">
        <f>일위대가목록!#REF!</f>
        <v>#REF!</v>
      </c>
      <c r="H628" s="29" t="e">
        <f t="shared" si="69"/>
        <v>#REF!</v>
      </c>
      <c r="I628" s="29" t="e">
        <f>일위대가목록!#REF!</f>
        <v>#REF!</v>
      </c>
      <c r="J628" s="29" t="e">
        <f t="shared" si="70"/>
        <v>#REF!</v>
      </c>
      <c r="K628" s="29" t="e">
        <f t="shared" si="64"/>
        <v>#REF!</v>
      </c>
      <c r="L628" s="29" t="e">
        <f t="shared" si="63"/>
        <v>#REF!</v>
      </c>
      <c r="M628" s="20" t="s">
        <v>6232</v>
      </c>
      <c r="N628" t="s">
        <v>6232</v>
      </c>
      <c r="P628" t="s">
        <v>2739</v>
      </c>
      <c r="Q628" t="s">
        <v>6232</v>
      </c>
      <c r="R628" t="s">
        <v>208</v>
      </c>
      <c r="T628" t="s">
        <v>3860</v>
      </c>
      <c r="BI628" s="52" t="str">
        <f>HYPERLINK("#일위대가목록!A638","S02W55080 →")</f>
        <v>S02W55080 →</v>
      </c>
    </row>
    <row r="629" spans="1:61" ht="18.399999999999999" customHeight="1">
      <c r="A629" s="11" t="s">
        <v>5376</v>
      </c>
      <c r="B629" s="2" t="s">
        <v>5225</v>
      </c>
      <c r="C629" s="2">
        <v>1</v>
      </c>
      <c r="D629" s="2" t="s">
        <v>2289</v>
      </c>
      <c r="E629" s="29" t="e">
        <f>일위대가목록!#REF!</f>
        <v>#REF!</v>
      </c>
      <c r="F629" s="29" t="e">
        <f t="shared" si="68"/>
        <v>#REF!</v>
      </c>
      <c r="G629" s="29" t="e">
        <f>일위대가목록!#REF!</f>
        <v>#REF!</v>
      </c>
      <c r="H629" s="29" t="e">
        <f t="shared" si="69"/>
        <v>#REF!</v>
      </c>
      <c r="I629" s="29" t="e">
        <f>일위대가목록!#REF!</f>
        <v>#REF!</v>
      </c>
      <c r="J629" s="29" t="e">
        <f t="shared" si="70"/>
        <v>#REF!</v>
      </c>
      <c r="K629" s="29" t="e">
        <f t="shared" si="64"/>
        <v>#REF!</v>
      </c>
      <c r="L629" s="29" t="e">
        <f t="shared" si="63"/>
        <v>#REF!</v>
      </c>
      <c r="M629" s="20" t="s">
        <v>6232</v>
      </c>
      <c r="N629" t="s">
        <v>6232</v>
      </c>
      <c r="P629" t="s">
        <v>4605</v>
      </c>
      <c r="Q629" t="s">
        <v>6232</v>
      </c>
      <c r="R629" t="s">
        <v>3256</v>
      </c>
      <c r="T629" t="s">
        <v>3860</v>
      </c>
      <c r="BI629" s="52" t="str">
        <f>HYPERLINK("#일위대가목록!A639","S02W55060 →")</f>
        <v>S02W55060 →</v>
      </c>
    </row>
    <row r="630" spans="1:61" ht="18.399999999999999" customHeight="1">
      <c r="A630" s="11" t="s">
        <v>5376</v>
      </c>
      <c r="B630" s="2" t="s">
        <v>4369</v>
      </c>
      <c r="C630" s="2">
        <v>1</v>
      </c>
      <c r="D630" s="2" t="s">
        <v>2289</v>
      </c>
      <c r="E630" s="29" t="e">
        <f>일위대가목록!#REF!</f>
        <v>#REF!</v>
      </c>
      <c r="F630" s="29" t="e">
        <f t="shared" si="68"/>
        <v>#REF!</v>
      </c>
      <c r="G630" s="29" t="e">
        <f>일위대가목록!#REF!</f>
        <v>#REF!</v>
      </c>
      <c r="H630" s="29" t="e">
        <f t="shared" si="69"/>
        <v>#REF!</v>
      </c>
      <c r="I630" s="29" t="e">
        <f>일위대가목록!#REF!</f>
        <v>#REF!</v>
      </c>
      <c r="J630" s="29" t="e">
        <f t="shared" si="70"/>
        <v>#REF!</v>
      </c>
      <c r="K630" s="29" t="e">
        <f t="shared" si="64"/>
        <v>#REF!</v>
      </c>
      <c r="L630" s="29" t="e">
        <f t="shared" si="63"/>
        <v>#REF!</v>
      </c>
      <c r="M630" s="20" t="s">
        <v>6232</v>
      </c>
      <c r="N630" t="s">
        <v>6232</v>
      </c>
      <c r="P630" t="s">
        <v>6221</v>
      </c>
      <c r="Q630" t="s">
        <v>6232</v>
      </c>
      <c r="R630" t="s">
        <v>115</v>
      </c>
      <c r="T630" t="s">
        <v>3860</v>
      </c>
      <c r="BI630" s="52" t="str">
        <f>HYPERLINK("#일위대가목록!A640","S02W55040 →")</f>
        <v>S02W55040 →</v>
      </c>
    </row>
    <row r="631" spans="1:61" ht="18.399999999999999" customHeight="1">
      <c r="A631" s="11" t="s">
        <v>4482</v>
      </c>
      <c r="B631" s="2" t="s">
        <v>2984</v>
      </c>
      <c r="C631" s="2">
        <v>1</v>
      </c>
      <c r="D631" s="2" t="s">
        <v>2289</v>
      </c>
      <c r="E631" s="29" t="e">
        <f>일위대가목록!#REF!</f>
        <v>#REF!</v>
      </c>
      <c r="F631" s="29" t="e">
        <f t="shared" si="68"/>
        <v>#REF!</v>
      </c>
      <c r="G631" s="29" t="e">
        <f>일위대가목록!#REF!</f>
        <v>#REF!</v>
      </c>
      <c r="H631" s="29" t="e">
        <f t="shared" si="69"/>
        <v>#REF!</v>
      </c>
      <c r="I631" s="29" t="e">
        <f>일위대가목록!#REF!</f>
        <v>#REF!</v>
      </c>
      <c r="J631" s="29" t="e">
        <f t="shared" si="70"/>
        <v>#REF!</v>
      </c>
      <c r="K631" s="29" t="e">
        <f t="shared" si="64"/>
        <v>#REF!</v>
      </c>
      <c r="L631" s="29" t="e">
        <f t="shared" si="63"/>
        <v>#REF!</v>
      </c>
      <c r="M631" s="20" t="s">
        <v>6232</v>
      </c>
      <c r="N631" t="s">
        <v>6232</v>
      </c>
      <c r="P631" t="s">
        <v>1453</v>
      </c>
      <c r="Q631" t="s">
        <v>6232</v>
      </c>
      <c r="R631" t="s">
        <v>1074</v>
      </c>
      <c r="T631" t="s">
        <v>3860</v>
      </c>
      <c r="BI631" s="52" t="str">
        <f>HYPERLINK("#일위대가목록!A641","S02W55080YA →")</f>
        <v>S02W55080YA →</v>
      </c>
    </row>
    <row r="632" spans="1:61" ht="18.399999999999999" customHeight="1">
      <c r="A632" s="11" t="s">
        <v>4482</v>
      </c>
      <c r="B632" s="2" t="s">
        <v>5225</v>
      </c>
      <c r="C632" s="2">
        <v>1</v>
      </c>
      <c r="D632" s="2" t="s">
        <v>2289</v>
      </c>
      <c r="E632" s="29" t="e">
        <f>일위대가목록!#REF!</f>
        <v>#REF!</v>
      </c>
      <c r="F632" s="29" t="e">
        <f t="shared" si="68"/>
        <v>#REF!</v>
      </c>
      <c r="G632" s="29" t="e">
        <f>일위대가목록!#REF!</f>
        <v>#REF!</v>
      </c>
      <c r="H632" s="29" t="e">
        <f t="shared" si="69"/>
        <v>#REF!</v>
      </c>
      <c r="I632" s="29" t="e">
        <f>일위대가목록!#REF!</f>
        <v>#REF!</v>
      </c>
      <c r="J632" s="29" t="e">
        <f t="shared" si="70"/>
        <v>#REF!</v>
      </c>
      <c r="K632" s="29" t="e">
        <f t="shared" si="64"/>
        <v>#REF!</v>
      </c>
      <c r="L632" s="29" t="e">
        <f t="shared" si="63"/>
        <v>#REF!</v>
      </c>
      <c r="M632" s="20" t="s">
        <v>6232</v>
      </c>
      <c r="N632" t="s">
        <v>6232</v>
      </c>
      <c r="P632" t="s">
        <v>3025</v>
      </c>
      <c r="Q632" t="s">
        <v>6232</v>
      </c>
      <c r="R632" t="s">
        <v>727</v>
      </c>
      <c r="T632" t="s">
        <v>3860</v>
      </c>
      <c r="BI632" s="52" t="str">
        <f>HYPERLINK("#일위대가목록!A642","S02W55060YA →")</f>
        <v>S02W55060YA →</v>
      </c>
    </row>
    <row r="633" spans="1:61" ht="18.399999999999999" customHeight="1">
      <c r="A633" s="11" t="s">
        <v>4482</v>
      </c>
      <c r="B633" s="2" t="s">
        <v>4369</v>
      </c>
      <c r="C633" s="2">
        <v>1</v>
      </c>
      <c r="D633" s="2" t="s">
        <v>2289</v>
      </c>
      <c r="E633" s="29" t="e">
        <f>일위대가목록!#REF!</f>
        <v>#REF!</v>
      </c>
      <c r="F633" s="29" t="e">
        <f t="shared" si="68"/>
        <v>#REF!</v>
      </c>
      <c r="G633" s="29" t="e">
        <f>일위대가목록!#REF!</f>
        <v>#REF!</v>
      </c>
      <c r="H633" s="29" t="e">
        <f t="shared" si="69"/>
        <v>#REF!</v>
      </c>
      <c r="I633" s="29" t="e">
        <f>일위대가목록!#REF!</f>
        <v>#REF!</v>
      </c>
      <c r="J633" s="29" t="e">
        <f t="shared" si="70"/>
        <v>#REF!</v>
      </c>
      <c r="K633" s="29" t="e">
        <f t="shared" si="64"/>
        <v>#REF!</v>
      </c>
      <c r="L633" s="29" t="e">
        <f t="shared" si="63"/>
        <v>#REF!</v>
      </c>
      <c r="M633" s="20" t="s">
        <v>6232</v>
      </c>
      <c r="N633" t="s">
        <v>6232</v>
      </c>
      <c r="P633" t="s">
        <v>4505</v>
      </c>
      <c r="Q633" t="s">
        <v>6232</v>
      </c>
      <c r="R633" t="s">
        <v>3629</v>
      </c>
      <c r="T633" t="s">
        <v>3860</v>
      </c>
      <c r="BI633" s="52" t="str">
        <f>HYPERLINK("#일위대가목록!A643","S02W55040YA →")</f>
        <v>S02W55040YA →</v>
      </c>
    </row>
    <row r="634" spans="1:61" ht="18.399999999999999" customHeight="1">
      <c r="A634" s="11" t="s">
        <v>5376</v>
      </c>
      <c r="B634" s="2" t="s">
        <v>95</v>
      </c>
      <c r="C634" s="2">
        <v>1</v>
      </c>
      <c r="D634" s="2" t="s">
        <v>2289</v>
      </c>
      <c r="E634" s="29" t="e">
        <f>일위대가목록!#REF!</f>
        <v>#REF!</v>
      </c>
      <c r="F634" s="29" t="e">
        <f t="shared" si="68"/>
        <v>#REF!</v>
      </c>
      <c r="G634" s="29" t="e">
        <f>일위대가목록!#REF!</f>
        <v>#REF!</v>
      </c>
      <c r="H634" s="29" t="e">
        <f t="shared" si="69"/>
        <v>#REF!</v>
      </c>
      <c r="I634" s="29" t="e">
        <f>일위대가목록!#REF!</f>
        <v>#REF!</v>
      </c>
      <c r="J634" s="29" t="e">
        <f t="shared" si="70"/>
        <v>#REF!</v>
      </c>
      <c r="K634" s="29" t="e">
        <f t="shared" si="64"/>
        <v>#REF!</v>
      </c>
      <c r="L634" s="29" t="e">
        <f t="shared" si="63"/>
        <v>#REF!</v>
      </c>
      <c r="M634" s="20" t="s">
        <v>6232</v>
      </c>
      <c r="N634" t="s">
        <v>6232</v>
      </c>
      <c r="P634" t="s">
        <v>6112</v>
      </c>
      <c r="Q634" t="s">
        <v>6232</v>
      </c>
      <c r="R634" t="s">
        <v>1434</v>
      </c>
      <c r="T634" t="s">
        <v>3860</v>
      </c>
      <c r="BI634" s="52" t="str">
        <f>HYPERLINK("#일위대가목록!A644","S02W50080 →")</f>
        <v>S02W50080 →</v>
      </c>
    </row>
    <row r="635" spans="1:61" ht="18.399999999999999" customHeight="1">
      <c r="A635" s="11" t="s">
        <v>5376</v>
      </c>
      <c r="B635" s="2" t="s">
        <v>4262</v>
      </c>
      <c r="C635" s="2">
        <v>1</v>
      </c>
      <c r="D635" s="2" t="s">
        <v>2289</v>
      </c>
      <c r="E635" s="29" t="e">
        <f>일위대가목록!#REF!</f>
        <v>#REF!</v>
      </c>
      <c r="F635" s="29" t="e">
        <f t="shared" si="68"/>
        <v>#REF!</v>
      </c>
      <c r="G635" s="29" t="e">
        <f>일위대가목록!#REF!</f>
        <v>#REF!</v>
      </c>
      <c r="H635" s="29" t="e">
        <f t="shared" si="69"/>
        <v>#REF!</v>
      </c>
      <c r="I635" s="29" t="e">
        <f>일위대가목록!#REF!</f>
        <v>#REF!</v>
      </c>
      <c r="J635" s="29" t="e">
        <f t="shared" si="70"/>
        <v>#REF!</v>
      </c>
      <c r="K635" s="29" t="e">
        <f t="shared" si="64"/>
        <v>#REF!</v>
      </c>
      <c r="L635" s="29" t="e">
        <f t="shared" si="63"/>
        <v>#REF!</v>
      </c>
      <c r="M635" s="20" t="s">
        <v>6232</v>
      </c>
      <c r="N635" t="s">
        <v>6232</v>
      </c>
      <c r="P635" t="s">
        <v>1338</v>
      </c>
      <c r="Q635" t="s">
        <v>6232</v>
      </c>
      <c r="R635" t="s">
        <v>4393</v>
      </c>
      <c r="T635" t="s">
        <v>3860</v>
      </c>
      <c r="BI635" s="52" t="str">
        <f>HYPERLINK("#일위대가목록!A645","S02W50060 →")</f>
        <v>S02W50060 →</v>
      </c>
    </row>
    <row r="636" spans="1:61" ht="18.399999999999999" customHeight="1">
      <c r="A636" s="11" t="s">
        <v>5376</v>
      </c>
      <c r="B636" s="2" t="s">
        <v>4949</v>
      </c>
      <c r="C636" s="2">
        <v>1</v>
      </c>
      <c r="D636" s="2" t="s">
        <v>2289</v>
      </c>
      <c r="E636" s="29" t="e">
        <f>일위대가목록!#REF!</f>
        <v>#REF!</v>
      </c>
      <c r="F636" s="29" t="e">
        <f t="shared" ref="F636:F667" si="71">TRUNC(E636*C636,0)</f>
        <v>#REF!</v>
      </c>
      <c r="G636" s="29" t="e">
        <f>일위대가목록!#REF!</f>
        <v>#REF!</v>
      </c>
      <c r="H636" s="29" t="e">
        <f t="shared" ref="H636:H667" si="72">TRUNC(G636*C636,0)</f>
        <v>#REF!</v>
      </c>
      <c r="I636" s="29" t="e">
        <f>일위대가목록!#REF!</f>
        <v>#REF!</v>
      </c>
      <c r="J636" s="29" t="e">
        <f t="shared" ref="J636:J667" si="73">TRUNC(I636*C636,0)</f>
        <v>#REF!</v>
      </c>
      <c r="K636" s="29" t="e">
        <f t="shared" si="64"/>
        <v>#REF!</v>
      </c>
      <c r="L636" s="29" t="e">
        <f t="shared" si="63"/>
        <v>#REF!</v>
      </c>
      <c r="M636" s="20" t="s">
        <v>6232</v>
      </c>
      <c r="N636" t="s">
        <v>6232</v>
      </c>
      <c r="P636" t="s">
        <v>2917</v>
      </c>
      <c r="Q636" t="s">
        <v>6232</v>
      </c>
      <c r="R636" t="s">
        <v>1325</v>
      </c>
      <c r="T636" t="s">
        <v>3860</v>
      </c>
      <c r="BI636" s="52" t="str">
        <f>HYPERLINK("#일위대가목록!A646","S02W50040 →")</f>
        <v>S02W50040 →</v>
      </c>
    </row>
    <row r="637" spans="1:61" ht="18.399999999999999" customHeight="1">
      <c r="A637" s="11" t="s">
        <v>4482</v>
      </c>
      <c r="B637" s="2" t="s">
        <v>95</v>
      </c>
      <c r="C637" s="2">
        <v>1</v>
      </c>
      <c r="D637" s="2" t="s">
        <v>2289</v>
      </c>
      <c r="E637" s="29" t="e">
        <f>일위대가목록!#REF!</f>
        <v>#REF!</v>
      </c>
      <c r="F637" s="29" t="e">
        <f t="shared" si="71"/>
        <v>#REF!</v>
      </c>
      <c r="G637" s="29" t="e">
        <f>일위대가목록!#REF!</f>
        <v>#REF!</v>
      </c>
      <c r="H637" s="29" t="e">
        <f t="shared" si="72"/>
        <v>#REF!</v>
      </c>
      <c r="I637" s="29" t="e">
        <f>일위대가목록!#REF!</f>
        <v>#REF!</v>
      </c>
      <c r="J637" s="29" t="e">
        <f t="shared" si="73"/>
        <v>#REF!</v>
      </c>
      <c r="K637" s="29" t="e">
        <f t="shared" si="64"/>
        <v>#REF!</v>
      </c>
      <c r="L637" s="29" t="e">
        <f t="shared" si="63"/>
        <v>#REF!</v>
      </c>
      <c r="M637" s="20" t="s">
        <v>6232</v>
      </c>
      <c r="N637" t="s">
        <v>6232</v>
      </c>
      <c r="P637" t="s">
        <v>4403</v>
      </c>
      <c r="Q637" t="s">
        <v>6232</v>
      </c>
      <c r="R637" t="s">
        <v>3845</v>
      </c>
      <c r="T637" t="s">
        <v>3860</v>
      </c>
      <c r="BI637" s="52" t="str">
        <f>HYPERLINK("#일위대가목록!A647","S02W50080YA →")</f>
        <v>S02W50080YA →</v>
      </c>
    </row>
    <row r="638" spans="1:61" ht="18.399999999999999" customHeight="1">
      <c r="A638" s="11" t="s">
        <v>4482</v>
      </c>
      <c r="B638" s="2" t="s">
        <v>4262</v>
      </c>
      <c r="C638" s="2">
        <v>1</v>
      </c>
      <c r="D638" s="2" t="s">
        <v>2289</v>
      </c>
      <c r="E638" s="29" t="e">
        <f>일위대가목록!#REF!</f>
        <v>#REF!</v>
      </c>
      <c r="F638" s="29" t="e">
        <f t="shared" si="71"/>
        <v>#REF!</v>
      </c>
      <c r="G638" s="29" t="e">
        <f>일위대가목록!#REF!</f>
        <v>#REF!</v>
      </c>
      <c r="H638" s="29" t="e">
        <f t="shared" si="72"/>
        <v>#REF!</v>
      </c>
      <c r="I638" s="29" t="e">
        <f>일위대가목록!#REF!</f>
        <v>#REF!</v>
      </c>
      <c r="J638" s="29" t="e">
        <f t="shared" si="73"/>
        <v>#REF!</v>
      </c>
      <c r="K638" s="29" t="e">
        <f t="shared" si="64"/>
        <v>#REF!</v>
      </c>
      <c r="L638" s="29" t="e">
        <f t="shared" si="63"/>
        <v>#REF!</v>
      </c>
      <c r="M638" s="20" t="s">
        <v>6232</v>
      </c>
      <c r="N638" t="s">
        <v>6232</v>
      </c>
      <c r="P638" t="s">
        <v>6005</v>
      </c>
      <c r="Q638" t="s">
        <v>6232</v>
      </c>
      <c r="R638" t="s">
        <v>4214</v>
      </c>
      <c r="T638" t="s">
        <v>3860</v>
      </c>
      <c r="BI638" s="52" t="str">
        <f>HYPERLINK("#일위대가목록!A648","S02W50060YA →")</f>
        <v>S02W50060YA →</v>
      </c>
    </row>
    <row r="639" spans="1:61" ht="18.399999999999999" customHeight="1">
      <c r="A639" s="11" t="s">
        <v>4482</v>
      </c>
      <c r="B639" s="2" t="s">
        <v>4949</v>
      </c>
      <c r="C639" s="2">
        <v>1</v>
      </c>
      <c r="D639" s="2" t="s">
        <v>2289</v>
      </c>
      <c r="E639" s="29" t="e">
        <f>일위대가목록!#REF!</f>
        <v>#REF!</v>
      </c>
      <c r="F639" s="29" t="e">
        <f t="shared" si="71"/>
        <v>#REF!</v>
      </c>
      <c r="G639" s="29" t="e">
        <f>일위대가목록!#REF!</f>
        <v>#REF!</v>
      </c>
      <c r="H639" s="29" t="e">
        <f t="shared" si="72"/>
        <v>#REF!</v>
      </c>
      <c r="I639" s="29" t="e">
        <f>일위대가목록!#REF!</f>
        <v>#REF!</v>
      </c>
      <c r="J639" s="29" t="e">
        <f t="shared" si="73"/>
        <v>#REF!</v>
      </c>
      <c r="K639" s="29" t="e">
        <f t="shared" si="64"/>
        <v>#REF!</v>
      </c>
      <c r="L639" s="29" t="e">
        <f t="shared" si="63"/>
        <v>#REF!</v>
      </c>
      <c r="M639" s="20" t="s">
        <v>6232</v>
      </c>
      <c r="N639" t="s">
        <v>6232</v>
      </c>
      <c r="P639" t="s">
        <v>3324</v>
      </c>
      <c r="Q639" t="s">
        <v>6232</v>
      </c>
      <c r="R639" t="s">
        <v>919</v>
      </c>
      <c r="T639" t="s">
        <v>3860</v>
      </c>
      <c r="BI639" s="52" t="str">
        <f>HYPERLINK("#일위대가목록!A649","S02W50040YA →")</f>
        <v>S02W50040YA →</v>
      </c>
    </row>
    <row r="640" spans="1:61" ht="18.399999999999999" customHeight="1">
      <c r="A640" s="11" t="s">
        <v>5376</v>
      </c>
      <c r="B640" s="2" t="s">
        <v>5709</v>
      </c>
      <c r="C640" s="2">
        <v>1</v>
      </c>
      <c r="D640" s="2" t="s">
        <v>2289</v>
      </c>
      <c r="E640" s="29" t="e">
        <f>일위대가목록!#REF!</f>
        <v>#REF!</v>
      </c>
      <c r="F640" s="29" t="e">
        <f t="shared" si="71"/>
        <v>#REF!</v>
      </c>
      <c r="G640" s="29" t="e">
        <f>일위대가목록!#REF!</f>
        <v>#REF!</v>
      </c>
      <c r="H640" s="29" t="e">
        <f t="shared" si="72"/>
        <v>#REF!</v>
      </c>
      <c r="I640" s="29" t="e">
        <f>일위대가목록!#REF!</f>
        <v>#REF!</v>
      </c>
      <c r="J640" s="29" t="e">
        <f t="shared" si="73"/>
        <v>#REF!</v>
      </c>
      <c r="K640" s="29" t="e">
        <f t="shared" si="64"/>
        <v>#REF!</v>
      </c>
      <c r="L640" s="29" t="e">
        <f t="shared" si="63"/>
        <v>#REF!</v>
      </c>
      <c r="M640" s="20" t="s">
        <v>6232</v>
      </c>
      <c r="N640" t="s">
        <v>6232</v>
      </c>
      <c r="P640" t="s">
        <v>4860</v>
      </c>
      <c r="Q640" t="s">
        <v>6232</v>
      </c>
      <c r="R640" t="s">
        <v>4480</v>
      </c>
      <c r="T640" t="s">
        <v>3860</v>
      </c>
      <c r="BI640" s="52" t="str">
        <f>HYPERLINK("#일위대가목록!A650","S02W45080 →")</f>
        <v>S02W45080 →</v>
      </c>
    </row>
    <row r="641" spans="1:61" ht="18.399999999999999" customHeight="1">
      <c r="A641" s="11" t="s">
        <v>5376</v>
      </c>
      <c r="B641" s="2" t="s">
        <v>1539</v>
      </c>
      <c r="C641" s="2">
        <v>1</v>
      </c>
      <c r="D641" s="2" t="s">
        <v>2289</v>
      </c>
      <c r="E641" s="29" t="e">
        <f>일위대가목록!#REF!</f>
        <v>#REF!</v>
      </c>
      <c r="F641" s="29" t="e">
        <f t="shared" si="71"/>
        <v>#REF!</v>
      </c>
      <c r="G641" s="29" t="e">
        <f>일위대가목록!#REF!</f>
        <v>#REF!</v>
      </c>
      <c r="H641" s="29" t="e">
        <f t="shared" si="72"/>
        <v>#REF!</v>
      </c>
      <c r="I641" s="29" t="e">
        <f>일위대가목록!#REF!</f>
        <v>#REF!</v>
      </c>
      <c r="J641" s="29" t="e">
        <f t="shared" si="73"/>
        <v>#REF!</v>
      </c>
      <c r="K641" s="29" t="e">
        <f t="shared" si="64"/>
        <v>#REF!</v>
      </c>
      <c r="L641" s="29" t="e">
        <f t="shared" si="63"/>
        <v>#REF!</v>
      </c>
      <c r="M641" s="20" t="s">
        <v>6232</v>
      </c>
      <c r="N641" t="s">
        <v>6232</v>
      </c>
      <c r="P641" t="s">
        <v>254</v>
      </c>
      <c r="Q641" t="s">
        <v>6232</v>
      </c>
      <c r="R641" t="s">
        <v>1313</v>
      </c>
      <c r="T641" t="s">
        <v>3860</v>
      </c>
      <c r="BI641" s="52" t="str">
        <f>HYPERLINK("#일위대가목록!A651","S02W45060 →")</f>
        <v>S02W45060 →</v>
      </c>
    </row>
    <row r="642" spans="1:61" ht="18.399999999999999" customHeight="1">
      <c r="A642" s="11" t="s">
        <v>5376</v>
      </c>
      <c r="B642" s="2" t="s">
        <v>865</v>
      </c>
      <c r="C642" s="2">
        <v>1</v>
      </c>
      <c r="D642" s="2" t="s">
        <v>2289</v>
      </c>
      <c r="E642" s="29" t="e">
        <f>일위대가목록!#REF!</f>
        <v>#REF!</v>
      </c>
      <c r="F642" s="29" t="e">
        <f t="shared" si="71"/>
        <v>#REF!</v>
      </c>
      <c r="G642" s="29" t="e">
        <f>일위대가목록!#REF!</f>
        <v>#REF!</v>
      </c>
      <c r="H642" s="29" t="e">
        <f t="shared" si="72"/>
        <v>#REF!</v>
      </c>
      <c r="I642" s="29" t="e">
        <f>일위대가목록!#REF!</f>
        <v>#REF!</v>
      </c>
      <c r="J642" s="29" t="e">
        <f t="shared" si="73"/>
        <v>#REF!</v>
      </c>
      <c r="K642" s="29" t="e">
        <f t="shared" si="64"/>
        <v>#REF!</v>
      </c>
      <c r="L642" s="29" t="e">
        <f t="shared" si="63"/>
        <v>#REF!</v>
      </c>
      <c r="M642" s="20" t="s">
        <v>6232</v>
      </c>
      <c r="N642" t="s">
        <v>6232</v>
      </c>
      <c r="P642" t="s">
        <v>1774</v>
      </c>
      <c r="Q642" t="s">
        <v>6232</v>
      </c>
      <c r="R642" t="s">
        <v>4386</v>
      </c>
      <c r="T642" t="s">
        <v>3860</v>
      </c>
      <c r="BI642" s="52" t="str">
        <f>HYPERLINK("#일위대가목록!A652","S02W45040 →")</f>
        <v>S02W45040 →</v>
      </c>
    </row>
    <row r="643" spans="1:61" ht="18.399999999999999" customHeight="1">
      <c r="A643" s="11" t="s">
        <v>4482</v>
      </c>
      <c r="B643" s="2" t="s">
        <v>5709</v>
      </c>
      <c r="C643" s="2">
        <v>1</v>
      </c>
      <c r="D643" s="2" t="s">
        <v>2289</v>
      </c>
      <c r="E643" s="29" t="e">
        <f>일위대가목록!#REF!</f>
        <v>#REF!</v>
      </c>
      <c r="F643" s="29" t="e">
        <f t="shared" si="71"/>
        <v>#REF!</v>
      </c>
      <c r="G643" s="29" t="e">
        <f>일위대가목록!#REF!</f>
        <v>#REF!</v>
      </c>
      <c r="H643" s="29" t="e">
        <f t="shared" si="72"/>
        <v>#REF!</v>
      </c>
      <c r="I643" s="29" t="e">
        <f>일위대가목록!#REF!</f>
        <v>#REF!</v>
      </c>
      <c r="J643" s="29" t="e">
        <f t="shared" si="73"/>
        <v>#REF!</v>
      </c>
      <c r="K643" s="29" t="e">
        <f t="shared" si="64"/>
        <v>#REF!</v>
      </c>
      <c r="L643" s="29" t="e">
        <f t="shared" si="63"/>
        <v>#REF!</v>
      </c>
      <c r="M643" s="20" t="s">
        <v>6232</v>
      </c>
      <c r="N643" t="s">
        <v>6232</v>
      </c>
      <c r="P643" t="s">
        <v>3402</v>
      </c>
      <c r="Q643" t="s">
        <v>6232</v>
      </c>
      <c r="R643" t="s">
        <v>3732</v>
      </c>
      <c r="T643" t="s">
        <v>3860</v>
      </c>
      <c r="BI643" s="52" t="str">
        <f>HYPERLINK("#일위대가목록!A653","S02W45080YA →")</f>
        <v>S02W45080YA →</v>
      </c>
    </row>
    <row r="644" spans="1:61" ht="18.399999999999999" customHeight="1">
      <c r="A644" s="11" t="s">
        <v>4482</v>
      </c>
      <c r="B644" s="2" t="s">
        <v>1539</v>
      </c>
      <c r="C644" s="2">
        <v>1</v>
      </c>
      <c r="D644" s="2" t="s">
        <v>2289</v>
      </c>
      <c r="E644" s="29" t="e">
        <f>일위대가목록!#REF!</f>
        <v>#REF!</v>
      </c>
      <c r="F644" s="29" t="e">
        <f t="shared" si="71"/>
        <v>#REF!</v>
      </c>
      <c r="G644" s="29" t="e">
        <f>일위대가목록!#REF!</f>
        <v>#REF!</v>
      </c>
      <c r="H644" s="29" t="e">
        <f t="shared" si="72"/>
        <v>#REF!</v>
      </c>
      <c r="I644" s="29" t="e">
        <f>일위대가목록!#REF!</f>
        <v>#REF!</v>
      </c>
      <c r="J644" s="29" t="e">
        <f t="shared" si="73"/>
        <v>#REF!</v>
      </c>
      <c r="K644" s="29" t="e">
        <f t="shared" si="64"/>
        <v>#REF!</v>
      </c>
      <c r="L644" s="29" t="e">
        <f t="shared" si="63"/>
        <v>#REF!</v>
      </c>
      <c r="M644" s="20" t="s">
        <v>6232</v>
      </c>
      <c r="N644" t="s">
        <v>6232</v>
      </c>
      <c r="P644" t="s">
        <v>4938</v>
      </c>
      <c r="Q644" t="s">
        <v>6232</v>
      </c>
      <c r="R644" t="s">
        <v>4135</v>
      </c>
      <c r="T644" t="s">
        <v>3860</v>
      </c>
      <c r="BI644" s="52" t="str">
        <f>HYPERLINK("#일위대가목록!A654","S02W45060YA →")</f>
        <v>S02W45060YA →</v>
      </c>
    </row>
    <row r="645" spans="1:61" ht="18.399999999999999" customHeight="1">
      <c r="A645" s="11" t="s">
        <v>4482</v>
      </c>
      <c r="B645" s="2" t="s">
        <v>865</v>
      </c>
      <c r="C645" s="2">
        <v>1</v>
      </c>
      <c r="D645" s="2" t="s">
        <v>2289</v>
      </c>
      <c r="E645" s="29" t="e">
        <f>일위대가목록!#REF!</f>
        <v>#REF!</v>
      </c>
      <c r="F645" s="29" t="e">
        <f t="shared" si="71"/>
        <v>#REF!</v>
      </c>
      <c r="G645" s="29" t="e">
        <f>일위대가목록!#REF!</f>
        <v>#REF!</v>
      </c>
      <c r="H645" s="29" t="e">
        <f t="shared" si="72"/>
        <v>#REF!</v>
      </c>
      <c r="I645" s="29" t="e">
        <f>일위대가목록!#REF!</f>
        <v>#REF!</v>
      </c>
      <c r="J645" s="29" t="e">
        <f t="shared" si="73"/>
        <v>#REF!</v>
      </c>
      <c r="K645" s="29" t="e">
        <f t="shared" si="64"/>
        <v>#REF!</v>
      </c>
      <c r="L645" s="29" t="e">
        <f t="shared" si="63"/>
        <v>#REF!</v>
      </c>
      <c r="M645" s="20" t="s">
        <v>6232</v>
      </c>
      <c r="N645" t="s">
        <v>6232</v>
      </c>
      <c r="P645" t="s">
        <v>346</v>
      </c>
      <c r="Q645" t="s">
        <v>6232</v>
      </c>
      <c r="R645" t="s">
        <v>802</v>
      </c>
      <c r="T645" t="s">
        <v>3860</v>
      </c>
      <c r="BI645" s="52" t="str">
        <f>HYPERLINK("#일위대가목록!A655","S02W45040YA →")</f>
        <v>S02W45040YA →</v>
      </c>
    </row>
    <row r="646" spans="1:61" ht="18.399999999999999" customHeight="1">
      <c r="A646" s="11" t="s">
        <v>5376</v>
      </c>
      <c r="B646" s="2" t="s">
        <v>3578</v>
      </c>
      <c r="C646" s="2">
        <v>1</v>
      </c>
      <c r="D646" s="2" t="s">
        <v>2289</v>
      </c>
      <c r="E646" s="29" t="e">
        <f>일위대가목록!#REF!</f>
        <v>#REF!</v>
      </c>
      <c r="F646" s="29" t="e">
        <f t="shared" si="71"/>
        <v>#REF!</v>
      </c>
      <c r="G646" s="29" t="e">
        <f>일위대가목록!#REF!</f>
        <v>#REF!</v>
      </c>
      <c r="H646" s="29" t="e">
        <f t="shared" si="72"/>
        <v>#REF!</v>
      </c>
      <c r="I646" s="29" t="e">
        <f>일위대가목록!#REF!</f>
        <v>#REF!</v>
      </c>
      <c r="J646" s="29" t="e">
        <f t="shared" si="73"/>
        <v>#REF!</v>
      </c>
      <c r="K646" s="29" t="e">
        <f t="shared" si="64"/>
        <v>#REF!</v>
      </c>
      <c r="L646" s="29" t="e">
        <f t="shared" si="63"/>
        <v>#REF!</v>
      </c>
      <c r="M646" s="20" t="s">
        <v>6232</v>
      </c>
      <c r="N646" t="s">
        <v>6232</v>
      </c>
      <c r="P646" t="s">
        <v>1863</v>
      </c>
      <c r="Q646" t="s">
        <v>6232</v>
      </c>
      <c r="R646" t="s">
        <v>3376</v>
      </c>
      <c r="T646" t="s">
        <v>3860</v>
      </c>
      <c r="BI646" s="52" t="str">
        <f>HYPERLINK("#일위대가목록!A656","S02W40080 →")</f>
        <v>S02W40080 →</v>
      </c>
    </row>
    <row r="647" spans="1:61" ht="18.399999999999999" customHeight="1">
      <c r="A647" s="11" t="s">
        <v>5376</v>
      </c>
      <c r="B647" s="2" t="s">
        <v>1339</v>
      </c>
      <c r="C647" s="2">
        <v>1</v>
      </c>
      <c r="D647" s="2" t="s">
        <v>2289</v>
      </c>
      <c r="E647" s="29" t="e">
        <f>일위대가목록!#REF!</f>
        <v>#REF!</v>
      </c>
      <c r="F647" s="29" t="e">
        <f t="shared" si="71"/>
        <v>#REF!</v>
      </c>
      <c r="G647" s="29" t="e">
        <f>일위대가목록!#REF!</f>
        <v>#REF!</v>
      </c>
      <c r="H647" s="29" t="e">
        <f t="shared" si="72"/>
        <v>#REF!</v>
      </c>
      <c r="I647" s="29" t="e">
        <f>일위대가목록!#REF!</f>
        <v>#REF!</v>
      </c>
      <c r="J647" s="29" t="e">
        <f t="shared" si="73"/>
        <v>#REF!</v>
      </c>
      <c r="K647" s="29" t="e">
        <f t="shared" si="64"/>
        <v>#REF!</v>
      </c>
      <c r="L647" s="29" t="e">
        <f t="shared" si="63"/>
        <v>#REF!</v>
      </c>
      <c r="M647" s="20" t="s">
        <v>6232</v>
      </c>
      <c r="N647" t="s">
        <v>6232</v>
      </c>
      <c r="P647" t="s">
        <v>3111</v>
      </c>
      <c r="Q647" t="s">
        <v>6232</v>
      </c>
      <c r="R647" t="s">
        <v>127</v>
      </c>
      <c r="T647" t="s">
        <v>3860</v>
      </c>
      <c r="BI647" s="52" t="str">
        <f>HYPERLINK("#일위대가목록!A657","S02W40060 →")</f>
        <v>S02W40060 →</v>
      </c>
    </row>
    <row r="648" spans="1:61" ht="18.399999999999999" customHeight="1">
      <c r="A648" s="11" t="s">
        <v>5376</v>
      </c>
      <c r="B648" s="2" t="s">
        <v>2180</v>
      </c>
      <c r="C648" s="2">
        <v>1</v>
      </c>
      <c r="D648" s="2" t="s">
        <v>2289</v>
      </c>
      <c r="E648" s="29" t="e">
        <f>일위대가목록!#REF!</f>
        <v>#REF!</v>
      </c>
      <c r="F648" s="29" t="e">
        <f t="shared" si="71"/>
        <v>#REF!</v>
      </c>
      <c r="G648" s="29" t="e">
        <f>일위대가목록!#REF!</f>
        <v>#REF!</v>
      </c>
      <c r="H648" s="29" t="e">
        <f t="shared" si="72"/>
        <v>#REF!</v>
      </c>
      <c r="I648" s="29" t="e">
        <f>일위대가목록!#REF!</f>
        <v>#REF!</v>
      </c>
      <c r="J648" s="29" t="e">
        <f t="shared" si="73"/>
        <v>#REF!</v>
      </c>
      <c r="K648" s="29" t="e">
        <f t="shared" si="64"/>
        <v>#REF!</v>
      </c>
      <c r="L648" s="29" t="e">
        <f t="shared" si="63"/>
        <v>#REF!</v>
      </c>
      <c r="M648" s="20" t="s">
        <v>6232</v>
      </c>
      <c r="N648" t="s">
        <v>6232</v>
      </c>
      <c r="P648" t="s">
        <v>4654</v>
      </c>
      <c r="Q648" t="s">
        <v>6232</v>
      </c>
      <c r="R648" t="s">
        <v>3265</v>
      </c>
      <c r="T648" t="s">
        <v>3860</v>
      </c>
      <c r="BI648" s="52" t="str">
        <f>HYPERLINK("#일위대가목록!A658","S02W40040 →")</f>
        <v>S02W40040 →</v>
      </c>
    </row>
    <row r="649" spans="1:61" ht="18.399999999999999" customHeight="1">
      <c r="A649" s="11" t="s">
        <v>4482</v>
      </c>
      <c r="B649" s="2" t="s">
        <v>3578</v>
      </c>
      <c r="C649" s="2">
        <v>1</v>
      </c>
      <c r="D649" s="2" t="s">
        <v>2289</v>
      </c>
      <c r="E649" s="29" t="e">
        <f>일위대가목록!#REF!</f>
        <v>#REF!</v>
      </c>
      <c r="F649" s="29" t="e">
        <f t="shared" si="71"/>
        <v>#REF!</v>
      </c>
      <c r="G649" s="29" t="e">
        <f>일위대가목록!#REF!</f>
        <v>#REF!</v>
      </c>
      <c r="H649" s="29" t="e">
        <f t="shared" si="72"/>
        <v>#REF!</v>
      </c>
      <c r="I649" s="29" t="e">
        <f>일위대가목록!#REF!</f>
        <v>#REF!</v>
      </c>
      <c r="J649" s="29" t="e">
        <f t="shared" si="73"/>
        <v>#REF!</v>
      </c>
      <c r="K649" s="29" t="e">
        <f t="shared" si="64"/>
        <v>#REF!</v>
      </c>
      <c r="L649" s="29" t="e">
        <f t="shared" ref="L649:L712" si="74">F649+H649+J649</f>
        <v>#REF!</v>
      </c>
      <c r="M649" s="20" t="s">
        <v>6232</v>
      </c>
      <c r="N649" t="s">
        <v>6232</v>
      </c>
      <c r="P649" t="s">
        <v>5042</v>
      </c>
      <c r="Q649" t="s">
        <v>6232</v>
      </c>
      <c r="R649" t="s">
        <v>1025</v>
      </c>
      <c r="T649" t="s">
        <v>3860</v>
      </c>
      <c r="BI649" s="52" t="str">
        <f>HYPERLINK("#일위대가목록!A659","S02W40080YA →")</f>
        <v>S02W40080YA →</v>
      </c>
    </row>
    <row r="650" spans="1:61" ht="18.399999999999999" customHeight="1">
      <c r="A650" s="11" t="s">
        <v>4482</v>
      </c>
      <c r="B650" s="2" t="s">
        <v>1339</v>
      </c>
      <c r="C650" s="2">
        <v>1</v>
      </c>
      <c r="D650" s="2" t="s">
        <v>2289</v>
      </c>
      <c r="E650" s="29" t="e">
        <f>일위대가목록!#REF!</f>
        <v>#REF!</v>
      </c>
      <c r="F650" s="29" t="e">
        <f t="shared" si="71"/>
        <v>#REF!</v>
      </c>
      <c r="G650" s="29" t="e">
        <f>일위대가목록!#REF!</f>
        <v>#REF!</v>
      </c>
      <c r="H650" s="29" t="e">
        <f t="shared" si="72"/>
        <v>#REF!</v>
      </c>
      <c r="I650" s="29" t="e">
        <f>일위대가목록!#REF!</f>
        <v>#REF!</v>
      </c>
      <c r="J650" s="29" t="e">
        <f t="shared" si="73"/>
        <v>#REF!</v>
      </c>
      <c r="K650" s="29" t="e">
        <f t="shared" ref="K650:K713" si="75">E650+G650+I650</f>
        <v>#REF!</v>
      </c>
      <c r="L650" s="29" t="e">
        <f t="shared" si="74"/>
        <v>#REF!</v>
      </c>
      <c r="M650" s="20" t="s">
        <v>6232</v>
      </c>
      <c r="N650" t="s">
        <v>6232</v>
      </c>
      <c r="P650" t="s">
        <v>3500</v>
      </c>
      <c r="Q650" t="s">
        <v>6232</v>
      </c>
      <c r="R650" t="s">
        <v>624</v>
      </c>
      <c r="T650" t="s">
        <v>3860</v>
      </c>
      <c r="BI650" s="52" t="str">
        <f>HYPERLINK("#일위대가목록!A660","S02W40060YA →")</f>
        <v>S02W40060YA →</v>
      </c>
    </row>
    <row r="651" spans="1:61" ht="18.399999999999999" customHeight="1">
      <c r="A651" s="11" t="s">
        <v>4482</v>
      </c>
      <c r="B651" s="2" t="s">
        <v>2180</v>
      </c>
      <c r="C651" s="2">
        <v>1</v>
      </c>
      <c r="D651" s="2" t="s">
        <v>2289</v>
      </c>
      <c r="E651" s="29" t="e">
        <f>일위대가목록!#REF!</f>
        <v>#REF!</v>
      </c>
      <c r="F651" s="29" t="e">
        <f t="shared" si="71"/>
        <v>#REF!</v>
      </c>
      <c r="G651" s="29" t="e">
        <f>일위대가목록!#REF!</f>
        <v>#REF!</v>
      </c>
      <c r="H651" s="29" t="e">
        <f t="shared" si="72"/>
        <v>#REF!</v>
      </c>
      <c r="I651" s="29" t="e">
        <f>일위대가목록!#REF!</f>
        <v>#REF!</v>
      </c>
      <c r="J651" s="29" t="e">
        <f t="shared" si="73"/>
        <v>#REF!</v>
      </c>
      <c r="K651" s="29" t="e">
        <f t="shared" si="75"/>
        <v>#REF!</v>
      </c>
      <c r="L651" s="29" t="e">
        <f t="shared" si="74"/>
        <v>#REF!</v>
      </c>
      <c r="M651" s="20" t="s">
        <v>6232</v>
      </c>
      <c r="N651" t="s">
        <v>6232</v>
      </c>
      <c r="P651" t="s">
        <v>1957</v>
      </c>
      <c r="Q651" t="s">
        <v>6232</v>
      </c>
      <c r="R651" t="s">
        <v>3522</v>
      </c>
      <c r="T651" t="s">
        <v>3860</v>
      </c>
      <c r="BI651" s="52" t="str">
        <f>HYPERLINK("#일위대가목록!A661","S02W40040YA →")</f>
        <v>S02W40040YA →</v>
      </c>
    </row>
    <row r="652" spans="1:61" ht="18.399999999999999" customHeight="1">
      <c r="A652" s="11" t="s">
        <v>5376</v>
      </c>
      <c r="B652" s="2" t="s">
        <v>4979</v>
      </c>
      <c r="C652" s="2">
        <v>1</v>
      </c>
      <c r="D652" s="2" t="s">
        <v>2289</v>
      </c>
      <c r="E652" s="29" t="e">
        <f>일위대가목록!#REF!</f>
        <v>#REF!</v>
      </c>
      <c r="F652" s="29" t="e">
        <f t="shared" si="71"/>
        <v>#REF!</v>
      </c>
      <c r="G652" s="29" t="e">
        <f>일위대가목록!#REF!</f>
        <v>#REF!</v>
      </c>
      <c r="H652" s="29" t="e">
        <f t="shared" si="72"/>
        <v>#REF!</v>
      </c>
      <c r="I652" s="29" t="e">
        <f>일위대가목록!#REF!</f>
        <v>#REF!</v>
      </c>
      <c r="J652" s="29" t="e">
        <f t="shared" si="73"/>
        <v>#REF!</v>
      </c>
      <c r="K652" s="29" t="e">
        <f t="shared" si="75"/>
        <v>#REF!</v>
      </c>
      <c r="L652" s="29" t="e">
        <f t="shared" si="74"/>
        <v>#REF!</v>
      </c>
      <c r="M652" s="20" t="s">
        <v>6232</v>
      </c>
      <c r="N652" t="s">
        <v>6232</v>
      </c>
      <c r="P652" t="s">
        <v>459</v>
      </c>
      <c r="Q652" t="s">
        <v>6232</v>
      </c>
      <c r="R652" t="s">
        <v>4129</v>
      </c>
      <c r="T652" t="s">
        <v>3860</v>
      </c>
      <c r="BI652" s="52" t="str">
        <f>HYPERLINK("#일위대가목록!A662","S02W35080 →")</f>
        <v>S02W35080 →</v>
      </c>
    </row>
    <row r="653" spans="1:61" ht="18.399999999999999" customHeight="1">
      <c r="A653" s="11" t="s">
        <v>5376</v>
      </c>
      <c r="B653" s="2" t="s">
        <v>2478</v>
      </c>
      <c r="C653" s="2">
        <v>1</v>
      </c>
      <c r="D653" s="2" t="s">
        <v>2289</v>
      </c>
      <c r="E653" s="29" t="e">
        <f>일위대가목록!#REF!</f>
        <v>#REF!</v>
      </c>
      <c r="F653" s="29" t="e">
        <f t="shared" si="71"/>
        <v>#REF!</v>
      </c>
      <c r="G653" s="29" t="e">
        <f>일위대가목록!#REF!</f>
        <v>#REF!</v>
      </c>
      <c r="H653" s="29" t="e">
        <f t="shared" si="72"/>
        <v>#REF!</v>
      </c>
      <c r="I653" s="29" t="e">
        <f>일위대가목록!#REF!</f>
        <v>#REF!</v>
      </c>
      <c r="J653" s="29" t="e">
        <f t="shared" si="73"/>
        <v>#REF!</v>
      </c>
      <c r="K653" s="29" t="e">
        <f t="shared" si="75"/>
        <v>#REF!</v>
      </c>
      <c r="L653" s="29" t="e">
        <f t="shared" si="74"/>
        <v>#REF!</v>
      </c>
      <c r="M653" s="20" t="s">
        <v>6232</v>
      </c>
      <c r="N653" t="s">
        <v>6232</v>
      </c>
      <c r="P653" t="s">
        <v>5161</v>
      </c>
      <c r="Q653" t="s">
        <v>6232</v>
      </c>
      <c r="R653" t="s">
        <v>958</v>
      </c>
      <c r="T653" t="s">
        <v>3860</v>
      </c>
      <c r="BI653" s="52" t="str">
        <f>HYPERLINK("#일위대가목록!A663","S02W35060 →")</f>
        <v>S02W35060 →</v>
      </c>
    </row>
    <row r="654" spans="1:61" ht="18.399999999999999" customHeight="1">
      <c r="A654" s="11" t="s">
        <v>5376</v>
      </c>
      <c r="B654" s="2" t="s">
        <v>120</v>
      </c>
      <c r="C654" s="2">
        <v>1</v>
      </c>
      <c r="D654" s="2" t="s">
        <v>2289</v>
      </c>
      <c r="E654" s="29" t="e">
        <f>일위대가목록!#REF!</f>
        <v>#REF!</v>
      </c>
      <c r="F654" s="29" t="e">
        <f t="shared" si="71"/>
        <v>#REF!</v>
      </c>
      <c r="G654" s="29" t="e">
        <f>일위대가목록!#REF!</f>
        <v>#REF!</v>
      </c>
      <c r="H654" s="29" t="e">
        <f t="shared" si="72"/>
        <v>#REF!</v>
      </c>
      <c r="I654" s="29" t="e">
        <f>일위대가목록!#REF!</f>
        <v>#REF!</v>
      </c>
      <c r="J654" s="29" t="e">
        <f t="shared" si="73"/>
        <v>#REF!</v>
      </c>
      <c r="K654" s="29" t="e">
        <f t="shared" si="75"/>
        <v>#REF!</v>
      </c>
      <c r="L654" s="29" t="e">
        <f t="shared" si="74"/>
        <v>#REF!</v>
      </c>
      <c r="M654" s="20" t="s">
        <v>6232</v>
      </c>
      <c r="N654" t="s">
        <v>6232</v>
      </c>
      <c r="P654" t="s">
        <v>3625</v>
      </c>
      <c r="Q654" t="s">
        <v>6232</v>
      </c>
      <c r="R654" t="s">
        <v>4037</v>
      </c>
      <c r="T654" t="s">
        <v>3860</v>
      </c>
      <c r="BI654" s="52" t="str">
        <f>HYPERLINK("#일위대가목록!A664","S02W35040 →")</f>
        <v>S02W35040 →</v>
      </c>
    </row>
    <row r="655" spans="1:61" ht="18.399999999999999" customHeight="1">
      <c r="A655" s="11" t="s">
        <v>4482</v>
      </c>
      <c r="B655" s="2" t="s">
        <v>4979</v>
      </c>
      <c r="C655" s="2">
        <v>1</v>
      </c>
      <c r="D655" s="2" t="s">
        <v>2289</v>
      </c>
      <c r="E655" s="29" t="e">
        <f>일위대가목록!#REF!</f>
        <v>#REF!</v>
      </c>
      <c r="F655" s="29" t="e">
        <f t="shared" si="71"/>
        <v>#REF!</v>
      </c>
      <c r="G655" s="29" t="e">
        <f>일위대가목록!#REF!</f>
        <v>#REF!</v>
      </c>
      <c r="H655" s="29" t="e">
        <f t="shared" si="72"/>
        <v>#REF!</v>
      </c>
      <c r="I655" s="29" t="e">
        <f>일위대가목록!#REF!</f>
        <v>#REF!</v>
      </c>
      <c r="J655" s="29" t="e">
        <f t="shared" si="73"/>
        <v>#REF!</v>
      </c>
      <c r="K655" s="29" t="e">
        <f t="shared" si="75"/>
        <v>#REF!</v>
      </c>
      <c r="L655" s="29" t="e">
        <f t="shared" si="74"/>
        <v>#REF!</v>
      </c>
      <c r="M655" s="20" t="s">
        <v>6232</v>
      </c>
      <c r="N655" t="s">
        <v>6232</v>
      </c>
      <c r="P655" t="s">
        <v>2082</v>
      </c>
      <c r="Q655" t="s">
        <v>6232</v>
      </c>
      <c r="R655" t="s">
        <v>574</v>
      </c>
      <c r="T655" t="s">
        <v>3860</v>
      </c>
      <c r="BI655" s="52" t="str">
        <f>HYPERLINK("#일위대가목록!A665","S02W35080YA →")</f>
        <v>S02W35080YA →</v>
      </c>
    </row>
    <row r="656" spans="1:61" ht="18.399999999999999" customHeight="1">
      <c r="A656" s="11" t="s">
        <v>4482</v>
      </c>
      <c r="B656" s="2" t="s">
        <v>2478</v>
      </c>
      <c r="C656" s="2">
        <v>1</v>
      </c>
      <c r="D656" s="2" t="s">
        <v>2289</v>
      </c>
      <c r="E656" s="29" t="e">
        <f>일위대가목록!#REF!</f>
        <v>#REF!</v>
      </c>
      <c r="F656" s="29" t="e">
        <f t="shared" si="71"/>
        <v>#REF!</v>
      </c>
      <c r="G656" s="29" t="e">
        <f>일위대가목록!#REF!</f>
        <v>#REF!</v>
      </c>
      <c r="H656" s="29" t="e">
        <f t="shared" si="72"/>
        <v>#REF!</v>
      </c>
      <c r="I656" s="29" t="e">
        <f>일위대가목록!#REF!</f>
        <v>#REF!</v>
      </c>
      <c r="J656" s="29" t="e">
        <f t="shared" si="73"/>
        <v>#REF!</v>
      </c>
      <c r="K656" s="29" t="e">
        <f t="shared" si="75"/>
        <v>#REF!</v>
      </c>
      <c r="L656" s="29" t="e">
        <f t="shared" si="74"/>
        <v>#REF!</v>
      </c>
      <c r="M656" s="20" t="s">
        <v>6232</v>
      </c>
      <c r="N656" t="s">
        <v>6232</v>
      </c>
      <c r="P656" t="s">
        <v>588</v>
      </c>
      <c r="Q656" t="s">
        <v>6232</v>
      </c>
      <c r="R656" t="s">
        <v>872</v>
      </c>
      <c r="T656" t="s">
        <v>3860</v>
      </c>
      <c r="BI656" s="52" t="str">
        <f>HYPERLINK("#일위대가목록!A666","S02W35060YA →")</f>
        <v>S02W35060YA →</v>
      </c>
    </row>
    <row r="657" spans="1:61" ht="18.399999999999999" customHeight="1">
      <c r="A657" s="11" t="s">
        <v>4482</v>
      </c>
      <c r="B657" s="2" t="s">
        <v>120</v>
      </c>
      <c r="C657" s="2">
        <v>1</v>
      </c>
      <c r="D657" s="2" t="s">
        <v>2289</v>
      </c>
      <c r="E657" s="29" t="e">
        <f>일위대가목록!#REF!</f>
        <v>#REF!</v>
      </c>
      <c r="F657" s="29" t="e">
        <f t="shared" si="71"/>
        <v>#REF!</v>
      </c>
      <c r="G657" s="29" t="e">
        <f>일위대가목록!#REF!</f>
        <v>#REF!</v>
      </c>
      <c r="H657" s="29" t="e">
        <f t="shared" si="72"/>
        <v>#REF!</v>
      </c>
      <c r="I657" s="29" t="e">
        <f>일위대가목록!#REF!</f>
        <v>#REF!</v>
      </c>
      <c r="J657" s="29" t="e">
        <f t="shared" si="73"/>
        <v>#REF!</v>
      </c>
      <c r="K657" s="29" t="e">
        <f t="shared" si="75"/>
        <v>#REF!</v>
      </c>
      <c r="L657" s="29" t="e">
        <f t="shared" si="74"/>
        <v>#REF!</v>
      </c>
      <c r="M657" s="20" t="s">
        <v>6232</v>
      </c>
      <c r="N657" t="s">
        <v>6232</v>
      </c>
      <c r="P657" t="s">
        <v>5252</v>
      </c>
      <c r="Q657" t="s">
        <v>6232</v>
      </c>
      <c r="R657" t="s">
        <v>4272</v>
      </c>
      <c r="T657" t="s">
        <v>3860</v>
      </c>
      <c r="BI657" s="52" t="str">
        <f>HYPERLINK("#일위대가목록!A667","S02W35040YA →")</f>
        <v>S02W35040YA →</v>
      </c>
    </row>
    <row r="658" spans="1:61" ht="18.399999999999999" customHeight="1">
      <c r="A658" s="11" t="s">
        <v>5376</v>
      </c>
      <c r="B658" s="2" t="s">
        <v>4388</v>
      </c>
      <c r="C658" s="2">
        <v>1</v>
      </c>
      <c r="D658" s="2" t="s">
        <v>2289</v>
      </c>
      <c r="E658" s="29" t="e">
        <f>일위대가목록!#REF!</f>
        <v>#REF!</v>
      </c>
      <c r="F658" s="29" t="e">
        <f t="shared" si="71"/>
        <v>#REF!</v>
      </c>
      <c r="G658" s="29" t="e">
        <f>일위대가목록!#REF!</f>
        <v>#REF!</v>
      </c>
      <c r="H658" s="29" t="e">
        <f t="shared" si="72"/>
        <v>#REF!</v>
      </c>
      <c r="I658" s="29" t="e">
        <f>일위대가목록!#REF!</f>
        <v>#REF!</v>
      </c>
      <c r="J658" s="29" t="e">
        <f t="shared" si="73"/>
        <v>#REF!</v>
      </c>
      <c r="K658" s="29" t="e">
        <f t="shared" si="75"/>
        <v>#REF!</v>
      </c>
      <c r="L658" s="29" t="e">
        <f t="shared" si="74"/>
        <v>#REF!</v>
      </c>
      <c r="M658" s="20" t="s">
        <v>6232</v>
      </c>
      <c r="N658" t="s">
        <v>6232</v>
      </c>
      <c r="P658" t="s">
        <v>3737</v>
      </c>
      <c r="Q658" t="s">
        <v>6232</v>
      </c>
      <c r="R658" t="s">
        <v>3763</v>
      </c>
      <c r="T658" t="s">
        <v>3860</v>
      </c>
      <c r="BI658" s="52" t="str">
        <f>HYPERLINK("#일위대가목록!A668","S02W30080 →")</f>
        <v>S02W30080 →</v>
      </c>
    </row>
    <row r="659" spans="1:61" ht="18.399999999999999" customHeight="1">
      <c r="A659" s="11" t="s">
        <v>5376</v>
      </c>
      <c r="B659" s="2" t="s">
        <v>731</v>
      </c>
      <c r="C659" s="2">
        <v>1</v>
      </c>
      <c r="D659" s="2" t="s">
        <v>2289</v>
      </c>
      <c r="E659" s="29" t="e">
        <f>일위대가목록!#REF!</f>
        <v>#REF!</v>
      </c>
      <c r="F659" s="29" t="e">
        <f t="shared" si="71"/>
        <v>#REF!</v>
      </c>
      <c r="G659" s="29" t="e">
        <f>일위대가목록!#REF!</f>
        <v>#REF!</v>
      </c>
      <c r="H659" s="29" t="e">
        <f t="shared" si="72"/>
        <v>#REF!</v>
      </c>
      <c r="I659" s="29" t="e">
        <f>일위대가목록!#REF!</f>
        <v>#REF!</v>
      </c>
      <c r="J659" s="29" t="e">
        <f t="shared" si="73"/>
        <v>#REF!</v>
      </c>
      <c r="K659" s="29" t="e">
        <f t="shared" si="75"/>
        <v>#REF!</v>
      </c>
      <c r="L659" s="29" t="e">
        <f t="shared" si="74"/>
        <v>#REF!</v>
      </c>
      <c r="M659" s="20" t="s">
        <v>6232</v>
      </c>
      <c r="N659" t="s">
        <v>6232</v>
      </c>
      <c r="P659" t="s">
        <v>5617</v>
      </c>
      <c r="Q659" t="s">
        <v>6232</v>
      </c>
      <c r="R659" t="s">
        <v>516</v>
      </c>
      <c r="T659" t="s">
        <v>3860</v>
      </c>
      <c r="BI659" s="52" t="str">
        <f>HYPERLINK("#일위대가목록!A669","S02W30060 →")</f>
        <v>S02W30060 →</v>
      </c>
    </row>
    <row r="660" spans="1:61" ht="18.399999999999999" customHeight="1">
      <c r="A660" s="11" t="s">
        <v>5376</v>
      </c>
      <c r="B660" s="2" t="s">
        <v>3015</v>
      </c>
      <c r="C660" s="2">
        <v>1</v>
      </c>
      <c r="D660" s="2" t="s">
        <v>2289</v>
      </c>
      <c r="E660" s="29" t="e">
        <f>일위대가목록!#REF!</f>
        <v>#REF!</v>
      </c>
      <c r="F660" s="29" t="e">
        <f t="shared" si="71"/>
        <v>#REF!</v>
      </c>
      <c r="G660" s="29" t="e">
        <f>일위대가목록!#REF!</f>
        <v>#REF!</v>
      </c>
      <c r="H660" s="29" t="e">
        <f t="shared" si="72"/>
        <v>#REF!</v>
      </c>
      <c r="I660" s="29" t="e">
        <f>일위대가목록!#REF!</f>
        <v>#REF!</v>
      </c>
      <c r="J660" s="29" t="e">
        <f t="shared" si="73"/>
        <v>#REF!</v>
      </c>
      <c r="K660" s="29" t="e">
        <f t="shared" si="75"/>
        <v>#REF!</v>
      </c>
      <c r="L660" s="29" t="e">
        <f t="shared" si="74"/>
        <v>#REF!</v>
      </c>
      <c r="M660" s="20" t="s">
        <v>6232</v>
      </c>
      <c r="N660" t="s">
        <v>6232</v>
      </c>
      <c r="P660" t="s">
        <v>4047</v>
      </c>
      <c r="Q660" t="s">
        <v>6232</v>
      </c>
      <c r="R660" t="s">
        <v>3681</v>
      </c>
      <c r="T660" t="s">
        <v>3860</v>
      </c>
      <c r="BI660" s="52" t="str">
        <f>HYPERLINK("#일위대가목록!A670","S02W30040 →")</f>
        <v>S02W30040 →</v>
      </c>
    </row>
    <row r="661" spans="1:61" ht="18.399999999999999" customHeight="1">
      <c r="A661" s="11" t="s">
        <v>4482</v>
      </c>
      <c r="B661" s="2" t="s">
        <v>4388</v>
      </c>
      <c r="C661" s="2">
        <v>1</v>
      </c>
      <c r="D661" s="2" t="s">
        <v>2289</v>
      </c>
      <c r="E661" s="29" t="e">
        <f>일위대가목록!#REF!</f>
        <v>#REF!</v>
      </c>
      <c r="F661" s="29" t="e">
        <f t="shared" si="71"/>
        <v>#REF!</v>
      </c>
      <c r="G661" s="29" t="e">
        <f>일위대가목록!#REF!</f>
        <v>#REF!</v>
      </c>
      <c r="H661" s="29" t="e">
        <f t="shared" si="72"/>
        <v>#REF!</v>
      </c>
      <c r="I661" s="29" t="e">
        <f>일위대가목록!#REF!</f>
        <v>#REF!</v>
      </c>
      <c r="J661" s="29" t="e">
        <f t="shared" si="73"/>
        <v>#REF!</v>
      </c>
      <c r="K661" s="29" t="e">
        <f t="shared" si="75"/>
        <v>#REF!</v>
      </c>
      <c r="L661" s="29" t="e">
        <f t="shared" si="74"/>
        <v>#REF!</v>
      </c>
      <c r="M661" s="20" t="s">
        <v>6232</v>
      </c>
      <c r="N661" t="s">
        <v>6232</v>
      </c>
      <c r="P661" t="s">
        <v>2451</v>
      </c>
      <c r="Q661" t="s">
        <v>6232</v>
      </c>
      <c r="R661" t="s">
        <v>4006</v>
      </c>
      <c r="T661" t="s">
        <v>3860</v>
      </c>
      <c r="BI661" s="52" t="str">
        <f>HYPERLINK("#일위대가목록!A671","S02W30080YA →")</f>
        <v>S02W30080YA →</v>
      </c>
    </row>
    <row r="662" spans="1:61" ht="18.399999999999999" customHeight="1">
      <c r="A662" s="11" t="s">
        <v>4482</v>
      </c>
      <c r="B662" s="2" t="s">
        <v>731</v>
      </c>
      <c r="C662" s="2">
        <v>1</v>
      </c>
      <c r="D662" s="2" t="s">
        <v>2289</v>
      </c>
      <c r="E662" s="29" t="e">
        <f>일위대가목록!#REF!</f>
        <v>#REF!</v>
      </c>
      <c r="F662" s="29" t="e">
        <f t="shared" si="71"/>
        <v>#REF!</v>
      </c>
      <c r="G662" s="29" t="e">
        <f>일위대가목록!#REF!</f>
        <v>#REF!</v>
      </c>
      <c r="H662" s="29" t="e">
        <f t="shared" si="72"/>
        <v>#REF!</v>
      </c>
      <c r="I662" s="29" t="e">
        <f>일위대가목록!#REF!</f>
        <v>#REF!</v>
      </c>
      <c r="J662" s="29" t="e">
        <f t="shared" si="73"/>
        <v>#REF!</v>
      </c>
      <c r="K662" s="29" t="e">
        <f t="shared" si="75"/>
        <v>#REF!</v>
      </c>
      <c r="L662" s="29" t="e">
        <f t="shared" si="74"/>
        <v>#REF!</v>
      </c>
      <c r="M662" s="20" t="s">
        <v>6232</v>
      </c>
      <c r="N662" t="s">
        <v>6232</v>
      </c>
      <c r="P662" t="s">
        <v>876</v>
      </c>
      <c r="Q662" t="s">
        <v>6232</v>
      </c>
      <c r="R662" t="s">
        <v>3688</v>
      </c>
      <c r="T662" t="s">
        <v>3860</v>
      </c>
      <c r="BI662" s="52" t="str">
        <f>HYPERLINK("#일위대가목록!A672","S02W30060YA →")</f>
        <v>S02W30060YA →</v>
      </c>
    </row>
    <row r="663" spans="1:61" ht="18.399999999999999" customHeight="1">
      <c r="A663" s="11" t="s">
        <v>4482</v>
      </c>
      <c r="B663" s="2" t="s">
        <v>3015</v>
      </c>
      <c r="C663" s="2">
        <v>1</v>
      </c>
      <c r="D663" s="2" t="s">
        <v>2289</v>
      </c>
      <c r="E663" s="29" t="e">
        <f>일위대가목록!#REF!</f>
        <v>#REF!</v>
      </c>
      <c r="F663" s="29" t="e">
        <f t="shared" si="71"/>
        <v>#REF!</v>
      </c>
      <c r="G663" s="29" t="e">
        <f>일위대가목록!#REF!</f>
        <v>#REF!</v>
      </c>
      <c r="H663" s="29" t="e">
        <f t="shared" si="72"/>
        <v>#REF!</v>
      </c>
      <c r="I663" s="29" t="e">
        <f>일위대가목록!#REF!</f>
        <v>#REF!</v>
      </c>
      <c r="J663" s="29" t="e">
        <f t="shared" si="73"/>
        <v>#REF!</v>
      </c>
      <c r="K663" s="29" t="e">
        <f t="shared" si="75"/>
        <v>#REF!</v>
      </c>
      <c r="L663" s="29" t="e">
        <f t="shared" si="74"/>
        <v>#REF!</v>
      </c>
      <c r="M663" s="20" t="s">
        <v>6232</v>
      </c>
      <c r="N663" t="s">
        <v>6232</v>
      </c>
      <c r="P663" t="s">
        <v>5531</v>
      </c>
      <c r="Q663" t="s">
        <v>6232</v>
      </c>
      <c r="R663" t="s">
        <v>682</v>
      </c>
      <c r="T663" t="s">
        <v>3860</v>
      </c>
      <c r="BI663" s="52" t="str">
        <f>HYPERLINK("#일위대가목록!A673","S02W30040YA →")</f>
        <v>S02W30040YA →</v>
      </c>
    </row>
    <row r="664" spans="1:61" ht="18.399999999999999" customHeight="1">
      <c r="A664" s="11" t="s">
        <v>5376</v>
      </c>
      <c r="B664" s="2" t="s">
        <v>2177</v>
      </c>
      <c r="C664" s="2">
        <v>1</v>
      </c>
      <c r="D664" s="2" t="s">
        <v>2289</v>
      </c>
      <c r="E664" s="29" t="e">
        <f>일위대가목록!#REF!</f>
        <v>#REF!</v>
      </c>
      <c r="F664" s="29" t="e">
        <f t="shared" si="71"/>
        <v>#REF!</v>
      </c>
      <c r="G664" s="29" t="e">
        <f>일위대가목록!#REF!</f>
        <v>#REF!</v>
      </c>
      <c r="H664" s="29" t="e">
        <f t="shared" si="72"/>
        <v>#REF!</v>
      </c>
      <c r="I664" s="29" t="e">
        <f>일위대가목록!#REF!</f>
        <v>#REF!</v>
      </c>
      <c r="J664" s="29" t="e">
        <f t="shared" si="73"/>
        <v>#REF!</v>
      </c>
      <c r="K664" s="29" t="e">
        <f t="shared" si="75"/>
        <v>#REF!</v>
      </c>
      <c r="L664" s="29" t="e">
        <f t="shared" si="74"/>
        <v>#REF!</v>
      </c>
      <c r="M664" s="20" t="s">
        <v>6232</v>
      </c>
      <c r="N664" t="s">
        <v>6232</v>
      </c>
      <c r="P664" t="s">
        <v>3946</v>
      </c>
      <c r="Q664" t="s">
        <v>6232</v>
      </c>
      <c r="R664" t="s">
        <v>627</v>
      </c>
      <c r="T664" t="s">
        <v>3860</v>
      </c>
      <c r="BI664" s="52" t="str">
        <f>HYPERLINK("#일위대가목록!A674","S02W25080 →")</f>
        <v>S02W25080 →</v>
      </c>
    </row>
    <row r="665" spans="1:61" ht="18.399999999999999" customHeight="1">
      <c r="A665" s="11" t="s">
        <v>5376</v>
      </c>
      <c r="B665" s="2" t="s">
        <v>5847</v>
      </c>
      <c r="C665" s="2">
        <v>1</v>
      </c>
      <c r="D665" s="2" t="s">
        <v>2289</v>
      </c>
      <c r="E665" s="29" t="e">
        <f>일위대가목록!#REF!</f>
        <v>#REF!</v>
      </c>
      <c r="F665" s="29" t="e">
        <f t="shared" si="71"/>
        <v>#REF!</v>
      </c>
      <c r="G665" s="29" t="e">
        <f>일위대가목록!#REF!</f>
        <v>#REF!</v>
      </c>
      <c r="H665" s="29" t="e">
        <f t="shared" si="72"/>
        <v>#REF!</v>
      </c>
      <c r="I665" s="29" t="e">
        <f>일위대가목록!#REF!</f>
        <v>#REF!</v>
      </c>
      <c r="J665" s="29" t="e">
        <f t="shared" si="73"/>
        <v>#REF!</v>
      </c>
      <c r="K665" s="29" t="e">
        <f t="shared" si="75"/>
        <v>#REF!</v>
      </c>
      <c r="L665" s="29" t="e">
        <f t="shared" si="74"/>
        <v>#REF!</v>
      </c>
      <c r="M665" s="20" t="s">
        <v>6232</v>
      </c>
      <c r="N665" t="s">
        <v>6232</v>
      </c>
      <c r="P665" t="s">
        <v>2354</v>
      </c>
      <c r="Q665" t="s">
        <v>6232</v>
      </c>
      <c r="R665" t="s">
        <v>3696</v>
      </c>
      <c r="T665" t="s">
        <v>3860</v>
      </c>
      <c r="BI665" s="52" t="str">
        <f>HYPERLINK("#일위대가목록!A675","S02W25060 →")</f>
        <v>S02W25060 →</v>
      </c>
    </row>
    <row r="666" spans="1:61" ht="18.399999999999999" customHeight="1">
      <c r="A666" s="11" t="s">
        <v>5376</v>
      </c>
      <c r="B666" s="2" t="s">
        <v>3516</v>
      </c>
      <c r="C666" s="2">
        <v>1</v>
      </c>
      <c r="D666" s="2" t="s">
        <v>2289</v>
      </c>
      <c r="E666" s="29" t="e">
        <f>일위대가목록!#REF!</f>
        <v>#REF!</v>
      </c>
      <c r="F666" s="29" t="e">
        <f t="shared" si="71"/>
        <v>#REF!</v>
      </c>
      <c r="G666" s="29" t="e">
        <f>일위대가목록!#REF!</f>
        <v>#REF!</v>
      </c>
      <c r="H666" s="29" t="e">
        <f t="shared" si="72"/>
        <v>#REF!</v>
      </c>
      <c r="I666" s="29" t="e">
        <f>일위대가목록!#REF!</f>
        <v>#REF!</v>
      </c>
      <c r="J666" s="29" t="e">
        <f t="shared" si="73"/>
        <v>#REF!</v>
      </c>
      <c r="K666" s="29" t="e">
        <f t="shared" si="75"/>
        <v>#REF!</v>
      </c>
      <c r="L666" s="29" t="e">
        <f t="shared" si="74"/>
        <v>#REF!</v>
      </c>
      <c r="M666" s="20" t="s">
        <v>6232</v>
      </c>
      <c r="N666" t="s">
        <v>6232</v>
      </c>
      <c r="P666" t="s">
        <v>771</v>
      </c>
      <c r="Q666" t="s">
        <v>6232</v>
      </c>
      <c r="R666" t="s">
        <v>525</v>
      </c>
      <c r="T666" t="s">
        <v>3860</v>
      </c>
      <c r="BI666" s="52" t="str">
        <f>HYPERLINK("#일위대가목록!A676","S02W25040 →")</f>
        <v>S02W25040 →</v>
      </c>
    </row>
    <row r="667" spans="1:61" ht="18.399999999999999" customHeight="1">
      <c r="A667" s="11" t="s">
        <v>4482</v>
      </c>
      <c r="B667" s="2" t="s">
        <v>2177</v>
      </c>
      <c r="C667" s="2">
        <v>1</v>
      </c>
      <c r="D667" s="2" t="s">
        <v>2289</v>
      </c>
      <c r="E667" s="29" t="e">
        <f>일위대가목록!#REF!</f>
        <v>#REF!</v>
      </c>
      <c r="F667" s="29" t="e">
        <f t="shared" si="71"/>
        <v>#REF!</v>
      </c>
      <c r="G667" s="29" t="e">
        <f>일위대가목록!#REF!</f>
        <v>#REF!</v>
      </c>
      <c r="H667" s="29" t="e">
        <f t="shared" si="72"/>
        <v>#REF!</v>
      </c>
      <c r="I667" s="29" t="e">
        <f>일위대가목록!#REF!</f>
        <v>#REF!</v>
      </c>
      <c r="J667" s="29" t="e">
        <f t="shared" si="73"/>
        <v>#REF!</v>
      </c>
      <c r="K667" s="29" t="e">
        <f t="shared" si="75"/>
        <v>#REF!</v>
      </c>
      <c r="L667" s="29" t="e">
        <f t="shared" si="74"/>
        <v>#REF!</v>
      </c>
      <c r="M667" s="20" t="s">
        <v>6232</v>
      </c>
      <c r="N667" t="s">
        <v>6232</v>
      </c>
      <c r="P667" t="s">
        <v>5814</v>
      </c>
      <c r="Q667" t="s">
        <v>6232</v>
      </c>
      <c r="R667" t="s">
        <v>3962</v>
      </c>
      <c r="T667" t="s">
        <v>3860</v>
      </c>
      <c r="BI667" s="52" t="str">
        <f>HYPERLINK("#일위대가목록!A677","S02W25080YA →")</f>
        <v>S02W25080YA →</v>
      </c>
    </row>
    <row r="668" spans="1:61" ht="18.399999999999999" customHeight="1">
      <c r="A668" s="11" t="s">
        <v>4482</v>
      </c>
      <c r="B668" s="2" t="s">
        <v>5847</v>
      </c>
      <c r="C668" s="2">
        <v>1</v>
      </c>
      <c r="D668" s="2" t="s">
        <v>2289</v>
      </c>
      <c r="E668" s="29" t="e">
        <f>일위대가목록!#REF!</f>
        <v>#REF!</v>
      </c>
      <c r="F668" s="29" t="e">
        <f t="shared" ref="F668:F699" si="76">TRUNC(E668*C668,0)</f>
        <v>#REF!</v>
      </c>
      <c r="G668" s="29" t="e">
        <f>일위대가목록!#REF!</f>
        <v>#REF!</v>
      </c>
      <c r="H668" s="29" t="e">
        <f t="shared" ref="H668:H699" si="77">TRUNC(G668*C668,0)</f>
        <v>#REF!</v>
      </c>
      <c r="I668" s="29" t="e">
        <f>일위대가목록!#REF!</f>
        <v>#REF!</v>
      </c>
      <c r="J668" s="29" t="e">
        <f t="shared" ref="J668:J699" si="78">TRUNC(I668*C668,0)</f>
        <v>#REF!</v>
      </c>
      <c r="K668" s="29" t="e">
        <f t="shared" si="75"/>
        <v>#REF!</v>
      </c>
      <c r="L668" s="29" t="e">
        <f t="shared" si="74"/>
        <v>#REF!</v>
      </c>
      <c r="M668" s="20" t="s">
        <v>6232</v>
      </c>
      <c r="N668" t="s">
        <v>6232</v>
      </c>
      <c r="P668" t="s">
        <v>4235</v>
      </c>
      <c r="Q668" t="s">
        <v>6232</v>
      </c>
      <c r="R668" t="s">
        <v>3478</v>
      </c>
      <c r="T668" t="s">
        <v>3860</v>
      </c>
      <c r="BI668" s="52" t="str">
        <f>HYPERLINK("#일위대가목록!A678","S02W25060YA →")</f>
        <v>S02W25060YA →</v>
      </c>
    </row>
    <row r="669" spans="1:61" ht="18.399999999999999" customHeight="1">
      <c r="A669" s="11" t="s">
        <v>4482</v>
      </c>
      <c r="B669" s="2" t="s">
        <v>3516</v>
      </c>
      <c r="C669" s="2">
        <v>1</v>
      </c>
      <c r="D669" s="2" t="s">
        <v>2289</v>
      </c>
      <c r="E669" s="29" t="e">
        <f>일위대가목록!#REF!</f>
        <v>#REF!</v>
      </c>
      <c r="F669" s="29" t="e">
        <f t="shared" si="76"/>
        <v>#REF!</v>
      </c>
      <c r="G669" s="29" t="e">
        <f>일위대가목록!#REF!</f>
        <v>#REF!</v>
      </c>
      <c r="H669" s="29" t="e">
        <f t="shared" si="77"/>
        <v>#REF!</v>
      </c>
      <c r="I669" s="29" t="e">
        <f>일위대가목록!#REF!</f>
        <v>#REF!</v>
      </c>
      <c r="J669" s="29" t="e">
        <f t="shared" si="78"/>
        <v>#REF!</v>
      </c>
      <c r="K669" s="29" t="e">
        <f t="shared" si="75"/>
        <v>#REF!</v>
      </c>
      <c r="L669" s="29" t="e">
        <f t="shared" si="74"/>
        <v>#REF!</v>
      </c>
      <c r="M669" s="20" t="s">
        <v>6232</v>
      </c>
      <c r="N669" t="s">
        <v>6232</v>
      </c>
      <c r="P669" t="s">
        <v>5299</v>
      </c>
      <c r="Q669" t="s">
        <v>6232</v>
      </c>
      <c r="R669" t="s">
        <v>665</v>
      </c>
      <c r="T669" t="s">
        <v>3860</v>
      </c>
      <c r="BI669" s="52" t="str">
        <f>HYPERLINK("#일위대가목록!A679","S02W25040YA →")</f>
        <v>S02W25040YA →</v>
      </c>
    </row>
    <row r="670" spans="1:61" ht="18.399999999999999" customHeight="1">
      <c r="A670" s="11" t="s">
        <v>5376</v>
      </c>
      <c r="B670" s="2" t="s">
        <v>807</v>
      </c>
      <c r="C670" s="2">
        <v>1</v>
      </c>
      <c r="D670" s="2" t="s">
        <v>2289</v>
      </c>
      <c r="E670" s="29" t="e">
        <f>일위대가목록!#REF!</f>
        <v>#REF!</v>
      </c>
      <c r="F670" s="29" t="e">
        <f t="shared" si="76"/>
        <v>#REF!</v>
      </c>
      <c r="G670" s="29" t="e">
        <f>일위대가목록!#REF!</f>
        <v>#REF!</v>
      </c>
      <c r="H670" s="29" t="e">
        <f t="shared" si="77"/>
        <v>#REF!</v>
      </c>
      <c r="I670" s="29" t="e">
        <f>일위대가목록!#REF!</f>
        <v>#REF!</v>
      </c>
      <c r="J670" s="29" t="e">
        <f t="shared" si="78"/>
        <v>#REF!</v>
      </c>
      <c r="K670" s="29" t="e">
        <f t="shared" si="75"/>
        <v>#REF!</v>
      </c>
      <c r="L670" s="29" t="e">
        <f t="shared" si="74"/>
        <v>#REF!</v>
      </c>
      <c r="M670" s="20" t="s">
        <v>6232</v>
      </c>
      <c r="N670" t="s">
        <v>6232</v>
      </c>
      <c r="P670" t="s">
        <v>3770</v>
      </c>
      <c r="Q670" t="s">
        <v>6232</v>
      </c>
      <c r="R670" t="s">
        <v>1031</v>
      </c>
      <c r="T670" t="s">
        <v>3860</v>
      </c>
      <c r="BI670" s="52" t="str">
        <f>HYPERLINK("#일위대가목록!A680","S02W20080 →")</f>
        <v>S02W20080 →</v>
      </c>
    </row>
    <row r="671" spans="1:61" ht="18.399999999999999" customHeight="1">
      <c r="A671" s="11" t="s">
        <v>5376</v>
      </c>
      <c r="B671" s="2" t="s">
        <v>3335</v>
      </c>
      <c r="C671" s="2">
        <v>1</v>
      </c>
      <c r="D671" s="2" t="s">
        <v>2289</v>
      </c>
      <c r="E671" s="29" t="e">
        <f>일위대가목록!#REF!</f>
        <v>#REF!</v>
      </c>
      <c r="F671" s="29" t="e">
        <f t="shared" si="76"/>
        <v>#REF!</v>
      </c>
      <c r="G671" s="29" t="e">
        <f>일위대가목록!#REF!</f>
        <v>#REF!</v>
      </c>
      <c r="H671" s="29" t="e">
        <f t="shared" si="77"/>
        <v>#REF!</v>
      </c>
      <c r="I671" s="29" t="e">
        <f>일위대가목록!#REF!</f>
        <v>#REF!</v>
      </c>
      <c r="J671" s="29" t="e">
        <f t="shared" si="78"/>
        <v>#REF!</v>
      </c>
      <c r="K671" s="29" t="e">
        <f t="shared" si="75"/>
        <v>#REF!</v>
      </c>
      <c r="L671" s="29" t="e">
        <f t="shared" si="74"/>
        <v>#REF!</v>
      </c>
      <c r="M671" s="20" t="s">
        <v>6232</v>
      </c>
      <c r="N671" t="s">
        <v>6232</v>
      </c>
      <c r="P671" t="s">
        <v>2123</v>
      </c>
      <c r="Q671" t="s">
        <v>6232</v>
      </c>
      <c r="R671" t="s">
        <v>4022</v>
      </c>
      <c r="T671" t="s">
        <v>3860</v>
      </c>
      <c r="BI671" s="52" t="str">
        <f>HYPERLINK("#일위대가목록!A681","S02W20060 →")</f>
        <v>S02W20060 →</v>
      </c>
    </row>
    <row r="672" spans="1:61" ht="18.399999999999999" customHeight="1">
      <c r="A672" s="11" t="s">
        <v>5376</v>
      </c>
      <c r="B672" s="2" t="s">
        <v>5698</v>
      </c>
      <c r="C672" s="2">
        <v>1</v>
      </c>
      <c r="D672" s="2" t="s">
        <v>2289</v>
      </c>
      <c r="E672" s="29" t="e">
        <f>일위대가목록!#REF!</f>
        <v>#REF!</v>
      </c>
      <c r="F672" s="29" t="e">
        <f t="shared" si="76"/>
        <v>#REF!</v>
      </c>
      <c r="G672" s="29" t="e">
        <f>일위대가목록!#REF!</f>
        <v>#REF!</v>
      </c>
      <c r="H672" s="29" t="e">
        <f t="shared" si="77"/>
        <v>#REF!</v>
      </c>
      <c r="I672" s="29" t="e">
        <f>일위대가목록!#REF!</f>
        <v>#REF!</v>
      </c>
      <c r="J672" s="29" t="e">
        <f t="shared" si="78"/>
        <v>#REF!</v>
      </c>
      <c r="K672" s="29" t="e">
        <f t="shared" si="75"/>
        <v>#REF!</v>
      </c>
      <c r="L672" s="29" t="e">
        <f t="shared" si="74"/>
        <v>#REF!</v>
      </c>
      <c r="M672" s="20" t="s">
        <v>6232</v>
      </c>
      <c r="N672" t="s">
        <v>6232</v>
      </c>
      <c r="P672" t="s">
        <v>617</v>
      </c>
      <c r="Q672" t="s">
        <v>6232</v>
      </c>
      <c r="R672" t="s">
        <v>954</v>
      </c>
      <c r="T672" t="s">
        <v>3860</v>
      </c>
      <c r="BI672" s="52" t="str">
        <f>HYPERLINK("#일위대가목록!A682","S02W20040 →")</f>
        <v>S02W20040 →</v>
      </c>
    </row>
    <row r="673" spans="1:61" ht="18.399999999999999" customHeight="1">
      <c r="A673" s="11" t="s">
        <v>4482</v>
      </c>
      <c r="B673" s="2" t="s">
        <v>807</v>
      </c>
      <c r="C673" s="2">
        <v>1</v>
      </c>
      <c r="D673" s="2" t="s">
        <v>2289</v>
      </c>
      <c r="E673" s="29" t="e">
        <f>일위대가목록!#REF!</f>
        <v>#REF!</v>
      </c>
      <c r="F673" s="29" t="e">
        <f t="shared" si="76"/>
        <v>#REF!</v>
      </c>
      <c r="G673" s="29" t="e">
        <f>일위대가목록!#REF!</f>
        <v>#REF!</v>
      </c>
      <c r="H673" s="29" t="e">
        <f t="shared" si="77"/>
        <v>#REF!</v>
      </c>
      <c r="I673" s="29" t="e">
        <f>일위대가목록!#REF!</f>
        <v>#REF!</v>
      </c>
      <c r="J673" s="29" t="e">
        <f t="shared" si="78"/>
        <v>#REF!</v>
      </c>
      <c r="K673" s="29" t="e">
        <f t="shared" si="75"/>
        <v>#REF!</v>
      </c>
      <c r="L673" s="29" t="e">
        <f t="shared" si="74"/>
        <v>#REF!</v>
      </c>
      <c r="M673" s="20" t="s">
        <v>6232</v>
      </c>
      <c r="N673" t="s">
        <v>6232</v>
      </c>
      <c r="P673" t="s">
        <v>5398</v>
      </c>
      <c r="Q673" t="s">
        <v>6232</v>
      </c>
      <c r="R673" t="s">
        <v>395</v>
      </c>
      <c r="T673" t="s">
        <v>3860</v>
      </c>
      <c r="BI673" s="52" t="str">
        <f>HYPERLINK("#일위대가목록!A683","S02W20080YA →")</f>
        <v>S02W20080YA →</v>
      </c>
    </row>
    <row r="674" spans="1:61" ht="18.399999999999999" customHeight="1">
      <c r="A674" s="11" t="s">
        <v>4482</v>
      </c>
      <c r="B674" s="2" t="s">
        <v>3335</v>
      </c>
      <c r="C674" s="2">
        <v>1</v>
      </c>
      <c r="D674" s="2" t="s">
        <v>2289</v>
      </c>
      <c r="E674" s="29" t="e">
        <f>일위대가목록!#REF!</f>
        <v>#REF!</v>
      </c>
      <c r="F674" s="29" t="e">
        <f t="shared" si="76"/>
        <v>#REF!</v>
      </c>
      <c r="G674" s="29" t="e">
        <f>일위대가목록!#REF!</f>
        <v>#REF!</v>
      </c>
      <c r="H674" s="29" t="e">
        <f t="shared" si="77"/>
        <v>#REF!</v>
      </c>
      <c r="I674" s="29" t="e">
        <f>일위대가목록!#REF!</f>
        <v>#REF!</v>
      </c>
      <c r="J674" s="29" t="e">
        <f t="shared" si="78"/>
        <v>#REF!</v>
      </c>
      <c r="K674" s="29" t="e">
        <f t="shared" si="75"/>
        <v>#REF!</v>
      </c>
      <c r="L674" s="29" t="e">
        <f t="shared" si="74"/>
        <v>#REF!</v>
      </c>
      <c r="M674" s="20" t="s">
        <v>6232</v>
      </c>
      <c r="N674" t="s">
        <v>6232</v>
      </c>
      <c r="P674" t="s">
        <v>3868</v>
      </c>
      <c r="Q674" t="s">
        <v>6232</v>
      </c>
      <c r="R674" t="s">
        <v>860</v>
      </c>
      <c r="T674" t="s">
        <v>3860</v>
      </c>
      <c r="BI674" s="52" t="str">
        <f>HYPERLINK("#일위대가목록!A684","S02W20060YA →")</f>
        <v>S02W20060YA →</v>
      </c>
    </row>
    <row r="675" spans="1:61" ht="18.399999999999999" customHeight="1">
      <c r="A675" s="11" t="s">
        <v>4482</v>
      </c>
      <c r="B675" s="2" t="s">
        <v>5698</v>
      </c>
      <c r="C675" s="2">
        <v>1</v>
      </c>
      <c r="D675" s="2" t="s">
        <v>2289</v>
      </c>
      <c r="E675" s="29" t="e">
        <f>일위대가목록!#REF!</f>
        <v>#REF!</v>
      </c>
      <c r="F675" s="29" t="e">
        <f t="shared" si="76"/>
        <v>#REF!</v>
      </c>
      <c r="G675" s="29" t="e">
        <f>일위대가목록!#REF!</f>
        <v>#REF!</v>
      </c>
      <c r="H675" s="29" t="e">
        <f t="shared" si="77"/>
        <v>#REF!</v>
      </c>
      <c r="I675" s="29" t="e">
        <f>일위대가목록!#REF!</f>
        <v>#REF!</v>
      </c>
      <c r="J675" s="29" t="e">
        <f t="shared" si="78"/>
        <v>#REF!</v>
      </c>
      <c r="K675" s="29" t="e">
        <f t="shared" si="75"/>
        <v>#REF!</v>
      </c>
      <c r="L675" s="29" t="e">
        <f t="shared" si="74"/>
        <v>#REF!</v>
      </c>
      <c r="M675" s="20" t="s">
        <v>6232</v>
      </c>
      <c r="N675" t="s">
        <v>6232</v>
      </c>
      <c r="P675" t="s">
        <v>2227</v>
      </c>
      <c r="Q675" t="s">
        <v>6232</v>
      </c>
      <c r="R675" t="s">
        <v>4092</v>
      </c>
      <c r="T675" t="s">
        <v>3860</v>
      </c>
      <c r="BI675" s="52" t="str">
        <f>HYPERLINK("#일위대가목록!A685","S02W20040YA →")</f>
        <v>S02W20040YA →</v>
      </c>
    </row>
    <row r="676" spans="1:61" ht="18.399999999999999" customHeight="1">
      <c r="A676" s="11" t="s">
        <v>5376</v>
      </c>
      <c r="B676" s="2" t="s">
        <v>3932</v>
      </c>
      <c r="C676" s="2">
        <v>1</v>
      </c>
      <c r="D676" s="2" t="s">
        <v>2289</v>
      </c>
      <c r="E676" s="29" t="e">
        <f>일위대가목록!#REF!</f>
        <v>#REF!</v>
      </c>
      <c r="F676" s="29" t="e">
        <f t="shared" si="76"/>
        <v>#REF!</v>
      </c>
      <c r="G676" s="29" t="e">
        <f>일위대가목록!#REF!</f>
        <v>#REF!</v>
      </c>
      <c r="H676" s="29" t="e">
        <f t="shared" si="77"/>
        <v>#REF!</v>
      </c>
      <c r="I676" s="29" t="e">
        <f>일위대가목록!#REF!</f>
        <v>#REF!</v>
      </c>
      <c r="J676" s="29" t="e">
        <f t="shared" si="78"/>
        <v>#REF!</v>
      </c>
      <c r="K676" s="29" t="e">
        <f t="shared" si="75"/>
        <v>#REF!</v>
      </c>
      <c r="L676" s="29" t="e">
        <f t="shared" si="74"/>
        <v>#REF!</v>
      </c>
      <c r="M676" s="20" t="s">
        <v>6232</v>
      </c>
      <c r="N676" t="s">
        <v>6232</v>
      </c>
      <c r="P676" t="s">
        <v>716</v>
      </c>
      <c r="Q676" t="s">
        <v>6232</v>
      </c>
      <c r="R676" t="s">
        <v>4892</v>
      </c>
      <c r="T676" t="s">
        <v>3860</v>
      </c>
      <c r="BI676" s="52" t="str">
        <f>HYPERLINK("#일위대가목록!A686","S02W15080 →")</f>
        <v>S02W15080 →</v>
      </c>
    </row>
    <row r="677" spans="1:61" ht="18.399999999999999" customHeight="1">
      <c r="A677" s="11" t="s">
        <v>5376</v>
      </c>
      <c r="B677" s="2" t="s">
        <v>220</v>
      </c>
      <c r="C677" s="2">
        <v>1</v>
      </c>
      <c r="D677" s="2" t="s">
        <v>2289</v>
      </c>
      <c r="E677" s="29" t="e">
        <f>일위대가목록!#REF!</f>
        <v>#REF!</v>
      </c>
      <c r="F677" s="29" t="e">
        <f t="shared" si="76"/>
        <v>#REF!</v>
      </c>
      <c r="G677" s="29" t="e">
        <f>일위대가목록!#REF!</f>
        <v>#REF!</v>
      </c>
      <c r="H677" s="29" t="e">
        <f t="shared" si="77"/>
        <v>#REF!</v>
      </c>
      <c r="I677" s="29" t="e">
        <f>일위대가목록!#REF!</f>
        <v>#REF!</v>
      </c>
      <c r="J677" s="29" t="e">
        <f t="shared" si="78"/>
        <v>#REF!</v>
      </c>
      <c r="K677" s="29" t="e">
        <f t="shared" si="75"/>
        <v>#REF!</v>
      </c>
      <c r="L677" s="29" t="e">
        <f t="shared" si="74"/>
        <v>#REF!</v>
      </c>
      <c r="M677" s="20" t="s">
        <v>6232</v>
      </c>
      <c r="N677" t="s">
        <v>6232</v>
      </c>
      <c r="P677" t="s">
        <v>5101</v>
      </c>
      <c r="Q677" t="s">
        <v>6232</v>
      </c>
      <c r="R677" t="s">
        <v>1705</v>
      </c>
      <c r="T677" t="s">
        <v>3860</v>
      </c>
      <c r="BI677" s="52" t="str">
        <f>HYPERLINK("#일위대가목록!A687","S02W15060 →")</f>
        <v>S02W15060 →</v>
      </c>
    </row>
    <row r="678" spans="1:61" ht="18.399999999999999" customHeight="1">
      <c r="A678" s="11" t="s">
        <v>5376</v>
      </c>
      <c r="B678" s="2" t="s">
        <v>2577</v>
      </c>
      <c r="C678" s="2">
        <v>1</v>
      </c>
      <c r="D678" s="2" t="s">
        <v>2289</v>
      </c>
      <c r="E678" s="29" t="e">
        <f>일위대가목록!#REF!</f>
        <v>#REF!</v>
      </c>
      <c r="F678" s="29" t="e">
        <f t="shared" si="76"/>
        <v>#REF!</v>
      </c>
      <c r="G678" s="29" t="e">
        <f>일위대가목록!#REF!</f>
        <v>#REF!</v>
      </c>
      <c r="H678" s="29" t="e">
        <f t="shared" si="77"/>
        <v>#REF!</v>
      </c>
      <c r="I678" s="29" t="e">
        <f>일위대가목록!#REF!</f>
        <v>#REF!</v>
      </c>
      <c r="J678" s="29" t="e">
        <f t="shared" si="78"/>
        <v>#REF!</v>
      </c>
      <c r="K678" s="29" t="e">
        <f t="shared" si="75"/>
        <v>#REF!</v>
      </c>
      <c r="L678" s="29" t="e">
        <f t="shared" si="74"/>
        <v>#REF!</v>
      </c>
      <c r="M678" s="20" t="s">
        <v>6232</v>
      </c>
      <c r="N678" t="s">
        <v>6232</v>
      </c>
      <c r="P678" t="s">
        <v>3584</v>
      </c>
      <c r="Q678" t="s">
        <v>6232</v>
      </c>
      <c r="R678" t="s">
        <v>4803</v>
      </c>
      <c r="T678" t="s">
        <v>3860</v>
      </c>
      <c r="BI678" s="52" t="str">
        <f>HYPERLINK("#일위대가목록!A688","S02W15040 →")</f>
        <v>S02W15040 →</v>
      </c>
    </row>
    <row r="679" spans="1:61" ht="18.399999999999999" customHeight="1">
      <c r="A679" s="11" t="s">
        <v>4482</v>
      </c>
      <c r="B679" s="2" t="s">
        <v>3932</v>
      </c>
      <c r="C679" s="2">
        <v>1</v>
      </c>
      <c r="D679" s="2" t="s">
        <v>2289</v>
      </c>
      <c r="E679" s="29" t="e">
        <f>일위대가목록!#REF!</f>
        <v>#REF!</v>
      </c>
      <c r="F679" s="29" t="e">
        <f t="shared" si="76"/>
        <v>#REF!</v>
      </c>
      <c r="G679" s="29" t="e">
        <f>일위대가목록!#REF!</f>
        <v>#REF!</v>
      </c>
      <c r="H679" s="29" t="e">
        <f t="shared" si="77"/>
        <v>#REF!</v>
      </c>
      <c r="I679" s="29" t="e">
        <f>일위대가목록!#REF!</f>
        <v>#REF!</v>
      </c>
      <c r="J679" s="29" t="e">
        <f t="shared" si="78"/>
        <v>#REF!</v>
      </c>
      <c r="K679" s="29" t="e">
        <f t="shared" si="75"/>
        <v>#REF!</v>
      </c>
      <c r="L679" s="29" t="e">
        <f t="shared" si="74"/>
        <v>#REF!</v>
      </c>
      <c r="M679" s="20" t="s">
        <v>6232</v>
      </c>
      <c r="N679" t="s">
        <v>6232</v>
      </c>
      <c r="P679" t="s">
        <v>5761</v>
      </c>
      <c r="Q679" t="s">
        <v>6232</v>
      </c>
      <c r="R679" t="s">
        <v>1486</v>
      </c>
      <c r="T679" t="s">
        <v>3860</v>
      </c>
      <c r="BI679" s="52" t="str">
        <f>HYPERLINK("#일위대가목록!A689","S02W15080YA →")</f>
        <v>S02W15080YA →</v>
      </c>
    </row>
    <row r="680" spans="1:61" ht="18.399999999999999" customHeight="1">
      <c r="A680" s="11" t="s">
        <v>4482</v>
      </c>
      <c r="B680" s="2" t="s">
        <v>220</v>
      </c>
      <c r="C680" s="2">
        <v>1</v>
      </c>
      <c r="D680" s="2" t="s">
        <v>2289</v>
      </c>
      <c r="E680" s="29" t="e">
        <f>일위대가목록!#REF!</f>
        <v>#REF!</v>
      </c>
      <c r="F680" s="29" t="e">
        <f t="shared" si="76"/>
        <v>#REF!</v>
      </c>
      <c r="G680" s="29" t="e">
        <f>일위대가목록!#REF!</f>
        <v>#REF!</v>
      </c>
      <c r="H680" s="29" t="e">
        <f t="shared" si="77"/>
        <v>#REF!</v>
      </c>
      <c r="I680" s="29" t="e">
        <f>일위대가목록!#REF!</f>
        <v>#REF!</v>
      </c>
      <c r="J680" s="29" t="e">
        <f t="shared" si="78"/>
        <v>#REF!</v>
      </c>
      <c r="K680" s="29" t="e">
        <f t="shared" si="75"/>
        <v>#REF!</v>
      </c>
      <c r="L680" s="29" t="e">
        <f t="shared" si="74"/>
        <v>#REF!</v>
      </c>
      <c r="M680" s="20" t="s">
        <v>6232</v>
      </c>
      <c r="N680" t="s">
        <v>6232</v>
      </c>
      <c r="P680" t="s">
        <v>4185</v>
      </c>
      <c r="Q680" t="s">
        <v>6232</v>
      </c>
      <c r="R680" t="s">
        <v>281</v>
      </c>
      <c r="T680" t="s">
        <v>3860</v>
      </c>
      <c r="BI680" s="52" t="str">
        <f>HYPERLINK("#일위대가목록!A690","S02W15060YA →")</f>
        <v>S02W15060YA →</v>
      </c>
    </row>
    <row r="681" spans="1:61" ht="18.399999999999999" customHeight="1">
      <c r="A681" s="11" t="s">
        <v>4482</v>
      </c>
      <c r="B681" s="2" t="s">
        <v>2577</v>
      </c>
      <c r="C681" s="2">
        <v>1</v>
      </c>
      <c r="D681" s="2" t="s">
        <v>2289</v>
      </c>
      <c r="E681" s="29" t="e">
        <f>일위대가목록!#REF!</f>
        <v>#REF!</v>
      </c>
      <c r="F681" s="29" t="e">
        <f t="shared" si="76"/>
        <v>#REF!</v>
      </c>
      <c r="G681" s="29" t="e">
        <f>일위대가목록!#REF!</f>
        <v>#REF!</v>
      </c>
      <c r="H681" s="29" t="e">
        <f t="shared" si="77"/>
        <v>#REF!</v>
      </c>
      <c r="I681" s="29" t="e">
        <f>일위대가목록!#REF!</f>
        <v>#REF!</v>
      </c>
      <c r="J681" s="29" t="e">
        <f t="shared" si="78"/>
        <v>#REF!</v>
      </c>
      <c r="K681" s="29" t="e">
        <f t="shared" si="75"/>
        <v>#REF!</v>
      </c>
      <c r="L681" s="29" t="e">
        <f t="shared" si="74"/>
        <v>#REF!</v>
      </c>
      <c r="M681" s="20" t="s">
        <v>6232</v>
      </c>
      <c r="N681" t="s">
        <v>6232</v>
      </c>
      <c r="P681" t="s">
        <v>2677</v>
      </c>
      <c r="Q681" t="s">
        <v>6232</v>
      </c>
      <c r="R681" t="s">
        <v>3249</v>
      </c>
      <c r="T681" t="s">
        <v>3860</v>
      </c>
      <c r="BI681" s="52" t="str">
        <f>HYPERLINK("#일위대가목록!A691","S02W15040YA →")</f>
        <v>S02W15040YA →</v>
      </c>
    </row>
    <row r="682" spans="1:61" ht="18.399999999999999" customHeight="1">
      <c r="A682" s="11" t="s">
        <v>5376</v>
      </c>
      <c r="B682" s="2" t="s">
        <v>532</v>
      </c>
      <c r="C682" s="2">
        <v>1</v>
      </c>
      <c r="D682" s="2" t="s">
        <v>2289</v>
      </c>
      <c r="E682" s="29" t="e">
        <f>일위대가목록!#REF!</f>
        <v>#REF!</v>
      </c>
      <c r="F682" s="29" t="e">
        <f t="shared" si="76"/>
        <v>#REF!</v>
      </c>
      <c r="G682" s="29" t="e">
        <f>일위대가목록!#REF!</f>
        <v>#REF!</v>
      </c>
      <c r="H682" s="29" t="e">
        <f t="shared" si="77"/>
        <v>#REF!</v>
      </c>
      <c r="I682" s="29" t="e">
        <f>일위대가목록!#REF!</f>
        <v>#REF!</v>
      </c>
      <c r="J682" s="29" t="e">
        <f t="shared" si="78"/>
        <v>#REF!</v>
      </c>
      <c r="K682" s="29" t="e">
        <f t="shared" si="75"/>
        <v>#REF!</v>
      </c>
      <c r="L682" s="29" t="e">
        <f t="shared" si="74"/>
        <v>#REF!</v>
      </c>
      <c r="M682" s="20" t="s">
        <v>6232</v>
      </c>
      <c r="N682" t="s">
        <v>6232</v>
      </c>
      <c r="P682" t="s">
        <v>1093</v>
      </c>
      <c r="Q682" t="s">
        <v>6232</v>
      </c>
      <c r="R682" t="s">
        <v>3765</v>
      </c>
      <c r="T682" t="s">
        <v>3860</v>
      </c>
      <c r="BI682" s="52" t="str">
        <f>HYPERLINK("#일위대가목록!A692","S02W12580 →")</f>
        <v>S02W12580 →</v>
      </c>
    </row>
    <row r="683" spans="1:61" ht="18.399999999999999" customHeight="1">
      <c r="A683" s="11" t="s">
        <v>5376</v>
      </c>
      <c r="B683" s="2" t="s">
        <v>4591</v>
      </c>
      <c r="C683" s="2">
        <v>1</v>
      </c>
      <c r="D683" s="2" t="s">
        <v>2289</v>
      </c>
      <c r="E683" s="29" t="e">
        <f>일위대가목록!#REF!</f>
        <v>#REF!</v>
      </c>
      <c r="F683" s="29" t="e">
        <f t="shared" si="76"/>
        <v>#REF!</v>
      </c>
      <c r="G683" s="29" t="e">
        <f>일위대가목록!#REF!</f>
        <v>#REF!</v>
      </c>
      <c r="H683" s="29" t="e">
        <f t="shared" si="77"/>
        <v>#REF!</v>
      </c>
      <c r="I683" s="29" t="e">
        <f>일위대가목록!#REF!</f>
        <v>#REF!</v>
      </c>
      <c r="J683" s="29" t="e">
        <f t="shared" si="78"/>
        <v>#REF!</v>
      </c>
      <c r="K683" s="29" t="e">
        <f t="shared" si="75"/>
        <v>#REF!</v>
      </c>
      <c r="L683" s="29" t="e">
        <f t="shared" si="74"/>
        <v>#REF!</v>
      </c>
      <c r="M683" s="20" t="s">
        <v>6232</v>
      </c>
      <c r="N683" t="s">
        <v>6232</v>
      </c>
      <c r="P683" t="s">
        <v>5686</v>
      </c>
      <c r="Q683" t="s">
        <v>6232</v>
      </c>
      <c r="R683" t="s">
        <v>522</v>
      </c>
      <c r="T683" t="s">
        <v>3860</v>
      </c>
      <c r="BI683" s="52" t="str">
        <f>HYPERLINK("#일위대가목록!A693","S02W12560 →")</f>
        <v>S02W12560 →</v>
      </c>
    </row>
    <row r="684" spans="1:61" ht="18.399999999999999" customHeight="1">
      <c r="A684" s="11" t="s">
        <v>5376</v>
      </c>
      <c r="B684" s="2" t="s">
        <v>5360</v>
      </c>
      <c r="C684" s="2">
        <v>1</v>
      </c>
      <c r="D684" s="2" t="s">
        <v>2289</v>
      </c>
      <c r="E684" s="29" t="e">
        <f>일위대가목록!#REF!</f>
        <v>#REF!</v>
      </c>
      <c r="F684" s="29" t="e">
        <f t="shared" si="76"/>
        <v>#REF!</v>
      </c>
      <c r="G684" s="29" t="e">
        <f>일위대가목록!#REF!</f>
        <v>#REF!</v>
      </c>
      <c r="H684" s="29" t="e">
        <f t="shared" si="77"/>
        <v>#REF!</v>
      </c>
      <c r="I684" s="29" t="e">
        <f>일위대가목록!#REF!</f>
        <v>#REF!</v>
      </c>
      <c r="J684" s="29" t="e">
        <f t="shared" si="78"/>
        <v>#REF!</v>
      </c>
      <c r="K684" s="29" t="e">
        <f t="shared" si="75"/>
        <v>#REF!</v>
      </c>
      <c r="L684" s="29" t="e">
        <f t="shared" si="74"/>
        <v>#REF!</v>
      </c>
      <c r="M684" s="20" t="s">
        <v>6232</v>
      </c>
      <c r="N684" t="s">
        <v>6232</v>
      </c>
      <c r="P684" t="s">
        <v>4097</v>
      </c>
      <c r="Q684" t="s">
        <v>6232</v>
      </c>
      <c r="R684" t="s">
        <v>3669</v>
      </c>
      <c r="T684" t="s">
        <v>3860</v>
      </c>
      <c r="BI684" s="52" t="str">
        <f>HYPERLINK("#일위대가목록!A694","S02W12540 →")</f>
        <v>S02W12540 →</v>
      </c>
    </row>
    <row r="685" spans="1:61" ht="18.399999999999999" customHeight="1">
      <c r="A685" s="11" t="s">
        <v>4482</v>
      </c>
      <c r="B685" s="2" t="s">
        <v>532</v>
      </c>
      <c r="C685" s="2">
        <v>1</v>
      </c>
      <c r="D685" s="2" t="s">
        <v>2289</v>
      </c>
      <c r="E685" s="29" t="e">
        <f>일위대가목록!#REF!</f>
        <v>#REF!</v>
      </c>
      <c r="F685" s="29" t="e">
        <f t="shared" si="76"/>
        <v>#REF!</v>
      </c>
      <c r="G685" s="29" t="e">
        <f>일위대가목록!#REF!</f>
        <v>#REF!</v>
      </c>
      <c r="H685" s="29" t="e">
        <f t="shared" si="77"/>
        <v>#REF!</v>
      </c>
      <c r="I685" s="29" t="e">
        <f>일위대가목록!#REF!</f>
        <v>#REF!</v>
      </c>
      <c r="J685" s="29" t="e">
        <f t="shared" si="78"/>
        <v>#REF!</v>
      </c>
      <c r="K685" s="29" t="e">
        <f t="shared" si="75"/>
        <v>#REF!</v>
      </c>
      <c r="L685" s="29" t="e">
        <f t="shared" si="74"/>
        <v>#REF!</v>
      </c>
      <c r="M685" s="20" t="s">
        <v>6232</v>
      </c>
      <c r="N685" t="s">
        <v>6232</v>
      </c>
      <c r="P685" t="s">
        <v>2600</v>
      </c>
      <c r="Q685" t="s">
        <v>6232</v>
      </c>
      <c r="R685" t="s">
        <v>6004</v>
      </c>
      <c r="T685" t="s">
        <v>3860</v>
      </c>
      <c r="BI685" s="52" t="str">
        <f>HYPERLINK("#일위대가목록!A695","S02W12580YA →")</f>
        <v>S02W12580YA →</v>
      </c>
    </row>
    <row r="686" spans="1:61" ht="18.399999999999999" customHeight="1">
      <c r="A686" s="11" t="s">
        <v>4482</v>
      </c>
      <c r="B686" s="2" t="s">
        <v>4591</v>
      </c>
      <c r="C686" s="2">
        <v>1</v>
      </c>
      <c r="D686" s="2" t="s">
        <v>2289</v>
      </c>
      <c r="E686" s="29" t="e">
        <f>일위대가목록!#REF!</f>
        <v>#REF!</v>
      </c>
      <c r="F686" s="29" t="e">
        <f t="shared" si="76"/>
        <v>#REF!</v>
      </c>
      <c r="G686" s="29" t="e">
        <f>일위대가목록!#REF!</f>
        <v>#REF!</v>
      </c>
      <c r="H686" s="29" t="e">
        <f t="shared" si="77"/>
        <v>#REF!</v>
      </c>
      <c r="I686" s="29" t="e">
        <f>일위대가목록!#REF!</f>
        <v>#REF!</v>
      </c>
      <c r="J686" s="29" t="e">
        <f t="shared" si="78"/>
        <v>#REF!</v>
      </c>
      <c r="K686" s="29" t="e">
        <f t="shared" si="75"/>
        <v>#REF!</v>
      </c>
      <c r="L686" s="29" t="e">
        <f t="shared" si="74"/>
        <v>#REF!</v>
      </c>
      <c r="M686" s="20" t="s">
        <v>6232</v>
      </c>
      <c r="N686" t="s">
        <v>6232</v>
      </c>
      <c r="P686" t="s">
        <v>1020</v>
      </c>
      <c r="Q686" t="s">
        <v>6232</v>
      </c>
      <c r="R686" t="s">
        <v>4793</v>
      </c>
      <c r="T686" t="s">
        <v>3860</v>
      </c>
      <c r="BI686" s="52" t="str">
        <f>HYPERLINK("#일위대가목록!A696","S02W12560YA →")</f>
        <v>S02W12560YA →</v>
      </c>
    </row>
    <row r="687" spans="1:61" ht="18.399999999999999" customHeight="1">
      <c r="A687" s="11" t="s">
        <v>4482</v>
      </c>
      <c r="B687" s="2" t="s">
        <v>5360</v>
      </c>
      <c r="C687" s="2">
        <v>1</v>
      </c>
      <c r="D687" s="2" t="s">
        <v>2289</v>
      </c>
      <c r="E687" s="29" t="e">
        <f>일위대가목록!#REF!</f>
        <v>#REF!</v>
      </c>
      <c r="F687" s="29" t="e">
        <f t="shared" si="76"/>
        <v>#REF!</v>
      </c>
      <c r="G687" s="29" t="e">
        <f>일위대가목록!#REF!</f>
        <v>#REF!</v>
      </c>
      <c r="H687" s="29" t="e">
        <f t="shared" si="77"/>
        <v>#REF!</v>
      </c>
      <c r="I687" s="29" t="e">
        <f>일위대가목록!#REF!</f>
        <v>#REF!</v>
      </c>
      <c r="J687" s="29" t="e">
        <f t="shared" si="78"/>
        <v>#REF!</v>
      </c>
      <c r="K687" s="29" t="e">
        <f t="shared" si="75"/>
        <v>#REF!</v>
      </c>
      <c r="L687" s="29" t="e">
        <f t="shared" si="74"/>
        <v>#REF!</v>
      </c>
      <c r="M687" s="20" t="s">
        <v>6232</v>
      </c>
      <c r="N687" t="s">
        <v>6232</v>
      </c>
      <c r="P687" t="s">
        <v>5577</v>
      </c>
      <c r="Q687" t="s">
        <v>6232</v>
      </c>
      <c r="R687" t="s">
        <v>1864</v>
      </c>
      <c r="T687" t="s">
        <v>3860</v>
      </c>
      <c r="BI687" s="52" t="str">
        <f>HYPERLINK("#일위대가목록!A697","S02W12540YA →")</f>
        <v>S02W12540YA →</v>
      </c>
    </row>
    <row r="688" spans="1:61" ht="18.399999999999999" customHeight="1">
      <c r="A688" s="11" t="s">
        <v>5376</v>
      </c>
      <c r="B688" s="2" t="s">
        <v>5316</v>
      </c>
      <c r="C688" s="2">
        <v>1</v>
      </c>
      <c r="D688" s="2" t="s">
        <v>2289</v>
      </c>
      <c r="E688" s="29" t="e">
        <f>일위대가목록!#REF!</f>
        <v>#REF!</v>
      </c>
      <c r="F688" s="29" t="e">
        <f t="shared" si="76"/>
        <v>#REF!</v>
      </c>
      <c r="G688" s="29" t="e">
        <f>일위대가목록!#REF!</f>
        <v>#REF!</v>
      </c>
      <c r="H688" s="29" t="e">
        <f t="shared" si="77"/>
        <v>#REF!</v>
      </c>
      <c r="I688" s="29" t="e">
        <f>일위대가목록!#REF!</f>
        <v>#REF!</v>
      </c>
      <c r="J688" s="29" t="e">
        <f t="shared" si="78"/>
        <v>#REF!</v>
      </c>
      <c r="K688" s="29" t="e">
        <f t="shared" si="75"/>
        <v>#REF!</v>
      </c>
      <c r="L688" s="29" t="e">
        <f t="shared" si="74"/>
        <v>#REF!</v>
      </c>
      <c r="M688" s="20" t="s">
        <v>6232</v>
      </c>
      <c r="N688" t="s">
        <v>6232</v>
      </c>
      <c r="P688" t="s">
        <v>4001</v>
      </c>
      <c r="Q688" t="s">
        <v>6232</v>
      </c>
      <c r="R688" t="s">
        <v>6109</v>
      </c>
      <c r="T688" t="s">
        <v>3860</v>
      </c>
      <c r="BI688" s="52" t="str">
        <f>HYPERLINK("#일위대가목록!A698","S02W10080 →")</f>
        <v>S02W10080 →</v>
      </c>
    </row>
    <row r="689" spans="1:61" ht="18.399999999999999" customHeight="1">
      <c r="A689" s="11" t="s">
        <v>5376</v>
      </c>
      <c r="B689" s="2" t="s">
        <v>2718</v>
      </c>
      <c r="C689" s="2">
        <v>1</v>
      </c>
      <c r="D689" s="2" t="s">
        <v>2289</v>
      </c>
      <c r="E689" s="29" t="e">
        <f>일위대가목록!#REF!</f>
        <v>#REF!</v>
      </c>
      <c r="F689" s="29" t="e">
        <f t="shared" si="76"/>
        <v>#REF!</v>
      </c>
      <c r="G689" s="29" t="e">
        <f>일위대가목록!#REF!</f>
        <v>#REF!</v>
      </c>
      <c r="H689" s="29" t="e">
        <f t="shared" si="77"/>
        <v>#REF!</v>
      </c>
      <c r="I689" s="29" t="e">
        <f>일위대가목록!#REF!</f>
        <v>#REF!</v>
      </c>
      <c r="J689" s="29" t="e">
        <f t="shared" si="78"/>
        <v>#REF!</v>
      </c>
      <c r="K689" s="29" t="e">
        <f t="shared" si="75"/>
        <v>#REF!</v>
      </c>
      <c r="L689" s="29" t="e">
        <f t="shared" si="74"/>
        <v>#REF!</v>
      </c>
      <c r="M689" s="20" t="s">
        <v>6232</v>
      </c>
      <c r="N689" t="s">
        <v>6232</v>
      </c>
      <c r="P689" t="s">
        <v>168</v>
      </c>
      <c r="Q689" t="s">
        <v>6232</v>
      </c>
      <c r="R689" t="s">
        <v>2820</v>
      </c>
      <c r="T689" t="s">
        <v>3860</v>
      </c>
      <c r="BI689" s="52" t="str">
        <f>HYPERLINK("#일위대가목록!A699","S02W10060 →")</f>
        <v>S02W10060 →</v>
      </c>
    </row>
    <row r="690" spans="1:61" ht="18.399999999999999" customHeight="1">
      <c r="A690" s="11" t="s">
        <v>5376</v>
      </c>
      <c r="B690" s="2" t="s">
        <v>435</v>
      </c>
      <c r="C690" s="2">
        <v>1</v>
      </c>
      <c r="D690" s="2" t="s">
        <v>2289</v>
      </c>
      <c r="E690" s="29" t="e">
        <f>일위대가목록!#REF!</f>
        <v>#REF!</v>
      </c>
      <c r="F690" s="29" t="e">
        <f t="shared" si="76"/>
        <v>#REF!</v>
      </c>
      <c r="G690" s="29" t="e">
        <f>일위대가목록!#REF!</f>
        <v>#REF!</v>
      </c>
      <c r="H690" s="29" t="e">
        <f t="shared" si="77"/>
        <v>#REF!</v>
      </c>
      <c r="I690" s="29" t="e">
        <f>일위대가목록!#REF!</f>
        <v>#REF!</v>
      </c>
      <c r="J690" s="29" t="e">
        <f t="shared" si="78"/>
        <v>#REF!</v>
      </c>
      <c r="K690" s="29" t="e">
        <f t="shared" si="75"/>
        <v>#REF!</v>
      </c>
      <c r="L690" s="29" t="e">
        <f t="shared" si="74"/>
        <v>#REF!</v>
      </c>
      <c r="M690" s="20" t="s">
        <v>6232</v>
      </c>
      <c r="N690" t="s">
        <v>6232</v>
      </c>
      <c r="P690" t="s">
        <v>1669</v>
      </c>
      <c r="Q690" t="s">
        <v>6232</v>
      </c>
      <c r="R690" t="s">
        <v>6006</v>
      </c>
      <c r="T690" t="s">
        <v>3860</v>
      </c>
      <c r="BI690" s="52" t="str">
        <f>HYPERLINK("#일위대가목록!A700","S02W10040 →")</f>
        <v>S02W10040 →</v>
      </c>
    </row>
    <row r="691" spans="1:61" ht="18.399999999999999" customHeight="1">
      <c r="A691" s="11" t="s">
        <v>4482</v>
      </c>
      <c r="B691" s="2" t="s">
        <v>5316</v>
      </c>
      <c r="C691" s="2">
        <v>1</v>
      </c>
      <c r="D691" s="2" t="s">
        <v>2289</v>
      </c>
      <c r="E691" s="29" t="e">
        <f>일위대가목록!#REF!</f>
        <v>#REF!</v>
      </c>
      <c r="F691" s="29" t="e">
        <f t="shared" si="76"/>
        <v>#REF!</v>
      </c>
      <c r="G691" s="29" t="e">
        <f>일위대가목록!#REF!</f>
        <v>#REF!</v>
      </c>
      <c r="H691" s="29" t="e">
        <f t="shared" si="77"/>
        <v>#REF!</v>
      </c>
      <c r="I691" s="29" t="e">
        <f>일위대가목록!#REF!</f>
        <v>#REF!</v>
      </c>
      <c r="J691" s="29" t="e">
        <f t="shared" si="78"/>
        <v>#REF!</v>
      </c>
      <c r="K691" s="29" t="e">
        <f t="shared" si="75"/>
        <v>#REF!</v>
      </c>
      <c r="L691" s="29" t="e">
        <f t="shared" si="74"/>
        <v>#REF!</v>
      </c>
      <c r="M691" s="20" t="s">
        <v>6232</v>
      </c>
      <c r="N691" t="s">
        <v>6232</v>
      </c>
      <c r="P691" t="s">
        <v>3205</v>
      </c>
      <c r="Q691" t="s">
        <v>6232</v>
      </c>
      <c r="R691" t="s">
        <v>3418</v>
      </c>
      <c r="T691" t="s">
        <v>3860</v>
      </c>
      <c r="BI691" s="52" t="str">
        <f>HYPERLINK("#일위대가목록!A701","S02W10080YA →")</f>
        <v>S02W10080YA →</v>
      </c>
    </row>
    <row r="692" spans="1:61" ht="18.399999999999999" customHeight="1">
      <c r="A692" s="11" t="s">
        <v>4482</v>
      </c>
      <c r="B692" s="2" t="s">
        <v>2718</v>
      </c>
      <c r="C692" s="2">
        <v>1</v>
      </c>
      <c r="D692" s="2" t="s">
        <v>2289</v>
      </c>
      <c r="E692" s="29" t="e">
        <f>일위대가목록!#REF!</f>
        <v>#REF!</v>
      </c>
      <c r="F692" s="29" t="e">
        <f t="shared" si="76"/>
        <v>#REF!</v>
      </c>
      <c r="G692" s="29" t="e">
        <f>일위대가목록!#REF!</f>
        <v>#REF!</v>
      </c>
      <c r="H692" s="29" t="e">
        <f t="shared" si="77"/>
        <v>#REF!</v>
      </c>
      <c r="I692" s="29" t="e">
        <f>일위대가목록!#REF!</f>
        <v>#REF!</v>
      </c>
      <c r="J692" s="29" t="e">
        <f t="shared" si="78"/>
        <v>#REF!</v>
      </c>
      <c r="K692" s="29" t="e">
        <f t="shared" si="75"/>
        <v>#REF!</v>
      </c>
      <c r="L692" s="29" t="e">
        <f t="shared" si="74"/>
        <v>#REF!</v>
      </c>
      <c r="M692" s="20" t="s">
        <v>6232</v>
      </c>
      <c r="N692" t="s">
        <v>6232</v>
      </c>
      <c r="P692" t="s">
        <v>4747</v>
      </c>
      <c r="Q692" t="s">
        <v>6232</v>
      </c>
      <c r="R692" t="s">
        <v>4601</v>
      </c>
      <c r="T692" t="s">
        <v>3860</v>
      </c>
      <c r="BI692" s="52" t="str">
        <f>HYPERLINK("#일위대가목록!A702","S02W10060YA →")</f>
        <v>S02W10060YA →</v>
      </c>
    </row>
    <row r="693" spans="1:61" ht="18.399999999999999" customHeight="1">
      <c r="A693" s="11" t="s">
        <v>4482</v>
      </c>
      <c r="B693" s="2" t="s">
        <v>435</v>
      </c>
      <c r="C693" s="2">
        <v>1</v>
      </c>
      <c r="D693" s="2" t="s">
        <v>2289</v>
      </c>
      <c r="E693" s="29" t="e">
        <f>일위대가목록!#REF!</f>
        <v>#REF!</v>
      </c>
      <c r="F693" s="29" t="e">
        <f t="shared" si="76"/>
        <v>#REF!</v>
      </c>
      <c r="G693" s="29" t="e">
        <f>일위대가목록!#REF!</f>
        <v>#REF!</v>
      </c>
      <c r="H693" s="29" t="e">
        <f t="shared" si="77"/>
        <v>#REF!</v>
      </c>
      <c r="I693" s="29" t="e">
        <f>일위대가목록!#REF!</f>
        <v>#REF!</v>
      </c>
      <c r="J693" s="29" t="e">
        <f t="shared" si="78"/>
        <v>#REF!</v>
      </c>
      <c r="K693" s="29" t="e">
        <f t="shared" si="75"/>
        <v>#REF!</v>
      </c>
      <c r="L693" s="29" t="e">
        <f t="shared" si="74"/>
        <v>#REF!</v>
      </c>
      <c r="M693" s="20" t="s">
        <v>6232</v>
      </c>
      <c r="N693" t="s">
        <v>6232</v>
      </c>
      <c r="P693" t="s">
        <v>79</v>
      </c>
      <c r="Q693" t="s">
        <v>6232</v>
      </c>
      <c r="R693" t="s">
        <v>1274</v>
      </c>
      <c r="T693" t="s">
        <v>3860</v>
      </c>
      <c r="BI693" s="52" t="str">
        <f>HYPERLINK("#일위대가목록!A703","S02W10040YA →")</f>
        <v>S02W10040YA →</v>
      </c>
    </row>
    <row r="694" spans="1:61" ht="18.399999999999999" customHeight="1">
      <c r="A694" s="11" t="s">
        <v>5376</v>
      </c>
      <c r="B694" s="2" t="s">
        <v>982</v>
      </c>
      <c r="C694" s="2">
        <v>1</v>
      </c>
      <c r="D694" s="2" t="s">
        <v>2289</v>
      </c>
      <c r="E694" s="29" t="e">
        <f>일위대가목록!#REF!</f>
        <v>#REF!</v>
      </c>
      <c r="F694" s="29" t="e">
        <f t="shared" si="76"/>
        <v>#REF!</v>
      </c>
      <c r="G694" s="29" t="e">
        <f>일위대가목록!#REF!</f>
        <v>#REF!</v>
      </c>
      <c r="H694" s="29" t="e">
        <f t="shared" si="77"/>
        <v>#REF!</v>
      </c>
      <c r="I694" s="29" t="e">
        <f>일위대가목록!#REF!</f>
        <v>#REF!</v>
      </c>
      <c r="J694" s="29" t="e">
        <f t="shared" si="78"/>
        <v>#REF!</v>
      </c>
      <c r="K694" s="29" t="e">
        <f t="shared" si="75"/>
        <v>#REF!</v>
      </c>
      <c r="L694" s="29" t="e">
        <f t="shared" si="74"/>
        <v>#REF!</v>
      </c>
      <c r="M694" s="20" t="s">
        <v>6232</v>
      </c>
      <c r="N694" t="s">
        <v>6232</v>
      </c>
      <c r="P694" t="s">
        <v>1588</v>
      </c>
      <c r="Q694" t="s">
        <v>6232</v>
      </c>
      <c r="R694" t="s">
        <v>3991</v>
      </c>
      <c r="T694" t="s">
        <v>3860</v>
      </c>
      <c r="BI694" s="52" t="str">
        <f>HYPERLINK("#일위대가목록!A704","S02W08080 →")</f>
        <v>S02W08080 →</v>
      </c>
    </row>
    <row r="695" spans="1:61" ht="18.399999999999999" customHeight="1">
      <c r="A695" s="11" t="s">
        <v>5376</v>
      </c>
      <c r="B695" s="2" t="s">
        <v>3154</v>
      </c>
      <c r="C695" s="2">
        <v>1</v>
      </c>
      <c r="D695" s="2" t="s">
        <v>2289</v>
      </c>
      <c r="E695" s="29" t="e">
        <f>일위대가목록!#REF!</f>
        <v>#REF!</v>
      </c>
      <c r="F695" s="29" t="e">
        <f t="shared" si="76"/>
        <v>#REF!</v>
      </c>
      <c r="G695" s="29" t="e">
        <f>일위대가목록!#REF!</f>
        <v>#REF!</v>
      </c>
      <c r="H695" s="29" t="e">
        <f t="shared" si="77"/>
        <v>#REF!</v>
      </c>
      <c r="I695" s="29" t="e">
        <f>일위대가목록!#REF!</f>
        <v>#REF!</v>
      </c>
      <c r="J695" s="29" t="e">
        <f t="shared" si="78"/>
        <v>#REF!</v>
      </c>
      <c r="K695" s="29" t="e">
        <f t="shared" si="75"/>
        <v>#REF!</v>
      </c>
      <c r="L695" s="29" t="e">
        <f t="shared" si="74"/>
        <v>#REF!</v>
      </c>
      <c r="M695" s="20" t="s">
        <v>6232</v>
      </c>
      <c r="N695" t="s">
        <v>6232</v>
      </c>
      <c r="P695" t="s">
        <v>3118</v>
      </c>
      <c r="Q695" t="s">
        <v>6232</v>
      </c>
      <c r="R695" t="s">
        <v>1009</v>
      </c>
      <c r="T695" t="s">
        <v>3860</v>
      </c>
      <c r="BI695" s="52" t="str">
        <f>HYPERLINK("#일위대가목록!A705","S02W08060 →")</f>
        <v>S02W08060 →</v>
      </c>
    </row>
    <row r="696" spans="1:61" ht="18.399999999999999" customHeight="1">
      <c r="A696" s="11" t="s">
        <v>5376</v>
      </c>
      <c r="B696" s="2" t="s">
        <v>5437</v>
      </c>
      <c r="C696" s="2">
        <v>1</v>
      </c>
      <c r="D696" s="2" t="s">
        <v>2289</v>
      </c>
      <c r="E696" s="29" t="e">
        <f>일위대가목록!#REF!</f>
        <v>#REF!</v>
      </c>
      <c r="F696" s="29" t="e">
        <f t="shared" si="76"/>
        <v>#REF!</v>
      </c>
      <c r="G696" s="29" t="e">
        <f>일위대가목록!#REF!</f>
        <v>#REF!</v>
      </c>
      <c r="H696" s="29" t="e">
        <f t="shared" si="77"/>
        <v>#REF!</v>
      </c>
      <c r="I696" s="29" t="e">
        <f>일위대가목록!#REF!</f>
        <v>#REF!</v>
      </c>
      <c r="J696" s="29" t="e">
        <f t="shared" si="78"/>
        <v>#REF!</v>
      </c>
      <c r="K696" s="29" t="e">
        <f t="shared" si="75"/>
        <v>#REF!</v>
      </c>
      <c r="L696" s="29" t="e">
        <f t="shared" si="74"/>
        <v>#REF!</v>
      </c>
      <c r="M696" s="20" t="s">
        <v>6232</v>
      </c>
      <c r="N696" t="s">
        <v>6232</v>
      </c>
      <c r="P696" t="s">
        <v>4668</v>
      </c>
      <c r="Q696" t="s">
        <v>6232</v>
      </c>
      <c r="R696" t="s">
        <v>4084</v>
      </c>
      <c r="T696" t="s">
        <v>3860</v>
      </c>
      <c r="BI696" s="52" t="str">
        <f>HYPERLINK("#일위대가목록!A706","S02W08040 →")</f>
        <v>S02W08040 →</v>
      </c>
    </row>
    <row r="697" spans="1:61" ht="18.399999999999999" customHeight="1">
      <c r="A697" s="11" t="s">
        <v>4482</v>
      </c>
      <c r="B697" s="2" t="s">
        <v>982</v>
      </c>
      <c r="C697" s="2">
        <v>1</v>
      </c>
      <c r="D697" s="2" t="s">
        <v>2289</v>
      </c>
      <c r="E697" s="29" t="e">
        <f>일위대가목록!#REF!</f>
        <v>#REF!</v>
      </c>
      <c r="F697" s="29" t="e">
        <f t="shared" si="76"/>
        <v>#REF!</v>
      </c>
      <c r="G697" s="29" t="e">
        <f>일위대가목록!#REF!</f>
        <v>#REF!</v>
      </c>
      <c r="H697" s="29" t="e">
        <f t="shared" si="77"/>
        <v>#REF!</v>
      </c>
      <c r="I697" s="29" t="e">
        <f>일위대가목록!#REF!</f>
        <v>#REF!</v>
      </c>
      <c r="J697" s="29" t="e">
        <f t="shared" si="78"/>
        <v>#REF!</v>
      </c>
      <c r="K697" s="29" t="e">
        <f t="shared" si="75"/>
        <v>#REF!</v>
      </c>
      <c r="L697" s="29" t="e">
        <f t="shared" si="74"/>
        <v>#REF!</v>
      </c>
      <c r="M697" s="20" t="s">
        <v>6232</v>
      </c>
      <c r="N697" t="s">
        <v>6232</v>
      </c>
      <c r="P697" t="s">
        <v>363</v>
      </c>
      <c r="Q697" t="s">
        <v>6232</v>
      </c>
      <c r="R697" t="s">
        <v>2016</v>
      </c>
      <c r="T697" t="s">
        <v>3860</v>
      </c>
      <c r="BI697" s="52" t="str">
        <f>HYPERLINK("#일위대가목록!A707","S02W08080YA →")</f>
        <v>S02W08080YA →</v>
      </c>
    </row>
    <row r="698" spans="1:61" ht="18.399999999999999" customHeight="1">
      <c r="A698" s="11" t="s">
        <v>4482</v>
      </c>
      <c r="B698" s="2" t="s">
        <v>3154</v>
      </c>
      <c r="C698" s="2">
        <v>1</v>
      </c>
      <c r="D698" s="2" t="s">
        <v>2289</v>
      </c>
      <c r="E698" s="29" t="e">
        <f>일위대가목록!#REF!</f>
        <v>#REF!</v>
      </c>
      <c r="F698" s="29" t="e">
        <f t="shared" si="76"/>
        <v>#REF!</v>
      </c>
      <c r="G698" s="29" t="e">
        <f>일위대가목록!#REF!</f>
        <v>#REF!</v>
      </c>
      <c r="H698" s="29" t="e">
        <f t="shared" si="77"/>
        <v>#REF!</v>
      </c>
      <c r="I698" s="29" t="e">
        <f>일위대가목록!#REF!</f>
        <v>#REF!</v>
      </c>
      <c r="J698" s="29" t="e">
        <f t="shared" si="78"/>
        <v>#REF!</v>
      </c>
      <c r="K698" s="29" t="e">
        <f t="shared" si="75"/>
        <v>#REF!</v>
      </c>
      <c r="L698" s="29" t="e">
        <f t="shared" si="74"/>
        <v>#REF!</v>
      </c>
      <c r="M698" s="20" t="s">
        <v>6232</v>
      </c>
      <c r="N698" t="s">
        <v>6232</v>
      </c>
      <c r="P698" t="s">
        <v>1877</v>
      </c>
      <c r="Q698" t="s">
        <v>6232</v>
      </c>
      <c r="R698" t="s">
        <v>2492</v>
      </c>
      <c r="T698" t="s">
        <v>3860</v>
      </c>
      <c r="BI698" s="52" t="str">
        <f>HYPERLINK("#일위대가목록!A708","S02W08060YA →")</f>
        <v>S02W08060YA →</v>
      </c>
    </row>
    <row r="699" spans="1:61" ht="18.399999999999999" customHeight="1">
      <c r="A699" s="11" t="s">
        <v>4482</v>
      </c>
      <c r="B699" s="2" t="s">
        <v>5437</v>
      </c>
      <c r="C699" s="2">
        <v>1</v>
      </c>
      <c r="D699" s="2" t="s">
        <v>2289</v>
      </c>
      <c r="E699" s="29" t="e">
        <f>일위대가목록!#REF!</f>
        <v>#REF!</v>
      </c>
      <c r="F699" s="29" t="e">
        <f t="shared" si="76"/>
        <v>#REF!</v>
      </c>
      <c r="G699" s="29" t="e">
        <f>일위대가목록!#REF!</f>
        <v>#REF!</v>
      </c>
      <c r="H699" s="29" t="e">
        <f t="shared" si="77"/>
        <v>#REF!</v>
      </c>
      <c r="I699" s="29" t="e">
        <f>일위대가목록!#REF!</f>
        <v>#REF!</v>
      </c>
      <c r="J699" s="29" t="e">
        <f t="shared" si="78"/>
        <v>#REF!</v>
      </c>
      <c r="K699" s="29" t="e">
        <f t="shared" si="75"/>
        <v>#REF!</v>
      </c>
      <c r="L699" s="29" t="e">
        <f t="shared" si="74"/>
        <v>#REF!</v>
      </c>
      <c r="M699" s="20" t="s">
        <v>6232</v>
      </c>
      <c r="N699" t="s">
        <v>6232</v>
      </c>
      <c r="P699" t="s">
        <v>1146</v>
      </c>
      <c r="Q699" t="s">
        <v>6232</v>
      </c>
      <c r="R699" t="s">
        <v>5750</v>
      </c>
      <c r="T699" t="s">
        <v>3860</v>
      </c>
      <c r="BI699" s="52" t="str">
        <f>HYPERLINK("#일위대가목록!A709","S02W08040YA →")</f>
        <v>S02W08040YA →</v>
      </c>
    </row>
    <row r="700" spans="1:61" ht="18.399999999999999" customHeight="1">
      <c r="A700" s="11" t="s">
        <v>5376</v>
      </c>
      <c r="B700" s="2" t="s">
        <v>143</v>
      </c>
      <c r="C700" s="2">
        <v>1</v>
      </c>
      <c r="D700" s="2" t="s">
        <v>2289</v>
      </c>
      <c r="E700" s="29" t="e">
        <f>일위대가목록!#REF!</f>
        <v>#REF!</v>
      </c>
      <c r="F700" s="29" t="e">
        <f t="shared" ref="F700:F731" si="79">TRUNC(E700*C700,0)</f>
        <v>#REF!</v>
      </c>
      <c r="G700" s="29" t="e">
        <f>일위대가목록!#REF!</f>
        <v>#REF!</v>
      </c>
      <c r="H700" s="29" t="e">
        <f t="shared" ref="H700:H731" si="80">TRUNC(G700*C700,0)</f>
        <v>#REF!</v>
      </c>
      <c r="I700" s="29" t="e">
        <f>일위대가목록!#REF!</f>
        <v>#REF!</v>
      </c>
      <c r="J700" s="29" t="e">
        <f t="shared" ref="J700:J731" si="81">TRUNC(I700*C700,0)</f>
        <v>#REF!</v>
      </c>
      <c r="K700" s="29" t="e">
        <f t="shared" si="75"/>
        <v>#REF!</v>
      </c>
      <c r="L700" s="29" t="e">
        <f t="shared" si="74"/>
        <v>#REF!</v>
      </c>
      <c r="M700" s="20" t="s">
        <v>6232</v>
      </c>
      <c r="N700" t="s">
        <v>6232</v>
      </c>
      <c r="P700" t="s">
        <v>2720</v>
      </c>
      <c r="Q700" t="s">
        <v>6232</v>
      </c>
      <c r="R700" t="s">
        <v>3000</v>
      </c>
      <c r="T700" t="s">
        <v>3860</v>
      </c>
      <c r="BI700" s="52" t="str">
        <f>HYPERLINK("#일위대가목록!A710","S02W06580 →")</f>
        <v>S02W06580 →</v>
      </c>
    </row>
    <row r="701" spans="1:61" ht="18.399999999999999" customHeight="1">
      <c r="A701" s="11" t="s">
        <v>5376</v>
      </c>
      <c r="B701" s="2" t="s">
        <v>4212</v>
      </c>
      <c r="C701" s="2">
        <v>1</v>
      </c>
      <c r="D701" s="2" t="s">
        <v>2289</v>
      </c>
      <c r="E701" s="29" t="e">
        <f>일위대가목록!#REF!</f>
        <v>#REF!</v>
      </c>
      <c r="F701" s="29" t="e">
        <f t="shared" si="79"/>
        <v>#REF!</v>
      </c>
      <c r="G701" s="29" t="e">
        <f>일위대가목록!#REF!</f>
        <v>#REF!</v>
      </c>
      <c r="H701" s="29" t="e">
        <f t="shared" si="80"/>
        <v>#REF!</v>
      </c>
      <c r="I701" s="29" t="e">
        <f>일위대가목록!#REF!</f>
        <v>#REF!</v>
      </c>
      <c r="J701" s="29" t="e">
        <f t="shared" si="81"/>
        <v>#REF!</v>
      </c>
      <c r="K701" s="29" t="e">
        <f t="shared" si="75"/>
        <v>#REF!</v>
      </c>
      <c r="L701" s="29" t="e">
        <f t="shared" si="74"/>
        <v>#REF!</v>
      </c>
      <c r="M701" s="20" t="s">
        <v>6232</v>
      </c>
      <c r="N701" t="s">
        <v>6232</v>
      </c>
      <c r="P701" t="s">
        <v>4339</v>
      </c>
      <c r="Q701" t="s">
        <v>6232</v>
      </c>
      <c r="R701" t="s">
        <v>5890</v>
      </c>
      <c r="T701" t="s">
        <v>3860</v>
      </c>
      <c r="BI701" s="52" t="str">
        <f>HYPERLINK("#일위대가목록!A711","S02W06560 →")</f>
        <v>S02W06560 →</v>
      </c>
    </row>
    <row r="702" spans="1:61" ht="18.399999999999999" customHeight="1">
      <c r="A702" s="11" t="s">
        <v>5376</v>
      </c>
      <c r="B702" s="2" t="s">
        <v>5003</v>
      </c>
      <c r="C702" s="2">
        <v>1</v>
      </c>
      <c r="D702" s="2" t="s">
        <v>2289</v>
      </c>
      <c r="E702" s="29" t="e">
        <f>일위대가목록!#REF!</f>
        <v>#REF!</v>
      </c>
      <c r="F702" s="29" t="e">
        <f t="shared" si="79"/>
        <v>#REF!</v>
      </c>
      <c r="G702" s="29" t="e">
        <f>일위대가목록!#REF!</f>
        <v>#REF!</v>
      </c>
      <c r="H702" s="29" t="e">
        <f t="shared" si="80"/>
        <v>#REF!</v>
      </c>
      <c r="I702" s="29" t="e">
        <f>일위대가목록!#REF!</f>
        <v>#REF!</v>
      </c>
      <c r="J702" s="29" t="e">
        <f t="shared" si="81"/>
        <v>#REF!</v>
      </c>
      <c r="K702" s="29" t="e">
        <f t="shared" si="75"/>
        <v>#REF!</v>
      </c>
      <c r="L702" s="29" t="e">
        <f t="shared" si="74"/>
        <v>#REF!</v>
      </c>
      <c r="M702" s="20" t="s">
        <v>6232</v>
      </c>
      <c r="N702" t="s">
        <v>6232</v>
      </c>
      <c r="P702" t="s">
        <v>5907</v>
      </c>
      <c r="Q702" t="s">
        <v>6232</v>
      </c>
      <c r="R702" t="s">
        <v>2712</v>
      </c>
      <c r="T702" t="s">
        <v>3860</v>
      </c>
      <c r="BI702" s="52" t="str">
        <f>HYPERLINK("#일위대가목록!A712","S02W06540 →")</f>
        <v>S02W06540 →</v>
      </c>
    </row>
    <row r="703" spans="1:61" ht="18.399999999999999" customHeight="1">
      <c r="A703" s="11" t="s">
        <v>4482</v>
      </c>
      <c r="B703" s="2" t="s">
        <v>143</v>
      </c>
      <c r="C703" s="2">
        <v>1</v>
      </c>
      <c r="D703" s="2" t="s">
        <v>2289</v>
      </c>
      <c r="E703" s="29" t="e">
        <f>일위대가목록!#REF!</f>
        <v>#REF!</v>
      </c>
      <c r="F703" s="29" t="e">
        <f t="shared" si="79"/>
        <v>#REF!</v>
      </c>
      <c r="G703" s="29" t="e">
        <f>일위대가목록!#REF!</f>
        <v>#REF!</v>
      </c>
      <c r="H703" s="29" t="e">
        <f t="shared" si="80"/>
        <v>#REF!</v>
      </c>
      <c r="I703" s="29" t="e">
        <f>일위대가목록!#REF!</f>
        <v>#REF!</v>
      </c>
      <c r="J703" s="29" t="e">
        <f t="shared" si="81"/>
        <v>#REF!</v>
      </c>
      <c r="K703" s="29" t="e">
        <f t="shared" si="75"/>
        <v>#REF!</v>
      </c>
      <c r="L703" s="29" t="e">
        <f t="shared" si="74"/>
        <v>#REF!</v>
      </c>
      <c r="M703" s="20" t="s">
        <v>6232</v>
      </c>
      <c r="N703" t="s">
        <v>6232</v>
      </c>
      <c r="P703" t="s">
        <v>1266</v>
      </c>
      <c r="Q703" t="s">
        <v>6232</v>
      </c>
      <c r="R703" t="s">
        <v>2027</v>
      </c>
      <c r="T703" t="s">
        <v>3860</v>
      </c>
      <c r="BI703" s="52" t="str">
        <f>HYPERLINK("#일위대가목록!A713","S02W06580YA →")</f>
        <v>S02W06580YA →</v>
      </c>
    </row>
    <row r="704" spans="1:61" ht="18.399999999999999" customHeight="1">
      <c r="A704" s="11" t="s">
        <v>4482</v>
      </c>
      <c r="B704" s="2" t="s">
        <v>4212</v>
      </c>
      <c r="C704" s="2">
        <v>1</v>
      </c>
      <c r="D704" s="2" t="s">
        <v>2289</v>
      </c>
      <c r="E704" s="29" t="e">
        <f>일위대가목록!#REF!</f>
        <v>#REF!</v>
      </c>
      <c r="F704" s="29" t="e">
        <f t="shared" si="79"/>
        <v>#REF!</v>
      </c>
      <c r="G704" s="29" t="e">
        <f>일위대가목록!#REF!</f>
        <v>#REF!</v>
      </c>
      <c r="H704" s="29" t="e">
        <f t="shared" si="80"/>
        <v>#REF!</v>
      </c>
      <c r="I704" s="29" t="e">
        <f>일위대가목록!#REF!</f>
        <v>#REF!</v>
      </c>
      <c r="J704" s="29" t="e">
        <f t="shared" si="81"/>
        <v>#REF!</v>
      </c>
      <c r="K704" s="29" t="e">
        <f t="shared" si="75"/>
        <v>#REF!</v>
      </c>
      <c r="L704" s="29" t="e">
        <f t="shared" si="74"/>
        <v>#REF!</v>
      </c>
      <c r="M704" s="20" t="s">
        <v>6232</v>
      </c>
      <c r="N704" t="s">
        <v>6232</v>
      </c>
      <c r="P704" t="s">
        <v>2830</v>
      </c>
      <c r="Q704" t="s">
        <v>6232</v>
      </c>
      <c r="R704" t="s">
        <v>2503</v>
      </c>
      <c r="T704" t="s">
        <v>3860</v>
      </c>
      <c r="BI704" s="52" t="str">
        <f>HYPERLINK("#일위대가목록!A714","S02W06560YA →")</f>
        <v>S02W06560YA →</v>
      </c>
    </row>
    <row r="705" spans="1:61" ht="18.399999999999999" customHeight="1">
      <c r="A705" s="11" t="s">
        <v>4482</v>
      </c>
      <c r="B705" s="2" t="s">
        <v>5003</v>
      </c>
      <c r="C705" s="2">
        <v>1</v>
      </c>
      <c r="D705" s="2" t="s">
        <v>2289</v>
      </c>
      <c r="E705" s="29" t="e">
        <f>일위대가목록!#REF!</f>
        <v>#REF!</v>
      </c>
      <c r="F705" s="29" t="e">
        <f t="shared" si="79"/>
        <v>#REF!</v>
      </c>
      <c r="G705" s="29" t="e">
        <f>일위대가목록!#REF!</f>
        <v>#REF!</v>
      </c>
      <c r="H705" s="29" t="e">
        <f t="shared" si="80"/>
        <v>#REF!</v>
      </c>
      <c r="I705" s="29" t="e">
        <f>일위대가목록!#REF!</f>
        <v>#REF!</v>
      </c>
      <c r="J705" s="29" t="e">
        <f t="shared" si="81"/>
        <v>#REF!</v>
      </c>
      <c r="K705" s="29" t="e">
        <f t="shared" si="75"/>
        <v>#REF!</v>
      </c>
      <c r="L705" s="29" t="e">
        <f t="shared" si="74"/>
        <v>#REF!</v>
      </c>
      <c r="M705" s="20" t="s">
        <v>6232</v>
      </c>
      <c r="N705" t="s">
        <v>6232</v>
      </c>
      <c r="P705" t="s">
        <v>4417</v>
      </c>
      <c r="Q705" t="s">
        <v>6232</v>
      </c>
      <c r="R705" t="s">
        <v>5728</v>
      </c>
      <c r="T705" t="s">
        <v>3860</v>
      </c>
      <c r="BI705" s="52" t="str">
        <f>HYPERLINK("#일위대가목록!A715","S02W06540YA →")</f>
        <v>S02W06540YA →</v>
      </c>
    </row>
    <row r="706" spans="1:61" ht="18.399999999999999" customHeight="1">
      <c r="A706" s="11" t="s">
        <v>5376</v>
      </c>
      <c r="B706" s="2" t="s">
        <v>5782</v>
      </c>
      <c r="C706" s="2">
        <v>1</v>
      </c>
      <c r="D706" s="2" t="s">
        <v>2289</v>
      </c>
      <c r="E706" s="29" t="e">
        <f>일위대가목록!#REF!</f>
        <v>#REF!</v>
      </c>
      <c r="F706" s="29" t="e">
        <f t="shared" si="79"/>
        <v>#REF!</v>
      </c>
      <c r="G706" s="29" t="e">
        <f>일위대가목록!#REF!</f>
        <v>#REF!</v>
      </c>
      <c r="H706" s="29" t="e">
        <f t="shared" si="80"/>
        <v>#REF!</v>
      </c>
      <c r="I706" s="29" t="e">
        <f>일위대가목록!#REF!</f>
        <v>#REF!</v>
      </c>
      <c r="J706" s="29" t="e">
        <f t="shared" si="81"/>
        <v>#REF!</v>
      </c>
      <c r="K706" s="29" t="e">
        <f t="shared" si="75"/>
        <v>#REF!</v>
      </c>
      <c r="L706" s="29" t="e">
        <f t="shared" si="74"/>
        <v>#REF!</v>
      </c>
      <c r="M706" s="20" t="s">
        <v>6232</v>
      </c>
      <c r="N706" t="s">
        <v>6232</v>
      </c>
      <c r="P706" t="s">
        <v>6015</v>
      </c>
      <c r="Q706" t="s">
        <v>6232</v>
      </c>
      <c r="R706" t="s">
        <v>2920</v>
      </c>
      <c r="T706" t="s">
        <v>3860</v>
      </c>
      <c r="BI706" s="52" t="str">
        <f>HYPERLINK("#일위대가목록!A716","S02W05080 →")</f>
        <v>S02W05080 →</v>
      </c>
    </row>
    <row r="707" spans="1:61" ht="18.399999999999999" customHeight="1">
      <c r="A707" s="11" t="s">
        <v>5376</v>
      </c>
      <c r="B707" s="2" t="s">
        <v>1656</v>
      </c>
      <c r="C707" s="2">
        <v>1</v>
      </c>
      <c r="D707" s="2" t="s">
        <v>2289</v>
      </c>
      <c r="E707" s="29" t="e">
        <f>일위대가목록!#REF!</f>
        <v>#REF!</v>
      </c>
      <c r="F707" s="29" t="e">
        <f t="shared" si="79"/>
        <v>#REF!</v>
      </c>
      <c r="G707" s="29" t="e">
        <f>일위대가목록!#REF!</f>
        <v>#REF!</v>
      </c>
      <c r="H707" s="29" t="e">
        <f t="shared" si="80"/>
        <v>#REF!</v>
      </c>
      <c r="I707" s="29" t="e">
        <f>일위대가목록!#REF!</f>
        <v>#REF!</v>
      </c>
      <c r="J707" s="29" t="e">
        <f t="shared" si="81"/>
        <v>#REF!</v>
      </c>
      <c r="K707" s="29" t="e">
        <f t="shared" si="75"/>
        <v>#REF!</v>
      </c>
      <c r="L707" s="29" t="e">
        <f t="shared" si="74"/>
        <v>#REF!</v>
      </c>
      <c r="M707" s="20" t="s">
        <v>6232</v>
      </c>
      <c r="N707" t="s">
        <v>6232</v>
      </c>
      <c r="P707" t="s">
        <v>1347</v>
      </c>
      <c r="Q707" t="s">
        <v>6232</v>
      </c>
      <c r="R707" t="s">
        <v>6021</v>
      </c>
      <c r="T707" t="s">
        <v>3860</v>
      </c>
      <c r="BI707" s="52" t="str">
        <f>HYPERLINK("#일위대가목록!A717","S02W05060 →")</f>
        <v>S02W05060 →</v>
      </c>
    </row>
    <row r="708" spans="1:61" ht="18.399999999999999" customHeight="1">
      <c r="A708" s="11" t="s">
        <v>5376</v>
      </c>
      <c r="B708" s="2" t="s">
        <v>941</v>
      </c>
      <c r="C708" s="2">
        <v>1</v>
      </c>
      <c r="D708" s="2" t="s">
        <v>2289</v>
      </c>
      <c r="E708" s="29" t="e">
        <f>일위대가목록!#REF!</f>
        <v>#REF!</v>
      </c>
      <c r="F708" s="29" t="e">
        <f t="shared" si="79"/>
        <v>#REF!</v>
      </c>
      <c r="G708" s="29" t="e">
        <f>일위대가목록!#REF!</f>
        <v>#REF!</v>
      </c>
      <c r="H708" s="29" t="e">
        <f t="shared" si="80"/>
        <v>#REF!</v>
      </c>
      <c r="I708" s="29" t="e">
        <f>일위대가목록!#REF!</f>
        <v>#REF!</v>
      </c>
      <c r="J708" s="29" t="e">
        <f t="shared" si="81"/>
        <v>#REF!</v>
      </c>
      <c r="K708" s="29" t="e">
        <f t="shared" si="75"/>
        <v>#REF!</v>
      </c>
      <c r="L708" s="29" t="e">
        <f t="shared" si="74"/>
        <v>#REF!</v>
      </c>
      <c r="M708" s="20" t="s">
        <v>6232</v>
      </c>
      <c r="N708" t="s">
        <v>6232</v>
      </c>
      <c r="P708" t="s">
        <v>2923</v>
      </c>
      <c r="Q708" t="s">
        <v>6232</v>
      </c>
      <c r="R708" t="s">
        <v>2829</v>
      </c>
      <c r="T708" t="s">
        <v>3860</v>
      </c>
      <c r="BI708" s="52" t="str">
        <f>HYPERLINK("#일위대가목록!A718","S02W05040 →")</f>
        <v>S02W05040 →</v>
      </c>
    </row>
    <row r="709" spans="1:61" ht="18.399999999999999" customHeight="1">
      <c r="A709" s="11" t="s">
        <v>4482</v>
      </c>
      <c r="B709" s="2" t="s">
        <v>5782</v>
      </c>
      <c r="C709" s="2">
        <v>1</v>
      </c>
      <c r="D709" s="2" t="s">
        <v>2289</v>
      </c>
      <c r="E709" s="29" t="e">
        <f>일위대가목록!#REF!</f>
        <v>#REF!</v>
      </c>
      <c r="F709" s="29" t="e">
        <f t="shared" si="79"/>
        <v>#REF!</v>
      </c>
      <c r="G709" s="29" t="e">
        <f>일위대가목록!#REF!</f>
        <v>#REF!</v>
      </c>
      <c r="H709" s="29" t="e">
        <f t="shared" si="80"/>
        <v>#REF!</v>
      </c>
      <c r="I709" s="29" t="e">
        <f>일위대가목록!#REF!</f>
        <v>#REF!</v>
      </c>
      <c r="J709" s="29" t="e">
        <f t="shared" si="81"/>
        <v>#REF!</v>
      </c>
      <c r="K709" s="29" t="e">
        <f t="shared" si="75"/>
        <v>#REF!</v>
      </c>
      <c r="L709" s="29" t="e">
        <f t="shared" si="74"/>
        <v>#REF!</v>
      </c>
      <c r="M709" s="20" t="s">
        <v>6232</v>
      </c>
      <c r="N709" t="s">
        <v>6232</v>
      </c>
      <c r="P709" t="s">
        <v>2545</v>
      </c>
      <c r="Q709" t="s">
        <v>6232</v>
      </c>
      <c r="R709" t="s">
        <v>3341</v>
      </c>
      <c r="T709" t="s">
        <v>3860</v>
      </c>
      <c r="BI709" s="52" t="str">
        <f>HYPERLINK("#일위대가목록!A719","S02W05080YA →")</f>
        <v>S02W05080YA →</v>
      </c>
    </row>
    <row r="710" spans="1:61" ht="18.399999999999999" customHeight="1">
      <c r="A710" s="11" t="s">
        <v>4482</v>
      </c>
      <c r="B710" s="2" t="s">
        <v>1656</v>
      </c>
      <c r="C710" s="2">
        <v>1</v>
      </c>
      <c r="D710" s="2" t="s">
        <v>2289</v>
      </c>
      <c r="E710" s="29" t="e">
        <f>일위대가목록!#REF!</f>
        <v>#REF!</v>
      </c>
      <c r="F710" s="29" t="e">
        <f t="shared" si="79"/>
        <v>#REF!</v>
      </c>
      <c r="G710" s="29" t="e">
        <f>일위대가목록!#REF!</f>
        <v>#REF!</v>
      </c>
      <c r="H710" s="29" t="e">
        <f t="shared" si="80"/>
        <v>#REF!</v>
      </c>
      <c r="I710" s="29" t="e">
        <f>일위대가목록!#REF!</f>
        <v>#REF!</v>
      </c>
      <c r="J710" s="29" t="e">
        <f t="shared" si="81"/>
        <v>#REF!</v>
      </c>
      <c r="K710" s="29" t="e">
        <f t="shared" si="75"/>
        <v>#REF!</v>
      </c>
      <c r="L710" s="29" t="e">
        <f t="shared" si="74"/>
        <v>#REF!</v>
      </c>
      <c r="M710" s="20" t="s">
        <v>6232</v>
      </c>
      <c r="N710" t="s">
        <v>6232</v>
      </c>
      <c r="P710" t="s">
        <v>979</v>
      </c>
      <c r="Q710" t="s">
        <v>6232</v>
      </c>
      <c r="R710" t="s">
        <v>4481</v>
      </c>
      <c r="T710" t="s">
        <v>3860</v>
      </c>
      <c r="BI710" s="52" t="str">
        <f>HYPERLINK("#일위대가목록!A720","S02W05060YA →")</f>
        <v>S02W05060YA →</v>
      </c>
    </row>
    <row r="711" spans="1:61" ht="18.399999999999999" customHeight="1">
      <c r="A711" s="11" t="s">
        <v>4482</v>
      </c>
      <c r="B711" s="2" t="s">
        <v>941</v>
      </c>
      <c r="C711" s="2">
        <v>1</v>
      </c>
      <c r="D711" s="2" t="s">
        <v>2289</v>
      </c>
      <c r="E711" s="29" t="e">
        <f>일위대가목록!#REF!</f>
        <v>#REF!</v>
      </c>
      <c r="F711" s="29" t="e">
        <f t="shared" si="79"/>
        <v>#REF!</v>
      </c>
      <c r="G711" s="29" t="e">
        <f>일위대가목록!#REF!</f>
        <v>#REF!</v>
      </c>
      <c r="H711" s="29" t="e">
        <f t="shared" si="80"/>
        <v>#REF!</v>
      </c>
      <c r="I711" s="29" t="e">
        <f>일위대가목록!#REF!</f>
        <v>#REF!</v>
      </c>
      <c r="J711" s="29" t="e">
        <f t="shared" si="81"/>
        <v>#REF!</v>
      </c>
      <c r="K711" s="29" t="e">
        <f t="shared" si="75"/>
        <v>#REF!</v>
      </c>
      <c r="L711" s="29" t="e">
        <f t="shared" si="74"/>
        <v>#REF!</v>
      </c>
      <c r="M711" s="20" t="s">
        <v>6232</v>
      </c>
      <c r="N711" t="s">
        <v>6232</v>
      </c>
      <c r="P711" t="s">
        <v>5723</v>
      </c>
      <c r="Q711" t="s">
        <v>6232</v>
      </c>
      <c r="R711" t="s">
        <v>1222</v>
      </c>
      <c r="T711" t="s">
        <v>3860</v>
      </c>
      <c r="BI711" s="52" t="str">
        <f>HYPERLINK("#일위대가목록!A721","S02W05040YA →")</f>
        <v>S02W05040YA →</v>
      </c>
    </row>
    <row r="712" spans="1:61" ht="18.399999999999999" customHeight="1">
      <c r="A712" s="11" t="s">
        <v>5376</v>
      </c>
      <c r="B712" s="2" t="s">
        <v>4875</v>
      </c>
      <c r="C712" s="2">
        <v>1</v>
      </c>
      <c r="D712" s="2" t="s">
        <v>2289</v>
      </c>
      <c r="E712" s="29" t="e">
        <f>일위대가목록!#REF!</f>
        <v>#REF!</v>
      </c>
      <c r="F712" s="29" t="e">
        <f t="shared" si="79"/>
        <v>#REF!</v>
      </c>
      <c r="G712" s="29" t="e">
        <f>일위대가목록!#REF!</f>
        <v>#REF!</v>
      </c>
      <c r="H712" s="29" t="e">
        <f t="shared" si="80"/>
        <v>#REF!</v>
      </c>
      <c r="I712" s="29" t="e">
        <f>일위대가목록!#REF!</f>
        <v>#REF!</v>
      </c>
      <c r="J712" s="29" t="e">
        <f t="shared" si="81"/>
        <v>#REF!</v>
      </c>
      <c r="K712" s="29" t="e">
        <f t="shared" si="75"/>
        <v>#REF!</v>
      </c>
      <c r="L712" s="29" t="e">
        <f t="shared" si="74"/>
        <v>#REF!</v>
      </c>
      <c r="M712" s="20" t="s">
        <v>6232</v>
      </c>
      <c r="N712" t="s">
        <v>6232</v>
      </c>
      <c r="P712" t="s">
        <v>4156</v>
      </c>
      <c r="Q712" t="s">
        <v>6232</v>
      </c>
      <c r="R712" t="s">
        <v>695</v>
      </c>
      <c r="T712" t="s">
        <v>3860</v>
      </c>
      <c r="BI712" s="52" t="str">
        <f>HYPERLINK("#일위대가목록!A722","S02W04080 →")</f>
        <v>S02W04080 →</v>
      </c>
    </row>
    <row r="713" spans="1:61" ht="18.399999999999999" customHeight="1">
      <c r="A713" s="11" t="s">
        <v>5376</v>
      </c>
      <c r="B713" s="2" t="s">
        <v>2376</v>
      </c>
      <c r="C713" s="2">
        <v>1</v>
      </c>
      <c r="D713" s="2" t="s">
        <v>2289</v>
      </c>
      <c r="E713" s="29" t="e">
        <f>일위대가목록!#REF!</f>
        <v>#REF!</v>
      </c>
      <c r="F713" s="29" t="e">
        <f t="shared" si="79"/>
        <v>#REF!</v>
      </c>
      <c r="G713" s="29" t="e">
        <f>일위대가목록!#REF!</f>
        <v>#REF!</v>
      </c>
      <c r="H713" s="29" t="e">
        <f t="shared" si="80"/>
        <v>#REF!</v>
      </c>
      <c r="I713" s="29" t="e">
        <f>일위대가목록!#REF!</f>
        <v>#REF!</v>
      </c>
      <c r="J713" s="29" t="e">
        <f t="shared" si="81"/>
        <v>#REF!</v>
      </c>
      <c r="K713" s="29" t="e">
        <f t="shared" si="75"/>
        <v>#REF!</v>
      </c>
      <c r="L713" s="29" t="e">
        <f t="shared" ref="L713:L776" si="82">F713+H713+J713</f>
        <v>#REF!</v>
      </c>
      <c r="M713" s="20" t="s">
        <v>6232</v>
      </c>
      <c r="N713" t="s">
        <v>6232</v>
      </c>
      <c r="P713" t="s">
        <v>2640</v>
      </c>
      <c r="Q713" t="s">
        <v>6232</v>
      </c>
      <c r="R713" t="s">
        <v>3537</v>
      </c>
      <c r="T713" t="s">
        <v>3860</v>
      </c>
      <c r="BI713" s="52" t="str">
        <f>HYPERLINK("#일위대가목록!A723","S02W04060 →")</f>
        <v>S02W04060 →</v>
      </c>
    </row>
    <row r="714" spans="1:61" ht="18.399999999999999" customHeight="1">
      <c r="A714" s="11" t="s">
        <v>5376</v>
      </c>
      <c r="B714" s="2" t="s">
        <v>42</v>
      </c>
      <c r="C714" s="2">
        <v>1</v>
      </c>
      <c r="D714" s="2" t="s">
        <v>2289</v>
      </c>
      <c r="E714" s="29" t="e">
        <f>일위대가목록!#REF!</f>
        <v>#REF!</v>
      </c>
      <c r="F714" s="29" t="e">
        <f t="shared" si="79"/>
        <v>#REF!</v>
      </c>
      <c r="G714" s="29" t="e">
        <f>일위대가목록!#REF!</f>
        <v>#REF!</v>
      </c>
      <c r="H714" s="29" t="e">
        <f t="shared" si="80"/>
        <v>#REF!</v>
      </c>
      <c r="I714" s="29" t="e">
        <f>일위대가목록!#REF!</f>
        <v>#REF!</v>
      </c>
      <c r="J714" s="29" t="e">
        <f t="shared" si="81"/>
        <v>#REF!</v>
      </c>
      <c r="K714" s="29" t="e">
        <f t="shared" ref="K714:K777" si="83">E714+G714+I714</f>
        <v>#REF!</v>
      </c>
      <c r="L714" s="29" t="e">
        <f t="shared" si="82"/>
        <v>#REF!</v>
      </c>
      <c r="M714" s="20" t="s">
        <v>6232</v>
      </c>
      <c r="N714" t="s">
        <v>6232</v>
      </c>
      <c r="P714" t="s">
        <v>1061</v>
      </c>
      <c r="Q714" t="s">
        <v>6232</v>
      </c>
      <c r="R714" t="s">
        <v>394</v>
      </c>
      <c r="T714" t="s">
        <v>3860</v>
      </c>
      <c r="BI714" s="52" t="str">
        <f>HYPERLINK("#일위대가목록!A724","S02W04040 →")</f>
        <v>S02W04040 →</v>
      </c>
    </row>
    <row r="715" spans="1:61" ht="18.399999999999999" customHeight="1">
      <c r="A715" s="11" t="s">
        <v>4482</v>
      </c>
      <c r="B715" s="2" t="s">
        <v>4875</v>
      </c>
      <c r="C715" s="2">
        <v>1</v>
      </c>
      <c r="D715" s="2" t="s">
        <v>2289</v>
      </c>
      <c r="E715" s="29" t="e">
        <f>일위대가목록!#REF!</f>
        <v>#REF!</v>
      </c>
      <c r="F715" s="29" t="e">
        <f t="shared" si="79"/>
        <v>#REF!</v>
      </c>
      <c r="G715" s="29" t="e">
        <f>일위대가목록!#REF!</f>
        <v>#REF!</v>
      </c>
      <c r="H715" s="29" t="e">
        <f t="shared" si="80"/>
        <v>#REF!</v>
      </c>
      <c r="I715" s="29" t="e">
        <f>일위대가목록!#REF!</f>
        <v>#REF!</v>
      </c>
      <c r="J715" s="29" t="e">
        <f t="shared" si="81"/>
        <v>#REF!</v>
      </c>
      <c r="K715" s="29" t="e">
        <f t="shared" si="83"/>
        <v>#REF!</v>
      </c>
      <c r="L715" s="29" t="e">
        <f t="shared" si="82"/>
        <v>#REF!</v>
      </c>
      <c r="M715" s="20" t="s">
        <v>6232</v>
      </c>
      <c r="N715" t="s">
        <v>6232</v>
      </c>
      <c r="P715" t="s">
        <v>5807</v>
      </c>
      <c r="Q715" t="s">
        <v>6232</v>
      </c>
      <c r="R715" t="s">
        <v>1130</v>
      </c>
      <c r="T715" t="s">
        <v>3860</v>
      </c>
      <c r="BI715" s="52" t="str">
        <f>HYPERLINK("#일위대가목록!A725","S02W04080YA →")</f>
        <v>S02W04080YA →</v>
      </c>
    </row>
    <row r="716" spans="1:61" ht="18.399999999999999" customHeight="1">
      <c r="A716" s="11" t="s">
        <v>4482</v>
      </c>
      <c r="B716" s="2" t="s">
        <v>2376</v>
      </c>
      <c r="C716" s="2">
        <v>1</v>
      </c>
      <c r="D716" s="2" t="s">
        <v>2289</v>
      </c>
      <c r="E716" s="29" t="e">
        <f>일위대가목록!#REF!</f>
        <v>#REF!</v>
      </c>
      <c r="F716" s="29" t="e">
        <f t="shared" si="79"/>
        <v>#REF!</v>
      </c>
      <c r="G716" s="29" t="e">
        <f>일위대가목록!#REF!</f>
        <v>#REF!</v>
      </c>
      <c r="H716" s="29" t="e">
        <f t="shared" si="80"/>
        <v>#REF!</v>
      </c>
      <c r="I716" s="29" t="e">
        <f>일위대가목록!#REF!</f>
        <v>#REF!</v>
      </c>
      <c r="J716" s="29" t="e">
        <f t="shared" si="81"/>
        <v>#REF!</v>
      </c>
      <c r="K716" s="29" t="e">
        <f t="shared" si="83"/>
        <v>#REF!</v>
      </c>
      <c r="L716" s="29" t="e">
        <f t="shared" si="82"/>
        <v>#REF!</v>
      </c>
      <c r="M716" s="20" t="s">
        <v>6232</v>
      </c>
      <c r="N716" t="s">
        <v>6232</v>
      </c>
      <c r="P716" t="s">
        <v>4228</v>
      </c>
      <c r="Q716" t="s">
        <v>6232</v>
      </c>
      <c r="R716" t="s">
        <v>691</v>
      </c>
      <c r="T716" t="s">
        <v>3860</v>
      </c>
      <c r="BI716" s="52" t="str">
        <f>HYPERLINK("#일위대가목록!A726","S02W04060YA →")</f>
        <v>S02W04060YA →</v>
      </c>
    </row>
    <row r="717" spans="1:61" ht="18.399999999999999" customHeight="1">
      <c r="A717" s="11" t="s">
        <v>4482</v>
      </c>
      <c r="B717" s="2" t="s">
        <v>42</v>
      </c>
      <c r="C717" s="2">
        <v>1</v>
      </c>
      <c r="D717" s="2" t="s">
        <v>2289</v>
      </c>
      <c r="E717" s="29" t="e">
        <f>일위대가목록!#REF!</f>
        <v>#REF!</v>
      </c>
      <c r="F717" s="29" t="e">
        <f t="shared" si="79"/>
        <v>#REF!</v>
      </c>
      <c r="G717" s="29" t="e">
        <f>일위대가목록!#REF!</f>
        <v>#REF!</v>
      </c>
      <c r="H717" s="29" t="e">
        <f t="shared" si="80"/>
        <v>#REF!</v>
      </c>
      <c r="I717" s="29" t="e">
        <f>일위대가목록!#REF!</f>
        <v>#REF!</v>
      </c>
      <c r="J717" s="29" t="e">
        <f t="shared" si="81"/>
        <v>#REF!</v>
      </c>
      <c r="K717" s="29" t="e">
        <f t="shared" si="83"/>
        <v>#REF!</v>
      </c>
      <c r="L717" s="29" t="e">
        <f t="shared" si="82"/>
        <v>#REF!</v>
      </c>
      <c r="M717" s="20" t="s">
        <v>6232</v>
      </c>
      <c r="N717" t="s">
        <v>6232</v>
      </c>
      <c r="P717" t="s">
        <v>2342</v>
      </c>
      <c r="Q717" t="s">
        <v>6232</v>
      </c>
      <c r="R717" t="s">
        <v>3673</v>
      </c>
      <c r="T717" t="s">
        <v>3860</v>
      </c>
      <c r="BI717" s="52" t="str">
        <f>HYPERLINK("#일위대가목록!A727","S02W04040YA →")</f>
        <v>S02W04040YA →</v>
      </c>
    </row>
    <row r="718" spans="1:61" ht="18.399999999999999" customHeight="1">
      <c r="A718" s="11" t="s">
        <v>5376</v>
      </c>
      <c r="B718" s="2" t="s">
        <v>1493</v>
      </c>
      <c r="C718" s="2">
        <v>1</v>
      </c>
      <c r="D718" s="2" t="s">
        <v>2289</v>
      </c>
      <c r="E718" s="29" t="e">
        <f>일위대가목록!#REF!</f>
        <v>#REF!</v>
      </c>
      <c r="F718" s="29" t="e">
        <f t="shared" si="79"/>
        <v>#REF!</v>
      </c>
      <c r="G718" s="29" t="e">
        <f>일위대가목록!#REF!</f>
        <v>#REF!</v>
      </c>
      <c r="H718" s="29" t="e">
        <f t="shared" si="80"/>
        <v>#REF!</v>
      </c>
      <c r="I718" s="29" t="e">
        <f>일위대가목록!#REF!</f>
        <v>#REF!</v>
      </c>
      <c r="J718" s="29" t="e">
        <f t="shared" si="81"/>
        <v>#REF!</v>
      </c>
      <c r="K718" s="29" t="e">
        <f t="shared" si="83"/>
        <v>#REF!</v>
      </c>
      <c r="L718" s="29" t="e">
        <f t="shared" si="82"/>
        <v>#REF!</v>
      </c>
      <c r="M718" s="20" t="s">
        <v>6232</v>
      </c>
      <c r="N718" t="s">
        <v>6232</v>
      </c>
      <c r="P718" t="s">
        <v>766</v>
      </c>
      <c r="Q718" t="s">
        <v>6232</v>
      </c>
      <c r="R718" t="s">
        <v>4923</v>
      </c>
      <c r="T718" t="s">
        <v>3860</v>
      </c>
      <c r="BI718" s="52" t="str">
        <f>HYPERLINK("#일위대가목록!A728","S02W03280 →")</f>
        <v>S02W03280 →</v>
      </c>
    </row>
    <row r="719" spans="1:61" ht="18.399999999999999" customHeight="1">
      <c r="A719" s="11" t="s">
        <v>5376</v>
      </c>
      <c r="B719" s="2" t="s">
        <v>3618</v>
      </c>
      <c r="C719" s="2">
        <v>1</v>
      </c>
      <c r="D719" s="2" t="s">
        <v>2289</v>
      </c>
      <c r="E719" s="29" t="e">
        <f>일위대가목록!#REF!</f>
        <v>#REF!</v>
      </c>
      <c r="F719" s="29" t="e">
        <f t="shared" si="79"/>
        <v>#REF!</v>
      </c>
      <c r="G719" s="29" t="e">
        <f>일위대가목록!#REF!</f>
        <v>#REF!</v>
      </c>
      <c r="H719" s="29" t="e">
        <f t="shared" si="80"/>
        <v>#REF!</v>
      </c>
      <c r="I719" s="29" t="e">
        <f>일위대가목록!#REF!</f>
        <v>#REF!</v>
      </c>
      <c r="J719" s="29" t="e">
        <f t="shared" si="81"/>
        <v>#REF!</v>
      </c>
      <c r="K719" s="29" t="e">
        <f t="shared" si="83"/>
        <v>#REF!</v>
      </c>
      <c r="L719" s="29" t="e">
        <f t="shared" si="82"/>
        <v>#REF!</v>
      </c>
      <c r="M719" s="20" t="s">
        <v>6232</v>
      </c>
      <c r="N719" t="s">
        <v>6232</v>
      </c>
      <c r="P719" t="s">
        <v>2280</v>
      </c>
      <c r="Q719" t="s">
        <v>6232</v>
      </c>
      <c r="R719" t="s">
        <v>1644</v>
      </c>
      <c r="T719" t="s">
        <v>3860</v>
      </c>
      <c r="BI719" s="52" t="str">
        <f>HYPERLINK("#일위대가목록!A729","S02W03260 →")</f>
        <v>S02W03260 →</v>
      </c>
    </row>
    <row r="720" spans="1:61" ht="18.399999999999999" customHeight="1">
      <c r="A720" s="11" t="s">
        <v>5376</v>
      </c>
      <c r="B720" s="2" t="s">
        <v>5976</v>
      </c>
      <c r="C720" s="2">
        <v>1</v>
      </c>
      <c r="D720" s="2" t="s">
        <v>2289</v>
      </c>
      <c r="E720" s="29" t="e">
        <f>일위대가목록!#REF!</f>
        <v>#REF!</v>
      </c>
      <c r="F720" s="29" t="e">
        <f t="shared" si="79"/>
        <v>#REF!</v>
      </c>
      <c r="G720" s="29" t="e">
        <f>일위대가목록!#REF!</f>
        <v>#REF!</v>
      </c>
      <c r="H720" s="29" t="e">
        <f t="shared" si="80"/>
        <v>#REF!</v>
      </c>
      <c r="I720" s="29" t="e">
        <f>일위대가목록!#REF!</f>
        <v>#REF!</v>
      </c>
      <c r="J720" s="29" t="e">
        <f t="shared" si="81"/>
        <v>#REF!</v>
      </c>
      <c r="K720" s="29" t="e">
        <f t="shared" si="83"/>
        <v>#REF!</v>
      </c>
      <c r="L720" s="29" t="e">
        <f t="shared" si="82"/>
        <v>#REF!</v>
      </c>
      <c r="M720" s="20" t="s">
        <v>6232</v>
      </c>
      <c r="N720" t="s">
        <v>6232</v>
      </c>
      <c r="P720" t="s">
        <v>762</v>
      </c>
      <c r="Q720" t="s">
        <v>6232</v>
      </c>
      <c r="R720" t="s">
        <v>4831</v>
      </c>
      <c r="T720" t="s">
        <v>3860</v>
      </c>
      <c r="BI720" s="52" t="str">
        <f>HYPERLINK("#일위대가목록!A730","S02W03240 →")</f>
        <v>S02W03240 →</v>
      </c>
    </row>
    <row r="721" spans="1:61" ht="18.399999999999999" customHeight="1">
      <c r="A721" s="11" t="s">
        <v>4482</v>
      </c>
      <c r="B721" s="2" t="s">
        <v>1493</v>
      </c>
      <c r="C721" s="2">
        <v>1</v>
      </c>
      <c r="D721" s="2" t="s">
        <v>2289</v>
      </c>
      <c r="E721" s="29" t="e">
        <f>일위대가목록!#REF!</f>
        <v>#REF!</v>
      </c>
      <c r="F721" s="29" t="e">
        <f t="shared" si="79"/>
        <v>#REF!</v>
      </c>
      <c r="G721" s="29" t="e">
        <f>일위대가목록!#REF!</f>
        <v>#REF!</v>
      </c>
      <c r="H721" s="29" t="e">
        <f t="shared" si="80"/>
        <v>#REF!</v>
      </c>
      <c r="I721" s="29" t="e">
        <f>일위대가목록!#REF!</f>
        <v>#REF!</v>
      </c>
      <c r="J721" s="29" t="e">
        <f t="shared" si="81"/>
        <v>#REF!</v>
      </c>
      <c r="K721" s="29" t="e">
        <f t="shared" si="83"/>
        <v>#REF!</v>
      </c>
      <c r="L721" s="29" t="e">
        <f t="shared" si="82"/>
        <v>#REF!</v>
      </c>
      <c r="M721" s="20" t="s">
        <v>6232</v>
      </c>
      <c r="N721" t="s">
        <v>6232</v>
      </c>
      <c r="P721" t="s">
        <v>5352</v>
      </c>
      <c r="Q721" t="s">
        <v>6232</v>
      </c>
      <c r="R721" t="s">
        <v>6027</v>
      </c>
      <c r="T721" t="s">
        <v>3860</v>
      </c>
      <c r="BI721" s="52" t="str">
        <f>HYPERLINK("#일위대가목록!A731","S02W03280YA →")</f>
        <v>S02W03280YA →</v>
      </c>
    </row>
    <row r="722" spans="1:61" ht="18.399999999999999" customHeight="1">
      <c r="A722" s="11" t="s">
        <v>4482</v>
      </c>
      <c r="B722" s="2" t="s">
        <v>3618</v>
      </c>
      <c r="C722" s="2">
        <v>1</v>
      </c>
      <c r="D722" s="2" t="s">
        <v>2289</v>
      </c>
      <c r="E722" s="29" t="e">
        <f>일위대가목록!#REF!</f>
        <v>#REF!</v>
      </c>
      <c r="F722" s="29" t="e">
        <f t="shared" si="79"/>
        <v>#REF!</v>
      </c>
      <c r="G722" s="29" t="e">
        <f>일위대가목록!#REF!</f>
        <v>#REF!</v>
      </c>
      <c r="H722" s="29" t="e">
        <f t="shared" si="80"/>
        <v>#REF!</v>
      </c>
      <c r="I722" s="29" t="e">
        <f>일위대가목록!#REF!</f>
        <v>#REF!</v>
      </c>
      <c r="J722" s="29" t="e">
        <f t="shared" si="81"/>
        <v>#REF!</v>
      </c>
      <c r="K722" s="29" t="e">
        <f t="shared" si="83"/>
        <v>#REF!</v>
      </c>
      <c r="L722" s="29" t="e">
        <f t="shared" si="82"/>
        <v>#REF!</v>
      </c>
      <c r="M722" s="20" t="s">
        <v>6232</v>
      </c>
      <c r="N722" t="s">
        <v>6232</v>
      </c>
      <c r="P722" t="s">
        <v>3811</v>
      </c>
      <c r="Q722" t="s">
        <v>6232</v>
      </c>
      <c r="R722" t="s">
        <v>4762</v>
      </c>
      <c r="T722" t="s">
        <v>3860</v>
      </c>
      <c r="BI722" s="52" t="str">
        <f>HYPERLINK("#일위대가목록!A732","S02W03260YA →")</f>
        <v>S02W03260YA →</v>
      </c>
    </row>
    <row r="723" spans="1:61" ht="18.399999999999999" customHeight="1">
      <c r="A723" s="11" t="s">
        <v>4482</v>
      </c>
      <c r="B723" s="2" t="s">
        <v>5976</v>
      </c>
      <c r="C723" s="2">
        <v>1</v>
      </c>
      <c r="D723" s="2" t="s">
        <v>2289</v>
      </c>
      <c r="E723" s="29" t="e">
        <f>일위대가목록!#REF!</f>
        <v>#REF!</v>
      </c>
      <c r="F723" s="29" t="e">
        <f t="shared" si="79"/>
        <v>#REF!</v>
      </c>
      <c r="G723" s="29" t="e">
        <f>일위대가목록!#REF!</f>
        <v>#REF!</v>
      </c>
      <c r="H723" s="29" t="e">
        <f t="shared" si="80"/>
        <v>#REF!</v>
      </c>
      <c r="I723" s="29" t="e">
        <f>일위대가목록!#REF!</f>
        <v>#REF!</v>
      </c>
      <c r="J723" s="29" t="e">
        <f t="shared" si="81"/>
        <v>#REF!</v>
      </c>
      <c r="K723" s="29" t="e">
        <f t="shared" si="83"/>
        <v>#REF!</v>
      </c>
      <c r="L723" s="29" t="e">
        <f t="shared" si="82"/>
        <v>#REF!</v>
      </c>
      <c r="M723" s="20" t="s">
        <v>6232</v>
      </c>
      <c r="N723" t="s">
        <v>6232</v>
      </c>
      <c r="P723" t="s">
        <v>2166</v>
      </c>
      <c r="Q723" t="s">
        <v>6232</v>
      </c>
      <c r="R723" t="s">
        <v>1892</v>
      </c>
      <c r="T723" t="s">
        <v>3860</v>
      </c>
      <c r="BI723" s="52" t="str">
        <f>HYPERLINK("#일위대가목록!A733","S02W03240YA →")</f>
        <v>S02W03240YA →</v>
      </c>
    </row>
    <row r="724" spans="1:61" ht="18.399999999999999" customHeight="1">
      <c r="A724" s="11" t="s">
        <v>5376</v>
      </c>
      <c r="B724" s="2" t="s">
        <v>2160</v>
      </c>
      <c r="C724" s="2">
        <v>1</v>
      </c>
      <c r="D724" s="2" t="s">
        <v>2289</v>
      </c>
      <c r="E724" s="29" t="e">
        <f>일위대가목록!#REF!</f>
        <v>#REF!</v>
      </c>
      <c r="F724" s="29" t="e">
        <f t="shared" si="79"/>
        <v>#REF!</v>
      </c>
      <c r="G724" s="29" t="e">
        <f>일위대가목록!#REF!</f>
        <v>#REF!</v>
      </c>
      <c r="H724" s="29" t="e">
        <f t="shared" si="80"/>
        <v>#REF!</v>
      </c>
      <c r="I724" s="29" t="e">
        <f>일위대가목록!#REF!</f>
        <v>#REF!</v>
      </c>
      <c r="J724" s="29" t="e">
        <f t="shared" si="81"/>
        <v>#REF!</v>
      </c>
      <c r="K724" s="29" t="e">
        <f t="shared" si="83"/>
        <v>#REF!</v>
      </c>
      <c r="L724" s="29" t="e">
        <f t="shared" si="82"/>
        <v>#REF!</v>
      </c>
      <c r="M724" s="20" t="s">
        <v>6232</v>
      </c>
      <c r="N724" t="s">
        <v>6232</v>
      </c>
      <c r="P724" t="s">
        <v>656</v>
      </c>
      <c r="Q724" t="s">
        <v>6232</v>
      </c>
      <c r="R724" t="s">
        <v>1039</v>
      </c>
      <c r="T724" t="s">
        <v>3860</v>
      </c>
      <c r="BI724" s="52" t="str">
        <f>HYPERLINK("#일위대가목록!A734","S02W02580 →")</f>
        <v>S02W02580 →</v>
      </c>
    </row>
    <row r="725" spans="1:61" ht="18.399999999999999" customHeight="1">
      <c r="A725" s="11" t="s">
        <v>5376</v>
      </c>
      <c r="B725" s="2" t="s">
        <v>5872</v>
      </c>
      <c r="C725" s="2">
        <v>1</v>
      </c>
      <c r="D725" s="2" t="s">
        <v>2289</v>
      </c>
      <c r="E725" s="29" t="e">
        <f>일위대가목록!#REF!</f>
        <v>#REF!</v>
      </c>
      <c r="F725" s="29" t="e">
        <f t="shared" si="79"/>
        <v>#REF!</v>
      </c>
      <c r="G725" s="29" t="e">
        <f>일위대가목록!#REF!</f>
        <v>#REF!</v>
      </c>
      <c r="H725" s="29" t="e">
        <f t="shared" si="80"/>
        <v>#REF!</v>
      </c>
      <c r="I725" s="29" t="e">
        <f>일위대가목록!#REF!</f>
        <v>#REF!</v>
      </c>
      <c r="J725" s="29" t="e">
        <f t="shared" si="81"/>
        <v>#REF!</v>
      </c>
      <c r="K725" s="29" t="e">
        <f t="shared" si="83"/>
        <v>#REF!</v>
      </c>
      <c r="L725" s="29" t="e">
        <f t="shared" si="82"/>
        <v>#REF!</v>
      </c>
      <c r="M725" s="20" t="s">
        <v>6232</v>
      </c>
      <c r="N725" t="s">
        <v>6232</v>
      </c>
      <c r="P725" t="s">
        <v>5244</v>
      </c>
      <c r="Q725" t="s">
        <v>6232</v>
      </c>
      <c r="R725" t="s">
        <v>4025</v>
      </c>
      <c r="T725" t="s">
        <v>3860</v>
      </c>
      <c r="BI725" s="52" t="str">
        <f>HYPERLINK("#일위대가목록!A735","S02W02560 →")</f>
        <v>S02W02560 →</v>
      </c>
    </row>
    <row r="726" spans="1:61" ht="18.399999999999999" customHeight="1">
      <c r="A726" s="11" t="s">
        <v>5376</v>
      </c>
      <c r="B726" s="2" t="s">
        <v>3497</v>
      </c>
      <c r="C726" s="2">
        <v>1</v>
      </c>
      <c r="D726" s="2" t="s">
        <v>2289</v>
      </c>
      <c r="E726" s="29" t="e">
        <f>일위대가목록!#REF!</f>
        <v>#REF!</v>
      </c>
      <c r="F726" s="29" t="e">
        <f t="shared" si="79"/>
        <v>#REF!</v>
      </c>
      <c r="G726" s="29" t="e">
        <f>일위대가목록!#REF!</f>
        <v>#REF!</v>
      </c>
      <c r="H726" s="29" t="e">
        <f t="shared" si="80"/>
        <v>#REF!</v>
      </c>
      <c r="I726" s="29" t="e">
        <f>일위대가목록!#REF!</f>
        <v>#REF!</v>
      </c>
      <c r="J726" s="29" t="e">
        <f t="shared" si="81"/>
        <v>#REF!</v>
      </c>
      <c r="K726" s="29" t="e">
        <f t="shared" si="83"/>
        <v>#REF!</v>
      </c>
      <c r="L726" s="29" t="e">
        <f t="shared" si="82"/>
        <v>#REF!</v>
      </c>
      <c r="M726" s="20" t="s">
        <v>6232</v>
      </c>
      <c r="N726" t="s">
        <v>6232</v>
      </c>
      <c r="P726" t="s">
        <v>3728</v>
      </c>
      <c r="Q726" t="s">
        <v>6232</v>
      </c>
      <c r="R726" t="s">
        <v>947</v>
      </c>
      <c r="T726" t="s">
        <v>3860</v>
      </c>
      <c r="BI726" s="52" t="str">
        <f>HYPERLINK("#일위대가목록!A736","S02W02540 →")</f>
        <v>S02W02540 →</v>
      </c>
    </row>
    <row r="727" spans="1:61" ht="18.399999999999999" customHeight="1">
      <c r="A727" s="11" t="s">
        <v>4482</v>
      </c>
      <c r="B727" s="2" t="s">
        <v>2160</v>
      </c>
      <c r="C727" s="2">
        <v>1</v>
      </c>
      <c r="D727" s="2" t="s">
        <v>2289</v>
      </c>
      <c r="E727" s="29" t="e">
        <f>일위대가목록!#REF!</f>
        <v>#REF!</v>
      </c>
      <c r="F727" s="29" t="e">
        <f t="shared" si="79"/>
        <v>#REF!</v>
      </c>
      <c r="G727" s="29" t="e">
        <f>일위대가목록!#REF!</f>
        <v>#REF!</v>
      </c>
      <c r="H727" s="29" t="e">
        <f t="shared" si="80"/>
        <v>#REF!</v>
      </c>
      <c r="I727" s="29" t="e">
        <f>일위대가목록!#REF!</f>
        <v>#REF!</v>
      </c>
      <c r="J727" s="29" t="e">
        <f t="shared" si="81"/>
        <v>#REF!</v>
      </c>
      <c r="K727" s="29" t="e">
        <f t="shared" si="83"/>
        <v>#REF!</v>
      </c>
      <c r="L727" s="29" t="e">
        <f t="shared" si="82"/>
        <v>#REF!</v>
      </c>
      <c r="M727" s="20" t="s">
        <v>6232</v>
      </c>
      <c r="N727" t="s">
        <v>6232</v>
      </c>
      <c r="P727" t="s">
        <v>2074</v>
      </c>
      <c r="Q727" t="s">
        <v>6232</v>
      </c>
      <c r="R727" t="s">
        <v>1602</v>
      </c>
      <c r="T727" t="s">
        <v>3860</v>
      </c>
      <c r="BI727" s="52" t="str">
        <f>HYPERLINK("#일위대가목록!A737","S02W02580YA →")</f>
        <v>S02W02580YA →</v>
      </c>
    </row>
    <row r="728" spans="1:61" ht="18.399999999999999" customHeight="1">
      <c r="A728" s="11" t="s">
        <v>4482</v>
      </c>
      <c r="B728" s="2" t="s">
        <v>5872</v>
      </c>
      <c r="C728" s="2">
        <v>1</v>
      </c>
      <c r="D728" s="2" t="s">
        <v>2289</v>
      </c>
      <c r="E728" s="29" t="e">
        <f>일위대가목록!#REF!</f>
        <v>#REF!</v>
      </c>
      <c r="F728" s="29" t="e">
        <f t="shared" si="79"/>
        <v>#REF!</v>
      </c>
      <c r="G728" s="29" t="e">
        <f>일위대가목록!#REF!</f>
        <v>#REF!</v>
      </c>
      <c r="H728" s="29" t="e">
        <f t="shared" si="80"/>
        <v>#REF!</v>
      </c>
      <c r="I728" s="29" t="e">
        <f>일위대가목록!#REF!</f>
        <v>#REF!</v>
      </c>
      <c r="J728" s="29" t="e">
        <f t="shared" si="81"/>
        <v>#REF!</v>
      </c>
      <c r="K728" s="29" t="e">
        <f t="shared" si="83"/>
        <v>#REF!</v>
      </c>
      <c r="L728" s="29" t="e">
        <f t="shared" si="82"/>
        <v>#REF!</v>
      </c>
      <c r="M728" s="20" t="s">
        <v>6232</v>
      </c>
      <c r="N728" t="s">
        <v>6232</v>
      </c>
      <c r="P728" t="s">
        <v>578</v>
      </c>
      <c r="Q728" t="s">
        <v>6232</v>
      </c>
      <c r="R728" t="s">
        <v>2730</v>
      </c>
      <c r="T728" t="s">
        <v>3860</v>
      </c>
      <c r="BI728" s="52" t="str">
        <f>HYPERLINK("#일위대가목록!A738","S02W02560YA →")</f>
        <v>S02W02560YA →</v>
      </c>
    </row>
    <row r="729" spans="1:61" ht="18.399999999999999" customHeight="1">
      <c r="A729" s="11" t="s">
        <v>4482</v>
      </c>
      <c r="B729" s="2" t="s">
        <v>3497</v>
      </c>
      <c r="C729" s="2">
        <v>1</v>
      </c>
      <c r="D729" s="2" t="s">
        <v>2289</v>
      </c>
      <c r="E729" s="29" t="e">
        <f>일위대가목록!#REF!</f>
        <v>#REF!</v>
      </c>
      <c r="F729" s="29" t="e">
        <f t="shared" si="79"/>
        <v>#REF!</v>
      </c>
      <c r="G729" s="29" t="e">
        <f>일위대가목록!#REF!</f>
        <v>#REF!</v>
      </c>
      <c r="H729" s="29" t="e">
        <f t="shared" si="80"/>
        <v>#REF!</v>
      </c>
      <c r="I729" s="29" t="e">
        <f>일위대가목록!#REF!</f>
        <v>#REF!</v>
      </c>
      <c r="J729" s="29" t="e">
        <f t="shared" si="81"/>
        <v>#REF!</v>
      </c>
      <c r="K729" s="29" t="e">
        <f t="shared" si="83"/>
        <v>#REF!</v>
      </c>
      <c r="L729" s="29" t="e">
        <f t="shared" si="82"/>
        <v>#REF!</v>
      </c>
      <c r="M729" s="20" t="s">
        <v>6232</v>
      </c>
      <c r="N729" t="s">
        <v>6232</v>
      </c>
      <c r="P729" t="s">
        <v>5335</v>
      </c>
      <c r="Q729" t="s">
        <v>6232</v>
      </c>
      <c r="R729" t="s">
        <v>6082</v>
      </c>
      <c r="T729" t="s">
        <v>3860</v>
      </c>
      <c r="BI729" s="52" t="str">
        <f>HYPERLINK("#일위대가목록!A739","S02W02540YA →")</f>
        <v>S02W02540YA →</v>
      </c>
    </row>
    <row r="730" spans="1:61" ht="18.399999999999999" customHeight="1">
      <c r="A730" s="11" t="s">
        <v>5376</v>
      </c>
      <c r="B730" s="2" t="s">
        <v>3723</v>
      </c>
      <c r="C730" s="2">
        <v>1</v>
      </c>
      <c r="D730" s="2" t="s">
        <v>2289</v>
      </c>
      <c r="E730" s="29" t="e">
        <f>일위대가목록!#REF!</f>
        <v>#REF!</v>
      </c>
      <c r="F730" s="29" t="e">
        <f t="shared" si="79"/>
        <v>#REF!</v>
      </c>
      <c r="G730" s="29" t="e">
        <f>일위대가목록!#REF!</f>
        <v>#REF!</v>
      </c>
      <c r="H730" s="29" t="e">
        <f t="shared" si="80"/>
        <v>#REF!</v>
      </c>
      <c r="I730" s="29" t="e">
        <f>일위대가목록!#REF!</f>
        <v>#REF!</v>
      </c>
      <c r="J730" s="29" t="e">
        <f t="shared" si="81"/>
        <v>#REF!</v>
      </c>
      <c r="K730" s="29" t="e">
        <f t="shared" si="83"/>
        <v>#REF!</v>
      </c>
      <c r="L730" s="29" t="e">
        <f t="shared" si="82"/>
        <v>#REF!</v>
      </c>
      <c r="M730" s="20" t="s">
        <v>6232</v>
      </c>
      <c r="N730" t="s">
        <v>6232</v>
      </c>
      <c r="P730" t="s">
        <v>3757</v>
      </c>
      <c r="Q730" t="s">
        <v>6232</v>
      </c>
      <c r="R730" t="s">
        <v>4660</v>
      </c>
      <c r="T730" t="s">
        <v>3860</v>
      </c>
      <c r="BI730" s="52" t="str">
        <f>HYPERLINK("#일위대가목록!A740","S02W02080 →")</f>
        <v>S02W02080 →</v>
      </c>
    </row>
    <row r="731" spans="1:61" ht="18.399999999999999" customHeight="1">
      <c r="A731" s="11" t="s">
        <v>5376</v>
      </c>
      <c r="B731" s="2" t="s">
        <v>1217</v>
      </c>
      <c r="C731" s="2">
        <v>1</v>
      </c>
      <c r="D731" s="2" t="s">
        <v>2289</v>
      </c>
      <c r="E731" s="29" t="e">
        <f>일위대가목록!#REF!</f>
        <v>#REF!</v>
      </c>
      <c r="F731" s="29" t="e">
        <f t="shared" si="79"/>
        <v>#REF!</v>
      </c>
      <c r="G731" s="29" t="e">
        <f>일위대가목록!#REF!</f>
        <v>#REF!</v>
      </c>
      <c r="H731" s="29" t="e">
        <f t="shared" si="80"/>
        <v>#REF!</v>
      </c>
      <c r="I731" s="29" t="e">
        <f>일위대가목록!#REF!</f>
        <v>#REF!</v>
      </c>
      <c r="J731" s="29" t="e">
        <f t="shared" si="81"/>
        <v>#REF!</v>
      </c>
      <c r="K731" s="29" t="e">
        <f t="shared" si="83"/>
        <v>#REF!</v>
      </c>
      <c r="L731" s="29" t="e">
        <f t="shared" si="82"/>
        <v>#REF!</v>
      </c>
      <c r="M731" s="20" t="s">
        <v>6232</v>
      </c>
      <c r="N731" t="s">
        <v>6232</v>
      </c>
      <c r="P731" t="s">
        <v>2152</v>
      </c>
      <c r="Q731" t="s">
        <v>6232</v>
      </c>
      <c r="R731" t="s">
        <v>1870</v>
      </c>
      <c r="T731" t="s">
        <v>3860</v>
      </c>
      <c r="BI731" s="52" t="str">
        <f>HYPERLINK("#일위대가목록!A741","S02W02060 →")</f>
        <v>S02W02060 →</v>
      </c>
    </row>
    <row r="732" spans="1:61" ht="18.399999999999999" customHeight="1">
      <c r="A732" s="11" t="s">
        <v>5376</v>
      </c>
      <c r="B732" s="2" t="s">
        <v>1947</v>
      </c>
      <c r="C732" s="2">
        <v>1</v>
      </c>
      <c r="D732" s="2" t="s">
        <v>2289</v>
      </c>
      <c r="E732" s="29" t="e">
        <f>일위대가목록!#REF!</f>
        <v>#REF!</v>
      </c>
      <c r="F732" s="29" t="e">
        <f t="shared" ref="F732:F735" si="84">TRUNC(E732*C732,0)</f>
        <v>#REF!</v>
      </c>
      <c r="G732" s="29" t="e">
        <f>일위대가목록!#REF!</f>
        <v>#REF!</v>
      </c>
      <c r="H732" s="29" t="e">
        <f t="shared" ref="H732:H735" si="85">TRUNC(G732*C732,0)</f>
        <v>#REF!</v>
      </c>
      <c r="I732" s="29" t="e">
        <f>일위대가목록!#REF!</f>
        <v>#REF!</v>
      </c>
      <c r="J732" s="29" t="e">
        <f t="shared" ref="J732:J735" si="86">TRUNC(I732*C732,0)</f>
        <v>#REF!</v>
      </c>
      <c r="K732" s="29" t="e">
        <f t="shared" si="83"/>
        <v>#REF!</v>
      </c>
      <c r="L732" s="29" t="e">
        <f t="shared" si="82"/>
        <v>#REF!</v>
      </c>
      <c r="M732" s="20" t="s">
        <v>6232</v>
      </c>
      <c r="N732" t="s">
        <v>6232</v>
      </c>
      <c r="P732" t="s">
        <v>605</v>
      </c>
      <c r="Q732" t="s">
        <v>6232</v>
      </c>
      <c r="R732" t="s">
        <v>4968</v>
      </c>
      <c r="T732" t="s">
        <v>3860</v>
      </c>
      <c r="BI732" s="52" t="str">
        <f>HYPERLINK("#일위대가목록!A742","S025W02040 →")</f>
        <v>S025W02040 →</v>
      </c>
    </row>
    <row r="733" spans="1:61" ht="18.399999999999999" customHeight="1">
      <c r="A733" s="11" t="s">
        <v>4482</v>
      </c>
      <c r="B733" s="2" t="s">
        <v>3723</v>
      </c>
      <c r="C733" s="2">
        <v>1</v>
      </c>
      <c r="D733" s="2" t="s">
        <v>2289</v>
      </c>
      <c r="E733" s="29" t="e">
        <f>일위대가목록!#REF!</f>
        <v>#REF!</v>
      </c>
      <c r="F733" s="29" t="e">
        <f t="shared" si="84"/>
        <v>#REF!</v>
      </c>
      <c r="G733" s="29" t="e">
        <f>일위대가목록!#REF!</f>
        <v>#REF!</v>
      </c>
      <c r="H733" s="29" t="e">
        <f t="shared" si="85"/>
        <v>#REF!</v>
      </c>
      <c r="I733" s="29" t="e">
        <f>일위대가목록!#REF!</f>
        <v>#REF!</v>
      </c>
      <c r="J733" s="29" t="e">
        <f t="shared" si="86"/>
        <v>#REF!</v>
      </c>
      <c r="K733" s="29" t="e">
        <f t="shared" si="83"/>
        <v>#REF!</v>
      </c>
      <c r="L733" s="29" t="e">
        <f t="shared" si="82"/>
        <v>#REF!</v>
      </c>
      <c r="M733" s="20" t="s">
        <v>6232</v>
      </c>
      <c r="N733" t="s">
        <v>6232</v>
      </c>
      <c r="P733" t="s">
        <v>5409</v>
      </c>
      <c r="Q733" t="s">
        <v>6232</v>
      </c>
      <c r="R733" t="s">
        <v>1206</v>
      </c>
      <c r="T733" t="s">
        <v>3860</v>
      </c>
      <c r="BI733" s="52" t="str">
        <f>HYPERLINK("#일위대가목록!A743","S02W02080YA →")</f>
        <v>S02W02080YA →</v>
      </c>
    </row>
    <row r="734" spans="1:61" ht="18.399999999999999" customHeight="1">
      <c r="A734" s="11" t="s">
        <v>4482</v>
      </c>
      <c r="B734" s="2" t="s">
        <v>1217</v>
      </c>
      <c r="C734" s="2">
        <v>1</v>
      </c>
      <c r="D734" s="2" t="s">
        <v>2289</v>
      </c>
      <c r="E734" s="29" t="e">
        <f>일위대가목록!#REF!</f>
        <v>#REF!</v>
      </c>
      <c r="F734" s="29" t="e">
        <f t="shared" si="84"/>
        <v>#REF!</v>
      </c>
      <c r="G734" s="29" t="e">
        <f>일위대가목록!#REF!</f>
        <v>#REF!</v>
      </c>
      <c r="H734" s="29" t="e">
        <f t="shared" si="85"/>
        <v>#REF!</v>
      </c>
      <c r="I734" s="29" t="e">
        <f>일위대가목록!#REF!</f>
        <v>#REF!</v>
      </c>
      <c r="J734" s="29" t="e">
        <f t="shared" si="86"/>
        <v>#REF!</v>
      </c>
      <c r="K734" s="29" t="e">
        <f t="shared" si="83"/>
        <v>#REF!</v>
      </c>
      <c r="L734" s="29" t="e">
        <f t="shared" si="82"/>
        <v>#REF!</v>
      </c>
      <c r="M734" s="20" t="s">
        <v>6232</v>
      </c>
      <c r="N734" t="s">
        <v>6232</v>
      </c>
      <c r="P734" t="s">
        <v>3824</v>
      </c>
      <c r="Q734" t="s">
        <v>6232</v>
      </c>
      <c r="R734" t="s">
        <v>26</v>
      </c>
      <c r="T734" t="s">
        <v>3860</v>
      </c>
      <c r="BI734" s="52" t="str">
        <f>HYPERLINK("#일위대가목록!A744","S02W02060YA →")</f>
        <v>S02W02060YA →</v>
      </c>
    </row>
    <row r="735" spans="1:61" ht="18.399999999999999" customHeight="1">
      <c r="A735" s="11" t="s">
        <v>4482</v>
      </c>
      <c r="B735" s="2" t="s">
        <v>1947</v>
      </c>
      <c r="C735" s="2">
        <v>1</v>
      </c>
      <c r="D735" s="2" t="s">
        <v>2289</v>
      </c>
      <c r="E735" s="29" t="e">
        <f>일위대가목록!#REF!</f>
        <v>#REF!</v>
      </c>
      <c r="F735" s="29" t="e">
        <f t="shared" si="84"/>
        <v>#REF!</v>
      </c>
      <c r="G735" s="29" t="e">
        <f>일위대가목록!#REF!</f>
        <v>#REF!</v>
      </c>
      <c r="H735" s="29" t="e">
        <f t="shared" si="85"/>
        <v>#REF!</v>
      </c>
      <c r="I735" s="29" t="e">
        <f>일위대가목록!#REF!</f>
        <v>#REF!</v>
      </c>
      <c r="J735" s="29" t="e">
        <f t="shared" si="86"/>
        <v>#REF!</v>
      </c>
      <c r="K735" s="29" t="e">
        <f t="shared" si="83"/>
        <v>#REF!</v>
      </c>
      <c r="L735" s="29" t="e">
        <f t="shared" si="82"/>
        <v>#REF!</v>
      </c>
      <c r="M735" s="20" t="s">
        <v>6232</v>
      </c>
      <c r="N735" t="s">
        <v>6232</v>
      </c>
      <c r="P735" t="s">
        <v>2249</v>
      </c>
      <c r="Q735" t="s">
        <v>6232</v>
      </c>
      <c r="R735" t="s">
        <v>3356</v>
      </c>
      <c r="T735" t="s">
        <v>3860</v>
      </c>
      <c r="BI735" s="52" t="str">
        <f>HYPERLINK("#일위대가목록!A745","S02W02040YA →")</f>
        <v>S02W02040YA →</v>
      </c>
    </row>
    <row r="736" spans="1:61" ht="18.399999999999999" customHeight="1">
      <c r="A736" s="11" t="s">
        <v>1544</v>
      </c>
      <c r="B736" s="2" t="s">
        <v>6232</v>
      </c>
      <c r="C736" s="2"/>
      <c r="D736" s="2" t="s">
        <v>6232</v>
      </c>
      <c r="E736" s="1"/>
      <c r="F736" s="29" t="e">
        <f>TRUNC(SUM(AF736:AF740),0)</f>
        <v>#REF!</v>
      </c>
      <c r="G736" s="1"/>
      <c r="H736" s="29" t="e">
        <f>TRUNC(SUM(AG736:AG740),0)</f>
        <v>#REF!</v>
      </c>
      <c r="I736" s="1"/>
      <c r="J736" s="29" t="e">
        <f>TRUNC(SUM(AH736:AH740),0)</f>
        <v>#REF!</v>
      </c>
      <c r="K736" s="29">
        <f t="shared" si="83"/>
        <v>0</v>
      </c>
      <c r="L736" s="29" t="e">
        <f t="shared" si="82"/>
        <v>#REF!</v>
      </c>
      <c r="M736" s="20" t="s">
        <v>6232</v>
      </c>
      <c r="N736" t="s">
        <v>6232</v>
      </c>
      <c r="P736" t="s">
        <v>676</v>
      </c>
      <c r="Q736" t="s">
        <v>6232</v>
      </c>
      <c r="R736" t="s">
        <v>6232</v>
      </c>
      <c r="AF736" s="29" t="e">
        <f>F735+F734+F733+F732+F731+F730+F729+F728+F727+F726+F725+F724+F723+F722+F721+F720+F719+F718+F717+F716+F715+F714+F713+F712+F711+F710+F709+F708+F707+F706</f>
        <v>#REF!</v>
      </c>
      <c r="AG736" s="29" t="e">
        <f>H735+H734+H733+H732+H731+H730+H729+H728+H727+H726+H725+H724+H723+H722+H721+H720+H719+H718+H717+H716+H715+H714+H713+H712+H711+H710+H709+H708+H707+H706</f>
        <v>#REF!</v>
      </c>
      <c r="AH736" s="29" t="e">
        <f>J735+J734+J733+J732+J731+J730+J729+J728+J727+J726+J725+J724+J723+J722+J721+J720+J719+J718+J717+J716+J715+J714+J713+J712+J711+J710+J709+J708+J707+J706</f>
        <v>#REF!</v>
      </c>
    </row>
    <row r="737" spans="1:61" ht="18.399999999999999" customHeight="1">
      <c r="A737" s="11" t="s">
        <v>2495</v>
      </c>
      <c r="B737" s="2" t="s">
        <v>6232</v>
      </c>
      <c r="C737" s="2"/>
      <c r="D737" s="2" t="s">
        <v>6232</v>
      </c>
      <c r="E737" s="1"/>
      <c r="F737" s="29">
        <v>0</v>
      </c>
      <c r="G737" s="1"/>
      <c r="H737" s="29">
        <v>0</v>
      </c>
      <c r="I737" s="1"/>
      <c r="J737" s="29">
        <v>0</v>
      </c>
      <c r="K737" s="29">
        <f t="shared" si="83"/>
        <v>0</v>
      </c>
      <c r="L737" s="29">
        <f t="shared" si="82"/>
        <v>0</v>
      </c>
      <c r="M737" s="20" t="s">
        <v>6232</v>
      </c>
      <c r="N737" t="s">
        <v>6232</v>
      </c>
      <c r="P737" t="s">
        <v>5119</v>
      </c>
      <c r="Q737" t="s">
        <v>6232</v>
      </c>
      <c r="R737" t="s">
        <v>6232</v>
      </c>
      <c r="AF737" s="29" t="e">
        <f>F705+F704+F703+F702+F701+F700+F699+F698+F697+F696+F695+F694+F693+F692+F691+F690+F689+F688+F687+F686+F685+F684+F683+F682+F681+F680+F679+F678+F677+F676</f>
        <v>#REF!</v>
      </c>
      <c r="AG737" s="29" t="e">
        <f>H705+H704+H703+H702+H701+H700+H699+H698+H697+H696+H695+H694+H693+H692+H691+H690+H689+H688+H687+H686+H685+H684+H683+H682+H681+H680+H679+H678+H677+H676</f>
        <v>#REF!</v>
      </c>
      <c r="AH737" s="29" t="e">
        <f>J705+J704+J703+J702+J701+J700+J699+J698+J697+J696+J695+J694+J693+J692+J691+J690+J689+J688+J687+J686+J685+J684+J683+J682+J681+J680+J679+J678+J677+J676</f>
        <v>#REF!</v>
      </c>
    </row>
    <row r="738" spans="1:61" ht="18.399999999999999" customHeight="1">
      <c r="A738" s="11" t="s">
        <v>5970</v>
      </c>
      <c r="B738" s="2" t="s">
        <v>6232</v>
      </c>
      <c r="C738" s="2"/>
      <c r="D738" s="2" t="s">
        <v>6232</v>
      </c>
      <c r="E738" s="1"/>
      <c r="F738" s="29">
        <v>0</v>
      </c>
      <c r="G738" s="1"/>
      <c r="H738" s="29">
        <v>0</v>
      </c>
      <c r="I738" s="1"/>
      <c r="J738" s="29">
        <v>0</v>
      </c>
      <c r="K738" s="29">
        <f t="shared" si="83"/>
        <v>0</v>
      </c>
      <c r="L738" s="29">
        <f t="shared" si="82"/>
        <v>0</v>
      </c>
      <c r="M738" s="20" t="s">
        <v>6232</v>
      </c>
      <c r="N738" t="s">
        <v>6232</v>
      </c>
      <c r="P738" t="s">
        <v>3524</v>
      </c>
      <c r="Q738" t="s">
        <v>6232</v>
      </c>
      <c r="R738" t="s">
        <v>6232</v>
      </c>
      <c r="AF738" s="29" t="e">
        <f>F675+F674+F673+F672+F671+F670+F669+F668+F667+F666+F665+F664+F663+F662+F661+F660+F659+F658+F657+F656+F655+F654+F653+F652+F651+F650+F649+F648+F647+F646</f>
        <v>#REF!</v>
      </c>
      <c r="AG738" s="29" t="e">
        <f>H675+H674+H673+H672+H671+H670+H669+H668+H667+H666+H665+H664+H663+H662+H661+H660+H659+H658+H657+H656+H655+H654+H653+H652+H651+H650+H649+H648+H647+H646</f>
        <v>#REF!</v>
      </c>
      <c r="AH738" s="29" t="e">
        <f>J675+J674+J673+J672+J671+J670+J669+J668+J667+J666+J665+J664+J663+J662+J661+J660+J659+J658+J657+J656+J655+J654+J653+J652+J651+J650+J649+J648+J647+J646</f>
        <v>#REF!</v>
      </c>
    </row>
    <row r="739" spans="1:61" ht="18.399999999999999" customHeight="1">
      <c r="A739" s="11" t="s">
        <v>5970</v>
      </c>
      <c r="B739" s="2" t="s">
        <v>2823</v>
      </c>
      <c r="C739" s="2">
        <v>1</v>
      </c>
      <c r="D739" s="2" t="s">
        <v>3670</v>
      </c>
      <c r="E739" s="29" t="e">
        <f>일위대가목록!#REF!</f>
        <v>#REF!</v>
      </c>
      <c r="F739" s="29" t="e">
        <f t="shared" ref="F739:F750" si="87">TRUNC(E739*C739,0)</f>
        <v>#REF!</v>
      </c>
      <c r="G739" s="29" t="e">
        <f>일위대가목록!#REF!</f>
        <v>#REF!</v>
      </c>
      <c r="H739" s="29" t="e">
        <f t="shared" ref="H739:H750" si="88">TRUNC(G739*C739,0)</f>
        <v>#REF!</v>
      </c>
      <c r="I739" s="29" t="e">
        <f>일위대가목록!#REF!</f>
        <v>#REF!</v>
      </c>
      <c r="J739" s="29" t="e">
        <f t="shared" ref="J739:J750" si="89">TRUNC(I739*C739,0)</f>
        <v>#REF!</v>
      </c>
      <c r="K739" s="29" t="e">
        <f t="shared" si="83"/>
        <v>#REF!</v>
      </c>
      <c r="L739" s="29" t="e">
        <f t="shared" si="82"/>
        <v>#REF!</v>
      </c>
      <c r="M739" s="20" t="s">
        <v>6232</v>
      </c>
      <c r="N739" t="s">
        <v>6232</v>
      </c>
      <c r="P739" t="s">
        <v>5747</v>
      </c>
      <c r="Q739" t="s">
        <v>6232</v>
      </c>
      <c r="R739" t="s">
        <v>3822</v>
      </c>
      <c r="T739" t="s">
        <v>3860</v>
      </c>
      <c r="AF739" s="29" t="e">
        <f>F645+F644+F643+F642+F641+F640+F639+F638+F637+F636+F635+F634+F633+F632+F631+F630+F629+F628+F627+F626+F625+F624+F623+F622+F621+F620+F619+F618+F617+F616</f>
        <v>#REF!</v>
      </c>
      <c r="AG739" s="29" t="e">
        <f>H645+H644+H643+H642+H641+H640+H639+H638+H637+H636+H635+H634+H633+H632+H631+H630+H629+H628+H627+H626+H625+H624+H623+H622+H621+H620+H619+H618+H617+H616</f>
        <v>#REF!</v>
      </c>
      <c r="AH739" s="29" t="e">
        <f>J645+J644+J643+J642+J641+J640+J639+J638+J637+J636+J635+J634+J633+J632+J631+J630+J629+J628+J627+J626+J625+J624+J623+J622+J621+J620+J619+J618+J617+J616</f>
        <v>#REF!</v>
      </c>
      <c r="BI739" s="52" t="str">
        <f>HYPERLINK("#일위대가목록!A746","S01000W750 →")</f>
        <v>S01000W750 →</v>
      </c>
    </row>
    <row r="740" spans="1:61" ht="18.399999999999999" customHeight="1">
      <c r="A740" s="11" t="s">
        <v>5970</v>
      </c>
      <c r="B740" s="2" t="s">
        <v>3826</v>
      </c>
      <c r="C740" s="2">
        <v>1</v>
      </c>
      <c r="D740" s="2" t="s">
        <v>3670</v>
      </c>
      <c r="E740" s="29" t="e">
        <f>일위대가목록!#REF!</f>
        <v>#REF!</v>
      </c>
      <c r="F740" s="29" t="e">
        <f t="shared" si="87"/>
        <v>#REF!</v>
      </c>
      <c r="G740" s="29" t="e">
        <f>일위대가목록!#REF!</f>
        <v>#REF!</v>
      </c>
      <c r="H740" s="29" t="e">
        <f t="shared" si="88"/>
        <v>#REF!</v>
      </c>
      <c r="I740" s="29" t="e">
        <f>일위대가목록!#REF!</f>
        <v>#REF!</v>
      </c>
      <c r="J740" s="29" t="e">
        <f t="shared" si="89"/>
        <v>#REF!</v>
      </c>
      <c r="K740" s="29" t="e">
        <f t="shared" si="83"/>
        <v>#REF!</v>
      </c>
      <c r="L740" s="29" t="e">
        <f t="shared" si="82"/>
        <v>#REF!</v>
      </c>
      <c r="M740" s="20" t="s">
        <v>6232</v>
      </c>
      <c r="N740" t="s">
        <v>6232</v>
      </c>
      <c r="P740" t="s">
        <v>4215</v>
      </c>
      <c r="Q740" t="s">
        <v>6232</v>
      </c>
      <c r="R740" t="s">
        <v>5336</v>
      </c>
      <c r="T740" t="s">
        <v>3860</v>
      </c>
      <c r="AF740" s="29" t="e">
        <f>F615+F614+F613+F612+F611+F610+F609+F608+F607+F606+F605+F604</f>
        <v>#REF!</v>
      </c>
      <c r="AG740" s="29" t="e">
        <f>H615+H614+H613+H612+H611+H610+H609+H608+H607+H606+H605+H604</f>
        <v>#REF!</v>
      </c>
      <c r="AH740" s="29" t="e">
        <f>J615+J614+J613+J612+J611+J610+J609+J608+J607+J606+J605+J604</f>
        <v>#REF!</v>
      </c>
      <c r="BI740" s="52" t="str">
        <f>HYPERLINK("#일위대가목록!A747","S01000W700 →")</f>
        <v>S01000W700 →</v>
      </c>
    </row>
    <row r="741" spans="1:61" ht="18.399999999999999" customHeight="1">
      <c r="A741" s="11" t="s">
        <v>5970</v>
      </c>
      <c r="B741" s="2" t="s">
        <v>397</v>
      </c>
      <c r="C741" s="2">
        <v>1</v>
      </c>
      <c r="D741" s="2" t="s">
        <v>3670</v>
      </c>
      <c r="E741" s="29" t="e">
        <f>일위대가목록!#REF!</f>
        <v>#REF!</v>
      </c>
      <c r="F741" s="29" t="e">
        <f t="shared" si="87"/>
        <v>#REF!</v>
      </c>
      <c r="G741" s="29" t="e">
        <f>일위대가목록!#REF!</f>
        <v>#REF!</v>
      </c>
      <c r="H741" s="29" t="e">
        <f t="shared" si="88"/>
        <v>#REF!</v>
      </c>
      <c r="I741" s="29" t="e">
        <f>일위대가목록!#REF!</f>
        <v>#REF!</v>
      </c>
      <c r="J741" s="29" t="e">
        <f t="shared" si="89"/>
        <v>#REF!</v>
      </c>
      <c r="K741" s="29" t="e">
        <f t="shared" si="83"/>
        <v>#REF!</v>
      </c>
      <c r="L741" s="29" t="e">
        <f t="shared" si="82"/>
        <v>#REF!</v>
      </c>
      <c r="M741" s="20" t="s">
        <v>6232</v>
      </c>
      <c r="N741" t="s">
        <v>6232</v>
      </c>
      <c r="P741" t="s">
        <v>2665</v>
      </c>
      <c r="Q741" t="s">
        <v>6232</v>
      </c>
      <c r="R741" t="s">
        <v>4109</v>
      </c>
      <c r="T741" t="s">
        <v>3860</v>
      </c>
      <c r="BI741" s="52" t="str">
        <f>HYPERLINK("#일위대가목록!A748","S01000W650 →")</f>
        <v>S01000W650 →</v>
      </c>
    </row>
    <row r="742" spans="1:61" ht="18.399999999999999" customHeight="1">
      <c r="A742" s="11" t="s">
        <v>5970</v>
      </c>
      <c r="B742" s="2" t="s">
        <v>6105</v>
      </c>
      <c r="C742" s="2">
        <v>1</v>
      </c>
      <c r="D742" s="2" t="s">
        <v>3670</v>
      </c>
      <c r="E742" s="29" t="e">
        <f>일위대가목록!#REF!</f>
        <v>#REF!</v>
      </c>
      <c r="F742" s="29" t="e">
        <f t="shared" si="87"/>
        <v>#REF!</v>
      </c>
      <c r="G742" s="29" t="e">
        <f>일위대가목록!#REF!</f>
        <v>#REF!</v>
      </c>
      <c r="H742" s="29" t="e">
        <f t="shared" si="88"/>
        <v>#REF!</v>
      </c>
      <c r="I742" s="29" t="e">
        <f>일위대가목록!#REF!</f>
        <v>#REF!</v>
      </c>
      <c r="J742" s="29" t="e">
        <f t="shared" si="89"/>
        <v>#REF!</v>
      </c>
      <c r="K742" s="29" t="e">
        <f t="shared" si="83"/>
        <v>#REF!</v>
      </c>
      <c r="L742" s="29" t="e">
        <f t="shared" si="82"/>
        <v>#REF!</v>
      </c>
      <c r="M742" s="20" t="s">
        <v>6232</v>
      </c>
      <c r="N742" t="s">
        <v>6232</v>
      </c>
      <c r="P742" t="s">
        <v>1136</v>
      </c>
      <c r="Q742" t="s">
        <v>6232</v>
      </c>
      <c r="R742" t="s">
        <v>5742</v>
      </c>
      <c r="T742" t="s">
        <v>3860</v>
      </c>
      <c r="BI742" s="52" t="str">
        <f>HYPERLINK("#일위대가목록!A749","S01000W600 →")</f>
        <v>S01000W600 →</v>
      </c>
    </row>
    <row r="743" spans="1:61" ht="18.399999999999999" customHeight="1">
      <c r="A743" s="11" t="s">
        <v>5970</v>
      </c>
      <c r="B743" s="2" t="s">
        <v>6191</v>
      </c>
      <c r="C743" s="2">
        <v>1</v>
      </c>
      <c r="D743" s="2" t="s">
        <v>3670</v>
      </c>
      <c r="E743" s="29" t="e">
        <f>일위대가목록!#REF!</f>
        <v>#REF!</v>
      </c>
      <c r="F743" s="29" t="e">
        <f t="shared" si="87"/>
        <v>#REF!</v>
      </c>
      <c r="G743" s="29" t="e">
        <f>일위대가목록!#REF!</f>
        <v>#REF!</v>
      </c>
      <c r="H743" s="29" t="e">
        <f t="shared" si="88"/>
        <v>#REF!</v>
      </c>
      <c r="I743" s="29" t="e">
        <f>일위대가목록!#REF!</f>
        <v>#REF!</v>
      </c>
      <c r="J743" s="29" t="e">
        <f t="shared" si="89"/>
        <v>#REF!</v>
      </c>
      <c r="K743" s="29" t="e">
        <f t="shared" si="83"/>
        <v>#REF!</v>
      </c>
      <c r="L743" s="29" t="e">
        <f t="shared" si="82"/>
        <v>#REF!</v>
      </c>
      <c r="M743" s="20" t="s">
        <v>6232</v>
      </c>
      <c r="N743" t="s">
        <v>6232</v>
      </c>
      <c r="P743" t="s">
        <v>5655</v>
      </c>
      <c r="Q743" t="s">
        <v>6232</v>
      </c>
      <c r="R743" t="s">
        <v>5838</v>
      </c>
      <c r="T743" t="s">
        <v>3860</v>
      </c>
      <c r="BI743" s="52" t="str">
        <f>HYPERLINK("#일위대가목록!A750","S01000W550 →")</f>
        <v>S01000W550 →</v>
      </c>
    </row>
    <row r="744" spans="1:61" ht="18.399999999999999" customHeight="1">
      <c r="A744" s="11" t="s">
        <v>5970</v>
      </c>
      <c r="B744" s="2" t="s">
        <v>524</v>
      </c>
      <c r="C744" s="2">
        <v>1</v>
      </c>
      <c r="D744" s="2" t="s">
        <v>3670</v>
      </c>
      <c r="E744" s="29" t="e">
        <f>일위대가목록!#REF!</f>
        <v>#REF!</v>
      </c>
      <c r="F744" s="29" t="e">
        <f t="shared" si="87"/>
        <v>#REF!</v>
      </c>
      <c r="G744" s="29" t="e">
        <f>일위대가목록!#REF!</f>
        <v>#REF!</v>
      </c>
      <c r="H744" s="29" t="e">
        <f t="shared" si="88"/>
        <v>#REF!</v>
      </c>
      <c r="I744" s="29" t="e">
        <f>일위대가목록!#REF!</f>
        <v>#REF!</v>
      </c>
      <c r="J744" s="29" t="e">
        <f t="shared" si="89"/>
        <v>#REF!</v>
      </c>
      <c r="K744" s="29" t="e">
        <f t="shared" si="83"/>
        <v>#REF!</v>
      </c>
      <c r="L744" s="29" t="e">
        <f t="shared" si="82"/>
        <v>#REF!</v>
      </c>
      <c r="M744" s="20" t="s">
        <v>6232</v>
      </c>
      <c r="N744" t="s">
        <v>6232</v>
      </c>
      <c r="P744" t="s">
        <v>4106</v>
      </c>
      <c r="Q744" t="s">
        <v>6232</v>
      </c>
      <c r="R744" t="s">
        <v>4383</v>
      </c>
      <c r="T744" t="s">
        <v>3860</v>
      </c>
      <c r="BI744" s="52" t="str">
        <f>HYPERLINK("#일위대가목록!A751","S01000W500 →")</f>
        <v>S01000W500 →</v>
      </c>
    </row>
    <row r="745" spans="1:61" ht="18.399999999999999" customHeight="1">
      <c r="A745" s="11" t="s">
        <v>5970</v>
      </c>
      <c r="B745" s="2" t="s">
        <v>3764</v>
      </c>
      <c r="C745" s="2">
        <v>1</v>
      </c>
      <c r="D745" s="2" t="s">
        <v>3670</v>
      </c>
      <c r="E745" s="29" t="e">
        <f>일위대가목록!#REF!</f>
        <v>#REF!</v>
      </c>
      <c r="F745" s="29" t="e">
        <f t="shared" si="87"/>
        <v>#REF!</v>
      </c>
      <c r="G745" s="29" t="e">
        <f>일위대가목록!#REF!</f>
        <v>#REF!</v>
      </c>
      <c r="H745" s="29" t="e">
        <f t="shared" si="88"/>
        <v>#REF!</v>
      </c>
      <c r="I745" s="29" t="e">
        <f>일위대가목록!#REF!</f>
        <v>#REF!</v>
      </c>
      <c r="J745" s="29" t="e">
        <f t="shared" si="89"/>
        <v>#REF!</v>
      </c>
      <c r="K745" s="29" t="e">
        <f t="shared" si="83"/>
        <v>#REF!</v>
      </c>
      <c r="L745" s="29" t="e">
        <f t="shared" si="82"/>
        <v>#REF!</v>
      </c>
      <c r="M745" s="20" t="s">
        <v>6232</v>
      </c>
      <c r="N745" t="s">
        <v>6232</v>
      </c>
      <c r="P745" t="s">
        <v>2556</v>
      </c>
      <c r="Q745" t="s">
        <v>6232</v>
      </c>
      <c r="R745" t="s">
        <v>4835</v>
      </c>
      <c r="T745" t="s">
        <v>3860</v>
      </c>
      <c r="BI745" s="52" t="str">
        <f>HYPERLINK("#일위대가목록!A752","S01000W450 →")</f>
        <v>S01000W450 →</v>
      </c>
    </row>
    <row r="746" spans="1:61" ht="18.399999999999999" customHeight="1">
      <c r="A746" s="11" t="s">
        <v>5970</v>
      </c>
      <c r="B746" s="2" t="s">
        <v>2715</v>
      </c>
      <c r="C746" s="2">
        <v>1</v>
      </c>
      <c r="D746" s="2" t="s">
        <v>3670</v>
      </c>
      <c r="E746" s="29" t="e">
        <f>일위대가목록!#REF!</f>
        <v>#REF!</v>
      </c>
      <c r="F746" s="29" t="e">
        <f t="shared" si="87"/>
        <v>#REF!</v>
      </c>
      <c r="G746" s="29" t="e">
        <f>일위대가목록!#REF!</f>
        <v>#REF!</v>
      </c>
      <c r="H746" s="29" t="e">
        <f t="shared" si="88"/>
        <v>#REF!</v>
      </c>
      <c r="I746" s="29" t="e">
        <f>일위대가목록!#REF!</f>
        <v>#REF!</v>
      </c>
      <c r="J746" s="29" t="e">
        <f t="shared" si="89"/>
        <v>#REF!</v>
      </c>
      <c r="K746" s="29" t="e">
        <f t="shared" si="83"/>
        <v>#REF!</v>
      </c>
      <c r="L746" s="29" t="e">
        <f t="shared" si="82"/>
        <v>#REF!</v>
      </c>
      <c r="M746" s="20" t="s">
        <v>6232</v>
      </c>
      <c r="N746" t="s">
        <v>6232</v>
      </c>
      <c r="P746" t="s">
        <v>1029</v>
      </c>
      <c r="Q746" t="s">
        <v>6232</v>
      </c>
      <c r="R746" t="s">
        <v>3131</v>
      </c>
      <c r="T746" t="s">
        <v>3860</v>
      </c>
      <c r="BI746" s="52" t="str">
        <f>HYPERLINK("#일위대가목록!A753","S01000W400 →")</f>
        <v>S01000W400 →</v>
      </c>
    </row>
    <row r="747" spans="1:61" ht="18.399999999999999" customHeight="1">
      <c r="A747" s="11" t="s">
        <v>5970</v>
      </c>
      <c r="B747" s="2" t="s">
        <v>809</v>
      </c>
      <c r="C747" s="2">
        <v>1</v>
      </c>
      <c r="D747" s="2" t="s">
        <v>3670</v>
      </c>
      <c r="E747" s="29" t="e">
        <f>일위대가목록!#REF!</f>
        <v>#REF!</v>
      </c>
      <c r="F747" s="29" t="e">
        <f t="shared" si="87"/>
        <v>#REF!</v>
      </c>
      <c r="G747" s="29" t="e">
        <f>일위대가목록!#REF!</f>
        <v>#REF!</v>
      </c>
      <c r="H747" s="29" t="e">
        <f t="shared" si="88"/>
        <v>#REF!</v>
      </c>
      <c r="I747" s="29" t="e">
        <f>일위대가목록!#REF!</f>
        <v>#REF!</v>
      </c>
      <c r="J747" s="29" t="e">
        <f t="shared" si="89"/>
        <v>#REF!</v>
      </c>
      <c r="K747" s="29" t="e">
        <f t="shared" si="83"/>
        <v>#REF!</v>
      </c>
      <c r="L747" s="29" t="e">
        <f t="shared" si="82"/>
        <v>#REF!</v>
      </c>
      <c r="M747" s="20" t="s">
        <v>6232</v>
      </c>
      <c r="N747" t="s">
        <v>6232</v>
      </c>
      <c r="P747" t="s">
        <v>5542</v>
      </c>
      <c r="Q747" t="s">
        <v>6232</v>
      </c>
      <c r="R747" t="s">
        <v>1599</v>
      </c>
      <c r="T747" t="s">
        <v>3860</v>
      </c>
      <c r="BI747" s="52" t="str">
        <f>HYPERLINK("#일위대가목록!A754","S01000W350 →")</f>
        <v>S01000W350 →</v>
      </c>
    </row>
    <row r="748" spans="1:61" ht="18.399999999999999" customHeight="1">
      <c r="A748" s="11" t="s">
        <v>5970</v>
      </c>
      <c r="B748" s="2" t="s">
        <v>4894</v>
      </c>
      <c r="C748" s="2">
        <v>1</v>
      </c>
      <c r="D748" s="2" t="s">
        <v>3670</v>
      </c>
      <c r="E748" s="29" t="e">
        <f>일위대가목록!#REF!</f>
        <v>#REF!</v>
      </c>
      <c r="F748" s="29" t="e">
        <f t="shared" si="87"/>
        <v>#REF!</v>
      </c>
      <c r="G748" s="29" t="e">
        <f>일위대가목록!#REF!</f>
        <v>#REF!</v>
      </c>
      <c r="H748" s="29" t="e">
        <f t="shared" si="88"/>
        <v>#REF!</v>
      </c>
      <c r="I748" s="29" t="e">
        <f>일위대가목록!#REF!</f>
        <v>#REF!</v>
      </c>
      <c r="J748" s="29" t="e">
        <f t="shared" si="89"/>
        <v>#REF!</v>
      </c>
      <c r="K748" s="29" t="e">
        <f t="shared" si="83"/>
        <v>#REF!</v>
      </c>
      <c r="L748" s="29" t="e">
        <f t="shared" si="82"/>
        <v>#REF!</v>
      </c>
      <c r="M748" s="20" t="s">
        <v>6232</v>
      </c>
      <c r="N748" t="s">
        <v>6232</v>
      </c>
      <c r="P748" t="s">
        <v>4019</v>
      </c>
      <c r="Q748" t="s">
        <v>6232</v>
      </c>
      <c r="R748" t="s">
        <v>164</v>
      </c>
      <c r="T748" t="s">
        <v>3860</v>
      </c>
      <c r="BI748" s="52" t="str">
        <f>HYPERLINK("#일위대가목록!A755","S01000W300 →")</f>
        <v>S01000W300 →</v>
      </c>
    </row>
    <row r="749" spans="1:61" ht="18.399999999999999" customHeight="1">
      <c r="A749" s="11" t="s">
        <v>5970</v>
      </c>
      <c r="B749" s="2" t="s">
        <v>1701</v>
      </c>
      <c r="C749" s="2">
        <v>1</v>
      </c>
      <c r="D749" s="2" t="s">
        <v>3670</v>
      </c>
      <c r="E749" s="29" t="e">
        <f>일위대가목록!#REF!</f>
        <v>#REF!</v>
      </c>
      <c r="F749" s="29" t="e">
        <f t="shared" si="87"/>
        <v>#REF!</v>
      </c>
      <c r="G749" s="29" t="e">
        <f>일위대가목록!#REF!</f>
        <v>#REF!</v>
      </c>
      <c r="H749" s="29" t="e">
        <f t="shared" si="88"/>
        <v>#REF!</v>
      </c>
      <c r="I749" s="29" t="e">
        <f>일위대가목록!#REF!</f>
        <v>#REF!</v>
      </c>
      <c r="J749" s="29" t="e">
        <f t="shared" si="89"/>
        <v>#REF!</v>
      </c>
      <c r="K749" s="29" t="e">
        <f t="shared" si="83"/>
        <v>#REF!</v>
      </c>
      <c r="L749" s="29" t="e">
        <f t="shared" si="82"/>
        <v>#REF!</v>
      </c>
      <c r="M749" s="20" t="s">
        <v>6232</v>
      </c>
      <c r="N749" t="s">
        <v>6232</v>
      </c>
      <c r="P749" t="s">
        <v>4380</v>
      </c>
      <c r="Q749" t="s">
        <v>6232</v>
      </c>
      <c r="R749" t="s">
        <v>2828</v>
      </c>
      <c r="T749" t="s">
        <v>3860</v>
      </c>
      <c r="BI749" s="52" t="str">
        <f>HYPERLINK("#일위대가목록!A756","S01000W250 →")</f>
        <v>S01000W250 →</v>
      </c>
    </row>
    <row r="750" spans="1:61" ht="18.399999999999999" customHeight="1">
      <c r="A750" s="11" t="s">
        <v>5970</v>
      </c>
      <c r="B750" s="2" t="s">
        <v>4196</v>
      </c>
      <c r="C750" s="2">
        <v>1</v>
      </c>
      <c r="D750" s="2" t="s">
        <v>3670</v>
      </c>
      <c r="E750" s="29" t="e">
        <f>일위대가목록!#REF!</f>
        <v>#REF!</v>
      </c>
      <c r="F750" s="29" t="e">
        <f t="shared" si="87"/>
        <v>#REF!</v>
      </c>
      <c r="G750" s="29" t="e">
        <f>일위대가목록!#REF!</f>
        <v>#REF!</v>
      </c>
      <c r="H750" s="29" t="e">
        <f t="shared" si="88"/>
        <v>#REF!</v>
      </c>
      <c r="I750" s="29" t="e">
        <f>일위대가목록!#REF!</f>
        <v>#REF!</v>
      </c>
      <c r="J750" s="29" t="e">
        <f t="shared" si="89"/>
        <v>#REF!</v>
      </c>
      <c r="K750" s="29" t="e">
        <f t="shared" si="83"/>
        <v>#REF!</v>
      </c>
      <c r="L750" s="29" t="e">
        <f t="shared" si="82"/>
        <v>#REF!</v>
      </c>
      <c r="M750" s="20" t="s">
        <v>6232</v>
      </c>
      <c r="N750" t="s">
        <v>6232</v>
      </c>
      <c r="P750" t="s">
        <v>5931</v>
      </c>
      <c r="Q750" t="s">
        <v>6232</v>
      </c>
      <c r="R750" t="s">
        <v>1148</v>
      </c>
      <c r="T750" t="s">
        <v>3860</v>
      </c>
      <c r="BI750" s="52" t="str">
        <f>HYPERLINK("#일위대가목록!A757","S01000W200 →")</f>
        <v>S01000W200 →</v>
      </c>
    </row>
    <row r="751" spans="1:61" ht="18.399999999999999" customHeight="1">
      <c r="A751" s="11" t="s">
        <v>1544</v>
      </c>
      <c r="B751" s="2" t="s">
        <v>6232</v>
      </c>
      <c r="C751" s="2"/>
      <c r="D751" s="2" t="s">
        <v>6232</v>
      </c>
      <c r="E751" s="1"/>
      <c r="F751" s="29" t="e">
        <f>TRUNC(F750+F749+F748+F747+F746+F745+F744+F743+F742+F741+F740+F739,0)</f>
        <v>#REF!</v>
      </c>
      <c r="G751" s="1"/>
      <c r="H751" s="29" t="e">
        <f>TRUNC(H750+H749+H748+H747+H746+H745+H744+H743+H742+H741+H740+H739,0)</f>
        <v>#REF!</v>
      </c>
      <c r="I751" s="1"/>
      <c r="J751" s="29" t="e">
        <f>TRUNC(J750+J749+J748+J747+J746+J745+J744+J743+J742+J741+J740+J739,0)</f>
        <v>#REF!</v>
      </c>
      <c r="K751" s="29">
        <f t="shared" si="83"/>
        <v>0</v>
      </c>
      <c r="L751" s="29" t="e">
        <f t="shared" si="82"/>
        <v>#REF!</v>
      </c>
      <c r="M751" s="20" t="s">
        <v>6232</v>
      </c>
      <c r="N751" t="s">
        <v>6232</v>
      </c>
      <c r="P751" t="s">
        <v>1320</v>
      </c>
      <c r="Q751" t="s">
        <v>6232</v>
      </c>
      <c r="R751" t="s">
        <v>6232</v>
      </c>
    </row>
    <row r="752" spans="1:61" ht="18.399999999999999" customHeight="1">
      <c r="A752" s="11" t="s">
        <v>2495</v>
      </c>
      <c r="B752" s="2" t="s">
        <v>6232</v>
      </c>
      <c r="C752" s="2"/>
      <c r="D752" s="2" t="s">
        <v>6232</v>
      </c>
      <c r="E752" s="1"/>
      <c r="F752" s="29">
        <v>0</v>
      </c>
      <c r="G752" s="1"/>
      <c r="H752" s="29">
        <v>0</v>
      </c>
      <c r="I752" s="1"/>
      <c r="J752" s="29">
        <v>0</v>
      </c>
      <c r="K752" s="29">
        <f t="shared" si="83"/>
        <v>0</v>
      </c>
      <c r="L752" s="29">
        <f t="shared" si="82"/>
        <v>0</v>
      </c>
      <c r="M752" s="20" t="s">
        <v>6232</v>
      </c>
      <c r="N752" t="s">
        <v>6232</v>
      </c>
      <c r="P752" t="s">
        <v>2840</v>
      </c>
      <c r="Q752" t="s">
        <v>6232</v>
      </c>
      <c r="R752" t="s">
        <v>6232</v>
      </c>
    </row>
    <row r="753" spans="1:61" ht="18.399999999999999" customHeight="1">
      <c r="A753" s="11" t="s">
        <v>1552</v>
      </c>
      <c r="B753" s="2" t="s">
        <v>6232</v>
      </c>
      <c r="C753" s="2"/>
      <c r="D753" s="2" t="s">
        <v>6232</v>
      </c>
      <c r="E753" s="1"/>
      <c r="F753" s="29">
        <v>0</v>
      </c>
      <c r="G753" s="1"/>
      <c r="H753" s="29">
        <v>0</v>
      </c>
      <c r="I753" s="1"/>
      <c r="J753" s="29">
        <v>0</v>
      </c>
      <c r="K753" s="29">
        <f t="shared" si="83"/>
        <v>0</v>
      </c>
      <c r="L753" s="29">
        <f t="shared" si="82"/>
        <v>0</v>
      </c>
      <c r="M753" s="20" t="s">
        <v>6232</v>
      </c>
      <c r="N753" t="s">
        <v>6232</v>
      </c>
      <c r="P753" t="s">
        <v>4325</v>
      </c>
      <c r="Q753" t="s">
        <v>6232</v>
      </c>
      <c r="R753" t="s">
        <v>6232</v>
      </c>
    </row>
    <row r="754" spans="1:61" ht="18.399999999999999" customHeight="1">
      <c r="A754" s="11" t="s">
        <v>1552</v>
      </c>
      <c r="B754" s="2" t="s">
        <v>2823</v>
      </c>
      <c r="C754" s="2">
        <v>1</v>
      </c>
      <c r="D754" s="2" t="s">
        <v>3909</v>
      </c>
      <c r="E754" s="29" t="e">
        <f>일위대가목록!#REF!</f>
        <v>#REF!</v>
      </c>
      <c r="F754" s="29" t="e">
        <f t="shared" ref="F754:F765" si="90">TRUNC(E754*C754,0)</f>
        <v>#REF!</v>
      </c>
      <c r="G754" s="29" t="e">
        <f>일위대가목록!#REF!</f>
        <v>#REF!</v>
      </c>
      <c r="H754" s="29" t="e">
        <f t="shared" ref="H754:H765" si="91">TRUNC(G754*C754,0)</f>
        <v>#REF!</v>
      </c>
      <c r="I754" s="29" t="e">
        <f>일위대가목록!#REF!</f>
        <v>#REF!</v>
      </c>
      <c r="J754" s="29" t="e">
        <f t="shared" ref="J754:J765" si="92">TRUNC(I754*C754,0)</f>
        <v>#REF!</v>
      </c>
      <c r="K754" s="29" t="e">
        <f t="shared" si="83"/>
        <v>#REF!</v>
      </c>
      <c r="L754" s="29" t="e">
        <f t="shared" si="82"/>
        <v>#REF!</v>
      </c>
      <c r="M754" s="20" t="s">
        <v>6232</v>
      </c>
      <c r="N754" t="s">
        <v>6232</v>
      </c>
      <c r="P754" t="s">
        <v>5846</v>
      </c>
      <c r="Q754" t="s">
        <v>6232</v>
      </c>
      <c r="R754" t="s">
        <v>3005</v>
      </c>
      <c r="T754" t="s">
        <v>3860</v>
      </c>
      <c r="BI754" s="52" t="str">
        <f>HYPERLINK("#일위대가목록!A758","S02000W750 →")</f>
        <v>S02000W750 →</v>
      </c>
    </row>
    <row r="755" spans="1:61" ht="18.399999999999999" customHeight="1">
      <c r="A755" s="11" t="s">
        <v>1552</v>
      </c>
      <c r="B755" s="2" t="s">
        <v>3826</v>
      </c>
      <c r="C755" s="2">
        <v>1</v>
      </c>
      <c r="D755" s="2" t="s">
        <v>3909</v>
      </c>
      <c r="E755" s="29" t="e">
        <f>일위대가목록!#REF!</f>
        <v>#REF!</v>
      </c>
      <c r="F755" s="29" t="e">
        <f t="shared" si="90"/>
        <v>#REF!</v>
      </c>
      <c r="G755" s="29" t="e">
        <f>일위대가목록!#REF!</f>
        <v>#REF!</v>
      </c>
      <c r="H755" s="29" t="e">
        <f t="shared" si="91"/>
        <v>#REF!</v>
      </c>
      <c r="I755" s="29" t="e">
        <f>일위대가목록!#REF!</f>
        <v>#REF!</v>
      </c>
      <c r="J755" s="29" t="e">
        <f t="shared" si="92"/>
        <v>#REF!</v>
      </c>
      <c r="K755" s="29" t="e">
        <f t="shared" si="83"/>
        <v>#REF!</v>
      </c>
      <c r="L755" s="29" t="e">
        <f t="shared" si="82"/>
        <v>#REF!</v>
      </c>
      <c r="M755" s="20" t="s">
        <v>6232</v>
      </c>
      <c r="N755" t="s">
        <v>6232</v>
      </c>
      <c r="P755" t="s">
        <v>1244</v>
      </c>
      <c r="Q755" t="s">
        <v>6232</v>
      </c>
      <c r="R755" t="s">
        <v>1359</v>
      </c>
      <c r="T755" t="s">
        <v>3860</v>
      </c>
      <c r="BI755" s="52" t="str">
        <f>HYPERLINK("#일위대가목록!A759","S02000W700 →")</f>
        <v>S02000W700 →</v>
      </c>
    </row>
    <row r="756" spans="1:61" ht="18.399999999999999" customHeight="1">
      <c r="A756" s="11" t="s">
        <v>1552</v>
      </c>
      <c r="B756" s="2" t="s">
        <v>397</v>
      </c>
      <c r="C756" s="2">
        <v>1</v>
      </c>
      <c r="D756" s="2" t="s">
        <v>3909</v>
      </c>
      <c r="E756" s="29" t="e">
        <f>일위대가목록!#REF!</f>
        <v>#REF!</v>
      </c>
      <c r="F756" s="29" t="e">
        <f t="shared" si="90"/>
        <v>#REF!</v>
      </c>
      <c r="G756" s="29" t="e">
        <f>일위대가목록!#REF!</f>
        <v>#REF!</v>
      </c>
      <c r="H756" s="29" t="e">
        <f t="shared" si="91"/>
        <v>#REF!</v>
      </c>
      <c r="I756" s="29" t="e">
        <f>일위대가목록!#REF!</f>
        <v>#REF!</v>
      </c>
      <c r="J756" s="29" t="e">
        <f t="shared" si="92"/>
        <v>#REF!</v>
      </c>
      <c r="K756" s="29" t="e">
        <f t="shared" si="83"/>
        <v>#REF!</v>
      </c>
      <c r="L756" s="29" t="e">
        <f t="shared" si="82"/>
        <v>#REF!</v>
      </c>
      <c r="M756" s="20" t="s">
        <v>6232</v>
      </c>
      <c r="N756" t="s">
        <v>6232</v>
      </c>
      <c r="P756" t="s">
        <v>2748</v>
      </c>
      <c r="Q756" t="s">
        <v>6232</v>
      </c>
      <c r="R756" t="s">
        <v>1771</v>
      </c>
      <c r="T756" t="s">
        <v>3860</v>
      </c>
      <c r="BI756" s="52" t="str">
        <f>HYPERLINK("#일위대가목록!A760","S02000W650 →")</f>
        <v>S02000W650 →</v>
      </c>
    </row>
    <row r="757" spans="1:61" ht="18.399999999999999" customHeight="1">
      <c r="A757" s="11" t="s">
        <v>1552</v>
      </c>
      <c r="B757" s="2" t="s">
        <v>6105</v>
      </c>
      <c r="C757" s="2">
        <v>1</v>
      </c>
      <c r="D757" s="2" t="s">
        <v>3909</v>
      </c>
      <c r="E757" s="29" t="e">
        <f>일위대가목록!#REF!</f>
        <v>#REF!</v>
      </c>
      <c r="F757" s="29" t="e">
        <f t="shared" si="90"/>
        <v>#REF!</v>
      </c>
      <c r="G757" s="29" t="e">
        <f>일위대가목록!#REF!</f>
        <v>#REF!</v>
      </c>
      <c r="H757" s="29" t="e">
        <f t="shared" si="91"/>
        <v>#REF!</v>
      </c>
      <c r="I757" s="29" t="e">
        <f>일위대가목록!#REF!</f>
        <v>#REF!</v>
      </c>
      <c r="J757" s="29" t="e">
        <f t="shared" si="92"/>
        <v>#REF!</v>
      </c>
      <c r="K757" s="29" t="e">
        <f t="shared" si="83"/>
        <v>#REF!</v>
      </c>
      <c r="L757" s="29" t="e">
        <f t="shared" si="82"/>
        <v>#REF!</v>
      </c>
      <c r="M757" s="20" t="s">
        <v>6232</v>
      </c>
      <c r="N757" t="s">
        <v>6232</v>
      </c>
      <c r="P757" t="s">
        <v>4575</v>
      </c>
      <c r="Q757" t="s">
        <v>6232</v>
      </c>
      <c r="R757" t="s">
        <v>350</v>
      </c>
      <c r="T757" t="s">
        <v>3860</v>
      </c>
      <c r="BI757" s="52" t="str">
        <f>HYPERLINK("#일위대가목록!A761","S02000W600 →")</f>
        <v>S02000W600 →</v>
      </c>
    </row>
    <row r="758" spans="1:61" ht="18.399999999999999" customHeight="1">
      <c r="A758" s="11" t="s">
        <v>1552</v>
      </c>
      <c r="B758" s="2" t="s">
        <v>6191</v>
      </c>
      <c r="C758" s="2">
        <v>1</v>
      </c>
      <c r="D758" s="2" t="s">
        <v>3909</v>
      </c>
      <c r="E758" s="29" t="e">
        <f>일위대가목록!#REF!</f>
        <v>#REF!</v>
      </c>
      <c r="F758" s="29" t="e">
        <f t="shared" si="90"/>
        <v>#REF!</v>
      </c>
      <c r="G758" s="29" t="e">
        <f>일위대가목록!#REF!</f>
        <v>#REF!</v>
      </c>
      <c r="H758" s="29" t="e">
        <f t="shared" si="91"/>
        <v>#REF!</v>
      </c>
      <c r="I758" s="29" t="e">
        <f>일위대가목록!#REF!</f>
        <v>#REF!</v>
      </c>
      <c r="J758" s="29" t="e">
        <f t="shared" si="92"/>
        <v>#REF!</v>
      </c>
      <c r="K758" s="29" t="e">
        <f t="shared" si="83"/>
        <v>#REF!</v>
      </c>
      <c r="L758" s="29" t="e">
        <f t="shared" si="82"/>
        <v>#REF!</v>
      </c>
      <c r="M758" s="20" t="s">
        <v>6232</v>
      </c>
      <c r="N758" t="s">
        <v>6232</v>
      </c>
      <c r="P758" t="s">
        <v>6148</v>
      </c>
      <c r="Q758" t="s">
        <v>6232</v>
      </c>
      <c r="R758" t="s">
        <v>470</v>
      </c>
      <c r="T758" t="s">
        <v>3860</v>
      </c>
      <c r="BI758" s="52" t="str">
        <f>HYPERLINK("#일위대가목록!A762","S02000W550 →")</f>
        <v>S02000W550 →</v>
      </c>
    </row>
    <row r="759" spans="1:61" ht="18.399999999999999" customHeight="1">
      <c r="A759" s="11" t="s">
        <v>1552</v>
      </c>
      <c r="B759" s="2" t="s">
        <v>524</v>
      </c>
      <c r="C759" s="2">
        <v>1</v>
      </c>
      <c r="D759" s="2" t="s">
        <v>3909</v>
      </c>
      <c r="E759" s="29" t="e">
        <f>일위대가목록!#REF!</f>
        <v>#REF!</v>
      </c>
      <c r="F759" s="29" t="e">
        <f t="shared" si="90"/>
        <v>#REF!</v>
      </c>
      <c r="G759" s="29" t="e">
        <f>일위대가목록!#REF!</f>
        <v>#REF!</v>
      </c>
      <c r="H759" s="29" t="e">
        <f t="shared" si="91"/>
        <v>#REF!</v>
      </c>
      <c r="I759" s="29" t="e">
        <f>일위대가목록!#REF!</f>
        <v>#REF!</v>
      </c>
      <c r="J759" s="29" t="e">
        <f t="shared" si="92"/>
        <v>#REF!</v>
      </c>
      <c r="K759" s="29" t="e">
        <f t="shared" si="83"/>
        <v>#REF!</v>
      </c>
      <c r="L759" s="29" t="e">
        <f t="shared" si="82"/>
        <v>#REF!</v>
      </c>
      <c r="M759" s="20" t="s">
        <v>6232</v>
      </c>
      <c r="N759" t="s">
        <v>6232</v>
      </c>
      <c r="P759" t="s">
        <v>3132</v>
      </c>
      <c r="Q759" t="s">
        <v>6232</v>
      </c>
      <c r="R759" t="s">
        <v>2071</v>
      </c>
      <c r="T759" t="s">
        <v>3860</v>
      </c>
      <c r="BI759" s="52" t="str">
        <f>HYPERLINK("#일위대가목록!A763","S02000W500 →")</f>
        <v>S02000W500 →</v>
      </c>
    </row>
    <row r="760" spans="1:61" ht="18.399999999999999" customHeight="1">
      <c r="A760" s="11" t="s">
        <v>1552</v>
      </c>
      <c r="B760" s="2" t="s">
        <v>3764</v>
      </c>
      <c r="C760" s="2">
        <v>1</v>
      </c>
      <c r="D760" s="2" t="s">
        <v>3909</v>
      </c>
      <c r="E760" s="29" t="e">
        <f>일위대가목록!#REF!</f>
        <v>#REF!</v>
      </c>
      <c r="F760" s="29" t="e">
        <f t="shared" si="90"/>
        <v>#REF!</v>
      </c>
      <c r="G760" s="29" t="e">
        <f>일위대가목록!#REF!</f>
        <v>#REF!</v>
      </c>
      <c r="H760" s="29" t="e">
        <f t="shared" si="91"/>
        <v>#REF!</v>
      </c>
      <c r="I760" s="29" t="e">
        <f>일위대가목록!#REF!</f>
        <v>#REF!</v>
      </c>
      <c r="J760" s="29" t="e">
        <f t="shared" si="92"/>
        <v>#REF!</v>
      </c>
      <c r="K760" s="29" t="e">
        <f t="shared" si="83"/>
        <v>#REF!</v>
      </c>
      <c r="L760" s="29" t="e">
        <f t="shared" si="82"/>
        <v>#REF!</v>
      </c>
      <c r="M760" s="20" t="s">
        <v>6232</v>
      </c>
      <c r="N760" t="s">
        <v>6232</v>
      </c>
      <c r="P760" t="s">
        <v>4730</v>
      </c>
      <c r="Q760" t="s">
        <v>6232</v>
      </c>
      <c r="R760" t="s">
        <v>884</v>
      </c>
      <c r="T760" t="s">
        <v>3860</v>
      </c>
      <c r="BI760" s="52" t="str">
        <f>HYPERLINK("#일위대가목록!A764","S02000W450 →")</f>
        <v>S02000W450 →</v>
      </c>
    </row>
    <row r="761" spans="1:61" ht="18.399999999999999" customHeight="1">
      <c r="A761" s="11" t="s">
        <v>1552</v>
      </c>
      <c r="B761" s="2" t="s">
        <v>2715</v>
      </c>
      <c r="C761" s="2">
        <v>1</v>
      </c>
      <c r="D761" s="2" t="s">
        <v>3909</v>
      </c>
      <c r="E761" s="29" t="e">
        <f>일위대가목록!#REF!</f>
        <v>#REF!</v>
      </c>
      <c r="F761" s="29" t="e">
        <f t="shared" si="90"/>
        <v>#REF!</v>
      </c>
      <c r="G761" s="29" t="e">
        <f>일위대가목록!#REF!</f>
        <v>#REF!</v>
      </c>
      <c r="H761" s="29" t="e">
        <f t="shared" si="91"/>
        <v>#REF!</v>
      </c>
      <c r="I761" s="29" t="e">
        <f>일위대가목록!#REF!</f>
        <v>#REF!</v>
      </c>
      <c r="J761" s="29" t="e">
        <f t="shared" si="92"/>
        <v>#REF!</v>
      </c>
      <c r="K761" s="29" t="e">
        <f t="shared" si="83"/>
        <v>#REF!</v>
      </c>
      <c r="L761" s="29" t="e">
        <f t="shared" si="82"/>
        <v>#REF!</v>
      </c>
      <c r="M761" s="20" t="s">
        <v>6232</v>
      </c>
      <c r="N761" t="s">
        <v>6232</v>
      </c>
      <c r="P761" t="s">
        <v>0</v>
      </c>
      <c r="Q761" t="s">
        <v>6232</v>
      </c>
      <c r="R761" t="s">
        <v>2344</v>
      </c>
      <c r="T761" t="s">
        <v>3860</v>
      </c>
      <c r="BI761" s="52" t="str">
        <f>HYPERLINK("#일위대가목록!A765","S02000W400 →")</f>
        <v>S02000W400 →</v>
      </c>
    </row>
    <row r="762" spans="1:61" ht="18.399999999999999" customHeight="1">
      <c r="A762" s="11" t="s">
        <v>1552</v>
      </c>
      <c r="B762" s="2" t="s">
        <v>809</v>
      </c>
      <c r="C762" s="2">
        <v>1</v>
      </c>
      <c r="D762" s="2" t="s">
        <v>3909</v>
      </c>
      <c r="E762" s="29" t="e">
        <f>일위대가목록!#REF!</f>
        <v>#REF!</v>
      </c>
      <c r="F762" s="29" t="e">
        <f t="shared" si="90"/>
        <v>#REF!</v>
      </c>
      <c r="G762" s="29" t="e">
        <f>일위대가목록!#REF!</f>
        <v>#REF!</v>
      </c>
      <c r="H762" s="29" t="e">
        <f t="shared" si="91"/>
        <v>#REF!</v>
      </c>
      <c r="I762" s="29" t="e">
        <f>일위대가목록!#REF!</f>
        <v>#REF!</v>
      </c>
      <c r="J762" s="29" t="e">
        <f t="shared" si="92"/>
        <v>#REF!</v>
      </c>
      <c r="K762" s="29" t="e">
        <f t="shared" si="83"/>
        <v>#REF!</v>
      </c>
      <c r="L762" s="29" t="e">
        <f t="shared" si="82"/>
        <v>#REF!</v>
      </c>
      <c r="M762" s="20" t="s">
        <v>6232</v>
      </c>
      <c r="N762" t="s">
        <v>6232</v>
      </c>
      <c r="P762" t="s">
        <v>1545</v>
      </c>
      <c r="Q762" t="s">
        <v>6232</v>
      </c>
      <c r="R762" t="s">
        <v>3923</v>
      </c>
      <c r="T762" t="s">
        <v>3860</v>
      </c>
      <c r="BI762" s="52" t="str">
        <f>HYPERLINK("#일위대가목록!A766","S02000W350 →")</f>
        <v>S02000W350 →</v>
      </c>
    </row>
    <row r="763" spans="1:61" ht="18.399999999999999" customHeight="1">
      <c r="A763" s="11" t="s">
        <v>1552</v>
      </c>
      <c r="B763" s="2" t="s">
        <v>4894</v>
      </c>
      <c r="C763" s="2">
        <v>1</v>
      </c>
      <c r="D763" s="2" t="s">
        <v>3909</v>
      </c>
      <c r="E763" s="29" t="e">
        <f>일위대가목록!#REF!</f>
        <v>#REF!</v>
      </c>
      <c r="F763" s="29" t="e">
        <f t="shared" si="90"/>
        <v>#REF!</v>
      </c>
      <c r="G763" s="29" t="e">
        <f>일위대가목록!#REF!</f>
        <v>#REF!</v>
      </c>
      <c r="H763" s="29" t="e">
        <f t="shared" si="91"/>
        <v>#REF!</v>
      </c>
      <c r="I763" s="29" t="e">
        <f>일위대가목록!#REF!</f>
        <v>#REF!</v>
      </c>
      <c r="J763" s="29" t="e">
        <f t="shared" si="92"/>
        <v>#REF!</v>
      </c>
      <c r="K763" s="29" t="e">
        <f t="shared" si="83"/>
        <v>#REF!</v>
      </c>
      <c r="L763" s="29" t="e">
        <f t="shared" si="82"/>
        <v>#REF!</v>
      </c>
      <c r="M763" s="20" t="s">
        <v>6232</v>
      </c>
      <c r="N763" t="s">
        <v>6232</v>
      </c>
      <c r="P763" t="s">
        <v>3244</v>
      </c>
      <c r="Q763" t="s">
        <v>6232</v>
      </c>
      <c r="R763" t="s">
        <v>5546</v>
      </c>
      <c r="T763" t="s">
        <v>3860</v>
      </c>
      <c r="BI763" s="52" t="str">
        <f>HYPERLINK("#일위대가목록!A767","S02000W300 →")</f>
        <v>S02000W300 →</v>
      </c>
    </row>
    <row r="764" spans="1:61" ht="18.399999999999999" customHeight="1">
      <c r="A764" s="11" t="s">
        <v>1552</v>
      </c>
      <c r="B764" s="2" t="s">
        <v>1701</v>
      </c>
      <c r="C764" s="2">
        <v>1</v>
      </c>
      <c r="D764" s="2" t="s">
        <v>3909</v>
      </c>
      <c r="E764" s="29" t="e">
        <f>일위대가목록!#REF!</f>
        <v>#REF!</v>
      </c>
      <c r="F764" s="29" t="e">
        <f t="shared" si="90"/>
        <v>#REF!</v>
      </c>
      <c r="G764" s="29" t="e">
        <f>일위대가목록!#REF!</f>
        <v>#REF!</v>
      </c>
      <c r="H764" s="29" t="e">
        <f t="shared" si="91"/>
        <v>#REF!</v>
      </c>
      <c r="I764" s="29" t="e">
        <f>일위대가목록!#REF!</f>
        <v>#REF!</v>
      </c>
      <c r="J764" s="29" t="e">
        <f t="shared" si="92"/>
        <v>#REF!</v>
      </c>
      <c r="K764" s="29" t="e">
        <f t="shared" si="83"/>
        <v>#REF!</v>
      </c>
      <c r="L764" s="29" t="e">
        <f t="shared" si="82"/>
        <v>#REF!</v>
      </c>
      <c r="M764" s="20" t="s">
        <v>6232</v>
      </c>
      <c r="N764" t="s">
        <v>6232</v>
      </c>
      <c r="P764" t="s">
        <v>4834</v>
      </c>
      <c r="Q764" t="s">
        <v>6232</v>
      </c>
      <c r="R764" t="s">
        <v>3659</v>
      </c>
      <c r="T764" t="s">
        <v>3860</v>
      </c>
      <c r="BI764" s="52" t="str">
        <f>HYPERLINK("#일위대가목록!A768","S02000W250 →")</f>
        <v>S02000W250 →</v>
      </c>
    </row>
    <row r="765" spans="1:61" ht="18.399999999999999" customHeight="1">
      <c r="A765" s="11" t="s">
        <v>1552</v>
      </c>
      <c r="B765" s="2" t="s">
        <v>4196</v>
      </c>
      <c r="C765" s="2">
        <v>1</v>
      </c>
      <c r="D765" s="2" t="s">
        <v>3909</v>
      </c>
      <c r="E765" s="29" t="e">
        <f>일위대가목록!#REF!</f>
        <v>#REF!</v>
      </c>
      <c r="F765" s="29" t="e">
        <f t="shared" si="90"/>
        <v>#REF!</v>
      </c>
      <c r="G765" s="29" t="e">
        <f>일위대가목록!#REF!</f>
        <v>#REF!</v>
      </c>
      <c r="H765" s="29" t="e">
        <f t="shared" si="91"/>
        <v>#REF!</v>
      </c>
      <c r="I765" s="29" t="e">
        <f>일위대가목록!#REF!</f>
        <v>#REF!</v>
      </c>
      <c r="J765" s="29" t="e">
        <f t="shared" si="92"/>
        <v>#REF!</v>
      </c>
      <c r="K765" s="29" t="e">
        <f t="shared" si="83"/>
        <v>#REF!</v>
      </c>
      <c r="L765" s="29" t="e">
        <f t="shared" si="82"/>
        <v>#REF!</v>
      </c>
      <c r="M765" s="20" t="s">
        <v>6232</v>
      </c>
      <c r="N765" t="s">
        <v>6232</v>
      </c>
      <c r="P765" t="s">
        <v>100</v>
      </c>
      <c r="Q765" t="s">
        <v>6232</v>
      </c>
      <c r="R765" t="s">
        <v>5116</v>
      </c>
      <c r="T765" t="s">
        <v>3860</v>
      </c>
      <c r="BI765" s="52" t="str">
        <f>HYPERLINK("#일위대가목록!A769","S02000W200 →")</f>
        <v>S02000W200 →</v>
      </c>
    </row>
    <row r="766" spans="1:61" ht="18.399999999999999" customHeight="1">
      <c r="A766" s="11" t="s">
        <v>1544</v>
      </c>
      <c r="B766" s="2" t="s">
        <v>6232</v>
      </c>
      <c r="C766" s="2"/>
      <c r="D766" s="2" t="s">
        <v>6232</v>
      </c>
      <c r="E766" s="1"/>
      <c r="F766" s="29" t="e">
        <f>TRUNC(F765+F764+F763+F762+F761+F760+F759+F758+F757+F756+F755+F754,0)</f>
        <v>#REF!</v>
      </c>
      <c r="G766" s="1"/>
      <c r="H766" s="29" t="e">
        <f>TRUNC(H765+H764+H763+H762+H761+H760+H759+H758+H757+H756+H755+H754,0)</f>
        <v>#REF!</v>
      </c>
      <c r="I766" s="1"/>
      <c r="J766" s="29" t="e">
        <f>TRUNC(J765+J764+J763+J762+J761+J760+J759+J758+J757+J756+J755+J754,0)</f>
        <v>#REF!</v>
      </c>
      <c r="K766" s="29">
        <f t="shared" si="83"/>
        <v>0</v>
      </c>
      <c r="L766" s="29" t="e">
        <f t="shared" si="82"/>
        <v>#REF!</v>
      </c>
      <c r="M766" s="20" t="s">
        <v>6232</v>
      </c>
      <c r="N766" t="s">
        <v>6232</v>
      </c>
      <c r="P766" t="s">
        <v>1662</v>
      </c>
      <c r="Q766" t="s">
        <v>6232</v>
      </c>
      <c r="R766" t="s">
        <v>6232</v>
      </c>
    </row>
    <row r="767" spans="1:61" ht="18.399999999999999" customHeight="1">
      <c r="A767" s="11" t="s">
        <v>2495</v>
      </c>
      <c r="B767" s="2" t="s">
        <v>6232</v>
      </c>
      <c r="C767" s="2"/>
      <c r="D767" s="2" t="s">
        <v>6232</v>
      </c>
      <c r="E767" s="1"/>
      <c r="F767" s="29">
        <v>0</v>
      </c>
      <c r="G767" s="1"/>
      <c r="H767" s="29">
        <v>0</v>
      </c>
      <c r="I767" s="1"/>
      <c r="J767" s="29">
        <v>0</v>
      </c>
      <c r="K767" s="29">
        <f t="shared" si="83"/>
        <v>0</v>
      </c>
      <c r="L767" s="29">
        <f t="shared" si="82"/>
        <v>0</v>
      </c>
      <c r="M767" s="20" t="s">
        <v>6232</v>
      </c>
      <c r="N767" t="s">
        <v>6232</v>
      </c>
      <c r="P767" t="s">
        <v>3359</v>
      </c>
      <c r="Q767" t="s">
        <v>6232</v>
      </c>
      <c r="R767" t="s">
        <v>6232</v>
      </c>
    </row>
    <row r="768" spans="1:61" ht="18.399999999999999" customHeight="1">
      <c r="A768" s="11" t="s">
        <v>5137</v>
      </c>
      <c r="B768" s="2" t="s">
        <v>6232</v>
      </c>
      <c r="C768" s="2"/>
      <c r="D768" s="2" t="s">
        <v>6232</v>
      </c>
      <c r="E768" s="1"/>
      <c r="F768" s="29">
        <v>0</v>
      </c>
      <c r="G768" s="1"/>
      <c r="H768" s="29">
        <v>0</v>
      </c>
      <c r="I768" s="1"/>
      <c r="J768" s="29">
        <v>0</v>
      </c>
      <c r="K768" s="29">
        <f t="shared" si="83"/>
        <v>0</v>
      </c>
      <c r="L768" s="29">
        <f t="shared" si="82"/>
        <v>0</v>
      </c>
      <c r="M768" s="20" t="s">
        <v>6232</v>
      </c>
      <c r="N768" t="s">
        <v>6232</v>
      </c>
      <c r="P768" t="s">
        <v>4935</v>
      </c>
      <c r="Q768" t="s">
        <v>6232</v>
      </c>
      <c r="R768" t="s">
        <v>6232</v>
      </c>
    </row>
    <row r="769" spans="1:61" ht="18.399999999999999" customHeight="1">
      <c r="A769" s="11" t="s">
        <v>1525</v>
      </c>
      <c r="B769" s="2" t="s">
        <v>1572</v>
      </c>
      <c r="C769" s="2">
        <v>1</v>
      </c>
      <c r="D769" s="2" t="s">
        <v>3909</v>
      </c>
      <c r="E769" s="29" t="e">
        <f>일위대가목록!#REF!</f>
        <v>#REF!</v>
      </c>
      <c r="F769" s="29" t="e">
        <f t="shared" ref="F769:F798" si="93">TRUNC(E769*C769,0)</f>
        <v>#REF!</v>
      </c>
      <c r="G769" s="29" t="e">
        <f>일위대가목록!#REF!</f>
        <v>#REF!</v>
      </c>
      <c r="H769" s="29" t="e">
        <f t="shared" ref="H769:H798" si="94">TRUNC(G769*C769,0)</f>
        <v>#REF!</v>
      </c>
      <c r="I769" s="29" t="e">
        <f>일위대가목록!#REF!</f>
        <v>#REF!</v>
      </c>
      <c r="J769" s="29" t="e">
        <f t="shared" ref="J769:J798" si="95">TRUNC(I769*C769,0)</f>
        <v>#REF!</v>
      </c>
      <c r="K769" s="29" t="e">
        <f t="shared" si="83"/>
        <v>#REF!</v>
      </c>
      <c r="L769" s="29" t="e">
        <f t="shared" si="82"/>
        <v>#REF!</v>
      </c>
      <c r="M769" s="20" t="s">
        <v>6232</v>
      </c>
      <c r="N769" t="s">
        <v>6232</v>
      </c>
      <c r="P769" t="s">
        <v>4618</v>
      </c>
      <c r="Q769" t="s">
        <v>6232</v>
      </c>
      <c r="R769" t="s">
        <v>4732</v>
      </c>
      <c r="T769" t="s">
        <v>3860</v>
      </c>
      <c r="BI769" s="52" t="str">
        <f>HYPERLINK("#일위대가목록!A770","SZD0002-100 →")</f>
        <v>SZD0002-100 →</v>
      </c>
    </row>
    <row r="770" spans="1:61" ht="18.399999999999999" customHeight="1">
      <c r="A770" s="11" t="s">
        <v>1525</v>
      </c>
      <c r="B770" s="2" t="s">
        <v>2533</v>
      </c>
      <c r="C770" s="2">
        <v>1</v>
      </c>
      <c r="D770" s="2" t="s">
        <v>3909</v>
      </c>
      <c r="E770" s="29" t="e">
        <f>일위대가목록!#REF!</f>
        <v>#REF!</v>
      </c>
      <c r="F770" s="29" t="e">
        <f t="shared" si="93"/>
        <v>#REF!</v>
      </c>
      <c r="G770" s="29" t="e">
        <f>일위대가목록!#REF!</f>
        <v>#REF!</v>
      </c>
      <c r="H770" s="29" t="e">
        <f t="shared" si="94"/>
        <v>#REF!</v>
      </c>
      <c r="I770" s="29" t="e">
        <f>일위대가목록!#REF!</f>
        <v>#REF!</v>
      </c>
      <c r="J770" s="29" t="e">
        <f t="shared" si="95"/>
        <v>#REF!</v>
      </c>
      <c r="K770" s="29" t="e">
        <f t="shared" si="83"/>
        <v>#REF!</v>
      </c>
      <c r="L770" s="29" t="e">
        <f t="shared" si="82"/>
        <v>#REF!</v>
      </c>
      <c r="M770" s="20" t="s">
        <v>6232</v>
      </c>
      <c r="N770" t="s">
        <v>6232</v>
      </c>
      <c r="P770" t="s">
        <v>6187</v>
      </c>
      <c r="Q770" t="s">
        <v>6232</v>
      </c>
      <c r="R770" t="s">
        <v>5006</v>
      </c>
      <c r="T770" t="s">
        <v>3860</v>
      </c>
      <c r="BI770" s="52" t="str">
        <f>HYPERLINK("#일위대가목록!A771","SZD0002-125 →")</f>
        <v>SZD0002-125 →</v>
      </c>
    </row>
    <row r="771" spans="1:61" ht="18.399999999999999" customHeight="1">
      <c r="A771" s="11" t="s">
        <v>1525</v>
      </c>
      <c r="B771" s="2" t="s">
        <v>4124</v>
      </c>
      <c r="C771" s="2">
        <v>1</v>
      </c>
      <c r="D771" s="2" t="s">
        <v>3909</v>
      </c>
      <c r="E771" s="29" t="e">
        <f>일위대가목록!#REF!</f>
        <v>#REF!</v>
      </c>
      <c r="F771" s="29" t="e">
        <f t="shared" si="93"/>
        <v>#REF!</v>
      </c>
      <c r="G771" s="29" t="e">
        <f>일위대가목록!#REF!</f>
        <v>#REF!</v>
      </c>
      <c r="H771" s="29" t="e">
        <f t="shared" si="94"/>
        <v>#REF!</v>
      </c>
      <c r="I771" s="29" t="e">
        <f>일위대가목록!#REF!</f>
        <v>#REF!</v>
      </c>
      <c r="J771" s="29" t="e">
        <f t="shared" si="95"/>
        <v>#REF!</v>
      </c>
      <c r="K771" s="29" t="e">
        <f t="shared" si="83"/>
        <v>#REF!</v>
      </c>
      <c r="L771" s="29" t="e">
        <f t="shared" si="82"/>
        <v>#REF!</v>
      </c>
      <c r="M771" s="20" t="s">
        <v>6232</v>
      </c>
      <c r="N771" t="s">
        <v>6232</v>
      </c>
      <c r="P771" t="s">
        <v>1460</v>
      </c>
      <c r="Q771" t="s">
        <v>6232</v>
      </c>
      <c r="R771" t="s">
        <v>3243</v>
      </c>
      <c r="T771" t="s">
        <v>3860</v>
      </c>
      <c r="BI771" s="52" t="str">
        <f>HYPERLINK("#일위대가목록!A772","SZD0002-150 →")</f>
        <v>SZD0002-150 →</v>
      </c>
    </row>
    <row r="772" spans="1:61" ht="18.399999999999999" customHeight="1">
      <c r="A772" s="11" t="s">
        <v>1525</v>
      </c>
      <c r="B772" s="2" t="s">
        <v>4196</v>
      </c>
      <c r="C772" s="2">
        <v>1</v>
      </c>
      <c r="D772" s="2" t="s">
        <v>3909</v>
      </c>
      <c r="E772" s="29" t="e">
        <f>일위대가목록!#REF!</f>
        <v>#REF!</v>
      </c>
      <c r="F772" s="29" t="e">
        <f t="shared" si="93"/>
        <v>#REF!</v>
      </c>
      <c r="G772" s="29" t="e">
        <f>일위대가목록!#REF!</f>
        <v>#REF!</v>
      </c>
      <c r="H772" s="29" t="e">
        <f t="shared" si="94"/>
        <v>#REF!</v>
      </c>
      <c r="I772" s="29" t="e">
        <f>일위대가목록!#REF!</f>
        <v>#REF!</v>
      </c>
      <c r="J772" s="29" t="e">
        <f t="shared" si="95"/>
        <v>#REF!</v>
      </c>
      <c r="K772" s="29" t="e">
        <f t="shared" si="83"/>
        <v>#REF!</v>
      </c>
      <c r="L772" s="29" t="e">
        <f t="shared" si="82"/>
        <v>#REF!</v>
      </c>
      <c r="M772" s="20" t="s">
        <v>6232</v>
      </c>
      <c r="N772" t="s">
        <v>6232</v>
      </c>
      <c r="P772" t="s">
        <v>2982</v>
      </c>
      <c r="Q772" t="s">
        <v>6232</v>
      </c>
      <c r="R772" t="s">
        <v>3754</v>
      </c>
      <c r="T772" t="s">
        <v>3860</v>
      </c>
      <c r="BI772" s="52" t="str">
        <f>HYPERLINK("#일위대가목록!A773","SZD0002-200 →")</f>
        <v>SZD0002-200 →</v>
      </c>
    </row>
    <row r="773" spans="1:61" ht="18.399999999999999" customHeight="1">
      <c r="A773" s="11" t="s">
        <v>1525</v>
      </c>
      <c r="B773" s="2" t="s">
        <v>1701</v>
      </c>
      <c r="C773" s="2">
        <v>1</v>
      </c>
      <c r="D773" s="2" t="s">
        <v>3909</v>
      </c>
      <c r="E773" s="29" t="e">
        <f>일위대가목록!#REF!</f>
        <v>#REF!</v>
      </c>
      <c r="F773" s="29" t="e">
        <f t="shared" si="93"/>
        <v>#REF!</v>
      </c>
      <c r="G773" s="29" t="e">
        <f>일위대가목록!#REF!</f>
        <v>#REF!</v>
      </c>
      <c r="H773" s="29" t="e">
        <f t="shared" si="94"/>
        <v>#REF!</v>
      </c>
      <c r="I773" s="29" t="e">
        <f>일위대가목록!#REF!</f>
        <v>#REF!</v>
      </c>
      <c r="J773" s="29" t="e">
        <f t="shared" si="95"/>
        <v>#REF!</v>
      </c>
      <c r="K773" s="29" t="e">
        <f t="shared" si="83"/>
        <v>#REF!</v>
      </c>
      <c r="L773" s="29" t="e">
        <f t="shared" si="82"/>
        <v>#REF!</v>
      </c>
      <c r="M773" s="20" t="s">
        <v>6232</v>
      </c>
      <c r="N773" t="s">
        <v>6232</v>
      </c>
      <c r="P773" t="s">
        <v>4530</v>
      </c>
      <c r="Q773" t="s">
        <v>6232</v>
      </c>
      <c r="R773" t="s">
        <v>5410</v>
      </c>
      <c r="T773" t="s">
        <v>3860</v>
      </c>
      <c r="BI773" s="52" t="str">
        <f>HYPERLINK("#일위대가목록!A774","SZD0002-250 →")</f>
        <v>SZD0002-250 →</v>
      </c>
    </row>
    <row r="774" spans="1:61" ht="18.399999999999999" customHeight="1">
      <c r="A774" s="11" t="s">
        <v>1525</v>
      </c>
      <c r="B774" s="2" t="s">
        <v>4894</v>
      </c>
      <c r="C774" s="2">
        <v>1</v>
      </c>
      <c r="D774" s="2" t="s">
        <v>3909</v>
      </c>
      <c r="E774" s="29" t="e">
        <f>일위대가목록!#REF!</f>
        <v>#REF!</v>
      </c>
      <c r="F774" s="29" t="e">
        <f t="shared" si="93"/>
        <v>#REF!</v>
      </c>
      <c r="G774" s="29" t="e">
        <f>일위대가목록!#REF!</f>
        <v>#REF!</v>
      </c>
      <c r="H774" s="29" t="e">
        <f t="shared" si="94"/>
        <v>#REF!</v>
      </c>
      <c r="I774" s="29" t="e">
        <f>일위대가목록!#REF!</f>
        <v>#REF!</v>
      </c>
      <c r="J774" s="29" t="e">
        <f t="shared" si="95"/>
        <v>#REF!</v>
      </c>
      <c r="K774" s="29" t="e">
        <f t="shared" si="83"/>
        <v>#REF!</v>
      </c>
      <c r="L774" s="29" t="e">
        <f t="shared" si="82"/>
        <v>#REF!</v>
      </c>
      <c r="M774" s="20" t="s">
        <v>6232</v>
      </c>
      <c r="N774" t="s">
        <v>6232</v>
      </c>
      <c r="P774" t="s">
        <v>6091</v>
      </c>
      <c r="Q774" t="s">
        <v>6232</v>
      </c>
      <c r="R774" t="s">
        <v>4213</v>
      </c>
      <c r="T774" t="s">
        <v>3860</v>
      </c>
      <c r="BI774" s="52" t="str">
        <f>HYPERLINK("#일위대가목록!A775","SZD0002-300 →")</f>
        <v>SZD0002-300 →</v>
      </c>
    </row>
    <row r="775" spans="1:61" ht="18.399999999999999" customHeight="1">
      <c r="A775" s="11" t="s">
        <v>1525</v>
      </c>
      <c r="B775" s="2" t="s">
        <v>809</v>
      </c>
      <c r="C775" s="2">
        <v>1</v>
      </c>
      <c r="D775" s="2" t="s">
        <v>3909</v>
      </c>
      <c r="E775" s="29" t="e">
        <f>일위대가목록!#REF!</f>
        <v>#REF!</v>
      </c>
      <c r="F775" s="29" t="e">
        <f t="shared" si="93"/>
        <v>#REF!</v>
      </c>
      <c r="G775" s="29" t="e">
        <f>일위대가목록!#REF!</f>
        <v>#REF!</v>
      </c>
      <c r="H775" s="29" t="e">
        <f t="shared" si="94"/>
        <v>#REF!</v>
      </c>
      <c r="I775" s="29" t="e">
        <f>일위대가목록!#REF!</f>
        <v>#REF!</v>
      </c>
      <c r="J775" s="29" t="e">
        <f t="shared" si="95"/>
        <v>#REF!</v>
      </c>
      <c r="K775" s="29" t="e">
        <f t="shared" si="83"/>
        <v>#REF!</v>
      </c>
      <c r="L775" s="29" t="e">
        <f t="shared" si="82"/>
        <v>#REF!</v>
      </c>
      <c r="M775" s="20" t="s">
        <v>6232</v>
      </c>
      <c r="N775" t="s">
        <v>6232</v>
      </c>
      <c r="P775" t="s">
        <v>1372</v>
      </c>
      <c r="Q775" t="s">
        <v>6232</v>
      </c>
      <c r="R775" t="s">
        <v>5656</v>
      </c>
      <c r="T775" t="s">
        <v>3860</v>
      </c>
      <c r="BI775" s="52" t="str">
        <f>HYPERLINK("#일위대가목록!A776","SZD0002-350 →")</f>
        <v>SZD0002-350 →</v>
      </c>
    </row>
    <row r="776" spans="1:61" ht="18.399999999999999" customHeight="1">
      <c r="A776" s="11" t="s">
        <v>1525</v>
      </c>
      <c r="B776" s="2" t="s">
        <v>2715</v>
      </c>
      <c r="C776" s="2">
        <v>1</v>
      </c>
      <c r="D776" s="2" t="s">
        <v>3909</v>
      </c>
      <c r="E776" s="29" t="e">
        <f>일위대가목록!#REF!</f>
        <v>#REF!</v>
      </c>
      <c r="F776" s="29" t="e">
        <f t="shared" si="93"/>
        <v>#REF!</v>
      </c>
      <c r="G776" s="29" t="e">
        <f>일위대가목록!#REF!</f>
        <v>#REF!</v>
      </c>
      <c r="H776" s="29" t="e">
        <f t="shared" si="94"/>
        <v>#REF!</v>
      </c>
      <c r="I776" s="29" t="e">
        <f>일위대가목록!#REF!</f>
        <v>#REF!</v>
      </c>
      <c r="J776" s="29" t="e">
        <f t="shared" si="95"/>
        <v>#REF!</v>
      </c>
      <c r="K776" s="29" t="e">
        <f t="shared" si="83"/>
        <v>#REF!</v>
      </c>
      <c r="L776" s="29" t="e">
        <f t="shared" si="82"/>
        <v>#REF!</v>
      </c>
      <c r="M776" s="20" t="s">
        <v>6232</v>
      </c>
      <c r="N776" t="s">
        <v>6232</v>
      </c>
      <c r="P776" t="s">
        <v>2904</v>
      </c>
      <c r="Q776" t="s">
        <v>6232</v>
      </c>
      <c r="R776" t="s">
        <v>980</v>
      </c>
      <c r="T776" t="s">
        <v>3860</v>
      </c>
      <c r="BI776" s="52" t="str">
        <f>HYPERLINK("#일위대가목록!A777","SZD0002-400 →")</f>
        <v>SZD0002-400 →</v>
      </c>
    </row>
    <row r="777" spans="1:61" ht="18.399999999999999" customHeight="1">
      <c r="A777" s="11" t="s">
        <v>1525</v>
      </c>
      <c r="B777" s="2" t="s">
        <v>3764</v>
      </c>
      <c r="C777" s="2">
        <v>1</v>
      </c>
      <c r="D777" s="2" t="s">
        <v>3909</v>
      </c>
      <c r="E777" s="29" t="e">
        <f>일위대가목록!#REF!</f>
        <v>#REF!</v>
      </c>
      <c r="F777" s="29" t="e">
        <f t="shared" si="93"/>
        <v>#REF!</v>
      </c>
      <c r="G777" s="29" t="e">
        <f>일위대가목록!#REF!</f>
        <v>#REF!</v>
      </c>
      <c r="H777" s="29" t="e">
        <f t="shared" si="94"/>
        <v>#REF!</v>
      </c>
      <c r="I777" s="29" t="e">
        <f>일위대가목록!#REF!</f>
        <v>#REF!</v>
      </c>
      <c r="J777" s="29" t="e">
        <f t="shared" si="95"/>
        <v>#REF!</v>
      </c>
      <c r="K777" s="29" t="e">
        <f t="shared" si="83"/>
        <v>#REF!</v>
      </c>
      <c r="L777" s="29" t="e">
        <f t="shared" ref="L777:L840" si="96">F777+H777+J777</f>
        <v>#REF!</v>
      </c>
      <c r="M777" s="20" t="s">
        <v>6232</v>
      </c>
      <c r="N777" t="s">
        <v>6232</v>
      </c>
      <c r="P777" t="s">
        <v>4438</v>
      </c>
      <c r="Q777" t="s">
        <v>6232</v>
      </c>
      <c r="R777" t="s">
        <v>2639</v>
      </c>
      <c r="T777" t="s">
        <v>3860</v>
      </c>
      <c r="BI777" s="52" t="str">
        <f>HYPERLINK("#일위대가목록!A778","SZD0002-450 →")</f>
        <v>SZD0002-450 →</v>
      </c>
    </row>
    <row r="778" spans="1:61" ht="18.399999999999999" customHeight="1">
      <c r="A778" s="11" t="s">
        <v>1525</v>
      </c>
      <c r="B778" s="2" t="s">
        <v>524</v>
      </c>
      <c r="C778" s="2">
        <v>1</v>
      </c>
      <c r="D778" s="2" t="s">
        <v>3909</v>
      </c>
      <c r="E778" s="29" t="e">
        <f>일위대가목록!#REF!</f>
        <v>#REF!</v>
      </c>
      <c r="F778" s="29" t="e">
        <f t="shared" si="93"/>
        <v>#REF!</v>
      </c>
      <c r="G778" s="29" t="e">
        <f>일위대가목록!#REF!</f>
        <v>#REF!</v>
      </c>
      <c r="H778" s="29" t="e">
        <f t="shared" si="94"/>
        <v>#REF!</v>
      </c>
      <c r="I778" s="29" t="e">
        <f>일위대가목록!#REF!</f>
        <v>#REF!</v>
      </c>
      <c r="J778" s="29" t="e">
        <f t="shared" si="95"/>
        <v>#REF!</v>
      </c>
      <c r="K778" s="29" t="e">
        <f t="shared" ref="K778:K841" si="97">E778+G778+I778</f>
        <v>#REF!</v>
      </c>
      <c r="L778" s="29" t="e">
        <f t="shared" si="96"/>
        <v>#REF!</v>
      </c>
      <c r="M778" s="20" t="s">
        <v>6232</v>
      </c>
      <c r="N778" t="s">
        <v>6232</v>
      </c>
      <c r="P778" t="s">
        <v>5986</v>
      </c>
      <c r="Q778" t="s">
        <v>6232</v>
      </c>
      <c r="R778" t="s">
        <v>763</v>
      </c>
      <c r="T778" t="s">
        <v>3860</v>
      </c>
      <c r="BI778" s="52" t="str">
        <f>HYPERLINK("#일위대가목록!A779","SZD0002-500 →")</f>
        <v>SZD0002-500 →</v>
      </c>
    </row>
    <row r="779" spans="1:61" ht="18.399999999999999" customHeight="1">
      <c r="A779" s="11" t="s">
        <v>1525</v>
      </c>
      <c r="B779" s="2" t="s">
        <v>6191</v>
      </c>
      <c r="C779" s="2">
        <v>1</v>
      </c>
      <c r="D779" s="2" t="s">
        <v>3909</v>
      </c>
      <c r="E779" s="29" t="e">
        <f>일위대가목록!#REF!</f>
        <v>#REF!</v>
      </c>
      <c r="F779" s="29" t="e">
        <f t="shared" si="93"/>
        <v>#REF!</v>
      </c>
      <c r="G779" s="29" t="e">
        <f>일위대가목록!#REF!</f>
        <v>#REF!</v>
      </c>
      <c r="H779" s="29" t="e">
        <f t="shared" si="94"/>
        <v>#REF!</v>
      </c>
      <c r="I779" s="29" t="e">
        <f>일위대가목록!#REF!</f>
        <v>#REF!</v>
      </c>
      <c r="J779" s="29" t="e">
        <f t="shared" si="95"/>
        <v>#REF!</v>
      </c>
      <c r="K779" s="29" t="e">
        <f t="shared" si="97"/>
        <v>#REF!</v>
      </c>
      <c r="L779" s="29" t="e">
        <f t="shared" si="96"/>
        <v>#REF!</v>
      </c>
      <c r="M779" s="20" t="s">
        <v>6232</v>
      </c>
      <c r="N779" t="s">
        <v>6232</v>
      </c>
      <c r="P779" t="s">
        <v>3283</v>
      </c>
      <c r="Q779" t="s">
        <v>6232</v>
      </c>
      <c r="R779" t="s">
        <v>2165</v>
      </c>
      <c r="T779" t="s">
        <v>3860</v>
      </c>
      <c r="BI779" s="52" t="str">
        <f>HYPERLINK("#일위대가목록!A780","SZD0002-550 →")</f>
        <v>SZD0002-550 →</v>
      </c>
    </row>
    <row r="780" spans="1:61" ht="18.399999999999999" customHeight="1">
      <c r="A780" s="11" t="s">
        <v>1525</v>
      </c>
      <c r="B780" s="2" t="s">
        <v>6105</v>
      </c>
      <c r="C780" s="2">
        <v>1</v>
      </c>
      <c r="D780" s="2" t="s">
        <v>3909</v>
      </c>
      <c r="E780" s="29" t="e">
        <f>일위대가목록!#REF!</f>
        <v>#REF!</v>
      </c>
      <c r="F780" s="29" t="e">
        <f t="shared" si="93"/>
        <v>#REF!</v>
      </c>
      <c r="G780" s="29" t="e">
        <f>일위대가목록!#REF!</f>
        <v>#REF!</v>
      </c>
      <c r="H780" s="29" t="e">
        <f t="shared" si="94"/>
        <v>#REF!</v>
      </c>
      <c r="I780" s="29" t="e">
        <f>일위대가목록!#REF!</f>
        <v>#REF!</v>
      </c>
      <c r="J780" s="29" t="e">
        <f t="shared" si="95"/>
        <v>#REF!</v>
      </c>
      <c r="K780" s="29" t="e">
        <f t="shared" si="97"/>
        <v>#REF!</v>
      </c>
      <c r="L780" s="29" t="e">
        <f t="shared" si="96"/>
        <v>#REF!</v>
      </c>
      <c r="M780" s="20" t="s">
        <v>6232</v>
      </c>
      <c r="N780" t="s">
        <v>6232</v>
      </c>
      <c r="P780" t="s">
        <v>4880</v>
      </c>
      <c r="Q780" t="s">
        <v>6232</v>
      </c>
      <c r="R780" t="s">
        <v>1667</v>
      </c>
      <c r="T780" t="s">
        <v>3860</v>
      </c>
      <c r="BI780" s="52" t="str">
        <f>HYPERLINK("#일위대가목록!A781","SZD0002-600 →")</f>
        <v>SZD0002-600 →</v>
      </c>
    </row>
    <row r="781" spans="1:61" ht="18.399999999999999" customHeight="1">
      <c r="A781" s="11" t="s">
        <v>1525</v>
      </c>
      <c r="B781" s="2" t="s">
        <v>397</v>
      </c>
      <c r="C781" s="2">
        <v>1</v>
      </c>
      <c r="D781" s="2" t="s">
        <v>3909</v>
      </c>
      <c r="E781" s="29" t="e">
        <f>일위대가목록!#REF!</f>
        <v>#REF!</v>
      </c>
      <c r="F781" s="29" t="e">
        <f t="shared" si="93"/>
        <v>#REF!</v>
      </c>
      <c r="G781" s="29" t="e">
        <f>일위대가목록!#REF!</f>
        <v>#REF!</v>
      </c>
      <c r="H781" s="29" t="e">
        <f t="shared" si="94"/>
        <v>#REF!</v>
      </c>
      <c r="I781" s="29" t="e">
        <f>일위대가목록!#REF!</f>
        <v>#REF!</v>
      </c>
      <c r="J781" s="29" t="e">
        <f t="shared" si="95"/>
        <v>#REF!</v>
      </c>
      <c r="K781" s="29" t="e">
        <f t="shared" si="97"/>
        <v>#REF!</v>
      </c>
      <c r="L781" s="29" t="e">
        <f t="shared" si="96"/>
        <v>#REF!</v>
      </c>
      <c r="M781" s="20" t="s">
        <v>6232</v>
      </c>
      <c r="N781" t="s">
        <v>6232</v>
      </c>
      <c r="P781" t="s">
        <v>226</v>
      </c>
      <c r="Q781" t="s">
        <v>6232</v>
      </c>
      <c r="R781" t="s">
        <v>80</v>
      </c>
      <c r="T781" t="s">
        <v>3860</v>
      </c>
      <c r="BI781" s="52" t="str">
        <f>HYPERLINK("#일위대가목록!A782","SZD0002-650 →")</f>
        <v>SZD0002-650 →</v>
      </c>
    </row>
    <row r="782" spans="1:61" ht="18.399999999999999" customHeight="1">
      <c r="A782" s="11" t="s">
        <v>1525</v>
      </c>
      <c r="B782" s="2" t="s">
        <v>3826</v>
      </c>
      <c r="C782" s="2">
        <v>1</v>
      </c>
      <c r="D782" s="2" t="s">
        <v>3909</v>
      </c>
      <c r="E782" s="29" t="e">
        <f>일위대가목록!#REF!</f>
        <v>#REF!</v>
      </c>
      <c r="F782" s="29" t="e">
        <f t="shared" si="93"/>
        <v>#REF!</v>
      </c>
      <c r="G782" s="29" t="e">
        <f>일위대가목록!#REF!</f>
        <v>#REF!</v>
      </c>
      <c r="H782" s="29" t="e">
        <f t="shared" si="94"/>
        <v>#REF!</v>
      </c>
      <c r="I782" s="29" t="e">
        <f>일위대가목록!#REF!</f>
        <v>#REF!</v>
      </c>
      <c r="J782" s="29" t="e">
        <f t="shared" si="95"/>
        <v>#REF!</v>
      </c>
      <c r="K782" s="29" t="e">
        <f t="shared" si="97"/>
        <v>#REF!</v>
      </c>
      <c r="L782" s="29" t="e">
        <f t="shared" si="96"/>
        <v>#REF!</v>
      </c>
      <c r="M782" s="20" t="s">
        <v>6232</v>
      </c>
      <c r="N782" t="s">
        <v>6232</v>
      </c>
      <c r="P782" t="s">
        <v>1794</v>
      </c>
      <c r="Q782" t="s">
        <v>6232</v>
      </c>
      <c r="R782" t="s">
        <v>2719</v>
      </c>
      <c r="T782" t="s">
        <v>3860</v>
      </c>
      <c r="BI782" s="52" t="str">
        <f>HYPERLINK("#일위대가목록!A783","SZD0002-700 →")</f>
        <v>SZD0002-700 →</v>
      </c>
    </row>
    <row r="783" spans="1:61" ht="18.399999999999999" customHeight="1">
      <c r="A783" s="11" t="s">
        <v>1525</v>
      </c>
      <c r="B783" s="2" t="s">
        <v>2823</v>
      </c>
      <c r="C783" s="2">
        <v>1</v>
      </c>
      <c r="D783" s="2" t="s">
        <v>3909</v>
      </c>
      <c r="E783" s="29" t="e">
        <f>일위대가목록!#REF!</f>
        <v>#REF!</v>
      </c>
      <c r="F783" s="29" t="e">
        <f t="shared" si="93"/>
        <v>#REF!</v>
      </c>
      <c r="G783" s="29" t="e">
        <f>일위대가목록!#REF!</f>
        <v>#REF!</v>
      </c>
      <c r="H783" s="29" t="e">
        <f t="shared" si="94"/>
        <v>#REF!</v>
      </c>
      <c r="I783" s="29" t="e">
        <f>일위대가목록!#REF!</f>
        <v>#REF!</v>
      </c>
      <c r="J783" s="29" t="e">
        <f t="shared" si="95"/>
        <v>#REF!</v>
      </c>
      <c r="K783" s="29" t="e">
        <f t="shared" si="97"/>
        <v>#REF!</v>
      </c>
      <c r="L783" s="29" t="e">
        <f t="shared" si="96"/>
        <v>#REF!</v>
      </c>
      <c r="M783" s="20" t="s">
        <v>6232</v>
      </c>
      <c r="N783" t="s">
        <v>6232</v>
      </c>
      <c r="P783" t="s">
        <v>3394</v>
      </c>
      <c r="Q783" t="s">
        <v>6232</v>
      </c>
      <c r="R783" t="s">
        <v>1267</v>
      </c>
      <c r="T783" t="s">
        <v>3860</v>
      </c>
      <c r="BI783" s="52" t="str">
        <f>HYPERLINK("#일위대가목록!A784","SZD0002-750 →")</f>
        <v>SZD0002-750 →</v>
      </c>
    </row>
    <row r="784" spans="1:61" ht="18.399999999999999" customHeight="1">
      <c r="A784" s="11" t="s">
        <v>3784</v>
      </c>
      <c r="B784" s="2" t="s">
        <v>1572</v>
      </c>
      <c r="C784" s="2">
        <v>1</v>
      </c>
      <c r="D784" s="2" t="s">
        <v>3909</v>
      </c>
      <c r="E784" s="29" t="e">
        <f>일위대가목록!#REF!</f>
        <v>#REF!</v>
      </c>
      <c r="F784" s="29" t="e">
        <f t="shared" si="93"/>
        <v>#REF!</v>
      </c>
      <c r="G784" s="29" t="e">
        <f>일위대가목록!#REF!</f>
        <v>#REF!</v>
      </c>
      <c r="H784" s="29" t="e">
        <f t="shared" si="94"/>
        <v>#REF!</v>
      </c>
      <c r="I784" s="29" t="e">
        <f>일위대가목록!#REF!</f>
        <v>#REF!</v>
      </c>
      <c r="J784" s="29" t="e">
        <f t="shared" si="95"/>
        <v>#REF!</v>
      </c>
      <c r="K784" s="29" t="e">
        <f t="shared" si="97"/>
        <v>#REF!</v>
      </c>
      <c r="L784" s="29" t="e">
        <f t="shared" si="96"/>
        <v>#REF!</v>
      </c>
      <c r="M784" s="20" t="s">
        <v>6232</v>
      </c>
      <c r="N784" t="s">
        <v>6232</v>
      </c>
      <c r="P784" t="s">
        <v>4988</v>
      </c>
      <c r="Q784" t="s">
        <v>6232</v>
      </c>
      <c r="R784" t="s">
        <v>456</v>
      </c>
      <c r="T784" t="s">
        <v>3860</v>
      </c>
      <c r="BI784" s="52" t="str">
        <f>HYPERLINK("#일위대가목록!A785","SZD0001-100 →")</f>
        <v>SZD0001-100 →</v>
      </c>
    </row>
    <row r="785" spans="1:61" ht="18.399999999999999" customHeight="1">
      <c r="A785" s="11" t="s">
        <v>3784</v>
      </c>
      <c r="B785" s="2" t="s">
        <v>2533</v>
      </c>
      <c r="C785" s="2">
        <v>1</v>
      </c>
      <c r="D785" s="2" t="s">
        <v>3909</v>
      </c>
      <c r="E785" s="29" t="e">
        <f>일위대가목록!#REF!</f>
        <v>#REF!</v>
      </c>
      <c r="F785" s="29" t="e">
        <f t="shared" si="93"/>
        <v>#REF!</v>
      </c>
      <c r="G785" s="29" t="e">
        <f>일위대가목록!#REF!</f>
        <v>#REF!</v>
      </c>
      <c r="H785" s="29" t="e">
        <f t="shared" si="94"/>
        <v>#REF!</v>
      </c>
      <c r="I785" s="29" t="e">
        <f>일위대가목록!#REF!</f>
        <v>#REF!</v>
      </c>
      <c r="J785" s="29" t="e">
        <f t="shared" si="95"/>
        <v>#REF!</v>
      </c>
      <c r="K785" s="29" t="e">
        <f t="shared" si="97"/>
        <v>#REF!</v>
      </c>
      <c r="L785" s="29" t="e">
        <f t="shared" si="96"/>
        <v>#REF!</v>
      </c>
      <c r="M785" s="20" t="s">
        <v>6232</v>
      </c>
      <c r="N785" t="s">
        <v>6232</v>
      </c>
      <c r="P785" t="s">
        <v>326</v>
      </c>
      <c r="Q785" t="s">
        <v>6232</v>
      </c>
      <c r="R785" t="s">
        <v>739</v>
      </c>
      <c r="T785" t="s">
        <v>3860</v>
      </c>
      <c r="BI785" s="52" t="str">
        <f>HYPERLINK("#일위대가목록!A786","SZD0001-125 →")</f>
        <v>SZD0001-125 →</v>
      </c>
    </row>
    <row r="786" spans="1:61" ht="18.399999999999999" customHeight="1">
      <c r="A786" s="11" t="s">
        <v>3784</v>
      </c>
      <c r="B786" s="2" t="s">
        <v>4124</v>
      </c>
      <c r="C786" s="2">
        <v>1</v>
      </c>
      <c r="D786" s="2" t="s">
        <v>3909</v>
      </c>
      <c r="E786" s="29" t="e">
        <f>일위대가목록!#REF!</f>
        <v>#REF!</v>
      </c>
      <c r="F786" s="29" t="e">
        <f t="shared" si="93"/>
        <v>#REF!</v>
      </c>
      <c r="G786" s="29" t="e">
        <f>일위대가목록!#REF!</f>
        <v>#REF!</v>
      </c>
      <c r="H786" s="29" t="e">
        <f t="shared" si="94"/>
        <v>#REF!</v>
      </c>
      <c r="I786" s="29" t="e">
        <f>일위대가목록!#REF!</f>
        <v>#REF!</v>
      </c>
      <c r="J786" s="29" t="e">
        <f t="shared" si="95"/>
        <v>#REF!</v>
      </c>
      <c r="K786" s="29" t="e">
        <f t="shared" si="97"/>
        <v>#REF!</v>
      </c>
      <c r="L786" s="29" t="e">
        <f t="shared" si="96"/>
        <v>#REF!</v>
      </c>
      <c r="M786" s="20" t="s">
        <v>6232</v>
      </c>
      <c r="N786" t="s">
        <v>6232</v>
      </c>
      <c r="P786" t="s">
        <v>1903</v>
      </c>
      <c r="Q786" t="s">
        <v>6232</v>
      </c>
      <c r="R786" t="s">
        <v>2083</v>
      </c>
      <c r="T786" t="s">
        <v>3860</v>
      </c>
      <c r="BI786" s="52" t="str">
        <f>HYPERLINK("#일위대가목록!A787","SZD0001-150 →")</f>
        <v>SZD0001-150 →</v>
      </c>
    </row>
    <row r="787" spans="1:61" ht="18.399999999999999" customHeight="1">
      <c r="A787" s="11" t="s">
        <v>3784</v>
      </c>
      <c r="B787" s="2" t="s">
        <v>4196</v>
      </c>
      <c r="C787" s="2">
        <v>1</v>
      </c>
      <c r="D787" s="2" t="s">
        <v>3909</v>
      </c>
      <c r="E787" s="29" t="e">
        <f>일위대가목록!#REF!</f>
        <v>#REF!</v>
      </c>
      <c r="F787" s="29" t="e">
        <f t="shared" si="93"/>
        <v>#REF!</v>
      </c>
      <c r="G787" s="29" t="e">
        <f>일위대가목록!#REF!</f>
        <v>#REF!</v>
      </c>
      <c r="H787" s="29" t="e">
        <f t="shared" si="94"/>
        <v>#REF!</v>
      </c>
      <c r="I787" s="29" t="e">
        <f>일위대가목록!#REF!</f>
        <v>#REF!</v>
      </c>
      <c r="J787" s="29" t="e">
        <f t="shared" si="95"/>
        <v>#REF!</v>
      </c>
      <c r="K787" s="29" t="e">
        <f t="shared" si="97"/>
        <v>#REF!</v>
      </c>
      <c r="L787" s="29" t="e">
        <f t="shared" si="96"/>
        <v>#REF!</v>
      </c>
      <c r="M787" s="20" t="s">
        <v>6232</v>
      </c>
      <c r="N787" t="s">
        <v>6232</v>
      </c>
      <c r="P787" t="s">
        <v>3090</v>
      </c>
      <c r="Q787" t="s">
        <v>6232</v>
      </c>
      <c r="R787" t="s">
        <v>1776</v>
      </c>
      <c r="T787" t="s">
        <v>3860</v>
      </c>
      <c r="BI787" s="52" t="str">
        <f>HYPERLINK("#일위대가목록!A788","SZD0001-200 →")</f>
        <v>SZD0001-200 →</v>
      </c>
    </row>
    <row r="788" spans="1:61" ht="18.399999999999999" customHeight="1">
      <c r="A788" s="11" t="s">
        <v>3784</v>
      </c>
      <c r="B788" s="2" t="s">
        <v>1701</v>
      </c>
      <c r="C788" s="2">
        <v>1</v>
      </c>
      <c r="D788" s="2" t="s">
        <v>3909</v>
      </c>
      <c r="E788" s="29" t="e">
        <f>일위대가목록!#REF!</f>
        <v>#REF!</v>
      </c>
      <c r="F788" s="29" t="e">
        <f t="shared" si="93"/>
        <v>#REF!</v>
      </c>
      <c r="G788" s="29" t="e">
        <f>일위대가목록!#REF!</f>
        <v>#REF!</v>
      </c>
      <c r="H788" s="29" t="e">
        <f t="shared" si="94"/>
        <v>#REF!</v>
      </c>
      <c r="I788" s="29" t="e">
        <f>일위대가목록!#REF!</f>
        <v>#REF!</v>
      </c>
      <c r="J788" s="29" t="e">
        <f t="shared" si="95"/>
        <v>#REF!</v>
      </c>
      <c r="K788" s="29" t="e">
        <f t="shared" si="97"/>
        <v>#REF!</v>
      </c>
      <c r="L788" s="29" t="e">
        <f t="shared" si="96"/>
        <v>#REF!</v>
      </c>
      <c r="M788" s="20" t="s">
        <v>6232</v>
      </c>
      <c r="N788" t="s">
        <v>6232</v>
      </c>
      <c r="P788" t="s">
        <v>4704</v>
      </c>
      <c r="Q788" t="s">
        <v>6232</v>
      </c>
      <c r="R788" t="s">
        <v>343</v>
      </c>
      <c r="T788" t="s">
        <v>3860</v>
      </c>
      <c r="BI788" s="52" t="str">
        <f>HYPERLINK("#일위대가목록!A789","SZD0001-250 →")</f>
        <v>SZD0001-250 →</v>
      </c>
    </row>
    <row r="789" spans="1:61" ht="18.399999999999999" customHeight="1">
      <c r="A789" s="11" t="s">
        <v>3784</v>
      </c>
      <c r="B789" s="2" t="s">
        <v>4894</v>
      </c>
      <c r="C789" s="2">
        <v>1</v>
      </c>
      <c r="D789" s="2" t="s">
        <v>3909</v>
      </c>
      <c r="E789" s="29">
        <f>일위대가목록!F3</f>
        <v>10581357</v>
      </c>
      <c r="F789" s="29">
        <f t="shared" si="93"/>
        <v>10581357</v>
      </c>
      <c r="G789" s="29">
        <f>일위대가목록!G3</f>
        <v>2096589</v>
      </c>
      <c r="H789" s="29">
        <f t="shared" si="94"/>
        <v>2096589</v>
      </c>
      <c r="I789" s="29">
        <f>일위대가목록!H3</f>
        <v>699695</v>
      </c>
      <c r="J789" s="29">
        <f t="shared" si="95"/>
        <v>699695</v>
      </c>
      <c r="K789" s="29">
        <f t="shared" si="97"/>
        <v>13377641</v>
      </c>
      <c r="L789" s="29">
        <f t="shared" si="96"/>
        <v>13377641</v>
      </c>
      <c r="M789" s="20" t="s">
        <v>6232</v>
      </c>
      <c r="N789" t="s">
        <v>6232</v>
      </c>
      <c r="P789" t="s">
        <v>4506</v>
      </c>
      <c r="Q789" t="s">
        <v>6232</v>
      </c>
      <c r="R789" t="s">
        <v>3028</v>
      </c>
      <c r="T789" t="s">
        <v>3860</v>
      </c>
      <c r="BI789" s="52" t="str">
        <f>HYPERLINK("#일위대가목록!A790","SZD0001-300 →")</f>
        <v>SZD0001-300 →</v>
      </c>
    </row>
    <row r="790" spans="1:61" ht="18.399999999999999" customHeight="1">
      <c r="A790" s="11" t="s">
        <v>3784</v>
      </c>
      <c r="B790" s="2" t="s">
        <v>809</v>
      </c>
      <c r="C790" s="2">
        <v>1</v>
      </c>
      <c r="D790" s="2" t="s">
        <v>3909</v>
      </c>
      <c r="E790" s="29" t="e">
        <f>일위대가목록!#REF!</f>
        <v>#REF!</v>
      </c>
      <c r="F790" s="29" t="e">
        <f t="shared" si="93"/>
        <v>#REF!</v>
      </c>
      <c r="G790" s="29" t="e">
        <f>일위대가목록!#REF!</f>
        <v>#REF!</v>
      </c>
      <c r="H790" s="29" t="e">
        <f t="shared" si="94"/>
        <v>#REF!</v>
      </c>
      <c r="I790" s="29" t="e">
        <f>일위대가목록!#REF!</f>
        <v>#REF!</v>
      </c>
      <c r="J790" s="29" t="e">
        <f t="shared" si="95"/>
        <v>#REF!</v>
      </c>
      <c r="K790" s="29" t="e">
        <f t="shared" si="97"/>
        <v>#REF!</v>
      </c>
      <c r="L790" s="29" t="e">
        <f t="shared" si="96"/>
        <v>#REF!</v>
      </c>
      <c r="M790" s="20" t="s">
        <v>6232</v>
      </c>
      <c r="N790" t="s">
        <v>6232</v>
      </c>
      <c r="P790" t="s">
        <v>6128</v>
      </c>
      <c r="Q790" t="s">
        <v>6232</v>
      </c>
      <c r="R790" t="s">
        <v>1336</v>
      </c>
      <c r="T790" t="s">
        <v>3860</v>
      </c>
      <c r="BI790" s="52" t="str">
        <f>HYPERLINK("#일위대가목록!A791","SZD0001-350 →")</f>
        <v>SZD0001-350 →</v>
      </c>
    </row>
    <row r="791" spans="1:61" ht="18.399999999999999" customHeight="1">
      <c r="A791" s="11" t="s">
        <v>3784</v>
      </c>
      <c r="B791" s="2" t="s">
        <v>2715</v>
      </c>
      <c r="C791" s="2">
        <v>1</v>
      </c>
      <c r="D791" s="2" t="s">
        <v>3909</v>
      </c>
      <c r="E791" s="29" t="e">
        <f>일위대가목록!#REF!</f>
        <v>#REF!</v>
      </c>
      <c r="F791" s="29" t="e">
        <f t="shared" si="93"/>
        <v>#REF!</v>
      </c>
      <c r="G791" s="29" t="e">
        <f>일위대가목록!#REF!</f>
        <v>#REF!</v>
      </c>
      <c r="H791" s="29" t="e">
        <f t="shared" si="94"/>
        <v>#REF!</v>
      </c>
      <c r="I791" s="29" t="e">
        <f>일위대가목록!#REF!</f>
        <v>#REF!</v>
      </c>
      <c r="J791" s="29" t="e">
        <f t="shared" si="95"/>
        <v>#REF!</v>
      </c>
      <c r="K791" s="29" t="e">
        <f t="shared" si="97"/>
        <v>#REF!</v>
      </c>
      <c r="L791" s="29" t="e">
        <f t="shared" si="96"/>
        <v>#REF!</v>
      </c>
      <c r="M791" s="20" t="s">
        <v>6232</v>
      </c>
      <c r="N791" t="s">
        <v>6232</v>
      </c>
      <c r="P791" t="s">
        <v>1357</v>
      </c>
      <c r="Q791" t="s">
        <v>6232</v>
      </c>
      <c r="R791" t="s">
        <v>6043</v>
      </c>
      <c r="T791" t="s">
        <v>3860</v>
      </c>
      <c r="BI791" s="52" t="str">
        <f>HYPERLINK("#일위대가목록!A792","SZD0001-400 →")</f>
        <v>SZD0001-400 →</v>
      </c>
    </row>
    <row r="792" spans="1:61" ht="18.399999999999999" customHeight="1">
      <c r="A792" s="11" t="s">
        <v>3784</v>
      </c>
      <c r="B792" s="2" t="s">
        <v>3764</v>
      </c>
      <c r="C792" s="2">
        <v>1</v>
      </c>
      <c r="D792" s="2" t="s">
        <v>3909</v>
      </c>
      <c r="E792" s="29">
        <f>일위대가목록!F4</f>
        <v>20995856</v>
      </c>
      <c r="F792" s="29">
        <f t="shared" si="93"/>
        <v>20995856</v>
      </c>
      <c r="G792" s="29">
        <f>일위대가목록!G4</f>
        <v>2897828</v>
      </c>
      <c r="H792" s="29">
        <f t="shared" si="94"/>
        <v>2897828</v>
      </c>
      <c r="I792" s="29">
        <f>일위대가목록!H4</f>
        <v>783296</v>
      </c>
      <c r="J792" s="29">
        <f t="shared" si="95"/>
        <v>783296</v>
      </c>
      <c r="K792" s="29">
        <f t="shared" si="97"/>
        <v>24676980</v>
      </c>
      <c r="L792" s="29">
        <f t="shared" si="96"/>
        <v>24676980</v>
      </c>
      <c r="M792" s="20" t="s">
        <v>6232</v>
      </c>
      <c r="N792" t="s">
        <v>6232</v>
      </c>
      <c r="P792" t="s">
        <v>2925</v>
      </c>
      <c r="Q792" t="s">
        <v>6232</v>
      </c>
      <c r="R792" t="s">
        <v>4570</v>
      </c>
      <c r="T792" t="s">
        <v>3860</v>
      </c>
      <c r="BI792" s="52" t="str">
        <f>HYPERLINK("#일위대가목록!A793","SZD0001-450 →")</f>
        <v>SZD0001-450 →</v>
      </c>
    </row>
    <row r="793" spans="1:61" ht="18.399999999999999" customHeight="1">
      <c r="A793" s="11" t="s">
        <v>3784</v>
      </c>
      <c r="B793" s="2" t="s">
        <v>524</v>
      </c>
      <c r="C793" s="2">
        <v>1</v>
      </c>
      <c r="D793" s="2" t="s">
        <v>3909</v>
      </c>
      <c r="E793" s="29" t="e">
        <f>일위대가목록!#REF!</f>
        <v>#REF!</v>
      </c>
      <c r="F793" s="29" t="e">
        <f t="shared" si="93"/>
        <v>#REF!</v>
      </c>
      <c r="G793" s="29" t="e">
        <f>일위대가목록!#REF!</f>
        <v>#REF!</v>
      </c>
      <c r="H793" s="29" t="e">
        <f t="shared" si="94"/>
        <v>#REF!</v>
      </c>
      <c r="I793" s="29" t="e">
        <f>일위대가목록!#REF!</f>
        <v>#REF!</v>
      </c>
      <c r="J793" s="29" t="e">
        <f t="shared" si="95"/>
        <v>#REF!</v>
      </c>
      <c r="K793" s="29" t="e">
        <f t="shared" si="97"/>
        <v>#REF!</v>
      </c>
      <c r="L793" s="29" t="e">
        <f t="shared" si="96"/>
        <v>#REF!</v>
      </c>
      <c r="M793" s="20" t="s">
        <v>6232</v>
      </c>
      <c r="N793" t="s">
        <v>6232</v>
      </c>
      <c r="P793" t="s">
        <v>4596</v>
      </c>
      <c r="Q793" t="s">
        <v>6232</v>
      </c>
      <c r="R793" t="s">
        <v>5023</v>
      </c>
      <c r="T793" t="s">
        <v>3860</v>
      </c>
      <c r="BI793" s="52" t="str">
        <f>HYPERLINK("#일위대가목록!A794","SZD0001-500 →")</f>
        <v>SZD0001-500 →</v>
      </c>
    </row>
    <row r="794" spans="1:61" ht="18.399999999999999" customHeight="1">
      <c r="A794" s="11" t="s">
        <v>3784</v>
      </c>
      <c r="B794" s="2" t="s">
        <v>6191</v>
      </c>
      <c r="C794" s="2">
        <v>1</v>
      </c>
      <c r="D794" s="2" t="s">
        <v>3909</v>
      </c>
      <c r="E794" s="29" t="e">
        <f>일위대가목록!#REF!</f>
        <v>#REF!</v>
      </c>
      <c r="F794" s="29" t="e">
        <f t="shared" si="93"/>
        <v>#REF!</v>
      </c>
      <c r="G794" s="29" t="e">
        <f>일위대가목록!#REF!</f>
        <v>#REF!</v>
      </c>
      <c r="H794" s="29" t="e">
        <f t="shared" si="94"/>
        <v>#REF!</v>
      </c>
      <c r="I794" s="29" t="e">
        <f>일위대가목록!#REF!</f>
        <v>#REF!</v>
      </c>
      <c r="J794" s="29" t="e">
        <f t="shared" si="95"/>
        <v>#REF!</v>
      </c>
      <c r="K794" s="29" t="e">
        <f t="shared" si="97"/>
        <v>#REF!</v>
      </c>
      <c r="L794" s="29" t="e">
        <f t="shared" si="96"/>
        <v>#REF!</v>
      </c>
      <c r="M794" s="20" t="s">
        <v>6232</v>
      </c>
      <c r="N794" t="s">
        <v>6232</v>
      </c>
      <c r="P794" t="s">
        <v>6219</v>
      </c>
      <c r="Q794" t="s">
        <v>6232</v>
      </c>
      <c r="R794" t="s">
        <v>3346</v>
      </c>
      <c r="T794" t="s">
        <v>3860</v>
      </c>
      <c r="BI794" s="52" t="str">
        <f>HYPERLINK("#일위대가목록!A795","SZD0001-550 →")</f>
        <v>SZD0001-550 →</v>
      </c>
    </row>
    <row r="795" spans="1:61" ht="18.399999999999999" customHeight="1">
      <c r="A795" s="11" t="s">
        <v>3784</v>
      </c>
      <c r="B795" s="2" t="s">
        <v>6105</v>
      </c>
      <c r="C795" s="2">
        <v>1</v>
      </c>
      <c r="D795" s="2" t="s">
        <v>3909</v>
      </c>
      <c r="E795" s="29">
        <f>일위대가목록!F5</f>
        <v>32245254</v>
      </c>
      <c r="F795" s="29">
        <f t="shared" si="93"/>
        <v>32245254</v>
      </c>
      <c r="G795" s="29">
        <f>일위대가목록!G5</f>
        <v>3903873</v>
      </c>
      <c r="H795" s="29">
        <f t="shared" si="94"/>
        <v>3903873</v>
      </c>
      <c r="I795" s="29">
        <f>일위대가목록!H5</f>
        <v>794083</v>
      </c>
      <c r="J795" s="29">
        <f t="shared" si="95"/>
        <v>794083</v>
      </c>
      <c r="K795" s="29">
        <f t="shared" si="97"/>
        <v>36943210</v>
      </c>
      <c r="L795" s="29">
        <f t="shared" si="96"/>
        <v>36943210</v>
      </c>
      <c r="M795" s="20" t="s">
        <v>6232</v>
      </c>
      <c r="N795" t="s">
        <v>6232</v>
      </c>
      <c r="P795" t="s">
        <v>1441</v>
      </c>
      <c r="Q795" t="s">
        <v>6232</v>
      </c>
      <c r="R795" t="s">
        <v>3643</v>
      </c>
      <c r="T795" t="s">
        <v>3860</v>
      </c>
      <c r="BI795" s="52" t="str">
        <f>HYPERLINK("#일위대가목록!A796","SZD0001-600 →")</f>
        <v>SZD0001-600 →</v>
      </c>
    </row>
    <row r="796" spans="1:61" ht="18.399999999999999" customHeight="1">
      <c r="A796" s="11" t="s">
        <v>3784</v>
      </c>
      <c r="B796" s="2" t="s">
        <v>397</v>
      </c>
      <c r="C796" s="2">
        <v>1</v>
      </c>
      <c r="D796" s="2" t="s">
        <v>3909</v>
      </c>
      <c r="E796" s="29">
        <f>일위대가목록!F6</f>
        <v>34401427</v>
      </c>
      <c r="F796" s="29">
        <f t="shared" si="93"/>
        <v>34401427</v>
      </c>
      <c r="G796" s="29">
        <f>일위대가목록!G6</f>
        <v>4144605</v>
      </c>
      <c r="H796" s="29">
        <f t="shared" si="94"/>
        <v>4144605</v>
      </c>
      <c r="I796" s="29">
        <f>일위대가목록!H6</f>
        <v>796319</v>
      </c>
      <c r="J796" s="29">
        <f t="shared" si="95"/>
        <v>796319</v>
      </c>
      <c r="K796" s="29">
        <f t="shared" si="97"/>
        <v>39342351</v>
      </c>
      <c r="L796" s="29">
        <f t="shared" si="96"/>
        <v>39342351</v>
      </c>
      <c r="M796" s="20" t="s">
        <v>6232</v>
      </c>
      <c r="N796" t="s">
        <v>6232</v>
      </c>
      <c r="P796" t="s">
        <v>3006</v>
      </c>
      <c r="Q796" t="s">
        <v>6232</v>
      </c>
      <c r="R796" t="s">
        <v>5128</v>
      </c>
      <c r="T796" t="s">
        <v>3860</v>
      </c>
      <c r="BI796" s="52" t="str">
        <f>HYPERLINK("#일위대가목록!A797","SZD0001-650 →")</f>
        <v>SZD0001-650 →</v>
      </c>
    </row>
    <row r="797" spans="1:61" ht="18.399999999999999" customHeight="1">
      <c r="A797" s="11" t="s">
        <v>3784</v>
      </c>
      <c r="B797" s="2" t="s">
        <v>3826</v>
      </c>
      <c r="C797" s="2">
        <v>1</v>
      </c>
      <c r="D797" s="2" t="s">
        <v>3909</v>
      </c>
      <c r="E797" s="29">
        <f>일위대가목록!F7</f>
        <v>38234376</v>
      </c>
      <c r="F797" s="29">
        <f t="shared" si="93"/>
        <v>38234376</v>
      </c>
      <c r="G797" s="29">
        <f>일위대가목록!G7</f>
        <v>4376697</v>
      </c>
      <c r="H797" s="29">
        <f t="shared" si="94"/>
        <v>4376697</v>
      </c>
      <c r="I797" s="29">
        <f>일위대가목록!H7</f>
        <v>841347</v>
      </c>
      <c r="J797" s="29">
        <f t="shared" si="95"/>
        <v>841347</v>
      </c>
      <c r="K797" s="29">
        <f t="shared" si="97"/>
        <v>43452420</v>
      </c>
      <c r="L797" s="29">
        <f t="shared" si="96"/>
        <v>43452420</v>
      </c>
      <c r="M797" s="20" t="s">
        <v>6232</v>
      </c>
      <c r="N797" t="s">
        <v>6232</v>
      </c>
      <c r="P797" t="s">
        <v>4330</v>
      </c>
      <c r="Q797" t="s">
        <v>6232</v>
      </c>
      <c r="R797" t="s">
        <v>3911</v>
      </c>
      <c r="T797" t="s">
        <v>3860</v>
      </c>
      <c r="BI797" s="52" t="str">
        <f>HYPERLINK("#일위대가목록!A798","SZD0001-700 →")</f>
        <v>SZD0001-700 →</v>
      </c>
    </row>
    <row r="798" spans="1:61" ht="18.399999999999999" customHeight="1">
      <c r="A798" s="11" t="s">
        <v>3784</v>
      </c>
      <c r="B798" s="2" t="s">
        <v>2823</v>
      </c>
      <c r="C798" s="2">
        <v>1</v>
      </c>
      <c r="D798" s="2" t="s">
        <v>3909</v>
      </c>
      <c r="E798" s="29">
        <f>일위대가목록!F8</f>
        <v>44056471</v>
      </c>
      <c r="F798" s="29">
        <f t="shared" si="93"/>
        <v>44056471</v>
      </c>
      <c r="G798" s="29">
        <f>일위대가목록!G8</f>
        <v>4609505</v>
      </c>
      <c r="H798" s="29">
        <f t="shared" si="94"/>
        <v>4609505</v>
      </c>
      <c r="I798" s="29">
        <f>일위대가목록!H8</f>
        <v>843446</v>
      </c>
      <c r="J798" s="29">
        <f t="shared" si="95"/>
        <v>843446</v>
      </c>
      <c r="K798" s="29">
        <f t="shared" si="97"/>
        <v>49509422</v>
      </c>
      <c r="L798" s="29">
        <f t="shared" si="96"/>
        <v>49509422</v>
      </c>
      <c r="M798" s="20" t="s">
        <v>6232</v>
      </c>
      <c r="N798" t="s">
        <v>6232</v>
      </c>
      <c r="P798" t="s">
        <v>5904</v>
      </c>
      <c r="Q798" t="s">
        <v>6232</v>
      </c>
      <c r="R798" t="s">
        <v>5550</v>
      </c>
      <c r="T798" t="s">
        <v>3860</v>
      </c>
      <c r="BI798" s="52" t="str">
        <f>HYPERLINK("#일위대가목록!A799","SZD0001-750 →")</f>
        <v>SZD0001-750 →</v>
      </c>
    </row>
    <row r="799" spans="1:61" ht="18.399999999999999" customHeight="1">
      <c r="A799" s="11" t="s">
        <v>1544</v>
      </c>
      <c r="B799" s="2" t="s">
        <v>6232</v>
      </c>
      <c r="C799" s="2"/>
      <c r="D799" s="2" t="s">
        <v>6232</v>
      </c>
      <c r="E799" s="1"/>
      <c r="F799" s="29" t="e">
        <f>TRUNC(F798+F797+F796+F795+F794+F793+F792+F791+F790+F789+F788+F787+F786+F785+F784+F783+F782+F781+F780+F779+F778+F777+F776+F775+F774+F773+F772+F771+F770+F769,0)</f>
        <v>#REF!</v>
      </c>
      <c r="G799" s="1"/>
      <c r="H799" s="29" t="e">
        <f>TRUNC(H798+H797+H796+H795+H794+H793+H792+H791+H790+H789+H788+H787+H786+H785+H784+H783+H782+H781+H780+H779+H778+H777+H776+H775+H774+H773+H772+H771+H770+H769,0)</f>
        <v>#REF!</v>
      </c>
      <c r="I799" s="1"/>
      <c r="J799" s="29" t="e">
        <f>TRUNC(J798+J797+J796+J795+J794+J793+J792+J791+J790+J789+J788+J787+J786+J785+J784+J783+J782+J781+J780+J779+J778+J777+J776+J775+J774+J773+J772+J771+J770+J769,0)</f>
        <v>#REF!</v>
      </c>
      <c r="K799" s="29">
        <f t="shared" si="97"/>
        <v>0</v>
      </c>
      <c r="L799" s="29" t="e">
        <f t="shared" si="96"/>
        <v>#REF!</v>
      </c>
      <c r="M799" s="20" t="s">
        <v>6232</v>
      </c>
      <c r="N799" t="s">
        <v>6232</v>
      </c>
      <c r="P799" t="s">
        <v>3420</v>
      </c>
      <c r="Q799" t="s">
        <v>6232</v>
      </c>
      <c r="R799" t="s">
        <v>6232</v>
      </c>
    </row>
    <row r="800" spans="1:61" ht="18.399999999999999" customHeight="1">
      <c r="A800" s="11" t="s">
        <v>2495</v>
      </c>
      <c r="B800" s="2" t="s">
        <v>6232</v>
      </c>
      <c r="C800" s="2"/>
      <c r="D800" s="2" t="s">
        <v>6232</v>
      </c>
      <c r="E800" s="1"/>
      <c r="F800" s="29">
        <v>0</v>
      </c>
      <c r="G800" s="1"/>
      <c r="H800" s="29">
        <v>0</v>
      </c>
      <c r="I800" s="1"/>
      <c r="J800" s="29">
        <v>0</v>
      </c>
      <c r="K800" s="29">
        <f t="shared" si="97"/>
        <v>0</v>
      </c>
      <c r="L800" s="29">
        <f t="shared" si="96"/>
        <v>0</v>
      </c>
      <c r="M800" s="20" t="s">
        <v>6232</v>
      </c>
      <c r="N800" t="s">
        <v>6232</v>
      </c>
      <c r="P800" t="s">
        <v>4953</v>
      </c>
      <c r="Q800" t="s">
        <v>6232</v>
      </c>
      <c r="R800" t="s">
        <v>6232</v>
      </c>
    </row>
    <row r="801" spans="1:61" ht="18.399999999999999" customHeight="1">
      <c r="A801" s="11" t="s">
        <v>3833</v>
      </c>
      <c r="B801" s="2" t="s">
        <v>6232</v>
      </c>
      <c r="C801" s="2"/>
      <c r="D801" s="2" t="s">
        <v>6232</v>
      </c>
      <c r="E801" s="1"/>
      <c r="F801" s="29">
        <v>0</v>
      </c>
      <c r="G801" s="1"/>
      <c r="H801" s="29">
        <v>0</v>
      </c>
      <c r="I801" s="1"/>
      <c r="J801" s="29">
        <v>0</v>
      </c>
      <c r="K801" s="29">
        <f t="shared" si="97"/>
        <v>0</v>
      </c>
      <c r="L801" s="29">
        <f t="shared" si="96"/>
        <v>0</v>
      </c>
      <c r="M801" s="20" t="s">
        <v>6232</v>
      </c>
      <c r="N801" t="s">
        <v>6232</v>
      </c>
      <c r="P801" t="s">
        <v>348</v>
      </c>
      <c r="Q801" t="s">
        <v>6232</v>
      </c>
      <c r="R801" t="s">
        <v>6232</v>
      </c>
    </row>
    <row r="802" spans="1:61" ht="18.399999999999999" customHeight="1">
      <c r="A802" s="11" t="s">
        <v>3833</v>
      </c>
      <c r="B802" s="2" t="s">
        <v>4894</v>
      </c>
      <c r="C802" s="2">
        <v>1</v>
      </c>
      <c r="D802" s="2" t="s">
        <v>3909</v>
      </c>
      <c r="E802" s="29" t="e">
        <f>일위대가목록!#REF!</f>
        <v>#REF!</v>
      </c>
      <c r="F802" s="29" t="e">
        <f t="shared" ref="F802:F809" si="98">TRUNC(E802*C802,0)</f>
        <v>#REF!</v>
      </c>
      <c r="G802" s="29" t="e">
        <f>일위대가목록!#REF!</f>
        <v>#REF!</v>
      </c>
      <c r="H802" s="29" t="e">
        <f t="shared" ref="H802:H809" si="99">TRUNC(G802*C802,0)</f>
        <v>#REF!</v>
      </c>
      <c r="I802" s="29" t="e">
        <f>일위대가목록!#REF!</f>
        <v>#REF!</v>
      </c>
      <c r="J802" s="29" t="e">
        <f t="shared" ref="J802:J809" si="100">TRUNC(I802*C802,0)</f>
        <v>#REF!</v>
      </c>
      <c r="K802" s="29" t="e">
        <f t="shared" si="97"/>
        <v>#REF!</v>
      </c>
      <c r="L802" s="29" t="e">
        <f t="shared" si="96"/>
        <v>#REF!</v>
      </c>
      <c r="M802" s="20" t="s">
        <v>6232</v>
      </c>
      <c r="N802" t="s">
        <v>6232</v>
      </c>
      <c r="P802" t="s">
        <v>1875</v>
      </c>
      <c r="Q802" t="s">
        <v>6232</v>
      </c>
      <c r="R802" t="s">
        <v>4827</v>
      </c>
      <c r="T802" t="s">
        <v>3860</v>
      </c>
      <c r="BI802" s="52" t="str">
        <f>HYPERLINK("#일위대가목록!A800","TM-500-300 →")</f>
        <v>TM-500-300 →</v>
      </c>
    </row>
    <row r="803" spans="1:61" ht="18.399999999999999" customHeight="1">
      <c r="A803" s="11" t="s">
        <v>3833</v>
      </c>
      <c r="B803" s="2" t="s">
        <v>1701</v>
      </c>
      <c r="C803" s="2">
        <v>1</v>
      </c>
      <c r="D803" s="2" t="s">
        <v>3909</v>
      </c>
      <c r="E803" s="29" t="e">
        <f>일위대가목록!#REF!</f>
        <v>#REF!</v>
      </c>
      <c r="F803" s="29" t="e">
        <f t="shared" si="98"/>
        <v>#REF!</v>
      </c>
      <c r="G803" s="29" t="e">
        <f>일위대가목록!#REF!</f>
        <v>#REF!</v>
      </c>
      <c r="H803" s="29" t="e">
        <f t="shared" si="99"/>
        <v>#REF!</v>
      </c>
      <c r="I803" s="29" t="e">
        <f>일위대가목록!#REF!</f>
        <v>#REF!</v>
      </c>
      <c r="J803" s="29" t="e">
        <f t="shared" si="100"/>
        <v>#REF!</v>
      </c>
      <c r="K803" s="29" t="e">
        <f t="shared" si="97"/>
        <v>#REF!</v>
      </c>
      <c r="L803" s="29" t="e">
        <f t="shared" si="96"/>
        <v>#REF!</v>
      </c>
      <c r="M803" s="20" t="s">
        <v>6232</v>
      </c>
      <c r="N803" t="s">
        <v>6232</v>
      </c>
      <c r="P803" t="s">
        <v>3310</v>
      </c>
      <c r="Q803" t="s">
        <v>6232</v>
      </c>
      <c r="R803" t="s">
        <v>4390</v>
      </c>
      <c r="T803" t="s">
        <v>3860</v>
      </c>
      <c r="BI803" s="52" t="str">
        <f>HYPERLINK("#일위대가목록!A801","TM-500-250 →")</f>
        <v>TM-500-250 →</v>
      </c>
    </row>
    <row r="804" spans="1:61" ht="18.399999999999999" customHeight="1">
      <c r="A804" s="11" t="s">
        <v>3833</v>
      </c>
      <c r="B804" s="2" t="s">
        <v>4196</v>
      </c>
      <c r="C804" s="2">
        <v>1</v>
      </c>
      <c r="D804" s="2" t="s">
        <v>3909</v>
      </c>
      <c r="E804" s="29" t="e">
        <f>일위대가목록!#REF!</f>
        <v>#REF!</v>
      </c>
      <c r="F804" s="29" t="e">
        <f t="shared" si="98"/>
        <v>#REF!</v>
      </c>
      <c r="G804" s="29" t="e">
        <f>일위대가목록!#REF!</f>
        <v>#REF!</v>
      </c>
      <c r="H804" s="29" t="e">
        <f t="shared" si="99"/>
        <v>#REF!</v>
      </c>
      <c r="I804" s="29" t="e">
        <f>일위대가목록!#REF!</f>
        <v>#REF!</v>
      </c>
      <c r="J804" s="29" t="e">
        <f t="shared" si="100"/>
        <v>#REF!</v>
      </c>
      <c r="K804" s="29" t="e">
        <f t="shared" si="97"/>
        <v>#REF!</v>
      </c>
      <c r="L804" s="29" t="e">
        <f t="shared" si="96"/>
        <v>#REF!</v>
      </c>
      <c r="M804" s="20" t="s">
        <v>6232</v>
      </c>
      <c r="N804" t="s">
        <v>6232</v>
      </c>
      <c r="P804" t="s">
        <v>4844</v>
      </c>
      <c r="Q804" t="s">
        <v>6232</v>
      </c>
      <c r="R804" t="s">
        <v>5832</v>
      </c>
      <c r="T804" t="s">
        <v>3860</v>
      </c>
      <c r="BI804" s="52" t="str">
        <f>HYPERLINK("#일위대가목록!A802","TM-500-200 →")</f>
        <v>TM-500-200 →</v>
      </c>
    </row>
    <row r="805" spans="1:61" ht="18.399999999999999" customHeight="1">
      <c r="A805" s="11" t="s">
        <v>3833</v>
      </c>
      <c r="B805" s="2" t="s">
        <v>4124</v>
      </c>
      <c r="C805" s="2">
        <v>1</v>
      </c>
      <c r="D805" s="2" t="s">
        <v>3909</v>
      </c>
      <c r="E805" s="29" t="e">
        <f>일위대가목록!#REF!</f>
        <v>#REF!</v>
      </c>
      <c r="F805" s="29" t="e">
        <f t="shared" si="98"/>
        <v>#REF!</v>
      </c>
      <c r="G805" s="29" t="e">
        <f>일위대가목록!#REF!</f>
        <v>#REF!</v>
      </c>
      <c r="H805" s="29" t="e">
        <f t="shared" si="99"/>
        <v>#REF!</v>
      </c>
      <c r="I805" s="29" t="e">
        <f>일위대가목록!#REF!</f>
        <v>#REF!</v>
      </c>
      <c r="J805" s="29" t="e">
        <f t="shared" si="100"/>
        <v>#REF!</v>
      </c>
      <c r="K805" s="29" t="e">
        <f t="shared" si="97"/>
        <v>#REF!</v>
      </c>
      <c r="L805" s="29" t="e">
        <f t="shared" si="96"/>
        <v>#REF!</v>
      </c>
      <c r="M805" s="20" t="s">
        <v>6232</v>
      </c>
      <c r="N805" t="s">
        <v>6232</v>
      </c>
      <c r="P805" t="s">
        <v>246</v>
      </c>
      <c r="Q805" t="s">
        <v>6232</v>
      </c>
      <c r="R805" t="s">
        <v>5733</v>
      </c>
      <c r="T805" t="s">
        <v>3860</v>
      </c>
      <c r="BI805" s="52" t="str">
        <f>HYPERLINK("#일위대가목록!A803","TM-500-150 →")</f>
        <v>TM-500-150 →</v>
      </c>
    </row>
    <row r="806" spans="1:61" ht="18.399999999999999" customHeight="1">
      <c r="A806" s="11" t="s">
        <v>3833</v>
      </c>
      <c r="B806" s="2" t="s">
        <v>2533</v>
      </c>
      <c r="C806" s="2">
        <v>1</v>
      </c>
      <c r="D806" s="2" t="s">
        <v>3909</v>
      </c>
      <c r="E806" s="29" t="e">
        <f>일위대가목록!#REF!</f>
        <v>#REF!</v>
      </c>
      <c r="F806" s="29" t="e">
        <f t="shared" si="98"/>
        <v>#REF!</v>
      </c>
      <c r="G806" s="29" t="e">
        <f>일위대가목록!#REF!</f>
        <v>#REF!</v>
      </c>
      <c r="H806" s="29" t="e">
        <f t="shared" si="99"/>
        <v>#REF!</v>
      </c>
      <c r="I806" s="29" t="e">
        <f>일위대가목록!#REF!</f>
        <v>#REF!</v>
      </c>
      <c r="J806" s="29" t="e">
        <f t="shared" si="100"/>
        <v>#REF!</v>
      </c>
      <c r="K806" s="29" t="e">
        <f t="shared" si="97"/>
        <v>#REF!</v>
      </c>
      <c r="L806" s="29" t="e">
        <f t="shared" si="96"/>
        <v>#REF!</v>
      </c>
      <c r="M806" s="20" t="s">
        <v>6232</v>
      </c>
      <c r="N806" t="s">
        <v>6232</v>
      </c>
      <c r="P806" t="s">
        <v>1773</v>
      </c>
      <c r="Q806" t="s">
        <v>6232</v>
      </c>
      <c r="R806" t="s">
        <v>3998</v>
      </c>
      <c r="T806" t="s">
        <v>3860</v>
      </c>
      <c r="BI806" s="52" t="str">
        <f>HYPERLINK("#일위대가목록!A804","TM-500-125 →")</f>
        <v>TM-500-125 →</v>
      </c>
    </row>
    <row r="807" spans="1:61" ht="18.399999999999999" customHeight="1">
      <c r="A807" s="11" t="s">
        <v>3833</v>
      </c>
      <c r="B807" s="2" t="s">
        <v>1572</v>
      </c>
      <c r="C807" s="2">
        <v>1</v>
      </c>
      <c r="D807" s="2" t="s">
        <v>3909</v>
      </c>
      <c r="E807" s="29" t="e">
        <f>일위대가목록!#REF!</f>
        <v>#REF!</v>
      </c>
      <c r="F807" s="29" t="e">
        <f t="shared" si="98"/>
        <v>#REF!</v>
      </c>
      <c r="G807" s="29" t="e">
        <f>일위대가목록!#REF!</f>
        <v>#REF!</v>
      </c>
      <c r="H807" s="29" t="e">
        <f t="shared" si="99"/>
        <v>#REF!</v>
      </c>
      <c r="I807" s="29" t="e">
        <f>일위대가목록!#REF!</f>
        <v>#REF!</v>
      </c>
      <c r="J807" s="29" t="e">
        <f t="shared" si="100"/>
        <v>#REF!</v>
      </c>
      <c r="K807" s="29" t="e">
        <f t="shared" si="97"/>
        <v>#REF!</v>
      </c>
      <c r="L807" s="29" t="e">
        <f t="shared" si="96"/>
        <v>#REF!</v>
      </c>
      <c r="M807" s="20" t="s">
        <v>6232</v>
      </c>
      <c r="N807" t="s">
        <v>6232</v>
      </c>
      <c r="P807" t="s">
        <v>3214</v>
      </c>
      <c r="Q807" t="s">
        <v>6232</v>
      </c>
      <c r="R807" t="s">
        <v>4126</v>
      </c>
      <c r="T807" t="s">
        <v>3860</v>
      </c>
      <c r="BI807" s="52" t="str">
        <f>HYPERLINK("#일위대가목록!A805","TM-500-100 →")</f>
        <v>TM-500-100 →</v>
      </c>
    </row>
    <row r="808" spans="1:61" ht="18.399999999999999" customHeight="1">
      <c r="A808" s="11" t="s">
        <v>3833</v>
      </c>
      <c r="B808" s="2" t="s">
        <v>1160</v>
      </c>
      <c r="C808" s="2">
        <v>1</v>
      </c>
      <c r="D808" s="2" t="s">
        <v>3909</v>
      </c>
      <c r="E808" s="29" t="e">
        <f>일위대가목록!#REF!</f>
        <v>#REF!</v>
      </c>
      <c r="F808" s="29" t="e">
        <f t="shared" si="98"/>
        <v>#REF!</v>
      </c>
      <c r="G808" s="29" t="e">
        <f>일위대가목록!#REF!</f>
        <v>#REF!</v>
      </c>
      <c r="H808" s="29" t="e">
        <f t="shared" si="99"/>
        <v>#REF!</v>
      </c>
      <c r="I808" s="29" t="e">
        <f>일위대가목록!#REF!</f>
        <v>#REF!</v>
      </c>
      <c r="J808" s="29" t="e">
        <f t="shared" si="100"/>
        <v>#REF!</v>
      </c>
      <c r="K808" s="29" t="e">
        <f t="shared" si="97"/>
        <v>#REF!</v>
      </c>
      <c r="L808" s="29" t="e">
        <f t="shared" si="96"/>
        <v>#REF!</v>
      </c>
      <c r="M808" s="20" t="s">
        <v>6232</v>
      </c>
      <c r="N808" t="s">
        <v>6232</v>
      </c>
      <c r="P808" t="s">
        <v>4754</v>
      </c>
      <c r="Q808" t="s">
        <v>6232</v>
      </c>
      <c r="R808" t="s">
        <v>3638</v>
      </c>
      <c r="T808" t="s">
        <v>3860</v>
      </c>
      <c r="BI808" s="52" t="str">
        <f>HYPERLINK("#일위대가목록!A806","TM-500-080 →")</f>
        <v>TM-500-080 →</v>
      </c>
    </row>
    <row r="809" spans="1:61" ht="18.399999999999999" customHeight="1">
      <c r="A809" s="11" t="s">
        <v>3833</v>
      </c>
      <c r="B809" s="2" t="s">
        <v>3058</v>
      </c>
      <c r="C809" s="2">
        <v>1</v>
      </c>
      <c r="D809" s="2" t="s">
        <v>3909</v>
      </c>
      <c r="E809" s="29" t="e">
        <f>일위대가목록!#REF!</f>
        <v>#REF!</v>
      </c>
      <c r="F809" s="29" t="e">
        <f t="shared" si="98"/>
        <v>#REF!</v>
      </c>
      <c r="G809" s="29" t="e">
        <f>일위대가목록!#REF!</f>
        <v>#REF!</v>
      </c>
      <c r="H809" s="29" t="e">
        <f t="shared" si="99"/>
        <v>#REF!</v>
      </c>
      <c r="I809" s="29" t="e">
        <f>일위대가목록!#REF!</f>
        <v>#REF!</v>
      </c>
      <c r="J809" s="29" t="e">
        <f t="shared" si="100"/>
        <v>#REF!</v>
      </c>
      <c r="K809" s="29" t="e">
        <f t="shared" si="97"/>
        <v>#REF!</v>
      </c>
      <c r="L809" s="29" t="e">
        <f t="shared" si="96"/>
        <v>#REF!</v>
      </c>
      <c r="M809" s="20" t="s">
        <v>6232</v>
      </c>
      <c r="N809" t="s">
        <v>6232</v>
      </c>
      <c r="P809" t="s">
        <v>5145</v>
      </c>
      <c r="Q809" t="s">
        <v>6232</v>
      </c>
      <c r="R809" t="s">
        <v>3690</v>
      </c>
      <c r="T809" t="s">
        <v>3860</v>
      </c>
      <c r="BI809" s="52" t="str">
        <f>HYPERLINK("#일위대가목록!A807","TM-500-065 →")</f>
        <v>TM-500-065 →</v>
      </c>
    </row>
    <row r="810" spans="1:61" ht="18.399999999999999" customHeight="1">
      <c r="A810" s="11" t="s">
        <v>1544</v>
      </c>
      <c r="B810" s="2" t="s">
        <v>6232</v>
      </c>
      <c r="C810" s="2"/>
      <c r="D810" s="2" t="s">
        <v>6232</v>
      </c>
      <c r="E810" s="1"/>
      <c r="F810" s="29" t="e">
        <f>TRUNC(F809+F808+F807+F806+F805+F804+F803+F802,0)</f>
        <v>#REF!</v>
      </c>
      <c r="G810" s="1"/>
      <c r="H810" s="29" t="e">
        <f>TRUNC(H809+H808+H807+H806+H805+H804+H803+H802,0)</f>
        <v>#REF!</v>
      </c>
      <c r="I810" s="1"/>
      <c r="J810" s="29" t="e">
        <f>TRUNC(J809+J808+J807+J806+J805+J804+J803+J802,0)</f>
        <v>#REF!</v>
      </c>
      <c r="K810" s="29">
        <f t="shared" si="97"/>
        <v>0</v>
      </c>
      <c r="L810" s="29" t="e">
        <f t="shared" si="96"/>
        <v>#REF!</v>
      </c>
      <c r="M810" s="20" t="s">
        <v>6232</v>
      </c>
      <c r="N810" t="s">
        <v>6232</v>
      </c>
      <c r="P810" t="s">
        <v>3623</v>
      </c>
      <c r="Q810" t="s">
        <v>6232</v>
      </c>
      <c r="R810" t="s">
        <v>6232</v>
      </c>
    </row>
    <row r="811" spans="1:61" ht="18.399999999999999" customHeight="1">
      <c r="A811" s="11" t="s">
        <v>2495</v>
      </c>
      <c r="B811" s="2" t="s">
        <v>6232</v>
      </c>
      <c r="C811" s="2"/>
      <c r="D811" s="2" t="s">
        <v>6232</v>
      </c>
      <c r="E811" s="1"/>
      <c r="F811" s="29">
        <v>0</v>
      </c>
      <c r="G811" s="1"/>
      <c r="H811" s="29">
        <v>0</v>
      </c>
      <c r="I811" s="1"/>
      <c r="J811" s="29">
        <v>0</v>
      </c>
      <c r="K811" s="29">
        <f t="shared" si="97"/>
        <v>0</v>
      </c>
      <c r="L811" s="29">
        <f t="shared" si="96"/>
        <v>0</v>
      </c>
      <c r="M811" s="20" t="s">
        <v>6232</v>
      </c>
      <c r="N811" t="s">
        <v>6232</v>
      </c>
      <c r="P811" t="s">
        <v>2072</v>
      </c>
      <c r="Q811" t="s">
        <v>6232</v>
      </c>
      <c r="R811" t="s">
        <v>6232</v>
      </c>
    </row>
    <row r="812" spans="1:61" ht="18.399999999999999" customHeight="1">
      <c r="A812" s="11" t="s">
        <v>749</v>
      </c>
      <c r="B812" s="2" t="s">
        <v>6232</v>
      </c>
      <c r="C812" s="2"/>
      <c r="D812" s="2" t="s">
        <v>6232</v>
      </c>
      <c r="E812" s="1"/>
      <c r="F812" s="29">
        <v>0</v>
      </c>
      <c r="G812" s="1"/>
      <c r="H812" s="29">
        <v>0</v>
      </c>
      <c r="I812" s="1"/>
      <c r="J812" s="29">
        <v>0</v>
      </c>
      <c r="K812" s="29">
        <f t="shared" si="97"/>
        <v>0</v>
      </c>
      <c r="L812" s="29">
        <f t="shared" si="96"/>
        <v>0</v>
      </c>
      <c r="M812" s="20" t="s">
        <v>6232</v>
      </c>
      <c r="N812" t="s">
        <v>6232</v>
      </c>
      <c r="P812" t="s">
        <v>570</v>
      </c>
      <c r="Q812" t="s">
        <v>6232</v>
      </c>
      <c r="R812" t="s">
        <v>6232</v>
      </c>
    </row>
    <row r="813" spans="1:61" ht="18.399999999999999" customHeight="1">
      <c r="A813" s="11" t="s">
        <v>749</v>
      </c>
      <c r="B813" s="2" t="s">
        <v>3058</v>
      </c>
      <c r="C813" s="2">
        <v>1</v>
      </c>
      <c r="D813" s="2" t="s">
        <v>2289</v>
      </c>
      <c r="E813" s="29" t="e">
        <f>일위대가목록!#REF!</f>
        <v>#REF!</v>
      </c>
      <c r="F813" s="29" t="e">
        <f t="shared" ref="F813:F834" si="101">TRUNC(E813*C813,0)</f>
        <v>#REF!</v>
      </c>
      <c r="G813" s="29" t="e">
        <f>일위대가목록!#REF!</f>
        <v>#REF!</v>
      </c>
      <c r="H813" s="29" t="e">
        <f t="shared" ref="H813:H834" si="102">TRUNC(G813*C813,0)</f>
        <v>#REF!</v>
      </c>
      <c r="I813" s="29" t="e">
        <f>일위대가목록!#REF!</f>
        <v>#REF!</v>
      </c>
      <c r="J813" s="29" t="e">
        <f t="shared" ref="J813:J834" si="103">TRUNC(I813*C813,0)</f>
        <v>#REF!</v>
      </c>
      <c r="K813" s="29" t="e">
        <f t="shared" si="97"/>
        <v>#REF!</v>
      </c>
      <c r="L813" s="29" t="e">
        <f t="shared" si="96"/>
        <v>#REF!</v>
      </c>
      <c r="M813" s="20" t="s">
        <v>6232</v>
      </c>
      <c r="N813" t="s">
        <v>6232</v>
      </c>
      <c r="P813" t="s">
        <v>5046</v>
      </c>
      <c r="Q813" t="s">
        <v>6232</v>
      </c>
      <c r="R813" t="s">
        <v>5494</v>
      </c>
      <c r="T813" t="s">
        <v>3860</v>
      </c>
      <c r="BI813" s="52" t="str">
        <f>HYPERLINK("#일위대가목록!A808","TM-408-065 →")</f>
        <v>TM-408-065 →</v>
      </c>
    </row>
    <row r="814" spans="1:61" ht="18.399999999999999" customHeight="1">
      <c r="A814" s="11" t="s">
        <v>749</v>
      </c>
      <c r="B814" s="2" t="s">
        <v>1160</v>
      </c>
      <c r="C814" s="2">
        <v>1</v>
      </c>
      <c r="D814" s="2" t="s">
        <v>2289</v>
      </c>
      <c r="E814" s="29" t="e">
        <f>일위대가목록!#REF!</f>
        <v>#REF!</v>
      </c>
      <c r="F814" s="29" t="e">
        <f t="shared" si="101"/>
        <v>#REF!</v>
      </c>
      <c r="G814" s="29" t="e">
        <f>일위대가목록!#REF!</f>
        <v>#REF!</v>
      </c>
      <c r="H814" s="29" t="e">
        <f t="shared" si="102"/>
        <v>#REF!</v>
      </c>
      <c r="I814" s="29" t="e">
        <f>일위대가목록!#REF!</f>
        <v>#REF!</v>
      </c>
      <c r="J814" s="29" t="e">
        <f t="shared" si="103"/>
        <v>#REF!</v>
      </c>
      <c r="K814" s="29" t="e">
        <f t="shared" si="97"/>
        <v>#REF!</v>
      </c>
      <c r="L814" s="29" t="e">
        <f t="shared" si="96"/>
        <v>#REF!</v>
      </c>
      <c r="M814" s="20" t="s">
        <v>6232</v>
      </c>
      <c r="N814" t="s">
        <v>6232</v>
      </c>
      <c r="P814" t="s">
        <v>3504</v>
      </c>
      <c r="Q814" t="s">
        <v>6232</v>
      </c>
      <c r="R814" t="s">
        <v>5517</v>
      </c>
      <c r="T814" t="s">
        <v>3860</v>
      </c>
      <c r="BI814" s="52" t="str">
        <f>HYPERLINK("#일위대가목록!A809","TM-408-080 →")</f>
        <v>TM-408-080 →</v>
      </c>
    </row>
    <row r="815" spans="1:61" ht="18.399999999999999" customHeight="1">
      <c r="A815" s="11" t="s">
        <v>749</v>
      </c>
      <c r="B815" s="2" t="s">
        <v>1572</v>
      </c>
      <c r="C815" s="2">
        <v>1</v>
      </c>
      <c r="D815" s="2" t="s">
        <v>2289</v>
      </c>
      <c r="E815" s="29" t="e">
        <f>일위대가목록!#REF!</f>
        <v>#REF!</v>
      </c>
      <c r="F815" s="29" t="e">
        <f t="shared" si="101"/>
        <v>#REF!</v>
      </c>
      <c r="G815" s="29" t="e">
        <f>일위대가목록!#REF!</f>
        <v>#REF!</v>
      </c>
      <c r="H815" s="29" t="e">
        <f t="shared" si="102"/>
        <v>#REF!</v>
      </c>
      <c r="I815" s="29" t="e">
        <f>일위대가목록!#REF!</f>
        <v>#REF!</v>
      </c>
      <c r="J815" s="29" t="e">
        <f t="shared" si="103"/>
        <v>#REF!</v>
      </c>
      <c r="K815" s="29" t="e">
        <f t="shared" si="97"/>
        <v>#REF!</v>
      </c>
      <c r="L815" s="29" t="e">
        <f t="shared" si="96"/>
        <v>#REF!</v>
      </c>
      <c r="M815" s="20" t="s">
        <v>6232</v>
      </c>
      <c r="N815" t="s">
        <v>6232</v>
      </c>
      <c r="P815" t="s">
        <v>1976</v>
      </c>
      <c r="Q815" t="s">
        <v>6232</v>
      </c>
      <c r="R815" t="s">
        <v>5353</v>
      </c>
      <c r="T815" t="s">
        <v>3860</v>
      </c>
      <c r="BI815" s="52" t="str">
        <f>HYPERLINK("#일위대가목록!A810","TM-408-100 →")</f>
        <v>TM-408-100 →</v>
      </c>
    </row>
    <row r="816" spans="1:61" ht="18.399999999999999" customHeight="1">
      <c r="A816" s="11" t="s">
        <v>749</v>
      </c>
      <c r="B816" s="2" t="s">
        <v>2533</v>
      </c>
      <c r="C816" s="2">
        <v>1</v>
      </c>
      <c r="D816" s="2" t="s">
        <v>2289</v>
      </c>
      <c r="E816" s="29" t="e">
        <f>일위대가목록!#REF!</f>
        <v>#REF!</v>
      </c>
      <c r="F816" s="29" t="e">
        <f t="shared" si="101"/>
        <v>#REF!</v>
      </c>
      <c r="G816" s="29" t="e">
        <f>일위대가목록!#REF!</f>
        <v>#REF!</v>
      </c>
      <c r="H816" s="29" t="e">
        <f t="shared" si="102"/>
        <v>#REF!</v>
      </c>
      <c r="I816" s="29" t="e">
        <f>일위대가목록!#REF!</f>
        <v>#REF!</v>
      </c>
      <c r="J816" s="29" t="e">
        <f t="shared" si="103"/>
        <v>#REF!</v>
      </c>
      <c r="K816" s="29" t="e">
        <f t="shared" si="97"/>
        <v>#REF!</v>
      </c>
      <c r="L816" s="29" t="e">
        <f t="shared" si="96"/>
        <v>#REF!</v>
      </c>
      <c r="M816" s="20" t="s">
        <v>6232</v>
      </c>
      <c r="N816" t="s">
        <v>6232</v>
      </c>
      <c r="P816" t="s">
        <v>469</v>
      </c>
      <c r="Q816" t="s">
        <v>6232</v>
      </c>
      <c r="R816" t="s">
        <v>5066</v>
      </c>
      <c r="T816" t="s">
        <v>3860</v>
      </c>
      <c r="BI816" s="52" t="str">
        <f>HYPERLINK("#일위대가목록!A811","TM-408-125 →")</f>
        <v>TM-408-125 →</v>
      </c>
    </row>
    <row r="817" spans="1:61" ht="18.399999999999999" customHeight="1">
      <c r="A817" s="11" t="s">
        <v>749</v>
      </c>
      <c r="B817" s="2" t="s">
        <v>4124</v>
      </c>
      <c r="C817" s="2">
        <v>1</v>
      </c>
      <c r="D817" s="2" t="s">
        <v>2289</v>
      </c>
      <c r="E817" s="29" t="e">
        <f>일위대가목록!#REF!</f>
        <v>#REF!</v>
      </c>
      <c r="F817" s="29" t="e">
        <f t="shared" si="101"/>
        <v>#REF!</v>
      </c>
      <c r="G817" s="29" t="e">
        <f>일위대가목록!#REF!</f>
        <v>#REF!</v>
      </c>
      <c r="H817" s="29" t="e">
        <f t="shared" si="102"/>
        <v>#REF!</v>
      </c>
      <c r="I817" s="29" t="e">
        <f>일위대가목록!#REF!</f>
        <v>#REF!</v>
      </c>
      <c r="J817" s="29" t="e">
        <f t="shared" si="103"/>
        <v>#REF!</v>
      </c>
      <c r="K817" s="29" t="e">
        <f t="shared" si="97"/>
        <v>#REF!</v>
      </c>
      <c r="L817" s="29" t="e">
        <f t="shared" si="96"/>
        <v>#REF!</v>
      </c>
      <c r="M817" s="20" t="s">
        <v>6232</v>
      </c>
      <c r="N817" t="s">
        <v>6232</v>
      </c>
      <c r="P817" t="s">
        <v>5357</v>
      </c>
      <c r="Q817" t="s">
        <v>6232</v>
      </c>
      <c r="R817" t="s">
        <v>3729</v>
      </c>
      <c r="T817" t="s">
        <v>3860</v>
      </c>
      <c r="BI817" s="52" t="str">
        <f>HYPERLINK("#일위대가목록!A812","TM-408-150 →")</f>
        <v>TM-408-150 →</v>
      </c>
    </row>
    <row r="818" spans="1:61" ht="18.399999999999999" customHeight="1">
      <c r="A818" s="11" t="s">
        <v>749</v>
      </c>
      <c r="B818" s="2" t="s">
        <v>4196</v>
      </c>
      <c r="C818" s="2">
        <v>1</v>
      </c>
      <c r="D818" s="2" t="s">
        <v>2289</v>
      </c>
      <c r="E818" s="29" t="e">
        <f>일위대가목록!#REF!</f>
        <v>#REF!</v>
      </c>
      <c r="F818" s="29" t="e">
        <f t="shared" si="101"/>
        <v>#REF!</v>
      </c>
      <c r="G818" s="29" t="e">
        <f>일위대가목록!#REF!</f>
        <v>#REF!</v>
      </c>
      <c r="H818" s="29" t="e">
        <f t="shared" si="102"/>
        <v>#REF!</v>
      </c>
      <c r="I818" s="29" t="e">
        <f>일위대가목록!#REF!</f>
        <v>#REF!</v>
      </c>
      <c r="J818" s="29" t="e">
        <f t="shared" si="103"/>
        <v>#REF!</v>
      </c>
      <c r="K818" s="29" t="e">
        <f t="shared" si="97"/>
        <v>#REF!</v>
      </c>
      <c r="L818" s="29" t="e">
        <f t="shared" si="96"/>
        <v>#REF!</v>
      </c>
      <c r="M818" s="20" t="s">
        <v>6232</v>
      </c>
      <c r="N818" t="s">
        <v>6232</v>
      </c>
      <c r="P818" t="s">
        <v>3818</v>
      </c>
      <c r="Q818" t="s">
        <v>6232</v>
      </c>
      <c r="R818" t="s">
        <v>3206</v>
      </c>
      <c r="T818" t="s">
        <v>3860</v>
      </c>
      <c r="BI818" s="52" t="str">
        <f>HYPERLINK("#일위대가목록!A813","TM-408-200 →")</f>
        <v>TM-408-200 →</v>
      </c>
    </row>
    <row r="819" spans="1:61" ht="18.399999999999999" customHeight="1">
      <c r="A819" s="11" t="s">
        <v>749</v>
      </c>
      <c r="B819" s="2" t="s">
        <v>1701</v>
      </c>
      <c r="C819" s="2">
        <v>1</v>
      </c>
      <c r="D819" s="2" t="s">
        <v>2289</v>
      </c>
      <c r="E819" s="29" t="e">
        <f>일위대가목록!#REF!</f>
        <v>#REF!</v>
      </c>
      <c r="F819" s="29" t="e">
        <f t="shared" si="101"/>
        <v>#REF!</v>
      </c>
      <c r="G819" s="29" t="e">
        <f>일위대가목록!#REF!</f>
        <v>#REF!</v>
      </c>
      <c r="H819" s="29" t="e">
        <f t="shared" si="102"/>
        <v>#REF!</v>
      </c>
      <c r="I819" s="29" t="e">
        <f>일위대가목록!#REF!</f>
        <v>#REF!</v>
      </c>
      <c r="J819" s="29" t="e">
        <f t="shared" si="103"/>
        <v>#REF!</v>
      </c>
      <c r="K819" s="29" t="e">
        <f t="shared" si="97"/>
        <v>#REF!</v>
      </c>
      <c r="L819" s="29" t="e">
        <f t="shared" si="96"/>
        <v>#REF!</v>
      </c>
      <c r="M819" s="20" t="s">
        <v>6232</v>
      </c>
      <c r="N819" t="s">
        <v>6232</v>
      </c>
      <c r="P819" t="s">
        <v>5515</v>
      </c>
      <c r="Q819" t="s">
        <v>6232</v>
      </c>
      <c r="R819" t="s">
        <v>4669</v>
      </c>
      <c r="T819" t="s">
        <v>3860</v>
      </c>
      <c r="BI819" s="52" t="str">
        <f>HYPERLINK("#일위대가목록!A814","TM-408-250 →")</f>
        <v>TM-408-250 →</v>
      </c>
    </row>
    <row r="820" spans="1:61" ht="18.399999999999999" customHeight="1">
      <c r="A820" s="11" t="s">
        <v>749</v>
      </c>
      <c r="B820" s="2" t="s">
        <v>4894</v>
      </c>
      <c r="C820" s="2">
        <v>1</v>
      </c>
      <c r="D820" s="2" t="s">
        <v>2289</v>
      </c>
      <c r="E820" s="29" t="e">
        <f>일위대가목록!#REF!</f>
        <v>#REF!</v>
      </c>
      <c r="F820" s="29" t="e">
        <f t="shared" si="101"/>
        <v>#REF!</v>
      </c>
      <c r="G820" s="29" t="e">
        <f>일위대가목록!#REF!</f>
        <v>#REF!</v>
      </c>
      <c r="H820" s="29" t="e">
        <f t="shared" si="102"/>
        <v>#REF!</v>
      </c>
      <c r="I820" s="29" t="e">
        <f>일위대가목록!#REF!</f>
        <v>#REF!</v>
      </c>
      <c r="J820" s="29" t="e">
        <f t="shared" si="103"/>
        <v>#REF!</v>
      </c>
      <c r="K820" s="29" t="e">
        <f t="shared" si="97"/>
        <v>#REF!</v>
      </c>
      <c r="L820" s="29" t="e">
        <f t="shared" si="96"/>
        <v>#REF!</v>
      </c>
      <c r="M820" s="20" t="s">
        <v>6232</v>
      </c>
      <c r="N820" t="s">
        <v>6232</v>
      </c>
      <c r="P820" t="s">
        <v>3931</v>
      </c>
      <c r="Q820" t="s">
        <v>6232</v>
      </c>
      <c r="R820" t="s">
        <v>4340</v>
      </c>
      <c r="T820" t="s">
        <v>3860</v>
      </c>
      <c r="BI820" s="52" t="str">
        <f>HYPERLINK("#일위대가목록!A815","TM-408-300 →")</f>
        <v>TM-408-300 →</v>
      </c>
    </row>
    <row r="821" spans="1:61" ht="18.399999999999999" customHeight="1">
      <c r="A821" s="11" t="s">
        <v>749</v>
      </c>
      <c r="B821" s="2" t="s">
        <v>809</v>
      </c>
      <c r="C821" s="2">
        <v>1</v>
      </c>
      <c r="D821" s="2" t="s">
        <v>2289</v>
      </c>
      <c r="E821" s="29" t="e">
        <f>일위대가목록!#REF!</f>
        <v>#REF!</v>
      </c>
      <c r="F821" s="29" t="e">
        <f t="shared" si="101"/>
        <v>#REF!</v>
      </c>
      <c r="G821" s="29" t="e">
        <f>일위대가목록!#REF!</f>
        <v>#REF!</v>
      </c>
      <c r="H821" s="29" t="e">
        <f t="shared" si="102"/>
        <v>#REF!</v>
      </c>
      <c r="I821" s="29" t="e">
        <f>일위대가목록!#REF!</f>
        <v>#REF!</v>
      </c>
      <c r="J821" s="29" t="e">
        <f t="shared" si="103"/>
        <v>#REF!</v>
      </c>
      <c r="K821" s="29" t="e">
        <f t="shared" si="97"/>
        <v>#REF!</v>
      </c>
      <c r="L821" s="29" t="e">
        <f t="shared" si="96"/>
        <v>#REF!</v>
      </c>
      <c r="M821" s="20" t="s">
        <v>6232</v>
      </c>
      <c r="N821" t="s">
        <v>6232</v>
      </c>
      <c r="P821" t="s">
        <v>2346</v>
      </c>
      <c r="Q821" t="s">
        <v>6232</v>
      </c>
      <c r="R821" t="s">
        <v>6017</v>
      </c>
      <c r="T821" t="s">
        <v>3860</v>
      </c>
      <c r="BI821" s="52" t="str">
        <f>HYPERLINK("#일위대가목록!A816","TM-408-350 →")</f>
        <v>TM-408-350 →</v>
      </c>
    </row>
    <row r="822" spans="1:61" ht="18.399999999999999" customHeight="1">
      <c r="A822" s="11" t="s">
        <v>749</v>
      </c>
      <c r="B822" s="2" t="s">
        <v>2715</v>
      </c>
      <c r="C822" s="2">
        <v>1</v>
      </c>
      <c r="D822" s="2" t="s">
        <v>2289</v>
      </c>
      <c r="E822" s="29" t="e">
        <f>일위대가목록!#REF!</f>
        <v>#REF!</v>
      </c>
      <c r="F822" s="29" t="e">
        <f t="shared" si="101"/>
        <v>#REF!</v>
      </c>
      <c r="G822" s="29" t="e">
        <f>일위대가목록!#REF!</f>
        <v>#REF!</v>
      </c>
      <c r="H822" s="29" t="e">
        <f t="shared" si="102"/>
        <v>#REF!</v>
      </c>
      <c r="I822" s="29" t="e">
        <f>일위대가목록!#REF!</f>
        <v>#REF!</v>
      </c>
      <c r="J822" s="29" t="e">
        <f t="shared" si="103"/>
        <v>#REF!</v>
      </c>
      <c r="K822" s="29" t="e">
        <f t="shared" si="97"/>
        <v>#REF!</v>
      </c>
      <c r="L822" s="29" t="e">
        <f t="shared" si="96"/>
        <v>#REF!</v>
      </c>
      <c r="M822" s="20" t="s">
        <v>6232</v>
      </c>
      <c r="N822" t="s">
        <v>6232</v>
      </c>
      <c r="P822" t="s">
        <v>770</v>
      </c>
      <c r="Q822" t="s">
        <v>6232</v>
      </c>
      <c r="R822" t="s">
        <v>1321</v>
      </c>
      <c r="T822" t="s">
        <v>3860</v>
      </c>
      <c r="BI822" s="52" t="str">
        <f>HYPERLINK("#일위대가목록!A817","TM-408-400 →")</f>
        <v>TM-408-400 →</v>
      </c>
    </row>
    <row r="823" spans="1:61" ht="18.399999999999999" customHeight="1">
      <c r="A823" s="11" t="s">
        <v>749</v>
      </c>
      <c r="B823" s="2" t="s">
        <v>3764</v>
      </c>
      <c r="C823" s="2">
        <v>1</v>
      </c>
      <c r="D823" s="2" t="s">
        <v>2289</v>
      </c>
      <c r="E823" s="29" t="e">
        <f>일위대가목록!#REF!</f>
        <v>#REF!</v>
      </c>
      <c r="F823" s="29" t="e">
        <f t="shared" si="101"/>
        <v>#REF!</v>
      </c>
      <c r="G823" s="29" t="e">
        <f>일위대가목록!#REF!</f>
        <v>#REF!</v>
      </c>
      <c r="H823" s="29" t="e">
        <f t="shared" si="102"/>
        <v>#REF!</v>
      </c>
      <c r="I823" s="29" t="e">
        <f>일위대가목록!#REF!</f>
        <v>#REF!</v>
      </c>
      <c r="J823" s="29" t="e">
        <f t="shared" si="103"/>
        <v>#REF!</v>
      </c>
      <c r="K823" s="29" t="e">
        <f t="shared" si="97"/>
        <v>#REF!</v>
      </c>
      <c r="L823" s="29" t="e">
        <f t="shared" si="96"/>
        <v>#REF!</v>
      </c>
      <c r="M823" s="20" t="s">
        <v>6232</v>
      </c>
      <c r="N823" t="s">
        <v>6232</v>
      </c>
      <c r="P823" t="s">
        <v>5645</v>
      </c>
      <c r="Q823" t="s">
        <v>6232</v>
      </c>
      <c r="R823" t="s">
        <v>2750</v>
      </c>
      <c r="T823" t="s">
        <v>3860</v>
      </c>
      <c r="BI823" s="52" t="str">
        <f>HYPERLINK("#일위대가목록!A818","TM-408-450 →")</f>
        <v>TM-408-450 →</v>
      </c>
    </row>
    <row r="824" spans="1:61" ht="18.399999999999999" customHeight="1">
      <c r="A824" s="11" t="s">
        <v>749</v>
      </c>
      <c r="B824" s="2" t="s">
        <v>524</v>
      </c>
      <c r="C824" s="2">
        <v>1</v>
      </c>
      <c r="D824" s="2" t="s">
        <v>2289</v>
      </c>
      <c r="E824" s="29" t="e">
        <f>일위대가목록!#REF!</f>
        <v>#REF!</v>
      </c>
      <c r="F824" s="29" t="e">
        <f t="shared" si="101"/>
        <v>#REF!</v>
      </c>
      <c r="G824" s="29" t="e">
        <f>일위대가목록!#REF!</f>
        <v>#REF!</v>
      </c>
      <c r="H824" s="29" t="e">
        <f t="shared" si="102"/>
        <v>#REF!</v>
      </c>
      <c r="I824" s="29" t="e">
        <f>일위대가목록!#REF!</f>
        <v>#REF!</v>
      </c>
      <c r="J824" s="29" t="e">
        <f t="shared" si="103"/>
        <v>#REF!</v>
      </c>
      <c r="K824" s="29" t="e">
        <f t="shared" si="97"/>
        <v>#REF!</v>
      </c>
      <c r="L824" s="29" t="e">
        <f t="shared" si="96"/>
        <v>#REF!</v>
      </c>
      <c r="M824" s="20" t="s">
        <v>6232</v>
      </c>
      <c r="N824" t="s">
        <v>6232</v>
      </c>
      <c r="P824" t="s">
        <v>4059</v>
      </c>
      <c r="Q824" t="s">
        <v>6232</v>
      </c>
      <c r="R824" t="s">
        <v>1</v>
      </c>
      <c r="T824" t="s">
        <v>3860</v>
      </c>
      <c r="BI824" s="52" t="str">
        <f>HYPERLINK("#일위대가목록!A819","TM-408-500 →")</f>
        <v>TM-408-500 →</v>
      </c>
    </row>
    <row r="825" spans="1:61" ht="18.399999999999999" customHeight="1">
      <c r="A825" s="11" t="s">
        <v>749</v>
      </c>
      <c r="B825" s="2" t="s">
        <v>6191</v>
      </c>
      <c r="C825" s="2">
        <v>1</v>
      </c>
      <c r="D825" s="2" t="s">
        <v>2289</v>
      </c>
      <c r="E825" s="29" t="e">
        <f>일위대가목록!#REF!</f>
        <v>#REF!</v>
      </c>
      <c r="F825" s="29" t="e">
        <f t="shared" si="101"/>
        <v>#REF!</v>
      </c>
      <c r="G825" s="29" t="e">
        <f>일위대가목록!#REF!</f>
        <v>#REF!</v>
      </c>
      <c r="H825" s="29" t="e">
        <f t="shared" si="102"/>
        <v>#REF!</v>
      </c>
      <c r="I825" s="29" t="e">
        <f>일위대가목록!#REF!</f>
        <v>#REF!</v>
      </c>
      <c r="J825" s="29" t="e">
        <f t="shared" si="103"/>
        <v>#REF!</v>
      </c>
      <c r="K825" s="29" t="e">
        <f t="shared" si="97"/>
        <v>#REF!</v>
      </c>
      <c r="L825" s="29" t="e">
        <f t="shared" si="96"/>
        <v>#REF!</v>
      </c>
      <c r="M825" s="20" t="s">
        <v>6232</v>
      </c>
      <c r="N825" t="s">
        <v>6232</v>
      </c>
      <c r="P825" t="s">
        <v>2457</v>
      </c>
      <c r="Q825" t="s">
        <v>6232</v>
      </c>
      <c r="R825" t="s">
        <v>1663</v>
      </c>
      <c r="T825" t="s">
        <v>3860</v>
      </c>
      <c r="BI825" s="52" t="str">
        <f>HYPERLINK("#일위대가목록!A820","TM-408-550 →")</f>
        <v>TM-408-550 →</v>
      </c>
    </row>
    <row r="826" spans="1:61" ht="18.399999999999999" customHeight="1">
      <c r="A826" s="11" t="s">
        <v>749</v>
      </c>
      <c r="B826" s="2" t="s">
        <v>6105</v>
      </c>
      <c r="C826" s="2">
        <v>1</v>
      </c>
      <c r="D826" s="2" t="s">
        <v>2289</v>
      </c>
      <c r="E826" s="29" t="e">
        <f>일위대가목록!#REF!</f>
        <v>#REF!</v>
      </c>
      <c r="F826" s="29" t="e">
        <f t="shared" si="101"/>
        <v>#REF!</v>
      </c>
      <c r="G826" s="29" t="e">
        <f>일위대가목록!#REF!</f>
        <v>#REF!</v>
      </c>
      <c r="H826" s="29" t="e">
        <f t="shared" si="102"/>
        <v>#REF!</v>
      </c>
      <c r="I826" s="29" t="e">
        <f>일위대가목록!#REF!</f>
        <v>#REF!</v>
      </c>
      <c r="J826" s="29" t="e">
        <f t="shared" si="103"/>
        <v>#REF!</v>
      </c>
      <c r="K826" s="29" t="e">
        <f t="shared" si="97"/>
        <v>#REF!</v>
      </c>
      <c r="L826" s="29" t="e">
        <f t="shared" si="96"/>
        <v>#REF!</v>
      </c>
      <c r="M826" s="20" t="s">
        <v>6232</v>
      </c>
      <c r="N826" t="s">
        <v>6232</v>
      </c>
      <c r="P826" t="s">
        <v>883</v>
      </c>
      <c r="Q826" t="s">
        <v>6232</v>
      </c>
      <c r="R826" t="s">
        <v>2153</v>
      </c>
      <c r="T826" t="s">
        <v>3860</v>
      </c>
      <c r="BI826" s="52" t="str">
        <f>HYPERLINK("#일위대가목록!A821","TM-408-600 →")</f>
        <v>TM-408-600 →</v>
      </c>
    </row>
    <row r="827" spans="1:61" ht="18.399999999999999" customHeight="1">
      <c r="A827" s="11" t="s">
        <v>749</v>
      </c>
      <c r="B827" s="2" t="s">
        <v>397</v>
      </c>
      <c r="C827" s="2">
        <v>1</v>
      </c>
      <c r="D827" s="2" t="s">
        <v>2289</v>
      </c>
      <c r="E827" s="29" t="e">
        <f>일위대가목록!#REF!</f>
        <v>#REF!</v>
      </c>
      <c r="F827" s="29" t="e">
        <f t="shared" si="101"/>
        <v>#REF!</v>
      </c>
      <c r="G827" s="29" t="e">
        <f>일위대가목록!#REF!</f>
        <v>#REF!</v>
      </c>
      <c r="H827" s="29" t="e">
        <f t="shared" si="102"/>
        <v>#REF!</v>
      </c>
      <c r="I827" s="29" t="e">
        <f>일위대가목록!#REF!</f>
        <v>#REF!</v>
      </c>
      <c r="J827" s="29" t="e">
        <f t="shared" si="103"/>
        <v>#REF!</v>
      </c>
      <c r="K827" s="29" t="e">
        <f t="shared" si="97"/>
        <v>#REF!</v>
      </c>
      <c r="L827" s="29" t="e">
        <f t="shared" si="96"/>
        <v>#REF!</v>
      </c>
      <c r="M827" s="20" t="s">
        <v>6232</v>
      </c>
      <c r="N827" t="s">
        <v>6232</v>
      </c>
      <c r="P827" t="s">
        <v>5722</v>
      </c>
      <c r="Q827" t="s">
        <v>6232</v>
      </c>
      <c r="R827" t="s">
        <v>677</v>
      </c>
      <c r="T827" t="s">
        <v>3860</v>
      </c>
      <c r="BI827" s="52" t="str">
        <f>HYPERLINK("#일위대가목록!A822","TM-408-650 →")</f>
        <v>TM-408-650 →</v>
      </c>
    </row>
    <row r="828" spans="1:61" ht="18.399999999999999" customHeight="1">
      <c r="A828" s="11" t="s">
        <v>749</v>
      </c>
      <c r="B828" s="2" t="s">
        <v>3826</v>
      </c>
      <c r="C828" s="2">
        <v>1</v>
      </c>
      <c r="D828" s="2" t="s">
        <v>2289</v>
      </c>
      <c r="E828" s="29" t="e">
        <f>일위대가목록!#REF!</f>
        <v>#REF!</v>
      </c>
      <c r="F828" s="29" t="e">
        <f t="shared" si="101"/>
        <v>#REF!</v>
      </c>
      <c r="G828" s="29" t="e">
        <f>일위대가목록!#REF!</f>
        <v>#REF!</v>
      </c>
      <c r="H828" s="29" t="e">
        <f t="shared" si="102"/>
        <v>#REF!</v>
      </c>
      <c r="I828" s="29" t="e">
        <f>일위대가목록!#REF!</f>
        <v>#REF!</v>
      </c>
      <c r="J828" s="29" t="e">
        <f t="shared" si="103"/>
        <v>#REF!</v>
      </c>
      <c r="K828" s="29" t="e">
        <f t="shared" si="97"/>
        <v>#REF!</v>
      </c>
      <c r="L828" s="29" t="e">
        <f t="shared" si="96"/>
        <v>#REF!</v>
      </c>
      <c r="M828" s="20" t="s">
        <v>6232</v>
      </c>
      <c r="N828" t="s">
        <v>6232</v>
      </c>
      <c r="P828" t="s">
        <v>4145</v>
      </c>
      <c r="Q828" t="s">
        <v>6232</v>
      </c>
      <c r="R828" t="s">
        <v>2666</v>
      </c>
      <c r="T828" t="s">
        <v>3860</v>
      </c>
      <c r="BI828" s="52" t="str">
        <f>HYPERLINK("#일위대가목록!A823","TM-408-700 →")</f>
        <v>TM-408-700 →</v>
      </c>
    </row>
    <row r="829" spans="1:61" ht="18.399999999999999" customHeight="1">
      <c r="A829" s="11" t="s">
        <v>749</v>
      </c>
      <c r="B829" s="2" t="s">
        <v>2823</v>
      </c>
      <c r="C829" s="2">
        <v>1</v>
      </c>
      <c r="D829" s="2" t="s">
        <v>2289</v>
      </c>
      <c r="E829" s="29" t="e">
        <f>일위대가목록!#REF!</f>
        <v>#REF!</v>
      </c>
      <c r="F829" s="29" t="e">
        <f t="shared" si="101"/>
        <v>#REF!</v>
      </c>
      <c r="G829" s="29" t="e">
        <f>일위대가목록!#REF!</f>
        <v>#REF!</v>
      </c>
      <c r="H829" s="29" t="e">
        <f t="shared" si="102"/>
        <v>#REF!</v>
      </c>
      <c r="I829" s="29" t="e">
        <f>일위대가목록!#REF!</f>
        <v>#REF!</v>
      </c>
      <c r="J829" s="29" t="e">
        <f t="shared" si="103"/>
        <v>#REF!</v>
      </c>
      <c r="K829" s="29" t="e">
        <f t="shared" si="97"/>
        <v>#REF!</v>
      </c>
      <c r="L829" s="29" t="e">
        <f t="shared" si="96"/>
        <v>#REF!</v>
      </c>
      <c r="M829" s="20" t="s">
        <v>6232</v>
      </c>
      <c r="N829" t="s">
        <v>6232</v>
      </c>
      <c r="P829" t="s">
        <v>2472</v>
      </c>
      <c r="Q829" t="s">
        <v>6232</v>
      </c>
      <c r="R829" t="s">
        <v>1030</v>
      </c>
      <c r="T829" t="s">
        <v>3860</v>
      </c>
      <c r="BI829" s="52" t="str">
        <f>HYPERLINK("#일위대가목록!A824","TM-408-750 →")</f>
        <v>TM-408-750 →</v>
      </c>
    </row>
    <row r="830" spans="1:61" ht="18.399999999999999" customHeight="1">
      <c r="A830" s="11" t="s">
        <v>5928</v>
      </c>
      <c r="B830" s="2" t="s">
        <v>3443</v>
      </c>
      <c r="C830" s="2">
        <v>1</v>
      </c>
      <c r="D830" s="2" t="s">
        <v>5171</v>
      </c>
      <c r="E830" s="29" t="e">
        <f>일위대가목록!#REF!</f>
        <v>#REF!</v>
      </c>
      <c r="F830" s="29" t="e">
        <f t="shared" si="101"/>
        <v>#REF!</v>
      </c>
      <c r="G830" s="29" t="e">
        <f>일위대가목록!#REF!</f>
        <v>#REF!</v>
      </c>
      <c r="H830" s="29" t="e">
        <f t="shared" si="102"/>
        <v>#REF!</v>
      </c>
      <c r="I830" s="29" t="e">
        <f>일위대가목록!#REF!</f>
        <v>#REF!</v>
      </c>
      <c r="J830" s="29" t="e">
        <f t="shared" si="103"/>
        <v>#REF!</v>
      </c>
      <c r="K830" s="29" t="e">
        <f t="shared" si="97"/>
        <v>#REF!</v>
      </c>
      <c r="L830" s="29" t="e">
        <f t="shared" si="96"/>
        <v>#REF!</v>
      </c>
      <c r="M830" s="20" t="s">
        <v>6232</v>
      </c>
      <c r="N830" t="s">
        <v>6232</v>
      </c>
      <c r="P830" t="s">
        <v>945</v>
      </c>
      <c r="Q830" t="s">
        <v>6232</v>
      </c>
      <c r="R830" t="s">
        <v>4233</v>
      </c>
      <c r="T830" t="s">
        <v>5235</v>
      </c>
      <c r="BI830" s="52" t="str">
        <f>HYPERLINK("#일위대가목록!A25","S6013W200 →")</f>
        <v>S6013W200 →</v>
      </c>
    </row>
    <row r="831" spans="1:61" ht="18.399999999999999" customHeight="1">
      <c r="A831" s="11" t="s">
        <v>5928</v>
      </c>
      <c r="B831" s="2" t="s">
        <v>5426</v>
      </c>
      <c r="C831" s="2">
        <v>1</v>
      </c>
      <c r="D831" s="2" t="s">
        <v>5171</v>
      </c>
      <c r="E831" s="29" t="e">
        <f>일위대가목록!#REF!</f>
        <v>#REF!</v>
      </c>
      <c r="F831" s="29" t="e">
        <f t="shared" si="101"/>
        <v>#REF!</v>
      </c>
      <c r="G831" s="29" t="e">
        <f>일위대가목록!#REF!</f>
        <v>#REF!</v>
      </c>
      <c r="H831" s="29" t="e">
        <f t="shared" si="102"/>
        <v>#REF!</v>
      </c>
      <c r="I831" s="29" t="e">
        <f>일위대가목록!#REF!</f>
        <v>#REF!</v>
      </c>
      <c r="J831" s="29" t="e">
        <f t="shared" si="103"/>
        <v>#REF!</v>
      </c>
      <c r="K831" s="29" t="e">
        <f t="shared" si="97"/>
        <v>#REF!</v>
      </c>
      <c r="L831" s="29" t="e">
        <f t="shared" si="96"/>
        <v>#REF!</v>
      </c>
      <c r="M831" s="20" t="s">
        <v>6232</v>
      </c>
      <c r="N831" t="s">
        <v>6232</v>
      </c>
      <c r="P831" t="s">
        <v>5543</v>
      </c>
      <c r="Q831" t="s">
        <v>6232</v>
      </c>
      <c r="R831" t="s">
        <v>1038</v>
      </c>
      <c r="T831" t="s">
        <v>5235</v>
      </c>
      <c r="BI831" s="52" t="str">
        <f>HYPERLINK("#일위대가목록!A26","S6013W500 →")</f>
        <v>S6013W500 →</v>
      </c>
    </row>
    <row r="832" spans="1:61" ht="18.399999999999999" customHeight="1">
      <c r="A832" s="11" t="s">
        <v>5928</v>
      </c>
      <c r="B832" s="2" t="s">
        <v>2848</v>
      </c>
      <c r="C832" s="2">
        <v>1</v>
      </c>
      <c r="D832" s="2" t="s">
        <v>5171</v>
      </c>
      <c r="E832" s="29" t="e">
        <f>일위대가목록!#REF!</f>
        <v>#REF!</v>
      </c>
      <c r="F832" s="29" t="e">
        <f t="shared" si="101"/>
        <v>#REF!</v>
      </c>
      <c r="G832" s="29" t="e">
        <f>일위대가목록!#REF!</f>
        <v>#REF!</v>
      </c>
      <c r="H832" s="29" t="e">
        <f t="shared" si="102"/>
        <v>#REF!</v>
      </c>
      <c r="I832" s="29" t="e">
        <f>일위대가목록!#REF!</f>
        <v>#REF!</v>
      </c>
      <c r="J832" s="29" t="e">
        <f t="shared" si="103"/>
        <v>#REF!</v>
      </c>
      <c r="K832" s="29" t="e">
        <f t="shared" si="97"/>
        <v>#REF!</v>
      </c>
      <c r="L832" s="29" t="e">
        <f t="shared" si="96"/>
        <v>#REF!</v>
      </c>
      <c r="M832" s="20" t="s">
        <v>6232</v>
      </c>
      <c r="N832" t="s">
        <v>6232</v>
      </c>
      <c r="P832" t="s">
        <v>4031</v>
      </c>
      <c r="Q832" t="s">
        <v>6232</v>
      </c>
      <c r="R832" t="s">
        <v>2754</v>
      </c>
      <c r="T832" t="s">
        <v>5235</v>
      </c>
      <c r="BI832" s="52" t="str">
        <f>HYPERLINK("#일위대가목록!A27","S6013W600 →")</f>
        <v>S6013W600 →</v>
      </c>
    </row>
    <row r="833" spans="1:61" ht="18.399999999999999" customHeight="1">
      <c r="A833" s="11" t="s">
        <v>1500</v>
      </c>
      <c r="B833" s="2" t="s">
        <v>3443</v>
      </c>
      <c r="C833" s="2">
        <v>1</v>
      </c>
      <c r="D833" s="2" t="s">
        <v>3909</v>
      </c>
      <c r="E833" s="29" t="e">
        <f>일위대가목록!#REF!</f>
        <v>#REF!</v>
      </c>
      <c r="F833" s="29" t="e">
        <f t="shared" si="101"/>
        <v>#REF!</v>
      </c>
      <c r="G833" s="29" t="e">
        <f>일위대가목록!#REF!</f>
        <v>#REF!</v>
      </c>
      <c r="H833" s="29" t="e">
        <f t="shared" si="102"/>
        <v>#REF!</v>
      </c>
      <c r="I833" s="29" t="e">
        <f>일위대가목록!#REF!</f>
        <v>#REF!</v>
      </c>
      <c r="J833" s="29" t="e">
        <f t="shared" si="103"/>
        <v>#REF!</v>
      </c>
      <c r="K833" s="29" t="e">
        <f t="shared" si="97"/>
        <v>#REF!</v>
      </c>
      <c r="L833" s="29" t="e">
        <f t="shared" si="96"/>
        <v>#REF!</v>
      </c>
      <c r="M833" s="20" t="s">
        <v>6232</v>
      </c>
      <c r="N833" t="s">
        <v>6232</v>
      </c>
      <c r="P833" t="s">
        <v>2381</v>
      </c>
      <c r="Q833" t="s">
        <v>6232</v>
      </c>
      <c r="R833" t="s">
        <v>4603</v>
      </c>
      <c r="T833" t="s">
        <v>5235</v>
      </c>
      <c r="BI833" s="52" t="str">
        <f>HYPERLINK("#일위대가목록!A28","S6014W200 →")</f>
        <v>S6014W200 →</v>
      </c>
    </row>
    <row r="834" spans="1:61" ht="18.399999999999999" customHeight="1">
      <c r="A834" s="11" t="s">
        <v>1500</v>
      </c>
      <c r="B834" s="2" t="s">
        <v>4715</v>
      </c>
      <c r="C834" s="2">
        <v>1</v>
      </c>
      <c r="D834" s="2" t="s">
        <v>3909</v>
      </c>
      <c r="E834" s="29" t="e">
        <f>일위대가목록!#REF!</f>
        <v>#REF!</v>
      </c>
      <c r="F834" s="29" t="e">
        <f t="shared" si="101"/>
        <v>#REF!</v>
      </c>
      <c r="G834" s="29" t="e">
        <f>일위대가목록!#REF!</f>
        <v>#REF!</v>
      </c>
      <c r="H834" s="29" t="e">
        <f t="shared" si="102"/>
        <v>#REF!</v>
      </c>
      <c r="I834" s="29" t="e">
        <f>일위대가목록!#REF!</f>
        <v>#REF!</v>
      </c>
      <c r="J834" s="29" t="e">
        <f t="shared" si="103"/>
        <v>#REF!</v>
      </c>
      <c r="K834" s="29" t="e">
        <f t="shared" si="97"/>
        <v>#REF!</v>
      </c>
      <c r="L834" s="29" t="e">
        <f t="shared" si="96"/>
        <v>#REF!</v>
      </c>
      <c r="M834" s="20" t="s">
        <v>6232</v>
      </c>
      <c r="N834" t="s">
        <v>6232</v>
      </c>
      <c r="P834" t="s">
        <v>862</v>
      </c>
      <c r="Q834" t="s">
        <v>6232</v>
      </c>
      <c r="R834" t="s">
        <v>390</v>
      </c>
      <c r="T834" t="s">
        <v>5235</v>
      </c>
      <c r="BI834" s="52" t="str">
        <f>HYPERLINK("#일위대가목록!A29","S6014W750 →")</f>
        <v>S6014W750 →</v>
      </c>
    </row>
    <row r="835" spans="1:61" ht="18.399999999999999" customHeight="1">
      <c r="A835" s="11" t="s">
        <v>1544</v>
      </c>
      <c r="B835" s="2" t="s">
        <v>6232</v>
      </c>
      <c r="C835" s="2"/>
      <c r="D835" s="2" t="s">
        <v>6232</v>
      </c>
      <c r="E835" s="1"/>
      <c r="F835" s="29" t="e">
        <f>TRUNC(F834+F833+F832+F831+F830+F829+F828+F827+F826+F825+F824+F823+F822+F821+F820+F819+F818+F817+F816+F815+F814+F813,0)</f>
        <v>#REF!</v>
      </c>
      <c r="G835" s="1"/>
      <c r="H835" s="29" t="e">
        <f>TRUNC(H834+H833+H832+H831+H830+H829+H828+H827+H826+H825+H824+H823+H822+H821+H820+H819+H818+H817+H816+H815+H814+H813,0)</f>
        <v>#REF!</v>
      </c>
      <c r="I835" s="1"/>
      <c r="J835" s="29" t="e">
        <f>TRUNC(J834+J833+J832+J831+J830+J829+J828+J827+J826+J825+J824+J823+J822+J821+J820+J819+J818+J817+J816+J815+J814+J813,0)</f>
        <v>#REF!</v>
      </c>
      <c r="K835" s="29">
        <f t="shared" si="97"/>
        <v>0</v>
      </c>
      <c r="L835" s="29" t="e">
        <f t="shared" si="96"/>
        <v>#REF!</v>
      </c>
      <c r="M835" s="20" t="s">
        <v>6232</v>
      </c>
      <c r="N835" t="s">
        <v>6232</v>
      </c>
      <c r="P835" t="s">
        <v>5442</v>
      </c>
      <c r="Q835" t="s">
        <v>6232</v>
      </c>
      <c r="R835" t="s">
        <v>6232</v>
      </c>
    </row>
    <row r="836" spans="1:61" ht="18.399999999999999" customHeight="1">
      <c r="A836" s="11" t="s">
        <v>2495</v>
      </c>
      <c r="B836" s="2" t="s">
        <v>6232</v>
      </c>
      <c r="C836" s="2"/>
      <c r="D836" s="2" t="s">
        <v>6232</v>
      </c>
      <c r="E836" s="1"/>
      <c r="F836" s="29">
        <v>0</v>
      </c>
      <c r="G836" s="1"/>
      <c r="H836" s="29">
        <v>0</v>
      </c>
      <c r="I836" s="1"/>
      <c r="J836" s="29">
        <v>0</v>
      </c>
      <c r="K836" s="29">
        <f t="shared" si="97"/>
        <v>0</v>
      </c>
      <c r="L836" s="29">
        <f t="shared" si="96"/>
        <v>0</v>
      </c>
      <c r="M836" s="20" t="s">
        <v>6232</v>
      </c>
      <c r="N836" t="s">
        <v>6232</v>
      </c>
      <c r="P836" t="s">
        <v>3924</v>
      </c>
      <c r="Q836" t="s">
        <v>6232</v>
      </c>
      <c r="R836" t="s">
        <v>6232</v>
      </c>
    </row>
    <row r="837" spans="1:61" ht="18.399999999999999" customHeight="1">
      <c r="A837" s="11" t="s">
        <v>2495</v>
      </c>
      <c r="B837" s="2" t="s">
        <v>6232</v>
      </c>
      <c r="C837" s="2"/>
      <c r="D837" s="2" t="s">
        <v>6232</v>
      </c>
      <c r="E837" s="1"/>
      <c r="F837" s="29">
        <v>0</v>
      </c>
      <c r="G837" s="1"/>
      <c r="H837" s="29">
        <v>0</v>
      </c>
      <c r="I837" s="1"/>
      <c r="J837" s="29">
        <v>0</v>
      </c>
      <c r="K837" s="29">
        <f t="shared" si="97"/>
        <v>0</v>
      </c>
      <c r="L837" s="29">
        <f t="shared" si="96"/>
        <v>0</v>
      </c>
      <c r="M837" s="20" t="s">
        <v>6232</v>
      </c>
      <c r="N837" t="s">
        <v>6232</v>
      </c>
      <c r="P837" t="s">
        <v>2662</v>
      </c>
      <c r="Q837" t="s">
        <v>6232</v>
      </c>
      <c r="R837" t="s">
        <v>6232</v>
      </c>
    </row>
    <row r="838" spans="1:61" ht="18.399999999999999" customHeight="1">
      <c r="A838" s="11" t="s">
        <v>3110</v>
      </c>
      <c r="B838" s="2" t="s">
        <v>6232</v>
      </c>
      <c r="C838" s="2"/>
      <c r="D838" s="2" t="s">
        <v>6232</v>
      </c>
      <c r="E838" s="1"/>
      <c r="F838" s="29">
        <v>0</v>
      </c>
      <c r="G838" s="1"/>
      <c r="H838" s="29">
        <v>0</v>
      </c>
      <c r="I838" s="1"/>
      <c r="J838" s="29">
        <v>0</v>
      </c>
      <c r="K838" s="29">
        <f t="shared" si="97"/>
        <v>0</v>
      </c>
      <c r="L838" s="29">
        <f t="shared" si="96"/>
        <v>0</v>
      </c>
      <c r="M838" s="20" t="s">
        <v>6232</v>
      </c>
      <c r="N838" t="s">
        <v>6232</v>
      </c>
      <c r="P838" t="s">
        <v>1127</v>
      </c>
      <c r="Q838" t="s">
        <v>6232</v>
      </c>
      <c r="R838" t="s">
        <v>6232</v>
      </c>
    </row>
    <row r="839" spans="1:61" ht="18.399999999999999" customHeight="1">
      <c r="A839" s="11" t="s">
        <v>593</v>
      </c>
      <c r="B839" s="2" t="s">
        <v>3058</v>
      </c>
      <c r="C839" s="2">
        <v>1</v>
      </c>
      <c r="D839" s="2" t="s">
        <v>1665</v>
      </c>
      <c r="E839" s="29" t="e">
        <f>일위대가목록!#REF!</f>
        <v>#REF!</v>
      </c>
      <c r="F839" s="29" t="e">
        <f t="shared" ref="F839:F851" si="104">TRUNC(E839*C839,0)</f>
        <v>#REF!</v>
      </c>
      <c r="G839" s="29" t="e">
        <f>일위대가목록!#REF!</f>
        <v>#REF!</v>
      </c>
      <c r="H839" s="29" t="e">
        <f t="shared" ref="H839:H851" si="105">TRUNC(G839*C839,0)</f>
        <v>#REF!</v>
      </c>
      <c r="I839" s="29" t="e">
        <f>일위대가목록!#REF!</f>
        <v>#REF!</v>
      </c>
      <c r="J839" s="29" t="e">
        <f t="shared" ref="J839:J851" si="106">TRUNC(I839*C839,0)</f>
        <v>#REF!</v>
      </c>
      <c r="K839" s="29" t="e">
        <f t="shared" si="97"/>
        <v>#REF!</v>
      </c>
      <c r="L839" s="29" t="e">
        <f t="shared" si="96"/>
        <v>#REF!</v>
      </c>
      <c r="M839" s="20" t="s">
        <v>6232</v>
      </c>
      <c r="N839" t="s">
        <v>6232</v>
      </c>
      <c r="P839" t="s">
        <v>1935</v>
      </c>
      <c r="Q839" t="s">
        <v>6232</v>
      </c>
      <c r="R839" t="s">
        <v>3229</v>
      </c>
      <c r="T839" t="s">
        <v>3860</v>
      </c>
      <c r="BI839" s="52" t="str">
        <f>HYPERLINK("#일위대가목록!A825","TM-410-065 →")</f>
        <v>TM-410-065 →</v>
      </c>
    </row>
    <row r="840" spans="1:61" ht="18.399999999999999" customHeight="1">
      <c r="A840" s="11" t="s">
        <v>593</v>
      </c>
      <c r="B840" s="2" t="s">
        <v>1160</v>
      </c>
      <c r="C840" s="2">
        <v>1</v>
      </c>
      <c r="D840" s="2" t="s">
        <v>1665</v>
      </c>
      <c r="E840" s="29" t="e">
        <f>일위대가목록!#REF!</f>
        <v>#REF!</v>
      </c>
      <c r="F840" s="29" t="e">
        <f t="shared" si="104"/>
        <v>#REF!</v>
      </c>
      <c r="G840" s="29" t="e">
        <f>일위대가목록!#REF!</f>
        <v>#REF!</v>
      </c>
      <c r="H840" s="29" t="e">
        <f t="shared" si="105"/>
        <v>#REF!</v>
      </c>
      <c r="I840" s="29" t="e">
        <f>일위대가목록!#REF!</f>
        <v>#REF!</v>
      </c>
      <c r="J840" s="29" t="e">
        <f t="shared" si="106"/>
        <v>#REF!</v>
      </c>
      <c r="K840" s="29" t="e">
        <f t="shared" si="97"/>
        <v>#REF!</v>
      </c>
      <c r="L840" s="29" t="e">
        <f t="shared" si="96"/>
        <v>#REF!</v>
      </c>
      <c r="M840" s="20" t="s">
        <v>6232</v>
      </c>
      <c r="N840" t="s">
        <v>6232</v>
      </c>
      <c r="P840" t="s">
        <v>381</v>
      </c>
      <c r="Q840" t="s">
        <v>6232</v>
      </c>
      <c r="R840" t="s">
        <v>3268</v>
      </c>
      <c r="T840" t="s">
        <v>3860</v>
      </c>
      <c r="BI840" s="52" t="str">
        <f>HYPERLINK("#일위대가목록!A826","TM-410-080 →")</f>
        <v>TM-410-080 →</v>
      </c>
    </row>
    <row r="841" spans="1:61" ht="18.399999999999999" customHeight="1">
      <c r="A841" s="11" t="s">
        <v>593</v>
      </c>
      <c r="B841" s="2" t="s">
        <v>1572</v>
      </c>
      <c r="C841" s="2">
        <v>1</v>
      </c>
      <c r="D841" s="2" t="s">
        <v>1665</v>
      </c>
      <c r="E841" s="29" t="e">
        <f>일위대가목록!#REF!</f>
        <v>#REF!</v>
      </c>
      <c r="F841" s="29" t="e">
        <f t="shared" si="104"/>
        <v>#REF!</v>
      </c>
      <c r="G841" s="29" t="e">
        <f>일위대가목록!#REF!</f>
        <v>#REF!</v>
      </c>
      <c r="H841" s="29" t="e">
        <f t="shared" si="105"/>
        <v>#REF!</v>
      </c>
      <c r="I841" s="29" t="e">
        <f>일위대가목록!#REF!</f>
        <v>#REF!</v>
      </c>
      <c r="J841" s="29" t="e">
        <f t="shared" si="106"/>
        <v>#REF!</v>
      </c>
      <c r="K841" s="29" t="e">
        <f t="shared" si="97"/>
        <v>#REF!</v>
      </c>
      <c r="L841" s="29" t="e">
        <f t="shared" ref="L841:L904" si="107">F841+H841+J841</f>
        <v>#REF!</v>
      </c>
      <c r="M841" s="20" t="s">
        <v>6232</v>
      </c>
      <c r="N841" t="s">
        <v>6232</v>
      </c>
      <c r="P841" t="s">
        <v>5115</v>
      </c>
      <c r="Q841" t="s">
        <v>6232</v>
      </c>
      <c r="R841" t="s">
        <v>4453</v>
      </c>
      <c r="T841" t="s">
        <v>3860</v>
      </c>
      <c r="BI841" s="52" t="str">
        <f>HYPERLINK("#일위대가목록!A827","TM-410-100 →")</f>
        <v>TM-410-100 →</v>
      </c>
    </row>
    <row r="842" spans="1:61" ht="18.399999999999999" customHeight="1">
      <c r="A842" s="11" t="s">
        <v>593</v>
      </c>
      <c r="B842" s="2" t="s">
        <v>2533</v>
      </c>
      <c r="C842" s="2">
        <v>1</v>
      </c>
      <c r="D842" s="2" t="s">
        <v>1665</v>
      </c>
      <c r="E842" s="29" t="e">
        <f>일위대가목록!#REF!</f>
        <v>#REF!</v>
      </c>
      <c r="F842" s="29" t="e">
        <f t="shared" si="104"/>
        <v>#REF!</v>
      </c>
      <c r="G842" s="29" t="e">
        <f>일위대가목록!#REF!</f>
        <v>#REF!</v>
      </c>
      <c r="H842" s="29" t="e">
        <f t="shared" si="105"/>
        <v>#REF!</v>
      </c>
      <c r="I842" s="29" t="e">
        <f>일위대가목록!#REF!</f>
        <v>#REF!</v>
      </c>
      <c r="J842" s="29" t="e">
        <f t="shared" si="106"/>
        <v>#REF!</v>
      </c>
      <c r="K842" s="29" t="e">
        <f t="shared" ref="K842:K905" si="108">E842+G842+I842</f>
        <v>#REF!</v>
      </c>
      <c r="L842" s="29" t="e">
        <f t="shared" si="107"/>
        <v>#REF!</v>
      </c>
      <c r="M842" s="20" t="s">
        <v>6232</v>
      </c>
      <c r="N842" t="s">
        <v>6232</v>
      </c>
      <c r="P842" t="s">
        <v>3514</v>
      </c>
      <c r="Q842" t="s">
        <v>6232</v>
      </c>
      <c r="R842" t="s">
        <v>4391</v>
      </c>
      <c r="T842" t="s">
        <v>3860</v>
      </c>
      <c r="BI842" s="52" t="str">
        <f>HYPERLINK("#일위대가목록!A828","TM-410-125 →")</f>
        <v>TM-410-125 →</v>
      </c>
    </row>
    <row r="843" spans="1:61" ht="18.399999999999999" customHeight="1">
      <c r="A843" s="11" t="s">
        <v>593</v>
      </c>
      <c r="B843" s="2" t="s">
        <v>4124</v>
      </c>
      <c r="C843" s="2">
        <v>1</v>
      </c>
      <c r="D843" s="2" t="s">
        <v>1665</v>
      </c>
      <c r="E843" s="29" t="e">
        <f>일위대가목록!#REF!</f>
        <v>#REF!</v>
      </c>
      <c r="F843" s="29" t="e">
        <f t="shared" si="104"/>
        <v>#REF!</v>
      </c>
      <c r="G843" s="29" t="e">
        <f>일위대가목록!#REF!</f>
        <v>#REF!</v>
      </c>
      <c r="H843" s="29" t="e">
        <f t="shared" si="105"/>
        <v>#REF!</v>
      </c>
      <c r="I843" s="29" t="e">
        <f>일위대가목록!#REF!</f>
        <v>#REF!</v>
      </c>
      <c r="J843" s="29" t="e">
        <f t="shared" si="106"/>
        <v>#REF!</v>
      </c>
      <c r="K843" s="29" t="e">
        <f t="shared" si="108"/>
        <v>#REF!</v>
      </c>
      <c r="L843" s="29" t="e">
        <f t="shared" si="107"/>
        <v>#REF!</v>
      </c>
      <c r="M843" s="20" t="s">
        <v>6232</v>
      </c>
      <c r="N843" t="s">
        <v>6232</v>
      </c>
      <c r="P843" t="s">
        <v>2054</v>
      </c>
      <c r="Q843" t="s">
        <v>6232</v>
      </c>
      <c r="R843" t="s">
        <v>6172</v>
      </c>
      <c r="T843" t="s">
        <v>3860</v>
      </c>
      <c r="BI843" s="52" t="str">
        <f>HYPERLINK("#일위대가목록!A829","TM-410-150 →")</f>
        <v>TM-410-150 →</v>
      </c>
    </row>
    <row r="844" spans="1:61" ht="18.399999999999999" customHeight="1">
      <c r="A844" s="11" t="s">
        <v>593</v>
      </c>
      <c r="B844" s="2" t="s">
        <v>4196</v>
      </c>
      <c r="C844" s="2">
        <v>1</v>
      </c>
      <c r="D844" s="2" t="s">
        <v>1665</v>
      </c>
      <c r="E844" s="29" t="e">
        <f>일위대가목록!#REF!</f>
        <v>#REF!</v>
      </c>
      <c r="F844" s="29" t="e">
        <f t="shared" si="104"/>
        <v>#REF!</v>
      </c>
      <c r="G844" s="29" t="e">
        <f>일위대가목록!#REF!</f>
        <v>#REF!</v>
      </c>
      <c r="H844" s="29" t="e">
        <f t="shared" si="105"/>
        <v>#REF!</v>
      </c>
      <c r="I844" s="29" t="e">
        <f>일위대가목록!#REF!</f>
        <v>#REF!</v>
      </c>
      <c r="J844" s="29" t="e">
        <f t="shared" si="106"/>
        <v>#REF!</v>
      </c>
      <c r="K844" s="29" t="e">
        <f t="shared" si="108"/>
        <v>#REF!</v>
      </c>
      <c r="L844" s="29" t="e">
        <f t="shared" si="107"/>
        <v>#REF!</v>
      </c>
      <c r="M844" s="20" t="s">
        <v>6232</v>
      </c>
      <c r="N844" t="s">
        <v>6232</v>
      </c>
      <c r="P844" t="s">
        <v>500</v>
      </c>
      <c r="Q844" t="s">
        <v>6232</v>
      </c>
      <c r="R844" t="s">
        <v>5464</v>
      </c>
      <c r="T844" t="s">
        <v>3860</v>
      </c>
      <c r="BI844" s="52" t="str">
        <f>HYPERLINK("#일위대가목록!A830","TM-410-200 →")</f>
        <v>TM-410-200 →</v>
      </c>
    </row>
    <row r="845" spans="1:61" ht="18.399999999999999" customHeight="1">
      <c r="A845" s="11" t="s">
        <v>593</v>
      </c>
      <c r="B845" s="2" t="s">
        <v>1701</v>
      </c>
      <c r="C845" s="2">
        <v>1</v>
      </c>
      <c r="D845" s="2" t="s">
        <v>1665</v>
      </c>
      <c r="E845" s="29" t="e">
        <f>일위대가목록!#REF!</f>
        <v>#REF!</v>
      </c>
      <c r="F845" s="29" t="e">
        <f t="shared" si="104"/>
        <v>#REF!</v>
      </c>
      <c r="G845" s="29" t="e">
        <f>일위대가목록!#REF!</f>
        <v>#REF!</v>
      </c>
      <c r="H845" s="29" t="e">
        <f t="shared" si="105"/>
        <v>#REF!</v>
      </c>
      <c r="I845" s="29" t="e">
        <f>일위대가목록!#REF!</f>
        <v>#REF!</v>
      </c>
      <c r="J845" s="29" t="e">
        <f t="shared" si="106"/>
        <v>#REF!</v>
      </c>
      <c r="K845" s="29" t="e">
        <f t="shared" si="108"/>
        <v>#REF!</v>
      </c>
      <c r="L845" s="29" t="e">
        <f t="shared" si="107"/>
        <v>#REF!</v>
      </c>
      <c r="M845" s="20" t="s">
        <v>6232</v>
      </c>
      <c r="N845" t="s">
        <v>6232</v>
      </c>
      <c r="P845" t="s">
        <v>5232</v>
      </c>
      <c r="Q845" t="s">
        <v>6232</v>
      </c>
      <c r="R845" t="s">
        <v>3996</v>
      </c>
      <c r="T845" t="s">
        <v>3860</v>
      </c>
      <c r="BI845" s="52" t="str">
        <f>HYPERLINK("#일위대가목록!A831","TM-410-250 →")</f>
        <v>TM-410-250 →</v>
      </c>
    </row>
    <row r="846" spans="1:61" ht="18.399999999999999" customHeight="1">
      <c r="A846" s="11" t="s">
        <v>593</v>
      </c>
      <c r="B846" s="2" t="s">
        <v>4894</v>
      </c>
      <c r="C846" s="2">
        <v>1</v>
      </c>
      <c r="D846" s="2" t="s">
        <v>1665</v>
      </c>
      <c r="E846" s="29" t="e">
        <f>일위대가목록!#REF!</f>
        <v>#REF!</v>
      </c>
      <c r="F846" s="29" t="e">
        <f t="shared" si="104"/>
        <v>#REF!</v>
      </c>
      <c r="G846" s="29" t="e">
        <f>일위대가목록!#REF!</f>
        <v>#REF!</v>
      </c>
      <c r="H846" s="29" t="e">
        <f t="shared" si="105"/>
        <v>#REF!</v>
      </c>
      <c r="I846" s="29" t="e">
        <f>일위대가목록!#REF!</f>
        <v>#REF!</v>
      </c>
      <c r="J846" s="29" t="e">
        <f t="shared" si="106"/>
        <v>#REF!</v>
      </c>
      <c r="K846" s="29" t="e">
        <f t="shared" si="108"/>
        <v>#REF!</v>
      </c>
      <c r="L846" s="29" t="e">
        <f t="shared" si="107"/>
        <v>#REF!</v>
      </c>
      <c r="M846" s="20" t="s">
        <v>6232</v>
      </c>
      <c r="N846" t="s">
        <v>6232</v>
      </c>
      <c r="P846" t="s">
        <v>3660</v>
      </c>
      <c r="Q846" t="s">
        <v>6232</v>
      </c>
      <c r="R846" t="s">
        <v>5207</v>
      </c>
      <c r="T846" t="s">
        <v>3860</v>
      </c>
      <c r="BI846" s="52" t="str">
        <f>HYPERLINK("#일위대가목록!A832","TM-410-300 →")</f>
        <v>TM-410-300 →</v>
      </c>
    </row>
    <row r="847" spans="1:61" ht="18.399999999999999" customHeight="1">
      <c r="A847" s="11" t="s">
        <v>593</v>
      </c>
      <c r="B847" s="2" t="s">
        <v>809</v>
      </c>
      <c r="C847" s="2">
        <v>1</v>
      </c>
      <c r="D847" s="2" t="s">
        <v>1665</v>
      </c>
      <c r="E847" s="29" t="e">
        <f>일위대가목록!#REF!</f>
        <v>#REF!</v>
      </c>
      <c r="F847" s="29" t="e">
        <f t="shared" si="104"/>
        <v>#REF!</v>
      </c>
      <c r="G847" s="29" t="e">
        <f>일위대가목록!#REF!</f>
        <v>#REF!</v>
      </c>
      <c r="H847" s="29" t="e">
        <f t="shared" si="105"/>
        <v>#REF!</v>
      </c>
      <c r="I847" s="29" t="e">
        <f>일위대가목록!#REF!</f>
        <v>#REF!</v>
      </c>
      <c r="J847" s="29" t="e">
        <f t="shared" si="106"/>
        <v>#REF!</v>
      </c>
      <c r="K847" s="29" t="e">
        <f t="shared" si="108"/>
        <v>#REF!</v>
      </c>
      <c r="L847" s="29" t="e">
        <f t="shared" si="107"/>
        <v>#REF!</v>
      </c>
      <c r="M847" s="20" t="s">
        <v>6232</v>
      </c>
      <c r="N847" t="s">
        <v>6232</v>
      </c>
      <c r="P847" t="s">
        <v>2154</v>
      </c>
      <c r="Q847" t="s">
        <v>6232</v>
      </c>
      <c r="R847" t="s">
        <v>3552</v>
      </c>
      <c r="T847" t="s">
        <v>3860</v>
      </c>
      <c r="BI847" s="52" t="str">
        <f>HYPERLINK("#일위대가목록!A833","TM-410-350 →")</f>
        <v>TM-410-350 →</v>
      </c>
    </row>
    <row r="848" spans="1:61" ht="18.399999999999999" customHeight="1">
      <c r="A848" s="11" t="s">
        <v>593</v>
      </c>
      <c r="B848" s="2" t="s">
        <v>2715</v>
      </c>
      <c r="C848" s="2">
        <v>1</v>
      </c>
      <c r="D848" s="2" t="s">
        <v>1665</v>
      </c>
      <c r="E848" s="29" t="e">
        <f>일위대가목록!#REF!</f>
        <v>#REF!</v>
      </c>
      <c r="F848" s="29" t="e">
        <f t="shared" si="104"/>
        <v>#REF!</v>
      </c>
      <c r="G848" s="29" t="e">
        <f>일위대가목록!#REF!</f>
        <v>#REF!</v>
      </c>
      <c r="H848" s="29" t="e">
        <f t="shared" si="105"/>
        <v>#REF!</v>
      </c>
      <c r="I848" s="29" t="e">
        <f>일위대가목록!#REF!</f>
        <v>#REF!</v>
      </c>
      <c r="J848" s="29" t="e">
        <f t="shared" si="106"/>
        <v>#REF!</v>
      </c>
      <c r="K848" s="29" t="e">
        <f t="shared" si="108"/>
        <v>#REF!</v>
      </c>
      <c r="L848" s="29" t="e">
        <f t="shared" si="107"/>
        <v>#REF!</v>
      </c>
      <c r="M848" s="20" t="s">
        <v>6232</v>
      </c>
      <c r="N848" t="s">
        <v>6232</v>
      </c>
      <c r="P848" t="s">
        <v>613</v>
      </c>
      <c r="Q848" t="s">
        <v>6232</v>
      </c>
      <c r="R848" t="s">
        <v>2005</v>
      </c>
      <c r="T848" t="s">
        <v>3860</v>
      </c>
      <c r="BI848" s="52" t="str">
        <f>HYPERLINK("#일위대가목록!A834","TM-410-400 →")</f>
        <v>TM-410-400 →</v>
      </c>
    </row>
    <row r="849" spans="1:61" ht="18.399999999999999" customHeight="1">
      <c r="A849" s="11" t="s">
        <v>593</v>
      </c>
      <c r="B849" s="2" t="s">
        <v>3764</v>
      </c>
      <c r="C849" s="2">
        <v>1</v>
      </c>
      <c r="D849" s="2" t="s">
        <v>1665</v>
      </c>
      <c r="E849" s="29" t="e">
        <f>일위대가목록!#REF!</f>
        <v>#REF!</v>
      </c>
      <c r="F849" s="29" t="e">
        <f t="shared" si="104"/>
        <v>#REF!</v>
      </c>
      <c r="G849" s="29" t="e">
        <f>일위대가목록!#REF!</f>
        <v>#REF!</v>
      </c>
      <c r="H849" s="29" t="e">
        <f t="shared" si="105"/>
        <v>#REF!</v>
      </c>
      <c r="I849" s="29" t="e">
        <f>일위대가목록!#REF!</f>
        <v>#REF!</v>
      </c>
      <c r="J849" s="29" t="e">
        <f t="shared" si="106"/>
        <v>#REF!</v>
      </c>
      <c r="K849" s="29" t="e">
        <f t="shared" si="108"/>
        <v>#REF!</v>
      </c>
      <c r="L849" s="29" t="e">
        <f t="shared" si="107"/>
        <v>#REF!</v>
      </c>
      <c r="M849" s="20" t="s">
        <v>6232</v>
      </c>
      <c r="N849" t="s">
        <v>6232</v>
      </c>
      <c r="P849" t="s">
        <v>204</v>
      </c>
      <c r="Q849" t="s">
        <v>6232</v>
      </c>
      <c r="R849" t="s">
        <v>542</v>
      </c>
      <c r="T849" t="s">
        <v>3860</v>
      </c>
      <c r="BI849" s="52" t="str">
        <f>HYPERLINK("#일위대가목록!A835","TM-410-450 →")</f>
        <v>TM-410-450 →</v>
      </c>
    </row>
    <row r="850" spans="1:61" ht="18.399999999999999" customHeight="1">
      <c r="A850" s="11" t="s">
        <v>593</v>
      </c>
      <c r="B850" s="2" t="s">
        <v>524</v>
      </c>
      <c r="C850" s="2">
        <v>1</v>
      </c>
      <c r="D850" s="2" t="s">
        <v>1665</v>
      </c>
      <c r="E850" s="29" t="e">
        <f>일위대가목록!#REF!</f>
        <v>#REF!</v>
      </c>
      <c r="F850" s="29" t="e">
        <f t="shared" si="104"/>
        <v>#REF!</v>
      </c>
      <c r="G850" s="29" t="e">
        <f>일위대가목록!#REF!</f>
        <v>#REF!</v>
      </c>
      <c r="H850" s="29" t="e">
        <f t="shared" si="105"/>
        <v>#REF!</v>
      </c>
      <c r="I850" s="29" t="e">
        <f>일위대가목록!#REF!</f>
        <v>#REF!</v>
      </c>
      <c r="J850" s="29" t="e">
        <f t="shared" si="106"/>
        <v>#REF!</v>
      </c>
      <c r="K850" s="29" t="e">
        <f t="shared" si="108"/>
        <v>#REF!</v>
      </c>
      <c r="L850" s="29" t="e">
        <f t="shared" si="107"/>
        <v>#REF!</v>
      </c>
      <c r="M850" s="20" t="s">
        <v>6232</v>
      </c>
      <c r="N850" t="s">
        <v>6232</v>
      </c>
      <c r="P850" t="s">
        <v>1752</v>
      </c>
      <c r="Q850" t="s">
        <v>6232</v>
      </c>
      <c r="R850" t="s">
        <v>2429</v>
      </c>
      <c r="T850" t="s">
        <v>3860</v>
      </c>
      <c r="BI850" s="52" t="str">
        <f>HYPERLINK("#일위대가목록!A836","TM-410-500 →")</f>
        <v>TM-410-500 →</v>
      </c>
    </row>
    <row r="851" spans="1:61" ht="18.399999999999999" customHeight="1">
      <c r="A851" s="11" t="s">
        <v>593</v>
      </c>
      <c r="B851" s="2" t="s">
        <v>6105</v>
      </c>
      <c r="C851" s="2">
        <v>1</v>
      </c>
      <c r="D851" s="2" t="s">
        <v>1665</v>
      </c>
      <c r="E851" s="29" t="e">
        <f>일위대가목록!#REF!</f>
        <v>#REF!</v>
      </c>
      <c r="F851" s="29" t="e">
        <f t="shared" si="104"/>
        <v>#REF!</v>
      </c>
      <c r="G851" s="29" t="e">
        <f>일위대가목록!#REF!</f>
        <v>#REF!</v>
      </c>
      <c r="H851" s="29" t="e">
        <f t="shared" si="105"/>
        <v>#REF!</v>
      </c>
      <c r="I851" s="29" t="e">
        <f>일위대가목록!#REF!</f>
        <v>#REF!</v>
      </c>
      <c r="J851" s="29" t="e">
        <f t="shared" si="106"/>
        <v>#REF!</v>
      </c>
      <c r="K851" s="29" t="e">
        <f t="shared" si="108"/>
        <v>#REF!</v>
      </c>
      <c r="L851" s="29" t="e">
        <f t="shared" si="107"/>
        <v>#REF!</v>
      </c>
      <c r="M851" s="20" t="s">
        <v>6232</v>
      </c>
      <c r="N851" t="s">
        <v>6232</v>
      </c>
      <c r="P851" t="s">
        <v>3350</v>
      </c>
      <c r="Q851" t="s">
        <v>6232</v>
      </c>
      <c r="R851" t="s">
        <v>1457</v>
      </c>
      <c r="T851" t="s">
        <v>3860</v>
      </c>
      <c r="BI851" s="52" t="str">
        <f>HYPERLINK("#일위대가목록!A837","TM-410-600 →")</f>
        <v>TM-410-600 →</v>
      </c>
    </row>
    <row r="852" spans="1:61" ht="18.399999999999999" customHeight="1">
      <c r="A852" s="11" t="s">
        <v>1544</v>
      </c>
      <c r="B852" s="2" t="s">
        <v>6232</v>
      </c>
      <c r="C852" s="2"/>
      <c r="D852" s="2" t="s">
        <v>6232</v>
      </c>
      <c r="E852" s="1"/>
      <c r="F852" s="29" t="e">
        <f>TRUNC(F851+F850+F849+F848+F847+F846+F845+F844+F843+F842+F841+F840+F839,0)</f>
        <v>#REF!</v>
      </c>
      <c r="G852" s="1"/>
      <c r="H852" s="29" t="e">
        <f>TRUNC(H851+H850+H849+H848+H847+H846+H845+H844+H843+H842+H841+H840+H839,0)</f>
        <v>#REF!</v>
      </c>
      <c r="I852" s="1"/>
      <c r="J852" s="29" t="e">
        <f>TRUNC(J851+J850+J849+J848+J847+J846+J845+J844+J843+J842+J841+J840+J839,0)</f>
        <v>#REF!</v>
      </c>
      <c r="K852" s="29">
        <f t="shared" si="108"/>
        <v>0</v>
      </c>
      <c r="L852" s="29" t="e">
        <f t="shared" si="107"/>
        <v>#REF!</v>
      </c>
      <c r="M852" s="20" t="s">
        <v>6232</v>
      </c>
      <c r="N852" t="s">
        <v>6232</v>
      </c>
      <c r="P852" t="s">
        <v>4932</v>
      </c>
      <c r="Q852" t="s">
        <v>6232</v>
      </c>
      <c r="R852" t="s">
        <v>6232</v>
      </c>
    </row>
    <row r="853" spans="1:61" ht="18.399999999999999" customHeight="1">
      <c r="A853" s="11" t="s">
        <v>2495</v>
      </c>
      <c r="B853" s="2" t="s">
        <v>6232</v>
      </c>
      <c r="C853" s="2"/>
      <c r="D853" s="2" t="s">
        <v>6232</v>
      </c>
      <c r="E853" s="1"/>
      <c r="F853" s="29">
        <v>0</v>
      </c>
      <c r="G853" s="1"/>
      <c r="H853" s="29">
        <v>0</v>
      </c>
      <c r="I853" s="1"/>
      <c r="J853" s="29">
        <v>0</v>
      </c>
      <c r="K853" s="29">
        <f t="shared" si="108"/>
        <v>0</v>
      </c>
      <c r="L853" s="29">
        <f t="shared" si="107"/>
        <v>0</v>
      </c>
      <c r="M853" s="20" t="s">
        <v>6232</v>
      </c>
      <c r="N853" t="s">
        <v>6232</v>
      </c>
      <c r="P853" t="s">
        <v>266</v>
      </c>
      <c r="Q853" t="s">
        <v>6232</v>
      </c>
      <c r="R853" t="s">
        <v>6232</v>
      </c>
    </row>
    <row r="854" spans="1:61" ht="18.399999999999999" customHeight="1">
      <c r="A854" s="11" t="s">
        <v>1490</v>
      </c>
      <c r="B854" s="2" t="s">
        <v>6232</v>
      </c>
      <c r="C854" s="2"/>
      <c r="D854" s="2" t="s">
        <v>6232</v>
      </c>
      <c r="E854" s="1"/>
      <c r="F854" s="29">
        <v>0</v>
      </c>
      <c r="G854" s="1"/>
      <c r="H854" s="29">
        <v>0</v>
      </c>
      <c r="I854" s="1"/>
      <c r="J854" s="29">
        <v>0</v>
      </c>
      <c r="K854" s="29">
        <f t="shared" si="108"/>
        <v>0</v>
      </c>
      <c r="L854" s="29">
        <f t="shared" si="107"/>
        <v>0</v>
      </c>
      <c r="M854" s="20" t="s">
        <v>6232</v>
      </c>
      <c r="N854" t="s">
        <v>6232</v>
      </c>
      <c r="P854" t="s">
        <v>1831</v>
      </c>
      <c r="Q854" t="s">
        <v>6232</v>
      </c>
      <c r="R854" t="s">
        <v>6232</v>
      </c>
    </row>
    <row r="855" spans="1:61" ht="18.399999999999999" customHeight="1">
      <c r="A855" s="11" t="s">
        <v>4917</v>
      </c>
      <c r="B855" s="2" t="s">
        <v>5596</v>
      </c>
      <c r="C855" s="2">
        <v>1</v>
      </c>
      <c r="D855" s="2" t="s">
        <v>2289</v>
      </c>
      <c r="E855" s="29" t="e">
        <f>일위대가목록!#REF!</f>
        <v>#REF!</v>
      </c>
      <c r="F855" s="29" t="e">
        <f t="shared" ref="F855:F876" si="109">TRUNC(E855*C855,0)</f>
        <v>#REF!</v>
      </c>
      <c r="G855" s="29" t="e">
        <f>일위대가목록!#REF!</f>
        <v>#REF!</v>
      </c>
      <c r="H855" s="29" t="e">
        <f t="shared" ref="H855:H876" si="110">TRUNC(G855*C855,0)</f>
        <v>#REF!</v>
      </c>
      <c r="I855" s="29" t="e">
        <f>일위대가목록!#REF!</f>
        <v>#REF!</v>
      </c>
      <c r="J855" s="29" t="e">
        <f t="shared" ref="J855:J876" si="111">TRUNC(I855*C855,0)</f>
        <v>#REF!</v>
      </c>
      <c r="K855" s="29" t="e">
        <f t="shared" si="108"/>
        <v>#REF!</v>
      </c>
      <c r="L855" s="29" t="e">
        <f t="shared" si="107"/>
        <v>#REF!</v>
      </c>
      <c r="M855" s="20" t="s">
        <v>6232</v>
      </c>
      <c r="N855" t="s">
        <v>6232</v>
      </c>
      <c r="P855" t="s">
        <v>3428</v>
      </c>
      <c r="Q855" t="s">
        <v>6232</v>
      </c>
      <c r="R855" t="s">
        <v>4728</v>
      </c>
      <c r="T855" t="s">
        <v>5235</v>
      </c>
      <c r="BI855" s="52" t="str">
        <f>HYPERLINK("#일위대가목록!A30","S4840-020 →")</f>
        <v>S4840-020 →</v>
      </c>
    </row>
    <row r="856" spans="1:61" ht="18.399999999999999" customHeight="1">
      <c r="A856" s="11" t="s">
        <v>4917</v>
      </c>
      <c r="B856" s="2" t="s">
        <v>3967</v>
      </c>
      <c r="C856" s="2">
        <v>1</v>
      </c>
      <c r="D856" s="2" t="s">
        <v>2289</v>
      </c>
      <c r="E856" s="29" t="e">
        <f>일위대가목록!#REF!</f>
        <v>#REF!</v>
      </c>
      <c r="F856" s="29" t="e">
        <f t="shared" si="109"/>
        <v>#REF!</v>
      </c>
      <c r="G856" s="29" t="e">
        <f>일위대가목록!#REF!</f>
        <v>#REF!</v>
      </c>
      <c r="H856" s="29" t="e">
        <f t="shared" si="110"/>
        <v>#REF!</v>
      </c>
      <c r="I856" s="29" t="e">
        <f>일위대가목록!#REF!</f>
        <v>#REF!</v>
      </c>
      <c r="J856" s="29" t="e">
        <f t="shared" si="111"/>
        <v>#REF!</v>
      </c>
      <c r="K856" s="29" t="e">
        <f t="shared" si="108"/>
        <v>#REF!</v>
      </c>
      <c r="L856" s="29" t="e">
        <f t="shared" si="107"/>
        <v>#REF!</v>
      </c>
      <c r="M856" s="20" t="s">
        <v>6232</v>
      </c>
      <c r="N856" t="s">
        <v>6232</v>
      </c>
      <c r="P856" t="s">
        <v>5020</v>
      </c>
      <c r="Q856" t="s">
        <v>6232</v>
      </c>
      <c r="R856" t="s">
        <v>1826</v>
      </c>
      <c r="T856" t="s">
        <v>5235</v>
      </c>
      <c r="BI856" s="52" t="str">
        <f>HYPERLINK("#일위대가목록!A31","S4840-025 →")</f>
        <v>S4840-025 →</v>
      </c>
    </row>
    <row r="857" spans="1:61" ht="18.399999999999999" customHeight="1">
      <c r="A857" s="11" t="s">
        <v>4917</v>
      </c>
      <c r="B857" s="2" t="s">
        <v>1993</v>
      </c>
      <c r="C857" s="2">
        <v>1</v>
      </c>
      <c r="D857" s="2" t="s">
        <v>2289</v>
      </c>
      <c r="E857" s="29" t="e">
        <f>일위대가목록!#REF!</f>
        <v>#REF!</v>
      </c>
      <c r="F857" s="29" t="e">
        <f t="shared" si="109"/>
        <v>#REF!</v>
      </c>
      <c r="G857" s="29" t="e">
        <f>일위대가목록!#REF!</f>
        <v>#REF!</v>
      </c>
      <c r="H857" s="29" t="e">
        <f t="shared" si="110"/>
        <v>#REF!</v>
      </c>
      <c r="I857" s="29" t="e">
        <f>일위대가목록!#REF!</f>
        <v>#REF!</v>
      </c>
      <c r="J857" s="29" t="e">
        <f t="shared" si="111"/>
        <v>#REF!</v>
      </c>
      <c r="K857" s="29" t="e">
        <f t="shared" si="108"/>
        <v>#REF!</v>
      </c>
      <c r="L857" s="29" t="e">
        <f t="shared" si="107"/>
        <v>#REF!</v>
      </c>
      <c r="M857" s="20" t="s">
        <v>6232</v>
      </c>
      <c r="N857" t="s">
        <v>6232</v>
      </c>
      <c r="P857" t="s">
        <v>13</v>
      </c>
      <c r="Q857" t="s">
        <v>6232</v>
      </c>
      <c r="R857" t="s">
        <v>4232</v>
      </c>
      <c r="T857" t="s">
        <v>5235</v>
      </c>
      <c r="BI857" s="52" t="str">
        <f>HYPERLINK("#일위대가목록!A32","S4840-032 →")</f>
        <v>S4840-032 →</v>
      </c>
    </row>
    <row r="858" spans="1:61" ht="18.399999999999999" customHeight="1">
      <c r="A858" s="11" t="s">
        <v>4917</v>
      </c>
      <c r="B858" s="2" t="s">
        <v>2012</v>
      </c>
      <c r="C858" s="2">
        <v>1</v>
      </c>
      <c r="D858" s="2" t="s">
        <v>2289</v>
      </c>
      <c r="E858" s="29" t="e">
        <f>일위대가목록!#REF!</f>
        <v>#REF!</v>
      </c>
      <c r="F858" s="29" t="e">
        <f t="shared" si="109"/>
        <v>#REF!</v>
      </c>
      <c r="G858" s="29" t="e">
        <f>일위대가목록!#REF!</f>
        <v>#REF!</v>
      </c>
      <c r="H858" s="29" t="e">
        <f t="shared" si="110"/>
        <v>#REF!</v>
      </c>
      <c r="I858" s="29" t="e">
        <f>일위대가목록!#REF!</f>
        <v>#REF!</v>
      </c>
      <c r="J858" s="29" t="e">
        <f t="shared" si="111"/>
        <v>#REF!</v>
      </c>
      <c r="K858" s="29" t="e">
        <f t="shared" si="108"/>
        <v>#REF!</v>
      </c>
      <c r="L858" s="29" t="e">
        <f t="shared" si="107"/>
        <v>#REF!</v>
      </c>
      <c r="M858" s="20" t="s">
        <v>6232</v>
      </c>
      <c r="N858" t="s">
        <v>6232</v>
      </c>
      <c r="P858" t="s">
        <v>1547</v>
      </c>
      <c r="Q858" t="s">
        <v>6232</v>
      </c>
      <c r="R858" t="s">
        <v>1651</v>
      </c>
      <c r="T858" t="s">
        <v>5235</v>
      </c>
      <c r="BI858" s="52" t="str">
        <f>HYPERLINK("#일위대가목록!A33","S4840-040 →")</f>
        <v>S4840-040 →</v>
      </c>
    </row>
    <row r="859" spans="1:61" ht="18.399999999999999" customHeight="1">
      <c r="A859" s="11" t="s">
        <v>4917</v>
      </c>
      <c r="B859" s="2" t="s">
        <v>2393</v>
      </c>
      <c r="C859" s="2">
        <v>1</v>
      </c>
      <c r="D859" s="2" t="s">
        <v>2289</v>
      </c>
      <c r="E859" s="29" t="e">
        <f>일위대가목록!#REF!</f>
        <v>#REF!</v>
      </c>
      <c r="F859" s="29" t="e">
        <f t="shared" si="109"/>
        <v>#REF!</v>
      </c>
      <c r="G859" s="29" t="e">
        <f>일위대가목록!#REF!</f>
        <v>#REF!</v>
      </c>
      <c r="H859" s="29" t="e">
        <f t="shared" si="110"/>
        <v>#REF!</v>
      </c>
      <c r="I859" s="29" t="e">
        <f>일위대가목록!#REF!</f>
        <v>#REF!</v>
      </c>
      <c r="J859" s="29" t="e">
        <f t="shared" si="111"/>
        <v>#REF!</v>
      </c>
      <c r="K859" s="29" t="e">
        <f t="shared" si="108"/>
        <v>#REF!</v>
      </c>
      <c r="L859" s="29" t="e">
        <f t="shared" si="107"/>
        <v>#REF!</v>
      </c>
      <c r="M859" s="20" t="s">
        <v>6232</v>
      </c>
      <c r="N859" t="s">
        <v>6232</v>
      </c>
      <c r="P859" t="s">
        <v>1510</v>
      </c>
      <c r="Q859" t="s">
        <v>6232</v>
      </c>
      <c r="R859" t="s">
        <v>98</v>
      </c>
      <c r="T859" t="s">
        <v>5235</v>
      </c>
      <c r="BI859" s="52" t="str">
        <f>HYPERLINK("#일위대가목록!A34","S4840-050 →")</f>
        <v>S4840-050 →</v>
      </c>
    </row>
    <row r="860" spans="1:61" ht="18.399999999999999" customHeight="1">
      <c r="A860" s="11" t="s">
        <v>4917</v>
      </c>
      <c r="B860" s="2" t="s">
        <v>3058</v>
      </c>
      <c r="C860" s="2">
        <v>1</v>
      </c>
      <c r="D860" s="2" t="s">
        <v>2289</v>
      </c>
      <c r="E860" s="29" t="e">
        <f>일위대가목록!#REF!</f>
        <v>#REF!</v>
      </c>
      <c r="F860" s="29" t="e">
        <f t="shared" si="109"/>
        <v>#REF!</v>
      </c>
      <c r="G860" s="29" t="e">
        <f>일위대가목록!#REF!</f>
        <v>#REF!</v>
      </c>
      <c r="H860" s="29" t="e">
        <f t="shared" si="110"/>
        <v>#REF!</v>
      </c>
      <c r="I860" s="29" t="e">
        <f>일위대가목록!#REF!</f>
        <v>#REF!</v>
      </c>
      <c r="J860" s="29" t="e">
        <f t="shared" si="111"/>
        <v>#REF!</v>
      </c>
      <c r="K860" s="29" t="e">
        <f t="shared" si="108"/>
        <v>#REF!</v>
      </c>
      <c r="L860" s="29" t="e">
        <f t="shared" si="107"/>
        <v>#REF!</v>
      </c>
      <c r="M860" s="20" t="s">
        <v>6232</v>
      </c>
      <c r="N860" t="s">
        <v>6232</v>
      </c>
      <c r="P860" t="s">
        <v>3045</v>
      </c>
      <c r="Q860" t="s">
        <v>6232</v>
      </c>
      <c r="R860" t="s">
        <v>1712</v>
      </c>
      <c r="T860" t="s">
        <v>5235</v>
      </c>
      <c r="BI860" s="52" t="str">
        <f>HYPERLINK("#일위대가목록!A35","S4840-065 →")</f>
        <v>S4840-065 →</v>
      </c>
    </row>
    <row r="861" spans="1:61" ht="18.399999999999999" customHeight="1">
      <c r="A861" s="11" t="s">
        <v>4917</v>
      </c>
      <c r="B861" s="2" t="s">
        <v>1160</v>
      </c>
      <c r="C861" s="2">
        <v>1</v>
      </c>
      <c r="D861" s="2" t="s">
        <v>2289</v>
      </c>
      <c r="E861" s="29" t="e">
        <f>일위대가목록!#REF!</f>
        <v>#REF!</v>
      </c>
      <c r="F861" s="29" t="e">
        <f t="shared" si="109"/>
        <v>#REF!</v>
      </c>
      <c r="G861" s="29" t="e">
        <f>일위대가목록!#REF!</f>
        <v>#REF!</v>
      </c>
      <c r="H861" s="29" t="e">
        <f t="shared" si="110"/>
        <v>#REF!</v>
      </c>
      <c r="I861" s="29" t="e">
        <f>일위대가목록!#REF!</f>
        <v>#REF!</v>
      </c>
      <c r="J861" s="29" t="e">
        <f t="shared" si="111"/>
        <v>#REF!</v>
      </c>
      <c r="K861" s="29" t="e">
        <f t="shared" si="108"/>
        <v>#REF!</v>
      </c>
      <c r="L861" s="29" t="e">
        <f t="shared" si="107"/>
        <v>#REF!</v>
      </c>
      <c r="M861" s="20" t="s">
        <v>6232</v>
      </c>
      <c r="N861" t="s">
        <v>6232</v>
      </c>
      <c r="P861" t="s">
        <v>4585</v>
      </c>
      <c r="Q861" t="s">
        <v>6232</v>
      </c>
      <c r="R861" t="s">
        <v>1751</v>
      </c>
      <c r="T861" t="s">
        <v>5235</v>
      </c>
      <c r="BI861" s="52" t="str">
        <f>HYPERLINK("#일위대가목록!A36","S4840-080 →")</f>
        <v>S4840-080 →</v>
      </c>
    </row>
    <row r="862" spans="1:61" ht="18.399999999999999" customHeight="1">
      <c r="A862" s="11" t="s">
        <v>4917</v>
      </c>
      <c r="B862" s="2" t="s">
        <v>1572</v>
      </c>
      <c r="C862" s="2">
        <v>1</v>
      </c>
      <c r="D862" s="2" t="s">
        <v>2289</v>
      </c>
      <c r="E862" s="29" t="e">
        <f>일위대가목록!#REF!</f>
        <v>#REF!</v>
      </c>
      <c r="F862" s="29" t="e">
        <f t="shared" si="109"/>
        <v>#REF!</v>
      </c>
      <c r="G862" s="29" t="e">
        <f>일위대가목록!#REF!</f>
        <v>#REF!</v>
      </c>
      <c r="H862" s="29" t="e">
        <f t="shared" si="110"/>
        <v>#REF!</v>
      </c>
      <c r="I862" s="29" t="e">
        <f>일위대가목록!#REF!</f>
        <v>#REF!</v>
      </c>
      <c r="J862" s="29" t="e">
        <f t="shared" si="111"/>
        <v>#REF!</v>
      </c>
      <c r="K862" s="29" t="e">
        <f t="shared" si="108"/>
        <v>#REF!</v>
      </c>
      <c r="L862" s="29" t="e">
        <f t="shared" si="107"/>
        <v>#REF!</v>
      </c>
      <c r="M862" s="20" t="s">
        <v>6232</v>
      </c>
      <c r="N862" t="s">
        <v>6232</v>
      </c>
      <c r="P862" t="s">
        <v>6151</v>
      </c>
      <c r="Q862" t="s">
        <v>6232</v>
      </c>
      <c r="R862" t="s">
        <v>2834</v>
      </c>
      <c r="T862" t="s">
        <v>5235</v>
      </c>
      <c r="BI862" s="52" t="str">
        <f>HYPERLINK("#일위대가목록!A37","S4840-100 →")</f>
        <v>S4840-100 →</v>
      </c>
    </row>
    <row r="863" spans="1:61" ht="18.399999999999999" customHeight="1">
      <c r="A863" s="11" t="s">
        <v>4917</v>
      </c>
      <c r="B863" s="2" t="s">
        <v>2533</v>
      </c>
      <c r="C863" s="2">
        <v>1</v>
      </c>
      <c r="D863" s="2" t="s">
        <v>2289</v>
      </c>
      <c r="E863" s="29" t="e">
        <f>일위대가목록!#REF!</f>
        <v>#REF!</v>
      </c>
      <c r="F863" s="29" t="e">
        <f t="shared" si="109"/>
        <v>#REF!</v>
      </c>
      <c r="G863" s="29" t="e">
        <f>일위대가목록!#REF!</f>
        <v>#REF!</v>
      </c>
      <c r="H863" s="29" t="e">
        <f t="shared" si="110"/>
        <v>#REF!</v>
      </c>
      <c r="I863" s="29" t="e">
        <f>일위대가목록!#REF!</f>
        <v>#REF!</v>
      </c>
      <c r="J863" s="29" t="e">
        <f t="shared" si="111"/>
        <v>#REF!</v>
      </c>
      <c r="K863" s="29" t="e">
        <f t="shared" si="108"/>
        <v>#REF!</v>
      </c>
      <c r="L863" s="29" t="e">
        <f t="shared" si="107"/>
        <v>#REF!</v>
      </c>
      <c r="M863" s="20" t="s">
        <v>6232</v>
      </c>
      <c r="N863" t="s">
        <v>6232</v>
      </c>
      <c r="P863" t="s">
        <v>1421</v>
      </c>
      <c r="Q863" t="s">
        <v>6232</v>
      </c>
      <c r="R863" t="s">
        <v>2958</v>
      </c>
      <c r="T863" t="s">
        <v>5235</v>
      </c>
      <c r="BI863" s="52" t="str">
        <f>HYPERLINK("#일위대가목록!A38","S4840-125 →")</f>
        <v>S4840-125 →</v>
      </c>
    </row>
    <row r="864" spans="1:61" ht="18.399999999999999" customHeight="1">
      <c r="A864" s="11" t="s">
        <v>4917</v>
      </c>
      <c r="B864" s="2" t="s">
        <v>4124</v>
      </c>
      <c r="C864" s="2">
        <v>1</v>
      </c>
      <c r="D864" s="2" t="s">
        <v>2289</v>
      </c>
      <c r="E864" s="29" t="e">
        <f>일위대가목록!#REF!</f>
        <v>#REF!</v>
      </c>
      <c r="F864" s="29" t="e">
        <f t="shared" si="109"/>
        <v>#REF!</v>
      </c>
      <c r="G864" s="29" t="e">
        <f>일위대가목록!#REF!</f>
        <v>#REF!</v>
      </c>
      <c r="H864" s="29" t="e">
        <f t="shared" si="110"/>
        <v>#REF!</v>
      </c>
      <c r="I864" s="29" t="e">
        <f>일위대가목록!#REF!</f>
        <v>#REF!</v>
      </c>
      <c r="J864" s="29" t="e">
        <f t="shared" si="111"/>
        <v>#REF!</v>
      </c>
      <c r="K864" s="29" t="e">
        <f t="shared" si="108"/>
        <v>#REF!</v>
      </c>
      <c r="L864" s="29" t="e">
        <f t="shared" si="107"/>
        <v>#REF!</v>
      </c>
      <c r="M864" s="20" t="s">
        <v>6232</v>
      </c>
      <c r="N864" t="s">
        <v>6232</v>
      </c>
      <c r="P864" t="s">
        <v>2936</v>
      </c>
      <c r="Q864" t="s">
        <v>6232</v>
      </c>
      <c r="R864" t="s">
        <v>1247</v>
      </c>
      <c r="T864" t="s">
        <v>5235</v>
      </c>
      <c r="BI864" s="52" t="str">
        <f>HYPERLINK("#일위대가목록!A39","S4840-150 →")</f>
        <v>S4840-150 →</v>
      </c>
    </row>
    <row r="865" spans="1:61" ht="18.399999999999999" customHeight="1">
      <c r="A865" s="11" t="s">
        <v>4917</v>
      </c>
      <c r="B865" s="2" t="s">
        <v>4196</v>
      </c>
      <c r="C865" s="2">
        <v>1</v>
      </c>
      <c r="D865" s="2" t="s">
        <v>2289</v>
      </c>
      <c r="E865" s="29" t="e">
        <f>일위대가목록!#REF!</f>
        <v>#REF!</v>
      </c>
      <c r="F865" s="29" t="e">
        <f t="shared" si="109"/>
        <v>#REF!</v>
      </c>
      <c r="G865" s="29" t="e">
        <f>일위대가목록!#REF!</f>
        <v>#REF!</v>
      </c>
      <c r="H865" s="29" t="e">
        <f t="shared" si="110"/>
        <v>#REF!</v>
      </c>
      <c r="I865" s="29" t="e">
        <f>일위대가목록!#REF!</f>
        <v>#REF!</v>
      </c>
      <c r="J865" s="29" t="e">
        <f t="shared" si="111"/>
        <v>#REF!</v>
      </c>
      <c r="K865" s="29" t="e">
        <f t="shared" si="108"/>
        <v>#REF!</v>
      </c>
      <c r="L865" s="29" t="e">
        <f t="shared" si="107"/>
        <v>#REF!</v>
      </c>
      <c r="M865" s="20" t="s">
        <v>6232</v>
      </c>
      <c r="N865" t="s">
        <v>6232</v>
      </c>
      <c r="P865" t="s">
        <v>4478</v>
      </c>
      <c r="Q865" t="s">
        <v>6232</v>
      </c>
      <c r="R865" t="s">
        <v>1129</v>
      </c>
      <c r="T865" t="s">
        <v>5235</v>
      </c>
      <c r="BI865" s="52" t="str">
        <f>HYPERLINK("#일위대가목록!A41","S4840-200 →")</f>
        <v>S4840-200 →</v>
      </c>
    </row>
    <row r="866" spans="1:61" ht="18.399999999999999" customHeight="1">
      <c r="A866" s="11" t="s">
        <v>4917</v>
      </c>
      <c r="B866" s="2" t="s">
        <v>1701</v>
      </c>
      <c r="C866" s="2">
        <v>1</v>
      </c>
      <c r="D866" s="2" t="s">
        <v>2289</v>
      </c>
      <c r="E866" s="29" t="e">
        <f>일위대가목록!#REF!</f>
        <v>#REF!</v>
      </c>
      <c r="F866" s="29" t="e">
        <f t="shared" si="109"/>
        <v>#REF!</v>
      </c>
      <c r="G866" s="29" t="e">
        <f>일위대가목록!#REF!</f>
        <v>#REF!</v>
      </c>
      <c r="H866" s="29" t="e">
        <f t="shared" si="110"/>
        <v>#REF!</v>
      </c>
      <c r="I866" s="29" t="e">
        <f>일위대가목록!#REF!</f>
        <v>#REF!</v>
      </c>
      <c r="J866" s="29" t="e">
        <f t="shared" si="111"/>
        <v>#REF!</v>
      </c>
      <c r="K866" s="29" t="e">
        <f t="shared" si="108"/>
        <v>#REF!</v>
      </c>
      <c r="L866" s="29" t="e">
        <f t="shared" si="107"/>
        <v>#REF!</v>
      </c>
      <c r="M866" s="20" t="s">
        <v>6232</v>
      </c>
      <c r="N866" t="s">
        <v>6232</v>
      </c>
      <c r="P866" t="s">
        <v>6028</v>
      </c>
      <c r="Q866" t="s">
        <v>6232</v>
      </c>
      <c r="R866" t="s">
        <v>2563</v>
      </c>
      <c r="T866" t="s">
        <v>5235</v>
      </c>
      <c r="BI866" s="52" t="str">
        <f>HYPERLINK("#일위대가목록!A42","S4840-250 →")</f>
        <v>S4840-250 →</v>
      </c>
    </row>
    <row r="867" spans="1:61" ht="18.399999999999999" customHeight="1">
      <c r="A867" s="11" t="s">
        <v>4917</v>
      </c>
      <c r="B867" s="2" t="s">
        <v>4894</v>
      </c>
      <c r="C867" s="2">
        <v>1</v>
      </c>
      <c r="D867" s="2" t="s">
        <v>2289</v>
      </c>
      <c r="E867" s="29" t="e">
        <f>일위대가목록!#REF!</f>
        <v>#REF!</v>
      </c>
      <c r="F867" s="29" t="e">
        <f t="shared" si="109"/>
        <v>#REF!</v>
      </c>
      <c r="G867" s="29" t="e">
        <f>일위대가목록!#REF!</f>
        <v>#REF!</v>
      </c>
      <c r="H867" s="29" t="e">
        <f t="shared" si="110"/>
        <v>#REF!</v>
      </c>
      <c r="I867" s="29" t="e">
        <f>일위대가목록!#REF!</f>
        <v>#REF!</v>
      </c>
      <c r="J867" s="29" t="e">
        <f t="shared" si="111"/>
        <v>#REF!</v>
      </c>
      <c r="K867" s="29" t="e">
        <f t="shared" si="108"/>
        <v>#REF!</v>
      </c>
      <c r="L867" s="29" t="e">
        <f t="shared" si="107"/>
        <v>#REF!</v>
      </c>
      <c r="M867" s="20" t="s">
        <v>6232</v>
      </c>
      <c r="N867" t="s">
        <v>6232</v>
      </c>
      <c r="P867" t="s">
        <v>1314</v>
      </c>
      <c r="Q867" t="s">
        <v>6232</v>
      </c>
      <c r="R867" t="s">
        <v>611</v>
      </c>
      <c r="T867" t="s">
        <v>5235</v>
      </c>
      <c r="BI867" s="52" t="str">
        <f>HYPERLINK("#일위대가목록!A43","S4840-300 →")</f>
        <v>S4840-300 →</v>
      </c>
    </row>
    <row r="868" spans="1:61" ht="18.399999999999999" customHeight="1">
      <c r="A868" s="11" t="s">
        <v>4917</v>
      </c>
      <c r="B868" s="2" t="s">
        <v>809</v>
      </c>
      <c r="C868" s="2">
        <v>1</v>
      </c>
      <c r="D868" s="2" t="s">
        <v>2289</v>
      </c>
      <c r="E868" s="29" t="e">
        <f>일위대가목록!#REF!</f>
        <v>#REF!</v>
      </c>
      <c r="F868" s="29" t="e">
        <f t="shared" si="109"/>
        <v>#REF!</v>
      </c>
      <c r="G868" s="29" t="e">
        <f>일위대가목록!#REF!</f>
        <v>#REF!</v>
      </c>
      <c r="H868" s="29" t="e">
        <f t="shared" si="110"/>
        <v>#REF!</v>
      </c>
      <c r="I868" s="29" t="e">
        <f>일위대가목록!#REF!</f>
        <v>#REF!</v>
      </c>
      <c r="J868" s="29" t="e">
        <f t="shared" si="111"/>
        <v>#REF!</v>
      </c>
      <c r="K868" s="29" t="e">
        <f t="shared" si="108"/>
        <v>#REF!</v>
      </c>
      <c r="L868" s="29" t="e">
        <f t="shared" si="107"/>
        <v>#REF!</v>
      </c>
      <c r="M868" s="20" t="s">
        <v>6232</v>
      </c>
      <c r="N868" t="s">
        <v>6232</v>
      </c>
      <c r="P868" t="s">
        <v>2837</v>
      </c>
      <c r="Q868" t="s">
        <v>6232</v>
      </c>
      <c r="R868" t="s">
        <v>2235</v>
      </c>
      <c r="T868" t="s">
        <v>5235</v>
      </c>
      <c r="BI868" s="52" t="str">
        <f>HYPERLINK("#일위대가목록!A44","S4840-350 →")</f>
        <v>S4840-350 →</v>
      </c>
    </row>
    <row r="869" spans="1:61" ht="18.399999999999999" customHeight="1">
      <c r="A869" s="11" t="s">
        <v>4917</v>
      </c>
      <c r="B869" s="2" t="s">
        <v>2715</v>
      </c>
      <c r="C869" s="2">
        <v>1</v>
      </c>
      <c r="D869" s="2" t="s">
        <v>2289</v>
      </c>
      <c r="E869" s="29" t="e">
        <f>일위대가목록!#REF!</f>
        <v>#REF!</v>
      </c>
      <c r="F869" s="29" t="e">
        <f t="shared" si="109"/>
        <v>#REF!</v>
      </c>
      <c r="G869" s="29" t="e">
        <f>일위대가목록!#REF!</f>
        <v>#REF!</v>
      </c>
      <c r="H869" s="29" t="e">
        <f t="shared" si="110"/>
        <v>#REF!</v>
      </c>
      <c r="I869" s="29" t="e">
        <f>일위대가목록!#REF!</f>
        <v>#REF!</v>
      </c>
      <c r="J869" s="29" t="e">
        <f t="shared" si="111"/>
        <v>#REF!</v>
      </c>
      <c r="K869" s="29" t="e">
        <f t="shared" si="108"/>
        <v>#REF!</v>
      </c>
      <c r="L869" s="29" t="e">
        <f t="shared" si="107"/>
        <v>#REF!</v>
      </c>
      <c r="M869" s="20" t="s">
        <v>6232</v>
      </c>
      <c r="N869" t="s">
        <v>6232</v>
      </c>
      <c r="P869" t="s">
        <v>63</v>
      </c>
      <c r="Q869" t="s">
        <v>6232</v>
      </c>
      <c r="R869" t="s">
        <v>3815</v>
      </c>
      <c r="T869" t="s">
        <v>5235</v>
      </c>
      <c r="BI869" s="52" t="str">
        <f>HYPERLINK("#일위대가목록!A45","S4840-400 →")</f>
        <v>S4840-400 →</v>
      </c>
    </row>
    <row r="870" spans="1:61" ht="18.399999999999999" customHeight="1">
      <c r="A870" s="11" t="s">
        <v>4917</v>
      </c>
      <c r="B870" s="2" t="s">
        <v>3764</v>
      </c>
      <c r="C870" s="2">
        <v>1</v>
      </c>
      <c r="D870" s="2" t="s">
        <v>2289</v>
      </c>
      <c r="E870" s="29" t="e">
        <f>일위대가목록!#REF!</f>
        <v>#REF!</v>
      </c>
      <c r="F870" s="29" t="e">
        <f t="shared" si="109"/>
        <v>#REF!</v>
      </c>
      <c r="G870" s="29" t="e">
        <f>일위대가목록!#REF!</f>
        <v>#REF!</v>
      </c>
      <c r="H870" s="29" t="e">
        <f t="shared" si="110"/>
        <v>#REF!</v>
      </c>
      <c r="I870" s="29" t="e">
        <f>일위대가목록!#REF!</f>
        <v>#REF!</v>
      </c>
      <c r="J870" s="29" t="e">
        <f t="shared" si="111"/>
        <v>#REF!</v>
      </c>
      <c r="K870" s="29" t="e">
        <f t="shared" si="108"/>
        <v>#REF!</v>
      </c>
      <c r="L870" s="29" t="e">
        <f t="shared" si="107"/>
        <v>#REF!</v>
      </c>
      <c r="M870" s="20" t="s">
        <v>6232</v>
      </c>
      <c r="N870" t="s">
        <v>6232</v>
      </c>
      <c r="P870" t="s">
        <v>1614</v>
      </c>
      <c r="Q870" t="s">
        <v>6232</v>
      </c>
      <c r="R870" t="s">
        <v>5240</v>
      </c>
      <c r="T870" t="s">
        <v>5235</v>
      </c>
      <c r="BI870" s="52" t="str">
        <f>HYPERLINK("#일위대가목록!A46","S4840-450 →")</f>
        <v>S4840-450 →</v>
      </c>
    </row>
    <row r="871" spans="1:61" ht="18.399999999999999" customHeight="1">
      <c r="A871" s="11" t="s">
        <v>4917</v>
      </c>
      <c r="B871" s="2" t="s">
        <v>524</v>
      </c>
      <c r="C871" s="2">
        <v>1</v>
      </c>
      <c r="D871" s="2" t="s">
        <v>2289</v>
      </c>
      <c r="E871" s="29" t="e">
        <f>일위대가목록!#REF!</f>
        <v>#REF!</v>
      </c>
      <c r="F871" s="29" t="e">
        <f t="shared" si="109"/>
        <v>#REF!</v>
      </c>
      <c r="G871" s="29" t="e">
        <f>일위대가목록!#REF!</f>
        <v>#REF!</v>
      </c>
      <c r="H871" s="29" t="e">
        <f t="shared" si="110"/>
        <v>#REF!</v>
      </c>
      <c r="I871" s="29" t="e">
        <f>일위대가목록!#REF!</f>
        <v>#REF!</v>
      </c>
      <c r="J871" s="29" t="e">
        <f t="shared" si="111"/>
        <v>#REF!</v>
      </c>
      <c r="K871" s="29" t="e">
        <f t="shared" si="108"/>
        <v>#REF!</v>
      </c>
      <c r="L871" s="29" t="e">
        <f t="shared" si="107"/>
        <v>#REF!</v>
      </c>
      <c r="M871" s="20" t="s">
        <v>6232</v>
      </c>
      <c r="N871" t="s">
        <v>6232</v>
      </c>
      <c r="P871" t="s">
        <v>3089</v>
      </c>
      <c r="Q871" t="s">
        <v>6232</v>
      </c>
      <c r="R871" t="s">
        <v>4147</v>
      </c>
      <c r="T871" t="s">
        <v>5235</v>
      </c>
      <c r="BI871" s="52" t="str">
        <f>HYPERLINK("#일위대가목록!A47","S4840-500 →")</f>
        <v>S4840-500 →</v>
      </c>
    </row>
    <row r="872" spans="1:61" ht="18.399999999999999" customHeight="1">
      <c r="A872" s="11" t="s">
        <v>4917</v>
      </c>
      <c r="B872" s="2" t="s">
        <v>6191</v>
      </c>
      <c r="C872" s="2">
        <v>1</v>
      </c>
      <c r="D872" s="2" t="s">
        <v>2289</v>
      </c>
      <c r="E872" s="29" t="e">
        <f>일위대가목록!#REF!</f>
        <v>#REF!</v>
      </c>
      <c r="F872" s="29" t="e">
        <f t="shared" si="109"/>
        <v>#REF!</v>
      </c>
      <c r="G872" s="29" t="e">
        <f>일위대가목록!#REF!</f>
        <v>#REF!</v>
      </c>
      <c r="H872" s="29" t="e">
        <f t="shared" si="110"/>
        <v>#REF!</v>
      </c>
      <c r="I872" s="29" t="e">
        <f>일위대가목록!#REF!</f>
        <v>#REF!</v>
      </c>
      <c r="J872" s="29" t="e">
        <f t="shared" si="111"/>
        <v>#REF!</v>
      </c>
      <c r="K872" s="29" t="e">
        <f t="shared" si="108"/>
        <v>#REF!</v>
      </c>
      <c r="L872" s="29" t="e">
        <f t="shared" si="107"/>
        <v>#REF!</v>
      </c>
      <c r="M872" s="20" t="s">
        <v>6232</v>
      </c>
      <c r="N872" t="s">
        <v>6232</v>
      </c>
      <c r="P872" t="s">
        <v>4690</v>
      </c>
      <c r="Q872" t="s">
        <v>6232</v>
      </c>
      <c r="R872" t="s">
        <v>5813</v>
      </c>
      <c r="T872" t="s">
        <v>5235</v>
      </c>
      <c r="BI872" s="52" t="str">
        <f>HYPERLINK("#일위대가목록!A48","S4840-550 →")</f>
        <v>S4840-550 →</v>
      </c>
    </row>
    <row r="873" spans="1:61" ht="18.399999999999999" customHeight="1">
      <c r="A873" s="11" t="s">
        <v>4917</v>
      </c>
      <c r="B873" s="2" t="s">
        <v>6105</v>
      </c>
      <c r="C873" s="2">
        <v>1</v>
      </c>
      <c r="D873" s="2" t="s">
        <v>2289</v>
      </c>
      <c r="E873" s="29" t="e">
        <f>일위대가목록!#REF!</f>
        <v>#REF!</v>
      </c>
      <c r="F873" s="29" t="e">
        <f t="shared" si="109"/>
        <v>#REF!</v>
      </c>
      <c r="G873" s="29" t="e">
        <f>일위대가목록!#REF!</f>
        <v>#REF!</v>
      </c>
      <c r="H873" s="29" t="e">
        <f t="shared" si="110"/>
        <v>#REF!</v>
      </c>
      <c r="I873" s="29" t="e">
        <f>일위대가목록!#REF!</f>
        <v>#REF!</v>
      </c>
      <c r="J873" s="29" t="e">
        <f t="shared" si="111"/>
        <v>#REF!</v>
      </c>
      <c r="K873" s="29" t="e">
        <f t="shared" si="108"/>
        <v>#REF!</v>
      </c>
      <c r="L873" s="29" t="e">
        <f t="shared" si="107"/>
        <v>#REF!</v>
      </c>
      <c r="M873" s="20" t="s">
        <v>6232</v>
      </c>
      <c r="N873" t="s">
        <v>6232</v>
      </c>
      <c r="P873" t="s">
        <v>135</v>
      </c>
      <c r="Q873" t="s">
        <v>6232</v>
      </c>
      <c r="R873" t="s">
        <v>5903</v>
      </c>
      <c r="T873" t="s">
        <v>5235</v>
      </c>
      <c r="BI873" s="52" t="str">
        <f>HYPERLINK("#일위대가목록!A49","S4840-600 →")</f>
        <v>S4840-600 →</v>
      </c>
    </row>
    <row r="874" spans="1:61" ht="18.399999999999999" customHeight="1">
      <c r="A874" s="11" t="s">
        <v>4917</v>
      </c>
      <c r="B874" s="2" t="s">
        <v>397</v>
      </c>
      <c r="C874" s="2">
        <v>1</v>
      </c>
      <c r="D874" s="2" t="s">
        <v>2289</v>
      </c>
      <c r="E874" s="29" t="e">
        <f>일위대가목록!#REF!</f>
        <v>#REF!</v>
      </c>
      <c r="F874" s="29" t="e">
        <f t="shared" si="109"/>
        <v>#REF!</v>
      </c>
      <c r="G874" s="29" t="e">
        <f>일위대가목록!#REF!</f>
        <v>#REF!</v>
      </c>
      <c r="H874" s="29" t="e">
        <f t="shared" si="110"/>
        <v>#REF!</v>
      </c>
      <c r="I874" s="29" t="e">
        <f>일위대가목록!#REF!</f>
        <v>#REF!</v>
      </c>
      <c r="J874" s="29" t="e">
        <f t="shared" si="111"/>
        <v>#REF!</v>
      </c>
      <c r="K874" s="29" t="e">
        <f t="shared" si="108"/>
        <v>#REF!</v>
      </c>
      <c r="L874" s="29" t="e">
        <f t="shared" si="107"/>
        <v>#REF!</v>
      </c>
      <c r="M874" s="20" t="s">
        <v>6232</v>
      </c>
      <c r="N874" t="s">
        <v>6232</v>
      </c>
      <c r="P874" t="s">
        <v>1697</v>
      </c>
      <c r="Q874" t="s">
        <v>6232</v>
      </c>
      <c r="R874" t="s">
        <v>4418</v>
      </c>
      <c r="T874" t="s">
        <v>5235</v>
      </c>
      <c r="BI874" s="52" t="str">
        <f>HYPERLINK("#일위대가목록!A50","S4840-650 →")</f>
        <v>S4840-650 →</v>
      </c>
    </row>
    <row r="875" spans="1:61" ht="18.399999999999999" customHeight="1">
      <c r="A875" s="11" t="s">
        <v>4917</v>
      </c>
      <c r="B875" s="2" t="s">
        <v>3826</v>
      </c>
      <c r="C875" s="2">
        <v>1</v>
      </c>
      <c r="D875" s="2" t="s">
        <v>2289</v>
      </c>
      <c r="E875" s="29" t="e">
        <f>일위대가목록!#REF!</f>
        <v>#REF!</v>
      </c>
      <c r="F875" s="29" t="e">
        <f t="shared" si="109"/>
        <v>#REF!</v>
      </c>
      <c r="G875" s="29" t="e">
        <f>일위대가목록!#REF!</f>
        <v>#REF!</v>
      </c>
      <c r="H875" s="29" t="e">
        <f t="shared" si="110"/>
        <v>#REF!</v>
      </c>
      <c r="I875" s="29" t="e">
        <f>일위대가목록!#REF!</f>
        <v>#REF!</v>
      </c>
      <c r="J875" s="29" t="e">
        <f t="shared" si="111"/>
        <v>#REF!</v>
      </c>
      <c r="K875" s="29" t="e">
        <f t="shared" si="108"/>
        <v>#REF!</v>
      </c>
      <c r="L875" s="29" t="e">
        <f t="shared" si="107"/>
        <v>#REF!</v>
      </c>
      <c r="M875" s="20" t="s">
        <v>6232</v>
      </c>
      <c r="N875" t="s">
        <v>6232</v>
      </c>
      <c r="P875" t="s">
        <v>3186</v>
      </c>
      <c r="Q875" t="s">
        <v>6232</v>
      </c>
      <c r="R875" t="s">
        <v>4757</v>
      </c>
      <c r="T875" t="s">
        <v>5235</v>
      </c>
      <c r="BI875" s="52" t="str">
        <f>HYPERLINK("#일위대가목록!A51","S4840-700 →")</f>
        <v>S4840-700 →</v>
      </c>
    </row>
    <row r="876" spans="1:61" ht="18.399999999999999" customHeight="1">
      <c r="A876" s="11" t="s">
        <v>4917</v>
      </c>
      <c r="B876" s="2" t="s">
        <v>2823</v>
      </c>
      <c r="C876" s="2">
        <v>1</v>
      </c>
      <c r="D876" s="2" t="s">
        <v>2289</v>
      </c>
      <c r="E876" s="29" t="e">
        <f>일위대가목록!#REF!</f>
        <v>#REF!</v>
      </c>
      <c r="F876" s="29" t="e">
        <f t="shared" si="109"/>
        <v>#REF!</v>
      </c>
      <c r="G876" s="29" t="e">
        <f>일위대가목록!#REF!</f>
        <v>#REF!</v>
      </c>
      <c r="H876" s="29" t="e">
        <f t="shared" si="110"/>
        <v>#REF!</v>
      </c>
      <c r="I876" s="29" t="e">
        <f>일위대가목록!#REF!</f>
        <v>#REF!</v>
      </c>
      <c r="J876" s="29" t="e">
        <f t="shared" si="111"/>
        <v>#REF!</v>
      </c>
      <c r="K876" s="29" t="e">
        <f t="shared" si="108"/>
        <v>#REF!</v>
      </c>
      <c r="L876" s="29" t="e">
        <f t="shared" si="107"/>
        <v>#REF!</v>
      </c>
      <c r="M876" s="20" t="s">
        <v>6232</v>
      </c>
      <c r="N876" t="s">
        <v>6232</v>
      </c>
      <c r="P876" t="s">
        <v>4786</v>
      </c>
      <c r="Q876" t="s">
        <v>6232</v>
      </c>
      <c r="R876" t="s">
        <v>3114</v>
      </c>
      <c r="T876" t="s">
        <v>5235</v>
      </c>
      <c r="BI876" s="52" t="str">
        <f>HYPERLINK("#일위대가목록!A52","S4840-750 →")</f>
        <v>S4840-750 →</v>
      </c>
    </row>
    <row r="877" spans="1:61" ht="18.399999999999999" customHeight="1">
      <c r="A877" s="11" t="s">
        <v>1544</v>
      </c>
      <c r="B877" s="2" t="s">
        <v>6232</v>
      </c>
      <c r="C877" s="2"/>
      <c r="D877" s="2" t="s">
        <v>6232</v>
      </c>
      <c r="E877" s="1"/>
      <c r="F877" s="29" t="e">
        <f>TRUNC(F876+F875+F874+F873+F872+F871+F870+F869+F868+F867+F866+F865+F864+F863+F862+F861+F860+F859+F858+F857+F856+F855,0)</f>
        <v>#REF!</v>
      </c>
      <c r="G877" s="1"/>
      <c r="H877" s="29" t="e">
        <f>TRUNC(H876+H875+H874+H873+H872+H871+H870+H869+H868+H867+H866+H865+H864+H863+H862+H861+H860+H859+H858+H857+H856+H855,0)</f>
        <v>#REF!</v>
      </c>
      <c r="I877" s="1"/>
      <c r="J877" s="29" t="e">
        <f>TRUNC(J876+J875+J874+J873+J872+J871+J870+J869+J868+J867+J866+J865+J864+J863+J862+J861+J860+J859+J858+J857+J856+J855,0)</f>
        <v>#REF!</v>
      </c>
      <c r="K877" s="29">
        <f t="shared" si="108"/>
        <v>0</v>
      </c>
      <c r="L877" s="29" t="e">
        <f t="shared" si="107"/>
        <v>#REF!</v>
      </c>
      <c r="M877" s="20" t="s">
        <v>6232</v>
      </c>
      <c r="N877" t="s">
        <v>6232</v>
      </c>
      <c r="P877" t="s">
        <v>229</v>
      </c>
      <c r="Q877" t="s">
        <v>6232</v>
      </c>
      <c r="R877" t="s">
        <v>6232</v>
      </c>
    </row>
    <row r="878" spans="1:61" ht="18.399999999999999" customHeight="1">
      <c r="A878" s="11" t="s">
        <v>2495</v>
      </c>
      <c r="B878" s="2" t="s">
        <v>6232</v>
      </c>
      <c r="C878" s="2"/>
      <c r="D878" s="2" t="s">
        <v>6232</v>
      </c>
      <c r="E878" s="1"/>
      <c r="F878" s="29">
        <v>0</v>
      </c>
      <c r="G878" s="1"/>
      <c r="H878" s="29">
        <v>0</v>
      </c>
      <c r="I878" s="1"/>
      <c r="J878" s="29">
        <v>0</v>
      </c>
      <c r="K878" s="29">
        <f t="shared" si="108"/>
        <v>0</v>
      </c>
      <c r="L878" s="29">
        <f t="shared" si="107"/>
        <v>0</v>
      </c>
      <c r="M878" s="20" t="s">
        <v>6232</v>
      </c>
      <c r="N878" t="s">
        <v>6232</v>
      </c>
      <c r="P878" t="s">
        <v>1798</v>
      </c>
      <c r="Q878" t="s">
        <v>6232</v>
      </c>
      <c r="R878" t="s">
        <v>6232</v>
      </c>
    </row>
    <row r="879" spans="1:61" ht="18.399999999999999" customHeight="1">
      <c r="A879" s="11" t="s">
        <v>3905</v>
      </c>
      <c r="B879" s="2" t="s">
        <v>6232</v>
      </c>
      <c r="C879" s="2"/>
      <c r="D879" s="2" t="s">
        <v>6232</v>
      </c>
      <c r="E879" s="1"/>
      <c r="F879" s="29">
        <v>0</v>
      </c>
      <c r="G879" s="1"/>
      <c r="H879" s="29">
        <v>0</v>
      </c>
      <c r="I879" s="1"/>
      <c r="J879" s="29">
        <v>0</v>
      </c>
      <c r="K879" s="29">
        <f t="shared" si="108"/>
        <v>0</v>
      </c>
      <c r="L879" s="29">
        <f t="shared" si="107"/>
        <v>0</v>
      </c>
      <c r="M879" s="20" t="s">
        <v>6232</v>
      </c>
      <c r="N879" t="s">
        <v>6232</v>
      </c>
      <c r="P879" t="s">
        <v>1281</v>
      </c>
      <c r="Q879" t="s">
        <v>6232</v>
      </c>
      <c r="R879" t="s">
        <v>6232</v>
      </c>
    </row>
    <row r="880" spans="1:61" ht="18.399999999999999" customHeight="1">
      <c r="A880" s="11" t="s">
        <v>3905</v>
      </c>
      <c r="B880" s="2" t="s">
        <v>3291</v>
      </c>
      <c r="C880" s="2">
        <v>1</v>
      </c>
      <c r="D880" s="2" t="s">
        <v>3670</v>
      </c>
      <c r="E880" s="29" t="e">
        <f>일위대가목록!#REF!</f>
        <v>#REF!</v>
      </c>
      <c r="F880" s="29" t="e">
        <f t="shared" ref="F880:F905" si="112">TRUNC(E880*C880,0)</f>
        <v>#REF!</v>
      </c>
      <c r="G880" s="29" t="e">
        <f>일위대가목록!#REF!</f>
        <v>#REF!</v>
      </c>
      <c r="H880" s="29" t="e">
        <f t="shared" ref="H880:H905" si="113">TRUNC(G880*C880,0)</f>
        <v>#REF!</v>
      </c>
      <c r="I880" s="29" t="e">
        <f>일위대가목록!#REF!</f>
        <v>#REF!</v>
      </c>
      <c r="J880" s="29" t="e">
        <f t="shared" ref="J880:J905" si="114">TRUNC(I880*C880,0)</f>
        <v>#REF!</v>
      </c>
      <c r="K880" s="29" t="e">
        <f t="shared" si="108"/>
        <v>#REF!</v>
      </c>
      <c r="L880" s="29" t="e">
        <f t="shared" si="107"/>
        <v>#REF!</v>
      </c>
      <c r="M880" s="20" t="s">
        <v>6232</v>
      </c>
      <c r="N880" t="s">
        <v>6232</v>
      </c>
      <c r="P880" t="s">
        <v>2797</v>
      </c>
      <c r="Q880" t="s">
        <v>6232</v>
      </c>
      <c r="R880" t="s">
        <v>1107</v>
      </c>
      <c r="T880" t="s">
        <v>3860</v>
      </c>
      <c r="BI880" s="52" t="str">
        <f>HYPERLINK("#일위대가목록!A838","SD0001W0020 →")</f>
        <v>SD0001W0020 →</v>
      </c>
    </row>
    <row r="881" spans="1:61" ht="18.399999999999999" customHeight="1">
      <c r="A881" s="11" t="s">
        <v>3905</v>
      </c>
      <c r="B881" s="2" t="s">
        <v>3895</v>
      </c>
      <c r="C881" s="2">
        <v>1</v>
      </c>
      <c r="D881" s="2" t="s">
        <v>3670</v>
      </c>
      <c r="E881" s="29" t="e">
        <f>일위대가목록!#REF!</f>
        <v>#REF!</v>
      </c>
      <c r="F881" s="29" t="e">
        <f t="shared" si="112"/>
        <v>#REF!</v>
      </c>
      <c r="G881" s="29" t="e">
        <f>일위대가목록!#REF!</f>
        <v>#REF!</v>
      </c>
      <c r="H881" s="29" t="e">
        <f t="shared" si="113"/>
        <v>#REF!</v>
      </c>
      <c r="I881" s="29" t="e">
        <f>일위대가목록!#REF!</f>
        <v>#REF!</v>
      </c>
      <c r="J881" s="29" t="e">
        <f t="shared" si="114"/>
        <v>#REF!</v>
      </c>
      <c r="K881" s="29" t="e">
        <f t="shared" si="108"/>
        <v>#REF!</v>
      </c>
      <c r="L881" s="29" t="e">
        <f t="shared" si="107"/>
        <v>#REF!</v>
      </c>
      <c r="M881" s="20" t="s">
        <v>6232</v>
      </c>
      <c r="N881" t="s">
        <v>6232</v>
      </c>
      <c r="P881" t="s">
        <v>4444</v>
      </c>
      <c r="Q881" t="s">
        <v>6232</v>
      </c>
      <c r="R881" t="s">
        <v>3906</v>
      </c>
      <c r="T881" t="s">
        <v>3860</v>
      </c>
      <c r="BI881" s="52" t="str">
        <f>HYPERLINK("#일위대가목록!A839","SD0001W0025 →")</f>
        <v>SD0001W0025 →</v>
      </c>
    </row>
    <row r="882" spans="1:61" ht="18.399999999999999" customHeight="1">
      <c r="A882" s="11" t="s">
        <v>3905</v>
      </c>
      <c r="B882" s="2" t="s">
        <v>1198</v>
      </c>
      <c r="C882" s="2">
        <v>1</v>
      </c>
      <c r="D882" s="2" t="s">
        <v>3670</v>
      </c>
      <c r="E882" s="29" t="e">
        <f>일위대가목록!#REF!</f>
        <v>#REF!</v>
      </c>
      <c r="F882" s="29" t="e">
        <f t="shared" si="112"/>
        <v>#REF!</v>
      </c>
      <c r="G882" s="29" t="e">
        <f>일위대가목록!#REF!</f>
        <v>#REF!</v>
      </c>
      <c r="H882" s="29" t="e">
        <f t="shared" si="113"/>
        <v>#REF!</v>
      </c>
      <c r="I882" s="29" t="e">
        <f>일위대가목록!#REF!</f>
        <v>#REF!</v>
      </c>
      <c r="J882" s="29" t="e">
        <f t="shared" si="114"/>
        <v>#REF!</v>
      </c>
      <c r="K882" s="29" t="e">
        <f t="shared" si="108"/>
        <v>#REF!</v>
      </c>
      <c r="L882" s="29" t="e">
        <f t="shared" si="107"/>
        <v>#REF!</v>
      </c>
      <c r="M882" s="20" t="s">
        <v>6232</v>
      </c>
      <c r="N882" t="s">
        <v>6232</v>
      </c>
      <c r="P882" t="s">
        <v>5995</v>
      </c>
      <c r="Q882" t="s">
        <v>6232</v>
      </c>
      <c r="R882" t="s">
        <v>1611</v>
      </c>
      <c r="T882" t="s">
        <v>3860</v>
      </c>
      <c r="BI882" s="52" t="str">
        <f>HYPERLINK("#일위대가목록!A840","SD0001W0032 →")</f>
        <v>SD0001W0032 →</v>
      </c>
    </row>
    <row r="883" spans="1:61" ht="18.399999999999999" customHeight="1">
      <c r="A883" s="11" t="s">
        <v>3905</v>
      </c>
      <c r="B883" s="2" t="s">
        <v>4436</v>
      </c>
      <c r="C883" s="2">
        <v>1</v>
      </c>
      <c r="D883" s="2" t="s">
        <v>3670</v>
      </c>
      <c r="E883" s="29" t="e">
        <f>일위대가목록!#REF!</f>
        <v>#REF!</v>
      </c>
      <c r="F883" s="29" t="e">
        <f t="shared" si="112"/>
        <v>#REF!</v>
      </c>
      <c r="G883" s="29" t="e">
        <f>일위대가목록!#REF!</f>
        <v>#REF!</v>
      </c>
      <c r="H883" s="29" t="e">
        <f t="shared" si="113"/>
        <v>#REF!</v>
      </c>
      <c r="I883" s="29" t="e">
        <f>일위대가목록!#REF!</f>
        <v>#REF!</v>
      </c>
      <c r="J883" s="29" t="e">
        <f t="shared" si="114"/>
        <v>#REF!</v>
      </c>
      <c r="K883" s="29" t="e">
        <f t="shared" si="108"/>
        <v>#REF!</v>
      </c>
      <c r="L883" s="29" t="e">
        <f t="shared" si="107"/>
        <v>#REF!</v>
      </c>
      <c r="M883" s="20" t="s">
        <v>6232</v>
      </c>
      <c r="N883" t="s">
        <v>6232</v>
      </c>
      <c r="P883" t="s">
        <v>1173</v>
      </c>
      <c r="Q883" t="s">
        <v>6232</v>
      </c>
      <c r="R883" t="s">
        <v>4093</v>
      </c>
      <c r="T883" t="s">
        <v>3860</v>
      </c>
      <c r="BI883" s="52" t="str">
        <f>HYPERLINK("#일위대가목록!A841","SD0001W0040 →")</f>
        <v>SD0001W0040 →</v>
      </c>
    </row>
    <row r="884" spans="1:61" ht="18.399999999999999" customHeight="1">
      <c r="A884" s="11" t="s">
        <v>3905</v>
      </c>
      <c r="B884" s="2" t="s">
        <v>710</v>
      </c>
      <c r="C884" s="2">
        <v>1</v>
      </c>
      <c r="D884" s="2" t="s">
        <v>3670</v>
      </c>
      <c r="E884" s="29" t="e">
        <f>일위대가목록!#REF!</f>
        <v>#REF!</v>
      </c>
      <c r="F884" s="29" t="e">
        <f t="shared" si="112"/>
        <v>#REF!</v>
      </c>
      <c r="G884" s="29" t="e">
        <f>일위대가목록!#REF!</f>
        <v>#REF!</v>
      </c>
      <c r="H884" s="29" t="e">
        <f t="shared" si="113"/>
        <v>#REF!</v>
      </c>
      <c r="I884" s="29" t="e">
        <f>일위대가목록!#REF!</f>
        <v>#REF!</v>
      </c>
      <c r="J884" s="29" t="e">
        <f t="shared" si="114"/>
        <v>#REF!</v>
      </c>
      <c r="K884" s="29" t="e">
        <f t="shared" si="108"/>
        <v>#REF!</v>
      </c>
      <c r="L884" s="29" t="e">
        <f t="shared" si="107"/>
        <v>#REF!</v>
      </c>
      <c r="M884" s="20" t="s">
        <v>6232</v>
      </c>
      <c r="N884" t="s">
        <v>6232</v>
      </c>
      <c r="P884" t="s">
        <v>2699</v>
      </c>
      <c r="Q884" t="s">
        <v>6232</v>
      </c>
      <c r="R884" t="s">
        <v>5677</v>
      </c>
      <c r="T884" t="s">
        <v>3860</v>
      </c>
      <c r="BI884" s="52" t="str">
        <f>HYPERLINK("#일위대가목록!A842","SD0001W0050 →")</f>
        <v>SD0001W0050 →</v>
      </c>
    </row>
    <row r="885" spans="1:61" ht="18.399999999999999" customHeight="1">
      <c r="A885" s="11" t="s">
        <v>3905</v>
      </c>
      <c r="B885" s="2" t="s">
        <v>3364</v>
      </c>
      <c r="C885" s="2">
        <v>1</v>
      </c>
      <c r="D885" s="2" t="s">
        <v>3670</v>
      </c>
      <c r="E885" s="29" t="e">
        <f>일위대가목록!#REF!</f>
        <v>#REF!</v>
      </c>
      <c r="F885" s="29" t="e">
        <f t="shared" si="112"/>
        <v>#REF!</v>
      </c>
      <c r="G885" s="29" t="e">
        <f>일위대가목록!#REF!</f>
        <v>#REF!</v>
      </c>
      <c r="H885" s="29" t="e">
        <f t="shared" si="113"/>
        <v>#REF!</v>
      </c>
      <c r="I885" s="29" t="e">
        <f>일위대가목록!#REF!</f>
        <v>#REF!</v>
      </c>
      <c r="J885" s="29" t="e">
        <f t="shared" si="114"/>
        <v>#REF!</v>
      </c>
      <c r="K885" s="29" t="e">
        <f t="shared" si="108"/>
        <v>#REF!</v>
      </c>
      <c r="L885" s="29" t="e">
        <f t="shared" si="107"/>
        <v>#REF!</v>
      </c>
      <c r="M885" s="20" t="s">
        <v>6232</v>
      </c>
      <c r="N885" t="s">
        <v>6232</v>
      </c>
      <c r="P885" t="s">
        <v>4351</v>
      </c>
      <c r="Q885" t="s">
        <v>6232</v>
      </c>
      <c r="R885" t="s">
        <v>4041</v>
      </c>
      <c r="T885" t="s">
        <v>3860</v>
      </c>
      <c r="BI885" s="52" t="str">
        <f>HYPERLINK("#일위대가목록!A843","SD0001W0065 →")</f>
        <v>SD0001W0065 →</v>
      </c>
    </row>
    <row r="886" spans="1:61" ht="18.399999999999999" customHeight="1">
      <c r="A886" s="11" t="s">
        <v>3905</v>
      </c>
      <c r="B886" s="2" t="s">
        <v>4889</v>
      </c>
      <c r="C886" s="2">
        <v>1</v>
      </c>
      <c r="D886" s="2" t="s">
        <v>3670</v>
      </c>
      <c r="E886" s="29" t="e">
        <f>일위대가목록!#REF!</f>
        <v>#REF!</v>
      </c>
      <c r="F886" s="29" t="e">
        <f t="shared" si="112"/>
        <v>#REF!</v>
      </c>
      <c r="G886" s="29" t="e">
        <f>일위대가목록!#REF!</f>
        <v>#REF!</v>
      </c>
      <c r="H886" s="29" t="e">
        <f t="shared" si="113"/>
        <v>#REF!</v>
      </c>
      <c r="I886" s="29" t="e">
        <f>일위대가목록!#REF!</f>
        <v>#REF!</v>
      </c>
      <c r="J886" s="29" t="e">
        <f t="shared" si="114"/>
        <v>#REF!</v>
      </c>
      <c r="K886" s="29" t="e">
        <f t="shared" si="108"/>
        <v>#REF!</v>
      </c>
      <c r="L886" s="29" t="e">
        <f t="shared" si="107"/>
        <v>#REF!</v>
      </c>
      <c r="M886" s="20" t="s">
        <v>6232</v>
      </c>
      <c r="N886" t="s">
        <v>6232</v>
      </c>
      <c r="P886" t="s">
        <v>5873</v>
      </c>
      <c r="Q886" t="s">
        <v>6232</v>
      </c>
      <c r="R886" t="s">
        <v>3988</v>
      </c>
      <c r="T886" t="s">
        <v>3860</v>
      </c>
      <c r="BI886" s="52" t="str">
        <f>HYPERLINK("#일위대가목록!A844","SD0001W0080 →")</f>
        <v>SD0001W0080 →</v>
      </c>
    </row>
    <row r="887" spans="1:61" ht="18.399999999999999" customHeight="1">
      <c r="A887" s="11" t="s">
        <v>3905</v>
      </c>
      <c r="B887" s="2" t="s">
        <v>356</v>
      </c>
      <c r="C887" s="2">
        <v>1</v>
      </c>
      <c r="D887" s="2" t="s">
        <v>3670</v>
      </c>
      <c r="E887" s="29" t="e">
        <f>일위대가목록!#REF!</f>
        <v>#REF!</v>
      </c>
      <c r="F887" s="29" t="e">
        <f t="shared" si="112"/>
        <v>#REF!</v>
      </c>
      <c r="G887" s="29" t="e">
        <f>일위대가목록!#REF!</f>
        <v>#REF!</v>
      </c>
      <c r="H887" s="29" t="e">
        <f t="shared" si="113"/>
        <v>#REF!</v>
      </c>
      <c r="I887" s="29" t="e">
        <f>일위대가목록!#REF!</f>
        <v>#REF!</v>
      </c>
      <c r="J887" s="29" t="e">
        <f t="shared" si="114"/>
        <v>#REF!</v>
      </c>
      <c r="K887" s="29" t="e">
        <f t="shared" si="108"/>
        <v>#REF!</v>
      </c>
      <c r="L887" s="29" t="e">
        <f t="shared" si="107"/>
        <v>#REF!</v>
      </c>
      <c r="M887" s="20" t="s">
        <v>6232</v>
      </c>
      <c r="N887" t="s">
        <v>6232</v>
      </c>
      <c r="P887" t="s">
        <v>1458</v>
      </c>
      <c r="Q887" t="s">
        <v>6232</v>
      </c>
      <c r="R887" t="s">
        <v>3779</v>
      </c>
      <c r="T887" t="s">
        <v>3860</v>
      </c>
      <c r="BI887" s="52" t="str">
        <f>HYPERLINK("#일위대가목록!A845","SD0001W0100 →")</f>
        <v>SD0001W0100 →</v>
      </c>
    </row>
    <row r="888" spans="1:61" ht="18.399999999999999" customHeight="1">
      <c r="A888" s="11" t="s">
        <v>3905</v>
      </c>
      <c r="B888" s="2" t="s">
        <v>5508</v>
      </c>
      <c r="C888" s="2">
        <v>1</v>
      </c>
      <c r="D888" s="2" t="s">
        <v>3670</v>
      </c>
      <c r="E888" s="29" t="e">
        <f>일위대가목록!#REF!</f>
        <v>#REF!</v>
      </c>
      <c r="F888" s="29" t="e">
        <f t="shared" si="112"/>
        <v>#REF!</v>
      </c>
      <c r="G888" s="29" t="e">
        <f>일위대가목록!#REF!</f>
        <v>#REF!</v>
      </c>
      <c r="H888" s="29" t="e">
        <f t="shared" si="113"/>
        <v>#REF!</v>
      </c>
      <c r="I888" s="29" t="e">
        <f>일위대가목록!#REF!</f>
        <v>#REF!</v>
      </c>
      <c r="J888" s="29" t="e">
        <f t="shared" si="114"/>
        <v>#REF!</v>
      </c>
      <c r="K888" s="29" t="e">
        <f t="shared" si="108"/>
        <v>#REF!</v>
      </c>
      <c r="L888" s="29" t="e">
        <f t="shared" si="107"/>
        <v>#REF!</v>
      </c>
      <c r="M888" s="20" t="s">
        <v>6232</v>
      </c>
      <c r="N888" t="s">
        <v>6232</v>
      </c>
      <c r="P888" t="s">
        <v>2971</v>
      </c>
      <c r="Q888" t="s">
        <v>6232</v>
      </c>
      <c r="R888" t="s">
        <v>3644</v>
      </c>
      <c r="T888" t="s">
        <v>3860</v>
      </c>
      <c r="BI888" s="52" t="str">
        <f>HYPERLINK("#일위대가목록!A846","SD0001W0125 →")</f>
        <v>SD0001W0125 →</v>
      </c>
    </row>
    <row r="889" spans="1:61" ht="18.399999999999999" customHeight="1">
      <c r="A889" s="11" t="s">
        <v>3905</v>
      </c>
      <c r="B889" s="2" t="s">
        <v>5466</v>
      </c>
      <c r="C889" s="2">
        <v>1</v>
      </c>
      <c r="D889" s="2" t="s">
        <v>3670</v>
      </c>
      <c r="E889" s="29" t="e">
        <f>일위대가목록!#REF!</f>
        <v>#REF!</v>
      </c>
      <c r="F889" s="29" t="e">
        <f t="shared" si="112"/>
        <v>#REF!</v>
      </c>
      <c r="G889" s="29" t="e">
        <f>일위대가목록!#REF!</f>
        <v>#REF!</v>
      </c>
      <c r="H889" s="29" t="e">
        <f t="shared" si="113"/>
        <v>#REF!</v>
      </c>
      <c r="I889" s="29" t="e">
        <f>일위대가목록!#REF!</f>
        <v>#REF!</v>
      </c>
      <c r="J889" s="29" t="e">
        <f t="shared" si="114"/>
        <v>#REF!</v>
      </c>
      <c r="K889" s="29" t="e">
        <f t="shared" si="108"/>
        <v>#REF!</v>
      </c>
      <c r="L889" s="29" t="e">
        <f t="shared" si="107"/>
        <v>#REF!</v>
      </c>
      <c r="M889" s="20" t="s">
        <v>6232</v>
      </c>
      <c r="N889" t="s">
        <v>6232</v>
      </c>
      <c r="P889" t="s">
        <v>5428</v>
      </c>
      <c r="Q889" t="s">
        <v>6232</v>
      </c>
      <c r="R889" t="s">
        <v>5388</v>
      </c>
      <c r="T889" t="s">
        <v>3860</v>
      </c>
      <c r="BI889" s="52" t="str">
        <f>HYPERLINK("#일위대가목록!A847","SD0001W0150 →")</f>
        <v>SD0001W0150 →</v>
      </c>
    </row>
    <row r="890" spans="1:61" ht="18.399999999999999" customHeight="1">
      <c r="A890" s="11" t="s">
        <v>3905</v>
      </c>
      <c r="B890" s="2" t="s">
        <v>5864</v>
      </c>
      <c r="C890" s="2">
        <v>1</v>
      </c>
      <c r="D890" s="2" t="s">
        <v>3670</v>
      </c>
      <c r="E890" s="29" t="e">
        <f>일위대가목록!#REF!</f>
        <v>#REF!</v>
      </c>
      <c r="F890" s="29" t="e">
        <f t="shared" si="112"/>
        <v>#REF!</v>
      </c>
      <c r="G890" s="29" t="e">
        <f>일위대가목록!#REF!</f>
        <v>#REF!</v>
      </c>
      <c r="H890" s="29" t="e">
        <f t="shared" si="113"/>
        <v>#REF!</v>
      </c>
      <c r="I890" s="29" t="e">
        <f>일위대가목록!#REF!</f>
        <v>#REF!</v>
      </c>
      <c r="J890" s="29" t="e">
        <f t="shared" si="114"/>
        <v>#REF!</v>
      </c>
      <c r="K890" s="29" t="e">
        <f t="shared" si="108"/>
        <v>#REF!</v>
      </c>
      <c r="L890" s="29" t="e">
        <f t="shared" si="107"/>
        <v>#REF!</v>
      </c>
      <c r="M890" s="20" t="s">
        <v>6232</v>
      </c>
      <c r="N890" t="s">
        <v>6232</v>
      </c>
      <c r="P890" t="s">
        <v>3838</v>
      </c>
      <c r="Q890" t="s">
        <v>6232</v>
      </c>
      <c r="R890" t="s">
        <v>4717</v>
      </c>
      <c r="T890" t="s">
        <v>3860</v>
      </c>
      <c r="BI890" s="52" t="str">
        <f>HYPERLINK("#일위대가목록!A848","SD0001W0200 →")</f>
        <v>SD0001W0200 →</v>
      </c>
    </row>
    <row r="891" spans="1:61" ht="18.399999999999999" customHeight="1">
      <c r="A891" s="11" t="s">
        <v>3905</v>
      </c>
      <c r="B891" s="2" t="s">
        <v>2115</v>
      </c>
      <c r="C891" s="2">
        <v>1</v>
      </c>
      <c r="D891" s="2" t="s">
        <v>3670</v>
      </c>
      <c r="E891" s="29" t="e">
        <f>일위대가목록!#REF!</f>
        <v>#REF!</v>
      </c>
      <c r="F891" s="29" t="e">
        <f t="shared" si="112"/>
        <v>#REF!</v>
      </c>
      <c r="G891" s="29" t="e">
        <f>일위대가목록!#REF!</f>
        <v>#REF!</v>
      </c>
      <c r="H891" s="29" t="e">
        <f t="shared" si="113"/>
        <v>#REF!</v>
      </c>
      <c r="I891" s="29" t="e">
        <f>일위대가목록!#REF!</f>
        <v>#REF!</v>
      </c>
      <c r="J891" s="29" t="e">
        <f t="shared" si="114"/>
        <v>#REF!</v>
      </c>
      <c r="K891" s="29" t="e">
        <f t="shared" si="108"/>
        <v>#REF!</v>
      </c>
      <c r="L891" s="29" t="e">
        <f t="shared" si="107"/>
        <v>#REF!</v>
      </c>
      <c r="M891" s="20" t="s">
        <v>6232</v>
      </c>
      <c r="N891" t="s">
        <v>6232</v>
      </c>
      <c r="P891" t="s">
        <v>2250</v>
      </c>
      <c r="Q891" t="s">
        <v>6232</v>
      </c>
      <c r="R891" t="s">
        <v>3266</v>
      </c>
      <c r="T891" t="s">
        <v>3860</v>
      </c>
      <c r="BI891" s="52" t="str">
        <f>HYPERLINK("#일위대가목록!A849","SD0001W0250 →")</f>
        <v>SD0001W0250 →</v>
      </c>
    </row>
    <row r="892" spans="1:61" ht="18.399999999999999" customHeight="1">
      <c r="A892" s="11" t="s">
        <v>3905</v>
      </c>
      <c r="B892" s="2" t="s">
        <v>1057</v>
      </c>
      <c r="C892" s="2">
        <v>1</v>
      </c>
      <c r="D892" s="2" t="s">
        <v>3670</v>
      </c>
      <c r="E892" s="29" t="e">
        <f>일위대가목록!#REF!</f>
        <v>#REF!</v>
      </c>
      <c r="F892" s="29" t="e">
        <f t="shared" si="112"/>
        <v>#REF!</v>
      </c>
      <c r="G892" s="29" t="e">
        <f>일위대가목록!#REF!</f>
        <v>#REF!</v>
      </c>
      <c r="H892" s="29" t="e">
        <f t="shared" si="113"/>
        <v>#REF!</v>
      </c>
      <c r="I892" s="29" t="e">
        <f>일위대가목록!#REF!</f>
        <v>#REF!</v>
      </c>
      <c r="J892" s="29" t="e">
        <f t="shared" si="114"/>
        <v>#REF!</v>
      </c>
      <c r="K892" s="29" t="e">
        <f t="shared" si="108"/>
        <v>#REF!</v>
      </c>
      <c r="L892" s="29" t="e">
        <f t="shared" si="107"/>
        <v>#REF!</v>
      </c>
      <c r="M892" s="20" t="s">
        <v>6232</v>
      </c>
      <c r="N892" t="s">
        <v>6232</v>
      </c>
      <c r="P892" t="s">
        <v>685</v>
      </c>
      <c r="Q892" t="s">
        <v>6232</v>
      </c>
      <c r="R892" t="s">
        <v>5949</v>
      </c>
      <c r="T892" t="s">
        <v>3860</v>
      </c>
      <c r="BI892" s="52" t="str">
        <f>HYPERLINK("#일위대가목록!A850","SD0001W0300 →")</f>
        <v>SD0001W0300 →</v>
      </c>
    </row>
    <row r="893" spans="1:61" ht="18.399999999999999" customHeight="1">
      <c r="A893" s="11" t="s">
        <v>3905</v>
      </c>
      <c r="B893" s="2" t="s">
        <v>4708</v>
      </c>
      <c r="C893" s="2">
        <v>1</v>
      </c>
      <c r="D893" s="2" t="s">
        <v>3670</v>
      </c>
      <c r="E893" s="29" t="e">
        <f>일위대가목록!#REF!</f>
        <v>#REF!</v>
      </c>
      <c r="F893" s="29" t="e">
        <f t="shared" si="112"/>
        <v>#REF!</v>
      </c>
      <c r="G893" s="29" t="e">
        <f>일위대가목록!#REF!</f>
        <v>#REF!</v>
      </c>
      <c r="H893" s="29" t="e">
        <f t="shared" si="113"/>
        <v>#REF!</v>
      </c>
      <c r="I893" s="29" t="e">
        <f>일위대가목록!#REF!</f>
        <v>#REF!</v>
      </c>
      <c r="J893" s="29" t="e">
        <f t="shared" si="114"/>
        <v>#REF!</v>
      </c>
      <c r="K893" s="29" t="e">
        <f t="shared" si="108"/>
        <v>#REF!</v>
      </c>
      <c r="L893" s="29" t="e">
        <f t="shared" si="107"/>
        <v>#REF!</v>
      </c>
      <c r="M893" s="20" t="s">
        <v>6232</v>
      </c>
      <c r="N893" t="s">
        <v>6232</v>
      </c>
      <c r="P893" t="s">
        <v>5324</v>
      </c>
      <c r="Q893" t="s">
        <v>6232</v>
      </c>
      <c r="R893" t="s">
        <v>4299</v>
      </c>
      <c r="T893" t="s">
        <v>3860</v>
      </c>
      <c r="BI893" s="52" t="str">
        <f>HYPERLINK("#일위대가목록!A851","SD0001W0350 →")</f>
        <v>SD0001W0350 →</v>
      </c>
    </row>
    <row r="894" spans="1:61" ht="18.399999999999999" customHeight="1">
      <c r="A894" s="11" t="s">
        <v>3905</v>
      </c>
      <c r="B894" s="2" t="s">
        <v>2975</v>
      </c>
      <c r="C894" s="2">
        <v>1</v>
      </c>
      <c r="D894" s="2" t="s">
        <v>3670</v>
      </c>
      <c r="E894" s="29" t="e">
        <f>일위대가목록!#REF!</f>
        <v>#REF!</v>
      </c>
      <c r="F894" s="29" t="e">
        <f t="shared" si="112"/>
        <v>#REF!</v>
      </c>
      <c r="G894" s="29" t="e">
        <f>일위대가목록!#REF!</f>
        <v>#REF!</v>
      </c>
      <c r="H894" s="29" t="e">
        <f t="shared" si="113"/>
        <v>#REF!</v>
      </c>
      <c r="I894" s="29" t="e">
        <f>일위대가목록!#REF!</f>
        <v>#REF!</v>
      </c>
      <c r="J894" s="29" t="e">
        <f t="shared" si="114"/>
        <v>#REF!</v>
      </c>
      <c r="K894" s="29" t="e">
        <f t="shared" si="108"/>
        <v>#REF!</v>
      </c>
      <c r="L894" s="29" t="e">
        <f t="shared" si="107"/>
        <v>#REF!</v>
      </c>
      <c r="M894" s="20" t="s">
        <v>6232</v>
      </c>
      <c r="N894" t="s">
        <v>6232</v>
      </c>
      <c r="P894" t="s">
        <v>3740</v>
      </c>
      <c r="Q894" t="s">
        <v>6232</v>
      </c>
      <c r="R894" t="s">
        <v>2694</v>
      </c>
      <c r="T894" t="s">
        <v>3860</v>
      </c>
      <c r="BI894" s="52" t="str">
        <f>HYPERLINK("#일위대가목록!A852","SD0001W0400 →")</f>
        <v>SD0001W0400 →</v>
      </c>
    </row>
    <row r="895" spans="1:61" ht="18.399999999999999" customHeight="1">
      <c r="A895" s="11" t="s">
        <v>3905</v>
      </c>
      <c r="B895" s="2" t="s">
        <v>3521</v>
      </c>
      <c r="C895" s="2">
        <v>1</v>
      </c>
      <c r="D895" s="2" t="s">
        <v>3670</v>
      </c>
      <c r="E895" s="29" t="e">
        <f>일위대가목록!#REF!</f>
        <v>#REF!</v>
      </c>
      <c r="F895" s="29" t="e">
        <f t="shared" si="112"/>
        <v>#REF!</v>
      </c>
      <c r="G895" s="29" t="e">
        <f>일위대가목록!#REF!</f>
        <v>#REF!</v>
      </c>
      <c r="H895" s="29" t="e">
        <f t="shared" si="113"/>
        <v>#REF!</v>
      </c>
      <c r="I895" s="29" t="e">
        <f>일위대가목록!#REF!</f>
        <v>#REF!</v>
      </c>
      <c r="J895" s="29" t="e">
        <f t="shared" si="114"/>
        <v>#REF!</v>
      </c>
      <c r="K895" s="29" t="e">
        <f t="shared" si="108"/>
        <v>#REF!</v>
      </c>
      <c r="L895" s="29" t="e">
        <f t="shared" si="107"/>
        <v>#REF!</v>
      </c>
      <c r="M895" s="20" t="s">
        <v>6232</v>
      </c>
      <c r="N895" t="s">
        <v>6232</v>
      </c>
      <c r="P895" t="s">
        <v>2145</v>
      </c>
      <c r="Q895" t="s">
        <v>6232</v>
      </c>
      <c r="R895" t="s">
        <v>1283</v>
      </c>
      <c r="T895" t="s">
        <v>3860</v>
      </c>
      <c r="BI895" s="52" t="str">
        <f>HYPERLINK("#일위대가목록!A853","SD0001W0450 →")</f>
        <v>SD0001W0450 →</v>
      </c>
    </row>
    <row r="896" spans="1:61" ht="18.399999999999999" customHeight="1">
      <c r="A896" s="11" t="s">
        <v>3905</v>
      </c>
      <c r="B896" s="2" t="s">
        <v>251</v>
      </c>
      <c r="C896" s="2">
        <v>1</v>
      </c>
      <c r="D896" s="2" t="s">
        <v>3670</v>
      </c>
      <c r="E896" s="29" t="e">
        <f>일위대가목록!#REF!</f>
        <v>#REF!</v>
      </c>
      <c r="F896" s="29" t="e">
        <f t="shared" si="112"/>
        <v>#REF!</v>
      </c>
      <c r="G896" s="29" t="e">
        <f>일위대가목록!#REF!</f>
        <v>#REF!</v>
      </c>
      <c r="H896" s="29" t="e">
        <f t="shared" si="113"/>
        <v>#REF!</v>
      </c>
      <c r="I896" s="29" t="e">
        <f>일위대가목록!#REF!</f>
        <v>#REF!</v>
      </c>
      <c r="J896" s="29" t="e">
        <f t="shared" si="114"/>
        <v>#REF!</v>
      </c>
      <c r="K896" s="29" t="e">
        <f t="shared" si="108"/>
        <v>#REF!</v>
      </c>
      <c r="L896" s="29" t="e">
        <f t="shared" si="107"/>
        <v>#REF!</v>
      </c>
      <c r="M896" s="20" t="s">
        <v>6232</v>
      </c>
      <c r="N896" t="s">
        <v>6232</v>
      </c>
      <c r="P896" t="s">
        <v>602</v>
      </c>
      <c r="Q896" t="s">
        <v>6232</v>
      </c>
      <c r="R896" t="s">
        <v>1703</v>
      </c>
      <c r="T896" t="s">
        <v>3860</v>
      </c>
      <c r="BI896" s="52" t="str">
        <f>HYPERLINK("#일위대가목록!A854","SD0001W0500 →")</f>
        <v>SD0001W0500 →</v>
      </c>
    </row>
    <row r="897" spans="1:61" ht="18.399999999999999" customHeight="1">
      <c r="A897" s="11" t="s">
        <v>3905</v>
      </c>
      <c r="B897" s="2" t="s">
        <v>1495</v>
      </c>
      <c r="C897" s="2">
        <v>1</v>
      </c>
      <c r="D897" s="2" t="s">
        <v>3670</v>
      </c>
      <c r="E897" s="29" t="e">
        <f>일위대가목록!#REF!</f>
        <v>#REF!</v>
      </c>
      <c r="F897" s="29" t="e">
        <f t="shared" si="112"/>
        <v>#REF!</v>
      </c>
      <c r="G897" s="29" t="e">
        <f>일위대가목록!#REF!</f>
        <v>#REF!</v>
      </c>
      <c r="H897" s="29" t="e">
        <f t="shared" si="113"/>
        <v>#REF!</v>
      </c>
      <c r="I897" s="29" t="e">
        <f>일위대가목록!#REF!</f>
        <v>#REF!</v>
      </c>
      <c r="J897" s="29" t="e">
        <f t="shared" si="114"/>
        <v>#REF!</v>
      </c>
      <c r="K897" s="29" t="e">
        <f t="shared" si="108"/>
        <v>#REF!</v>
      </c>
      <c r="L897" s="29" t="e">
        <f t="shared" si="107"/>
        <v>#REF!</v>
      </c>
      <c r="M897" s="20" t="s">
        <v>6232</v>
      </c>
      <c r="N897" t="s">
        <v>6232</v>
      </c>
      <c r="P897" t="s">
        <v>5224</v>
      </c>
      <c r="Q897" t="s">
        <v>6232</v>
      </c>
      <c r="R897" t="s">
        <v>58</v>
      </c>
      <c r="T897" t="s">
        <v>3860</v>
      </c>
      <c r="BI897" s="52" t="str">
        <f>HYPERLINK("#일위대가목록!A855","SD0001W0550 →")</f>
        <v>SD0001W0550 →</v>
      </c>
    </row>
    <row r="898" spans="1:61" ht="18.399999999999999" customHeight="1">
      <c r="A898" s="11" t="s">
        <v>3905</v>
      </c>
      <c r="B898" s="2" t="s">
        <v>5964</v>
      </c>
      <c r="C898" s="2">
        <v>1</v>
      </c>
      <c r="D898" s="2" t="s">
        <v>3670</v>
      </c>
      <c r="E898" s="29" t="e">
        <f>일위대가목록!#REF!</f>
        <v>#REF!</v>
      </c>
      <c r="F898" s="29" t="e">
        <f t="shared" si="112"/>
        <v>#REF!</v>
      </c>
      <c r="G898" s="29" t="e">
        <f>일위대가목록!#REF!</f>
        <v>#REF!</v>
      </c>
      <c r="H898" s="29" t="e">
        <f t="shared" si="113"/>
        <v>#REF!</v>
      </c>
      <c r="I898" s="29" t="e">
        <f>일위대가목록!#REF!</f>
        <v>#REF!</v>
      </c>
      <c r="J898" s="29" t="e">
        <f t="shared" si="114"/>
        <v>#REF!</v>
      </c>
      <c r="K898" s="29" t="e">
        <f t="shared" si="108"/>
        <v>#REF!</v>
      </c>
      <c r="L898" s="29" t="e">
        <f t="shared" si="107"/>
        <v>#REF!</v>
      </c>
      <c r="M898" s="20" t="s">
        <v>6232</v>
      </c>
      <c r="N898" t="s">
        <v>6232</v>
      </c>
      <c r="P898" t="s">
        <v>3645</v>
      </c>
      <c r="Q898" t="s">
        <v>6232</v>
      </c>
      <c r="R898" t="s">
        <v>740</v>
      </c>
      <c r="T898" t="s">
        <v>3860</v>
      </c>
      <c r="BI898" s="52" t="str">
        <f>HYPERLINK("#일위대가목록!A856","SD0001W0600 →")</f>
        <v>SD0001W0600 →</v>
      </c>
    </row>
    <row r="899" spans="1:61" ht="18.399999999999999" customHeight="1">
      <c r="A899" s="11" t="s">
        <v>3905</v>
      </c>
      <c r="B899" s="2" t="s">
        <v>664</v>
      </c>
      <c r="C899" s="2">
        <v>1</v>
      </c>
      <c r="D899" s="2" t="s">
        <v>3670</v>
      </c>
      <c r="E899" s="29" t="e">
        <f>일위대가목록!#REF!</f>
        <v>#REF!</v>
      </c>
      <c r="F899" s="29" t="e">
        <f t="shared" si="112"/>
        <v>#REF!</v>
      </c>
      <c r="G899" s="29" t="e">
        <f>일위대가목록!#REF!</f>
        <v>#REF!</v>
      </c>
      <c r="H899" s="29" t="e">
        <f t="shared" si="113"/>
        <v>#REF!</v>
      </c>
      <c r="I899" s="29" t="e">
        <f>일위대가목록!#REF!</f>
        <v>#REF!</v>
      </c>
      <c r="J899" s="29" t="e">
        <f t="shared" si="114"/>
        <v>#REF!</v>
      </c>
      <c r="K899" s="29" t="e">
        <f t="shared" si="108"/>
        <v>#REF!</v>
      </c>
      <c r="L899" s="29" t="e">
        <f t="shared" si="107"/>
        <v>#REF!</v>
      </c>
      <c r="M899" s="20" t="s">
        <v>6232</v>
      </c>
      <c r="N899" t="s">
        <v>6232</v>
      </c>
      <c r="P899" t="s">
        <v>5659</v>
      </c>
      <c r="Q899" t="s">
        <v>6232</v>
      </c>
      <c r="R899" t="s">
        <v>2185</v>
      </c>
      <c r="T899" t="s">
        <v>3860</v>
      </c>
      <c r="BI899" s="52" t="str">
        <f>HYPERLINK("#일위대가목록!A857","SD0001W0650 →")</f>
        <v>SD0001W0650 →</v>
      </c>
    </row>
    <row r="900" spans="1:61" ht="18.399999999999999" customHeight="1">
      <c r="A900" s="11" t="s">
        <v>3905</v>
      </c>
      <c r="B900" s="2" t="s">
        <v>2312</v>
      </c>
      <c r="C900" s="2">
        <v>1</v>
      </c>
      <c r="D900" s="2" t="s">
        <v>3670</v>
      </c>
      <c r="E900" s="29" t="e">
        <f>일위대가목록!#REF!</f>
        <v>#REF!</v>
      </c>
      <c r="F900" s="29" t="e">
        <f t="shared" si="112"/>
        <v>#REF!</v>
      </c>
      <c r="G900" s="29" t="e">
        <f>일위대가목록!#REF!</f>
        <v>#REF!</v>
      </c>
      <c r="H900" s="29" t="e">
        <f t="shared" si="113"/>
        <v>#REF!</v>
      </c>
      <c r="I900" s="29" t="e">
        <f>일위대가목록!#REF!</f>
        <v>#REF!</v>
      </c>
      <c r="J900" s="29" t="e">
        <f t="shared" si="114"/>
        <v>#REF!</v>
      </c>
      <c r="K900" s="29" t="e">
        <f t="shared" si="108"/>
        <v>#REF!</v>
      </c>
      <c r="L900" s="29" t="e">
        <f t="shared" si="107"/>
        <v>#REF!</v>
      </c>
      <c r="M900" s="20" t="s">
        <v>6232</v>
      </c>
      <c r="N900" t="s">
        <v>6232</v>
      </c>
      <c r="P900" t="s">
        <v>4119</v>
      </c>
      <c r="Q900" t="s">
        <v>6232</v>
      </c>
      <c r="R900" t="s">
        <v>993</v>
      </c>
      <c r="T900" t="s">
        <v>3860</v>
      </c>
      <c r="BI900" s="52" t="str">
        <f>HYPERLINK("#일위대가목록!A858","SD0001W0700 →")</f>
        <v>SD0001W0700 →</v>
      </c>
    </row>
    <row r="901" spans="1:61" ht="18.399999999999999" customHeight="1">
      <c r="A901" s="11" t="s">
        <v>3905</v>
      </c>
      <c r="B901" s="2" t="s">
        <v>3426</v>
      </c>
      <c r="C901" s="2">
        <v>1</v>
      </c>
      <c r="D901" s="2" t="s">
        <v>3670</v>
      </c>
      <c r="E901" s="29" t="e">
        <f>일위대가목록!#REF!</f>
        <v>#REF!</v>
      </c>
      <c r="F901" s="29" t="e">
        <f t="shared" si="112"/>
        <v>#REF!</v>
      </c>
      <c r="G901" s="29" t="e">
        <f>일위대가목록!#REF!</f>
        <v>#REF!</v>
      </c>
      <c r="H901" s="29" t="e">
        <f t="shared" si="113"/>
        <v>#REF!</v>
      </c>
      <c r="I901" s="29" t="e">
        <f>일위대가목록!#REF!</f>
        <v>#REF!</v>
      </c>
      <c r="J901" s="29" t="e">
        <f t="shared" si="114"/>
        <v>#REF!</v>
      </c>
      <c r="K901" s="29" t="e">
        <f t="shared" si="108"/>
        <v>#REF!</v>
      </c>
      <c r="L901" s="29" t="e">
        <f t="shared" si="107"/>
        <v>#REF!</v>
      </c>
      <c r="M901" s="20" t="s">
        <v>6232</v>
      </c>
      <c r="N901" t="s">
        <v>6232</v>
      </c>
      <c r="P901" t="s">
        <v>2584</v>
      </c>
      <c r="Q901" t="s">
        <v>6232</v>
      </c>
      <c r="R901" t="s">
        <v>2621</v>
      </c>
      <c r="T901" t="s">
        <v>3860</v>
      </c>
      <c r="BI901" s="52" t="str">
        <f>HYPERLINK("#일위대가목록!A859","SD0001W0750 →")</f>
        <v>SD0001W0750 →</v>
      </c>
    </row>
    <row r="902" spans="1:61" ht="18.399999999999999" customHeight="1">
      <c r="A902" s="11" t="s">
        <v>3905</v>
      </c>
      <c r="B902" s="2" t="s">
        <v>956</v>
      </c>
      <c r="C902" s="2">
        <v>1</v>
      </c>
      <c r="D902" s="2" t="s">
        <v>3670</v>
      </c>
      <c r="E902" s="29" t="e">
        <f>일위대가목록!#REF!</f>
        <v>#REF!</v>
      </c>
      <c r="F902" s="29" t="e">
        <f t="shared" si="112"/>
        <v>#REF!</v>
      </c>
      <c r="G902" s="29" t="e">
        <f>일위대가목록!#REF!</f>
        <v>#REF!</v>
      </c>
      <c r="H902" s="29" t="e">
        <f t="shared" si="113"/>
        <v>#REF!</v>
      </c>
      <c r="I902" s="29" t="e">
        <f>일위대가목록!#REF!</f>
        <v>#REF!</v>
      </c>
      <c r="J902" s="29" t="e">
        <f t="shared" si="114"/>
        <v>#REF!</v>
      </c>
      <c r="K902" s="29" t="e">
        <f t="shared" si="108"/>
        <v>#REF!</v>
      </c>
      <c r="L902" s="29" t="e">
        <f t="shared" si="107"/>
        <v>#REF!</v>
      </c>
      <c r="M902" s="20" t="s">
        <v>6232</v>
      </c>
      <c r="N902" t="s">
        <v>6232</v>
      </c>
      <c r="P902" t="s">
        <v>1047</v>
      </c>
      <c r="Q902" t="s">
        <v>6232</v>
      </c>
      <c r="R902" t="s">
        <v>504</v>
      </c>
      <c r="T902" t="s">
        <v>3860</v>
      </c>
      <c r="BI902" s="52" t="str">
        <f>HYPERLINK("#일위대가목록!A860","SD0001W0800 →")</f>
        <v>SD0001W0800 →</v>
      </c>
    </row>
    <row r="903" spans="1:61" ht="18.399999999999999" customHeight="1">
      <c r="A903" s="11" t="s">
        <v>3905</v>
      </c>
      <c r="B903" s="2" t="s">
        <v>4883</v>
      </c>
      <c r="C903" s="2">
        <v>1</v>
      </c>
      <c r="D903" s="2" t="s">
        <v>3670</v>
      </c>
      <c r="E903" s="29" t="e">
        <f>일위대가목록!#REF!</f>
        <v>#REF!</v>
      </c>
      <c r="F903" s="29" t="e">
        <f t="shared" si="112"/>
        <v>#REF!</v>
      </c>
      <c r="G903" s="29" t="e">
        <f>일위대가목록!#REF!</f>
        <v>#REF!</v>
      </c>
      <c r="H903" s="29" t="e">
        <f t="shared" si="113"/>
        <v>#REF!</v>
      </c>
      <c r="I903" s="29" t="e">
        <f>일위대가목록!#REF!</f>
        <v>#REF!</v>
      </c>
      <c r="J903" s="29" t="e">
        <f t="shared" si="114"/>
        <v>#REF!</v>
      </c>
      <c r="K903" s="29" t="e">
        <f t="shared" si="108"/>
        <v>#REF!</v>
      </c>
      <c r="L903" s="29" t="e">
        <f t="shared" si="107"/>
        <v>#REF!</v>
      </c>
      <c r="M903" s="20" t="s">
        <v>6232</v>
      </c>
      <c r="N903" t="s">
        <v>6232</v>
      </c>
      <c r="P903" t="s">
        <v>5736</v>
      </c>
      <c r="Q903" t="s">
        <v>6232</v>
      </c>
      <c r="R903" t="s">
        <v>1929</v>
      </c>
      <c r="T903" t="s">
        <v>3860</v>
      </c>
      <c r="BI903" s="52" t="str">
        <f>HYPERLINK("#일위대가목록!A861","SD0001W0850 →")</f>
        <v>SD0001W0850 →</v>
      </c>
    </row>
    <row r="904" spans="1:61" ht="18.399999999999999" customHeight="1">
      <c r="A904" s="11" t="s">
        <v>3905</v>
      </c>
      <c r="B904" s="2" t="s">
        <v>1917</v>
      </c>
      <c r="C904" s="2">
        <v>1</v>
      </c>
      <c r="D904" s="2" t="s">
        <v>3670</v>
      </c>
      <c r="E904" s="29" t="e">
        <f>일위대가목록!#REF!</f>
        <v>#REF!</v>
      </c>
      <c r="F904" s="29" t="e">
        <f t="shared" si="112"/>
        <v>#REF!</v>
      </c>
      <c r="G904" s="29" t="e">
        <f>일위대가목록!#REF!</f>
        <v>#REF!</v>
      </c>
      <c r="H904" s="29" t="e">
        <f t="shared" si="113"/>
        <v>#REF!</v>
      </c>
      <c r="I904" s="29" t="e">
        <f>일위대가목록!#REF!</f>
        <v>#REF!</v>
      </c>
      <c r="J904" s="29" t="e">
        <f t="shared" si="114"/>
        <v>#REF!</v>
      </c>
      <c r="K904" s="29" t="e">
        <f t="shared" si="108"/>
        <v>#REF!</v>
      </c>
      <c r="L904" s="29" t="e">
        <f t="shared" si="107"/>
        <v>#REF!</v>
      </c>
      <c r="M904" s="20" t="s">
        <v>6232</v>
      </c>
      <c r="N904" t="s">
        <v>6232</v>
      </c>
      <c r="P904" t="s">
        <v>4211</v>
      </c>
      <c r="Q904" t="s">
        <v>6232</v>
      </c>
      <c r="R904" t="s">
        <v>856</v>
      </c>
      <c r="T904" t="s">
        <v>3860</v>
      </c>
      <c r="BI904" s="52" t="str">
        <f>HYPERLINK("#일위대가목록!A862","SD0001W0900 →")</f>
        <v>SD0001W0900 →</v>
      </c>
    </row>
    <row r="905" spans="1:61" ht="18.399999999999999" customHeight="1">
      <c r="A905" s="11" t="s">
        <v>3905</v>
      </c>
      <c r="B905" s="2" t="s">
        <v>3736</v>
      </c>
      <c r="C905" s="2">
        <v>1</v>
      </c>
      <c r="D905" s="2" t="s">
        <v>3670</v>
      </c>
      <c r="E905" s="29" t="e">
        <f>일위대가목록!#REF!</f>
        <v>#REF!</v>
      </c>
      <c r="F905" s="29" t="e">
        <f t="shared" si="112"/>
        <v>#REF!</v>
      </c>
      <c r="G905" s="29" t="e">
        <f>일위대가목록!#REF!</f>
        <v>#REF!</v>
      </c>
      <c r="H905" s="29" t="e">
        <f t="shared" si="113"/>
        <v>#REF!</v>
      </c>
      <c r="I905" s="29" t="e">
        <f>일위대가목록!#REF!</f>
        <v>#REF!</v>
      </c>
      <c r="J905" s="29" t="e">
        <f t="shared" si="114"/>
        <v>#REF!</v>
      </c>
      <c r="K905" s="29" t="e">
        <f t="shared" si="108"/>
        <v>#REF!</v>
      </c>
      <c r="L905" s="29" t="e">
        <f t="shared" ref="L905:L968" si="115">F905+H905+J905</f>
        <v>#REF!</v>
      </c>
      <c r="M905" s="20" t="s">
        <v>6232</v>
      </c>
      <c r="N905" t="s">
        <v>6232</v>
      </c>
      <c r="P905" t="s">
        <v>2657</v>
      </c>
      <c r="Q905" t="s">
        <v>6232</v>
      </c>
      <c r="R905" t="s">
        <v>4895</v>
      </c>
      <c r="T905" t="s">
        <v>3860</v>
      </c>
      <c r="BI905" s="52" t="str">
        <f>HYPERLINK("#일위대가목록!A863","SD0001W1000 →")</f>
        <v>SD0001W1000 →</v>
      </c>
    </row>
    <row r="906" spans="1:61" ht="18.399999999999999" customHeight="1">
      <c r="A906" s="11" t="s">
        <v>1544</v>
      </c>
      <c r="B906" s="2" t="s">
        <v>6232</v>
      </c>
      <c r="C906" s="2"/>
      <c r="D906" s="2" t="s">
        <v>6232</v>
      </c>
      <c r="E906" s="1"/>
      <c r="F906" s="29" t="e">
        <f>TRUNC(F905+F904+F903+F902+F901+F900+F899+F898+F897+F896+F895+F894+F893+F892+F891+F890+F889+F888+F887+F886+F885+F884+F883+F882+F881+F880,0)</f>
        <v>#REF!</v>
      </c>
      <c r="G906" s="1"/>
      <c r="H906" s="29" t="e">
        <f>TRUNC(H905+H904+H903+H902+H901+H900+H899+H898+H897+H896+H895+H894+H893+H892+H891+H890+H889+H888+H887+H886+H885+H884+H883+H882+H881+H880,0)</f>
        <v>#REF!</v>
      </c>
      <c r="I906" s="1"/>
      <c r="J906" s="29" t="e">
        <f>TRUNC(J905+J904+J903+J902+J901+J900+J899+J898+J897+J896+J895+J894+J893+J892+J891+J890+J889+J888+J887+J886+J885+J884+J883+J882+J881+J880,0)</f>
        <v>#REF!</v>
      </c>
      <c r="K906" s="29">
        <f t="shared" ref="K906:K969" si="116">E906+G906+I906</f>
        <v>0</v>
      </c>
      <c r="L906" s="29" t="e">
        <f t="shared" si="115"/>
        <v>#REF!</v>
      </c>
      <c r="M906" s="20" t="s">
        <v>6232</v>
      </c>
      <c r="N906" t="s">
        <v>6232</v>
      </c>
      <c r="P906" t="s">
        <v>1114</v>
      </c>
      <c r="Q906" t="s">
        <v>6232</v>
      </c>
      <c r="R906" t="s">
        <v>6232</v>
      </c>
    </row>
    <row r="907" spans="1:61" ht="18.399999999999999" customHeight="1">
      <c r="A907" s="11" t="s">
        <v>2495</v>
      </c>
      <c r="B907" s="2" t="s">
        <v>6232</v>
      </c>
      <c r="C907" s="2"/>
      <c r="D907" s="2" t="s">
        <v>6232</v>
      </c>
      <c r="E907" s="1"/>
      <c r="F907" s="29">
        <v>0</v>
      </c>
      <c r="G907" s="1"/>
      <c r="H907" s="29">
        <v>0</v>
      </c>
      <c r="I907" s="1"/>
      <c r="J907" s="29">
        <v>0</v>
      </c>
      <c r="K907" s="29">
        <f t="shared" si="116"/>
        <v>0</v>
      </c>
      <c r="L907" s="29">
        <f t="shared" si="115"/>
        <v>0</v>
      </c>
      <c r="M907" s="20" t="s">
        <v>6232</v>
      </c>
      <c r="N907" t="s">
        <v>6232</v>
      </c>
      <c r="P907" t="s">
        <v>4476</v>
      </c>
      <c r="Q907" t="s">
        <v>6232</v>
      </c>
      <c r="R907" t="s">
        <v>6232</v>
      </c>
    </row>
    <row r="908" spans="1:61" ht="18.399999999999999" customHeight="1">
      <c r="A908" s="11" t="s">
        <v>1475</v>
      </c>
      <c r="B908" s="2" t="s">
        <v>6232</v>
      </c>
      <c r="C908" s="2"/>
      <c r="D908" s="2" t="s">
        <v>6232</v>
      </c>
      <c r="E908" s="1"/>
      <c r="F908" s="29">
        <v>0</v>
      </c>
      <c r="G908" s="1"/>
      <c r="H908" s="29">
        <v>0</v>
      </c>
      <c r="I908" s="1"/>
      <c r="J908" s="29">
        <v>0</v>
      </c>
      <c r="K908" s="29">
        <f t="shared" si="116"/>
        <v>0</v>
      </c>
      <c r="L908" s="29">
        <f t="shared" si="115"/>
        <v>0</v>
      </c>
      <c r="M908" s="20" t="s">
        <v>6232</v>
      </c>
      <c r="N908" t="s">
        <v>6232</v>
      </c>
      <c r="P908" t="s">
        <v>5433</v>
      </c>
      <c r="Q908" t="s">
        <v>6232</v>
      </c>
      <c r="R908" t="s">
        <v>6232</v>
      </c>
    </row>
    <row r="909" spans="1:61" ht="18.399999999999999" customHeight="1">
      <c r="A909" s="11" t="s">
        <v>1475</v>
      </c>
      <c r="B909" s="2" t="s">
        <v>2823</v>
      </c>
      <c r="C909" s="2">
        <v>1</v>
      </c>
      <c r="D909" s="2" t="s">
        <v>3909</v>
      </c>
      <c r="E909" s="29" t="e">
        <f>일위대가목록!#REF!</f>
        <v>#REF!</v>
      </c>
      <c r="F909" s="29" t="e">
        <f t="shared" ref="F909:F944" si="117">TRUNC(E909*C909,0)</f>
        <v>#REF!</v>
      </c>
      <c r="G909" s="29" t="e">
        <f>일위대가목록!#REF!</f>
        <v>#REF!</v>
      </c>
      <c r="H909" s="29" t="e">
        <f t="shared" ref="H909:H944" si="118">TRUNC(G909*C909,0)</f>
        <v>#REF!</v>
      </c>
      <c r="I909" s="29" t="e">
        <f>일위대가목록!#REF!</f>
        <v>#REF!</v>
      </c>
      <c r="J909" s="29" t="e">
        <f t="shared" ref="J909:J944" si="119">TRUNC(I909*C909,0)</f>
        <v>#REF!</v>
      </c>
      <c r="K909" s="29" t="e">
        <f t="shared" si="116"/>
        <v>#REF!</v>
      </c>
      <c r="L909" s="29" t="e">
        <f t="shared" si="115"/>
        <v>#REF!</v>
      </c>
      <c r="M909" s="20" t="s">
        <v>6232</v>
      </c>
      <c r="N909" t="s">
        <v>6232</v>
      </c>
      <c r="P909" t="s">
        <v>3907</v>
      </c>
      <c r="Q909" t="s">
        <v>6232</v>
      </c>
      <c r="R909" t="s">
        <v>2872</v>
      </c>
      <c r="T909" t="s">
        <v>3860</v>
      </c>
      <c r="BI909" s="52" t="str">
        <f>HYPERLINK("#일위대가목록!A904","TM-700-750 →")</f>
        <v>TM-700-750 →</v>
      </c>
    </row>
    <row r="910" spans="1:61" ht="18.399999999999999" customHeight="1">
      <c r="A910" s="11" t="s">
        <v>305</v>
      </c>
      <c r="B910" s="2" t="s">
        <v>2823</v>
      </c>
      <c r="C910" s="2">
        <v>1</v>
      </c>
      <c r="D910" s="2" t="s">
        <v>3909</v>
      </c>
      <c r="E910" s="29" t="e">
        <f>일위대가목록!#REF!</f>
        <v>#REF!</v>
      </c>
      <c r="F910" s="29" t="e">
        <f t="shared" si="117"/>
        <v>#REF!</v>
      </c>
      <c r="G910" s="29" t="e">
        <f>일위대가목록!#REF!</f>
        <v>#REF!</v>
      </c>
      <c r="H910" s="29" t="e">
        <f t="shared" si="118"/>
        <v>#REF!</v>
      </c>
      <c r="I910" s="29" t="e">
        <f>일위대가목록!#REF!</f>
        <v>#REF!</v>
      </c>
      <c r="J910" s="29" t="e">
        <f t="shared" si="119"/>
        <v>#REF!</v>
      </c>
      <c r="K910" s="29" t="e">
        <f t="shared" si="116"/>
        <v>#REF!</v>
      </c>
      <c r="L910" s="29" t="e">
        <f t="shared" si="115"/>
        <v>#REF!</v>
      </c>
      <c r="M910" s="20" t="s">
        <v>6232</v>
      </c>
      <c r="N910" t="s">
        <v>6232</v>
      </c>
      <c r="P910" t="s">
        <v>4311</v>
      </c>
      <c r="Q910" t="s">
        <v>6232</v>
      </c>
      <c r="R910" t="s">
        <v>4617</v>
      </c>
      <c r="T910" t="s">
        <v>3860</v>
      </c>
      <c r="BI910" s="52" t="str">
        <f>HYPERLINK("#일위대가목록!A905","TM-700-750Y →")</f>
        <v>TM-700-750Y →</v>
      </c>
    </row>
    <row r="911" spans="1:61" ht="18.399999999999999" customHeight="1">
      <c r="A911" s="11" t="s">
        <v>1475</v>
      </c>
      <c r="B911" s="2" t="s">
        <v>3826</v>
      </c>
      <c r="C911" s="2">
        <v>1</v>
      </c>
      <c r="D911" s="2" t="s">
        <v>3909</v>
      </c>
      <c r="E911" s="29" t="e">
        <f>일위대가목록!#REF!</f>
        <v>#REF!</v>
      </c>
      <c r="F911" s="29" t="e">
        <f t="shared" si="117"/>
        <v>#REF!</v>
      </c>
      <c r="G911" s="29" t="e">
        <f>일위대가목록!#REF!</f>
        <v>#REF!</v>
      </c>
      <c r="H911" s="29" t="e">
        <f t="shared" si="118"/>
        <v>#REF!</v>
      </c>
      <c r="I911" s="29" t="e">
        <f>일위대가목록!#REF!</f>
        <v>#REF!</v>
      </c>
      <c r="J911" s="29" t="e">
        <f t="shared" si="119"/>
        <v>#REF!</v>
      </c>
      <c r="K911" s="29" t="e">
        <f t="shared" si="116"/>
        <v>#REF!</v>
      </c>
      <c r="L911" s="29" t="e">
        <f t="shared" si="115"/>
        <v>#REF!</v>
      </c>
      <c r="M911" s="20" t="s">
        <v>6232</v>
      </c>
      <c r="N911" t="s">
        <v>6232</v>
      </c>
      <c r="P911" t="s">
        <v>5826</v>
      </c>
      <c r="Q911" t="s">
        <v>6232</v>
      </c>
      <c r="R911" t="s">
        <v>1209</v>
      </c>
      <c r="T911" t="s">
        <v>3860</v>
      </c>
      <c r="BI911" s="52" t="str">
        <f>HYPERLINK("#일위대가목록!A902","TM-700-700 →")</f>
        <v>TM-700-700 →</v>
      </c>
    </row>
    <row r="912" spans="1:61" ht="18.399999999999999" customHeight="1">
      <c r="A912" s="11" t="s">
        <v>305</v>
      </c>
      <c r="B912" s="2" t="s">
        <v>3826</v>
      </c>
      <c r="C912" s="2">
        <v>1</v>
      </c>
      <c r="D912" s="2" t="s">
        <v>3909</v>
      </c>
      <c r="E912" s="29" t="e">
        <f>일위대가목록!#REF!</f>
        <v>#REF!</v>
      </c>
      <c r="F912" s="29" t="e">
        <f t="shared" si="117"/>
        <v>#REF!</v>
      </c>
      <c r="G912" s="29" t="e">
        <f>일위대가목록!#REF!</f>
        <v>#REF!</v>
      </c>
      <c r="H912" s="29" t="e">
        <f t="shared" si="118"/>
        <v>#REF!</v>
      </c>
      <c r="I912" s="29" t="e">
        <f>일위대가목록!#REF!</f>
        <v>#REF!</v>
      </c>
      <c r="J912" s="29" t="e">
        <f t="shared" si="119"/>
        <v>#REF!</v>
      </c>
      <c r="K912" s="29" t="e">
        <f t="shared" si="116"/>
        <v>#REF!</v>
      </c>
      <c r="L912" s="29" t="e">
        <f t="shared" si="115"/>
        <v>#REF!</v>
      </c>
      <c r="M912" s="20" t="s">
        <v>6232</v>
      </c>
      <c r="N912" t="s">
        <v>6232</v>
      </c>
      <c r="P912" t="s">
        <v>1238</v>
      </c>
      <c r="Q912" t="s">
        <v>6232</v>
      </c>
      <c r="R912" t="s">
        <v>2032</v>
      </c>
      <c r="T912" t="s">
        <v>3860</v>
      </c>
      <c r="BI912" s="52" t="str">
        <f>HYPERLINK("#일위대가목록!A906","TM-700-700Y →")</f>
        <v>TM-700-700Y →</v>
      </c>
    </row>
    <row r="913" spans="1:61" ht="18.399999999999999" customHeight="1">
      <c r="A913" s="11" t="s">
        <v>1475</v>
      </c>
      <c r="B913" s="2" t="s">
        <v>397</v>
      </c>
      <c r="C913" s="2">
        <v>1</v>
      </c>
      <c r="D913" s="2" t="s">
        <v>3909</v>
      </c>
      <c r="E913" s="29" t="e">
        <f>일위대가목록!#REF!</f>
        <v>#REF!</v>
      </c>
      <c r="F913" s="29" t="e">
        <f t="shared" si="117"/>
        <v>#REF!</v>
      </c>
      <c r="G913" s="29" t="e">
        <f>일위대가목록!#REF!</f>
        <v>#REF!</v>
      </c>
      <c r="H913" s="29" t="e">
        <f t="shared" si="118"/>
        <v>#REF!</v>
      </c>
      <c r="I913" s="29" t="e">
        <f>일위대가목록!#REF!</f>
        <v>#REF!</v>
      </c>
      <c r="J913" s="29" t="e">
        <f t="shared" si="119"/>
        <v>#REF!</v>
      </c>
      <c r="K913" s="29" t="e">
        <f t="shared" si="116"/>
        <v>#REF!</v>
      </c>
      <c r="L913" s="29" t="e">
        <f t="shared" si="115"/>
        <v>#REF!</v>
      </c>
      <c r="M913" s="20" t="s">
        <v>6232</v>
      </c>
      <c r="N913" t="s">
        <v>6232</v>
      </c>
      <c r="P913" t="s">
        <v>2743</v>
      </c>
      <c r="Q913" t="s">
        <v>6232</v>
      </c>
      <c r="R913" t="s">
        <v>1523</v>
      </c>
      <c r="T913" t="s">
        <v>3860</v>
      </c>
      <c r="BI913" s="52" t="str">
        <f>HYPERLINK("#일위대가목록!A903","TM-700-650 →")</f>
        <v>TM-700-650 →</v>
      </c>
    </row>
    <row r="914" spans="1:61" ht="18.399999999999999" customHeight="1">
      <c r="A914" s="11" t="s">
        <v>305</v>
      </c>
      <c r="B914" s="2" t="s">
        <v>397</v>
      </c>
      <c r="C914" s="2">
        <v>1</v>
      </c>
      <c r="D914" s="2" t="s">
        <v>3909</v>
      </c>
      <c r="E914" s="29" t="e">
        <f>일위대가목록!#REF!</f>
        <v>#REF!</v>
      </c>
      <c r="F914" s="29" t="e">
        <f t="shared" si="117"/>
        <v>#REF!</v>
      </c>
      <c r="G914" s="29" t="e">
        <f>일위대가목록!#REF!</f>
        <v>#REF!</v>
      </c>
      <c r="H914" s="29" t="e">
        <f t="shared" si="118"/>
        <v>#REF!</v>
      </c>
      <c r="I914" s="29" t="e">
        <f>일위대가목록!#REF!</f>
        <v>#REF!</v>
      </c>
      <c r="J914" s="29" t="e">
        <f t="shared" si="119"/>
        <v>#REF!</v>
      </c>
      <c r="K914" s="29" t="e">
        <f t="shared" si="116"/>
        <v>#REF!</v>
      </c>
      <c r="L914" s="29" t="e">
        <f t="shared" si="115"/>
        <v>#REF!</v>
      </c>
      <c r="M914" s="20" t="s">
        <v>6232</v>
      </c>
      <c r="N914" t="s">
        <v>6232</v>
      </c>
      <c r="P914" t="s">
        <v>4400</v>
      </c>
      <c r="Q914" t="s">
        <v>6232</v>
      </c>
      <c r="R914" t="s">
        <v>5300</v>
      </c>
      <c r="T914" t="s">
        <v>3860</v>
      </c>
      <c r="BI914" s="52" t="str">
        <f>HYPERLINK("#일위대가목록!A907","TM-700-650Y →")</f>
        <v>TM-700-650Y →</v>
      </c>
    </row>
    <row r="915" spans="1:61" ht="18.399999999999999" customHeight="1">
      <c r="A915" s="11" t="s">
        <v>1475</v>
      </c>
      <c r="B915" s="2" t="s">
        <v>6105</v>
      </c>
      <c r="C915" s="2">
        <v>1</v>
      </c>
      <c r="D915" s="2" t="s">
        <v>3909</v>
      </c>
      <c r="E915" s="29" t="e">
        <f>일위대가목록!#REF!</f>
        <v>#REF!</v>
      </c>
      <c r="F915" s="29" t="e">
        <f t="shared" si="117"/>
        <v>#REF!</v>
      </c>
      <c r="G915" s="29" t="e">
        <f>일위대가목록!#REF!</f>
        <v>#REF!</v>
      </c>
      <c r="H915" s="29" t="e">
        <f t="shared" si="118"/>
        <v>#REF!</v>
      </c>
      <c r="I915" s="29" t="e">
        <f>일위대가목록!#REF!</f>
        <v>#REF!</v>
      </c>
      <c r="J915" s="29" t="e">
        <f t="shared" si="119"/>
        <v>#REF!</v>
      </c>
      <c r="K915" s="29" t="e">
        <f t="shared" si="116"/>
        <v>#REF!</v>
      </c>
      <c r="L915" s="29" t="e">
        <f t="shared" si="115"/>
        <v>#REF!</v>
      </c>
      <c r="M915" s="20" t="s">
        <v>6232</v>
      </c>
      <c r="N915" t="s">
        <v>6232</v>
      </c>
      <c r="P915" t="s">
        <v>5941</v>
      </c>
      <c r="Q915" t="s">
        <v>6232</v>
      </c>
      <c r="R915" t="s">
        <v>130</v>
      </c>
      <c r="T915" t="s">
        <v>3860</v>
      </c>
      <c r="BI915" s="52" t="str">
        <f>HYPERLINK("#일위대가목록!A908","TM-700-600 →")</f>
        <v>TM-700-600 →</v>
      </c>
    </row>
    <row r="916" spans="1:61" ht="18.399999999999999" customHeight="1">
      <c r="A916" s="11" t="s">
        <v>305</v>
      </c>
      <c r="B916" s="2" t="s">
        <v>6105</v>
      </c>
      <c r="C916" s="2">
        <v>1</v>
      </c>
      <c r="D916" s="2" t="s">
        <v>3909</v>
      </c>
      <c r="E916" s="29" t="e">
        <f>일위대가목록!#REF!</f>
        <v>#REF!</v>
      </c>
      <c r="F916" s="29" t="e">
        <f t="shared" si="117"/>
        <v>#REF!</v>
      </c>
      <c r="G916" s="29" t="e">
        <f>일위대가목록!#REF!</f>
        <v>#REF!</v>
      </c>
      <c r="H916" s="29" t="e">
        <f t="shared" si="118"/>
        <v>#REF!</v>
      </c>
      <c r="I916" s="29" t="e">
        <f>일위대가목록!#REF!</f>
        <v>#REF!</v>
      </c>
      <c r="J916" s="29" t="e">
        <f t="shared" si="119"/>
        <v>#REF!</v>
      </c>
      <c r="K916" s="29" t="e">
        <f t="shared" si="116"/>
        <v>#REF!</v>
      </c>
      <c r="L916" s="29" t="e">
        <f t="shared" si="115"/>
        <v>#REF!</v>
      </c>
      <c r="M916" s="20" t="s">
        <v>6232</v>
      </c>
      <c r="N916" t="s">
        <v>6232</v>
      </c>
      <c r="P916" t="s">
        <v>1324</v>
      </c>
      <c r="Q916" t="s">
        <v>6232</v>
      </c>
      <c r="R916" t="s">
        <v>1176</v>
      </c>
      <c r="T916" t="s">
        <v>3860</v>
      </c>
      <c r="BI916" s="52" t="str">
        <f>HYPERLINK("#일위대가목록!A909","TM-700-600Y →")</f>
        <v>TM-700-600Y →</v>
      </c>
    </row>
    <row r="917" spans="1:61" ht="18.399999999999999" customHeight="1">
      <c r="A917" s="11" t="s">
        <v>1475</v>
      </c>
      <c r="B917" s="2" t="s">
        <v>6191</v>
      </c>
      <c r="C917" s="2">
        <v>1</v>
      </c>
      <c r="D917" s="2" t="s">
        <v>3909</v>
      </c>
      <c r="E917" s="29" t="e">
        <f>일위대가목록!#REF!</f>
        <v>#REF!</v>
      </c>
      <c r="F917" s="29" t="e">
        <f t="shared" si="117"/>
        <v>#REF!</v>
      </c>
      <c r="G917" s="29" t="e">
        <f>일위대가목록!#REF!</f>
        <v>#REF!</v>
      </c>
      <c r="H917" s="29" t="e">
        <f t="shared" si="118"/>
        <v>#REF!</v>
      </c>
      <c r="I917" s="29" t="e">
        <f>일위대가목록!#REF!</f>
        <v>#REF!</v>
      </c>
      <c r="J917" s="29" t="e">
        <f t="shared" si="119"/>
        <v>#REF!</v>
      </c>
      <c r="K917" s="29" t="e">
        <f t="shared" si="116"/>
        <v>#REF!</v>
      </c>
      <c r="L917" s="29" t="e">
        <f t="shared" si="115"/>
        <v>#REF!</v>
      </c>
      <c r="M917" s="20" t="s">
        <v>6232</v>
      </c>
      <c r="N917" t="s">
        <v>6232</v>
      </c>
      <c r="P917" t="s">
        <v>2846</v>
      </c>
      <c r="Q917" t="s">
        <v>6232</v>
      </c>
      <c r="R917" t="s">
        <v>625</v>
      </c>
      <c r="T917" t="s">
        <v>3860</v>
      </c>
      <c r="BI917" s="52" t="str">
        <f>HYPERLINK("#일위대가목록!A910","TM-700-550 →")</f>
        <v>TM-700-550 →</v>
      </c>
    </row>
    <row r="918" spans="1:61" ht="18.399999999999999" customHeight="1">
      <c r="A918" s="11" t="s">
        <v>305</v>
      </c>
      <c r="B918" s="2" t="s">
        <v>6191</v>
      </c>
      <c r="C918" s="2">
        <v>1</v>
      </c>
      <c r="D918" s="2" t="s">
        <v>3909</v>
      </c>
      <c r="E918" s="29" t="e">
        <f>일위대가목록!#REF!</f>
        <v>#REF!</v>
      </c>
      <c r="F918" s="29" t="e">
        <f t="shared" si="117"/>
        <v>#REF!</v>
      </c>
      <c r="G918" s="29" t="e">
        <f>일위대가목록!#REF!</f>
        <v>#REF!</v>
      </c>
      <c r="H918" s="29" t="e">
        <f t="shared" si="118"/>
        <v>#REF!</v>
      </c>
      <c r="I918" s="29" t="e">
        <f>일위대가목록!#REF!</f>
        <v>#REF!</v>
      </c>
      <c r="J918" s="29" t="e">
        <f t="shared" si="119"/>
        <v>#REF!</v>
      </c>
      <c r="K918" s="29" t="e">
        <f t="shared" si="116"/>
        <v>#REF!</v>
      </c>
      <c r="L918" s="29" t="e">
        <f t="shared" si="115"/>
        <v>#REF!</v>
      </c>
      <c r="M918" s="20" t="s">
        <v>6232</v>
      </c>
      <c r="N918" t="s">
        <v>6232</v>
      </c>
      <c r="P918" t="s">
        <v>4493</v>
      </c>
      <c r="Q918" t="s">
        <v>6232</v>
      </c>
      <c r="R918" t="s">
        <v>1269</v>
      </c>
      <c r="T918" t="s">
        <v>3860</v>
      </c>
      <c r="BI918" s="52" t="str">
        <f>HYPERLINK("#일위대가목록!A911","TM-700-550Y →")</f>
        <v>TM-700-550Y →</v>
      </c>
    </row>
    <row r="919" spans="1:61" ht="18.399999999999999" customHeight="1">
      <c r="A919" s="11" t="s">
        <v>1475</v>
      </c>
      <c r="B919" s="2" t="s">
        <v>524</v>
      </c>
      <c r="C919" s="2">
        <v>1</v>
      </c>
      <c r="D919" s="2" t="s">
        <v>3909</v>
      </c>
      <c r="E919" s="29" t="e">
        <f>일위대가목록!#REF!</f>
        <v>#REF!</v>
      </c>
      <c r="F919" s="29" t="e">
        <f t="shared" si="117"/>
        <v>#REF!</v>
      </c>
      <c r="G919" s="29" t="e">
        <f>일위대가목록!#REF!</f>
        <v>#REF!</v>
      </c>
      <c r="H919" s="29" t="e">
        <f t="shared" si="118"/>
        <v>#REF!</v>
      </c>
      <c r="I919" s="29" t="e">
        <f>일위대가목록!#REF!</f>
        <v>#REF!</v>
      </c>
      <c r="J919" s="29" t="e">
        <f t="shared" si="119"/>
        <v>#REF!</v>
      </c>
      <c r="K919" s="29" t="e">
        <f t="shared" si="116"/>
        <v>#REF!</v>
      </c>
      <c r="L919" s="29" t="e">
        <f t="shared" si="115"/>
        <v>#REF!</v>
      </c>
      <c r="M919" s="20" t="s">
        <v>6232</v>
      </c>
      <c r="N919" t="s">
        <v>6232</v>
      </c>
      <c r="P919" t="s">
        <v>6034</v>
      </c>
      <c r="Q919" t="s">
        <v>6232</v>
      </c>
      <c r="R919" t="s">
        <v>2215</v>
      </c>
      <c r="T919" t="s">
        <v>3860</v>
      </c>
      <c r="BI919" s="52" t="str">
        <f>HYPERLINK("#일위대가목록!A912","TM-700-500 →")</f>
        <v>TM-700-500 →</v>
      </c>
    </row>
    <row r="920" spans="1:61" ht="18.399999999999999" customHeight="1">
      <c r="A920" s="11" t="s">
        <v>305</v>
      </c>
      <c r="B920" s="2" t="s">
        <v>524</v>
      </c>
      <c r="C920" s="2">
        <v>1</v>
      </c>
      <c r="D920" s="2" t="s">
        <v>3909</v>
      </c>
      <c r="E920" s="29" t="e">
        <f>일위대가목록!#REF!</f>
        <v>#REF!</v>
      </c>
      <c r="F920" s="29" t="e">
        <f t="shared" si="117"/>
        <v>#REF!</v>
      </c>
      <c r="G920" s="29" t="e">
        <f>일위대가목록!#REF!</f>
        <v>#REF!</v>
      </c>
      <c r="H920" s="29" t="e">
        <f t="shared" si="118"/>
        <v>#REF!</v>
      </c>
      <c r="I920" s="29" t="e">
        <f>일위대가목록!#REF!</f>
        <v>#REF!</v>
      </c>
      <c r="J920" s="29" t="e">
        <f t="shared" si="119"/>
        <v>#REF!</v>
      </c>
      <c r="K920" s="29" t="e">
        <f t="shared" si="116"/>
        <v>#REF!</v>
      </c>
      <c r="L920" s="29" t="e">
        <f t="shared" si="115"/>
        <v>#REF!</v>
      </c>
      <c r="M920" s="20" t="s">
        <v>6232</v>
      </c>
      <c r="N920" t="s">
        <v>6232</v>
      </c>
      <c r="P920" t="s">
        <v>3236</v>
      </c>
      <c r="Q920" t="s">
        <v>6232</v>
      </c>
      <c r="R920" t="s">
        <v>5412</v>
      </c>
      <c r="T920" t="s">
        <v>3860</v>
      </c>
      <c r="BI920" s="52" t="str">
        <f>HYPERLINK("#일위대가목록!A913","TM-700-500Y →")</f>
        <v>TM-700-500Y →</v>
      </c>
    </row>
    <row r="921" spans="1:61" ht="18.399999999999999" customHeight="1">
      <c r="A921" s="11" t="s">
        <v>1475</v>
      </c>
      <c r="B921" s="2" t="s">
        <v>3764</v>
      </c>
      <c r="C921" s="2">
        <v>1</v>
      </c>
      <c r="D921" s="2" t="s">
        <v>3909</v>
      </c>
      <c r="E921" s="29" t="e">
        <f>일위대가목록!#REF!</f>
        <v>#REF!</v>
      </c>
      <c r="F921" s="29" t="e">
        <f t="shared" si="117"/>
        <v>#REF!</v>
      </c>
      <c r="G921" s="29" t="e">
        <f>일위대가목록!#REF!</f>
        <v>#REF!</v>
      </c>
      <c r="H921" s="29" t="e">
        <f t="shared" si="118"/>
        <v>#REF!</v>
      </c>
      <c r="I921" s="29" t="e">
        <f>일위대가목록!#REF!</f>
        <v>#REF!</v>
      </c>
      <c r="J921" s="29" t="e">
        <f t="shared" si="119"/>
        <v>#REF!</v>
      </c>
      <c r="K921" s="29" t="e">
        <f t="shared" si="116"/>
        <v>#REF!</v>
      </c>
      <c r="L921" s="29" t="e">
        <f t="shared" si="115"/>
        <v>#REF!</v>
      </c>
      <c r="M921" s="20" t="s">
        <v>6232</v>
      </c>
      <c r="N921" t="s">
        <v>6232</v>
      </c>
      <c r="P921" t="s">
        <v>4832</v>
      </c>
      <c r="Q921" t="s">
        <v>6232</v>
      </c>
      <c r="R921" t="s">
        <v>1103</v>
      </c>
      <c r="T921" t="s">
        <v>3860</v>
      </c>
      <c r="BI921" s="52" t="str">
        <f>HYPERLINK("#일위대가목록!A914","TM-700-450 →")</f>
        <v>TM-700-450 →</v>
      </c>
    </row>
    <row r="922" spans="1:61" ht="18.399999999999999" customHeight="1">
      <c r="A922" s="11" t="s">
        <v>305</v>
      </c>
      <c r="B922" s="2" t="s">
        <v>3764</v>
      </c>
      <c r="C922" s="2">
        <v>1</v>
      </c>
      <c r="D922" s="2" t="s">
        <v>3909</v>
      </c>
      <c r="E922" s="29" t="e">
        <f>일위대가목록!#REF!</f>
        <v>#REF!</v>
      </c>
      <c r="F922" s="29" t="e">
        <f t="shared" si="117"/>
        <v>#REF!</v>
      </c>
      <c r="G922" s="29" t="e">
        <f>일위대가목록!#REF!</f>
        <v>#REF!</v>
      </c>
      <c r="H922" s="29" t="e">
        <f t="shared" si="118"/>
        <v>#REF!</v>
      </c>
      <c r="I922" s="29" t="e">
        <f>일위대가목록!#REF!</f>
        <v>#REF!</v>
      </c>
      <c r="J922" s="29" t="e">
        <f t="shared" si="119"/>
        <v>#REF!</v>
      </c>
      <c r="K922" s="29" t="e">
        <f t="shared" si="116"/>
        <v>#REF!</v>
      </c>
      <c r="L922" s="29" t="e">
        <f t="shared" si="115"/>
        <v>#REF!</v>
      </c>
      <c r="M922" s="20" t="s">
        <v>6232</v>
      </c>
      <c r="N922" t="s">
        <v>6232</v>
      </c>
      <c r="P922" t="s">
        <v>90</v>
      </c>
      <c r="Q922" t="s">
        <v>6232</v>
      </c>
      <c r="R922" t="s">
        <v>1942</v>
      </c>
      <c r="T922" t="s">
        <v>3860</v>
      </c>
      <c r="BI922" s="52" t="str">
        <f>HYPERLINK("#일위대가목록!A915","TM-700-450Y →")</f>
        <v>TM-700-450Y →</v>
      </c>
    </row>
    <row r="923" spans="1:61" ht="18.399999999999999" customHeight="1">
      <c r="A923" s="11" t="s">
        <v>1475</v>
      </c>
      <c r="B923" s="2" t="s">
        <v>2715</v>
      </c>
      <c r="C923" s="2">
        <v>1</v>
      </c>
      <c r="D923" s="2" t="s">
        <v>3909</v>
      </c>
      <c r="E923" s="29" t="e">
        <f>일위대가목록!#REF!</f>
        <v>#REF!</v>
      </c>
      <c r="F923" s="29" t="e">
        <f t="shared" si="117"/>
        <v>#REF!</v>
      </c>
      <c r="G923" s="29" t="e">
        <f>일위대가목록!#REF!</f>
        <v>#REF!</v>
      </c>
      <c r="H923" s="29" t="e">
        <f t="shared" si="118"/>
        <v>#REF!</v>
      </c>
      <c r="I923" s="29" t="e">
        <f>일위대가목록!#REF!</f>
        <v>#REF!</v>
      </c>
      <c r="J923" s="29" t="e">
        <f t="shared" si="119"/>
        <v>#REF!</v>
      </c>
      <c r="K923" s="29" t="e">
        <f t="shared" si="116"/>
        <v>#REF!</v>
      </c>
      <c r="L923" s="29" t="e">
        <f t="shared" si="115"/>
        <v>#REF!</v>
      </c>
      <c r="M923" s="20" t="s">
        <v>6232</v>
      </c>
      <c r="N923" t="s">
        <v>6232</v>
      </c>
      <c r="P923" t="s">
        <v>1640</v>
      </c>
      <c r="Q923" t="s">
        <v>6232</v>
      </c>
      <c r="R923" t="s">
        <v>2591</v>
      </c>
      <c r="T923" t="s">
        <v>3860</v>
      </c>
      <c r="BI923" s="52" t="str">
        <f>HYPERLINK("#일위대가목록!A916","TM-700-400 →")</f>
        <v>TM-700-400 →</v>
      </c>
    </row>
    <row r="924" spans="1:61" ht="18.399999999999999" customHeight="1">
      <c r="A924" s="11" t="s">
        <v>305</v>
      </c>
      <c r="B924" s="2" t="s">
        <v>2715</v>
      </c>
      <c r="C924" s="2">
        <v>1</v>
      </c>
      <c r="D924" s="2" t="s">
        <v>3909</v>
      </c>
      <c r="E924" s="29" t="e">
        <f>일위대가목록!#REF!</f>
        <v>#REF!</v>
      </c>
      <c r="F924" s="29" t="e">
        <f t="shared" si="117"/>
        <v>#REF!</v>
      </c>
      <c r="G924" s="29" t="e">
        <f>일위대가목록!#REF!</f>
        <v>#REF!</v>
      </c>
      <c r="H924" s="29" t="e">
        <f t="shared" si="118"/>
        <v>#REF!</v>
      </c>
      <c r="I924" s="29" t="e">
        <f>일위대가목록!#REF!</f>
        <v>#REF!</v>
      </c>
      <c r="J924" s="29" t="e">
        <f t="shared" si="119"/>
        <v>#REF!</v>
      </c>
      <c r="K924" s="29" t="e">
        <f t="shared" si="116"/>
        <v>#REF!</v>
      </c>
      <c r="L924" s="29" t="e">
        <f t="shared" si="115"/>
        <v>#REF!</v>
      </c>
      <c r="M924" s="20" t="s">
        <v>6232</v>
      </c>
      <c r="N924" t="s">
        <v>6232</v>
      </c>
      <c r="P924" t="s">
        <v>3139</v>
      </c>
      <c r="Q924" t="s">
        <v>6232</v>
      </c>
      <c r="R924" t="s">
        <v>4502</v>
      </c>
      <c r="T924" t="s">
        <v>3860</v>
      </c>
      <c r="BI924" s="52" t="str">
        <f>HYPERLINK("#일위대가목록!A917","TM-700-400Y →")</f>
        <v>TM-700-400Y →</v>
      </c>
    </row>
    <row r="925" spans="1:61" ht="18.399999999999999" customHeight="1">
      <c r="A925" s="11" t="s">
        <v>1475</v>
      </c>
      <c r="B925" s="2" t="s">
        <v>809</v>
      </c>
      <c r="C925" s="2">
        <v>1</v>
      </c>
      <c r="D925" s="2" t="s">
        <v>3909</v>
      </c>
      <c r="E925" s="29" t="e">
        <f>일위대가목록!#REF!</f>
        <v>#REF!</v>
      </c>
      <c r="F925" s="29" t="e">
        <f t="shared" si="117"/>
        <v>#REF!</v>
      </c>
      <c r="G925" s="29" t="e">
        <f>일위대가목록!#REF!</f>
        <v>#REF!</v>
      </c>
      <c r="H925" s="29" t="e">
        <f t="shared" si="118"/>
        <v>#REF!</v>
      </c>
      <c r="I925" s="29" t="e">
        <f>일위대가목록!#REF!</f>
        <v>#REF!</v>
      </c>
      <c r="J925" s="29" t="e">
        <f t="shared" si="119"/>
        <v>#REF!</v>
      </c>
      <c r="K925" s="29" t="e">
        <f t="shared" si="116"/>
        <v>#REF!</v>
      </c>
      <c r="L925" s="29" t="e">
        <f t="shared" si="115"/>
        <v>#REF!</v>
      </c>
      <c r="M925" s="20" t="s">
        <v>6232</v>
      </c>
      <c r="N925" t="s">
        <v>6232</v>
      </c>
      <c r="P925" t="s">
        <v>4739</v>
      </c>
      <c r="Q925" t="s">
        <v>6232</v>
      </c>
      <c r="R925" t="s">
        <v>4172</v>
      </c>
      <c r="T925" t="s">
        <v>3860</v>
      </c>
      <c r="BI925" s="52" t="str">
        <f>HYPERLINK("#일위대가목록!A918","TM-700-350 →")</f>
        <v>TM-700-350 →</v>
      </c>
    </row>
    <row r="926" spans="1:61" ht="18.399999999999999" customHeight="1">
      <c r="A926" s="11" t="s">
        <v>305</v>
      </c>
      <c r="B926" s="2" t="s">
        <v>809</v>
      </c>
      <c r="C926" s="2">
        <v>1</v>
      </c>
      <c r="D926" s="2" t="s">
        <v>3909</v>
      </c>
      <c r="E926" s="29" t="e">
        <f>일위대가목록!#REF!</f>
        <v>#REF!</v>
      </c>
      <c r="F926" s="29" t="e">
        <f t="shared" si="117"/>
        <v>#REF!</v>
      </c>
      <c r="G926" s="29" t="e">
        <f>일위대가목록!#REF!</f>
        <v>#REF!</v>
      </c>
      <c r="H926" s="29" t="e">
        <f t="shared" si="118"/>
        <v>#REF!</v>
      </c>
      <c r="I926" s="29" t="e">
        <f>일위대가목록!#REF!</f>
        <v>#REF!</v>
      </c>
      <c r="J926" s="29" t="e">
        <f t="shared" si="119"/>
        <v>#REF!</v>
      </c>
      <c r="K926" s="29" t="e">
        <f t="shared" si="116"/>
        <v>#REF!</v>
      </c>
      <c r="L926" s="29" t="e">
        <f t="shared" si="115"/>
        <v>#REF!</v>
      </c>
      <c r="M926" s="20" t="s">
        <v>6232</v>
      </c>
      <c r="N926" t="s">
        <v>6232</v>
      </c>
      <c r="P926" t="s">
        <v>24</v>
      </c>
      <c r="Q926" t="s">
        <v>6232</v>
      </c>
      <c r="R926" t="s">
        <v>5664</v>
      </c>
      <c r="T926" t="s">
        <v>3860</v>
      </c>
      <c r="BI926" s="52" t="str">
        <f>HYPERLINK("#일위대가목록!A919","TM-700-350Y →")</f>
        <v>TM-700-350Y →</v>
      </c>
    </row>
    <row r="927" spans="1:61" ht="18.399999999999999" customHeight="1">
      <c r="A927" s="11" t="s">
        <v>1475</v>
      </c>
      <c r="B927" s="2" t="s">
        <v>4894</v>
      </c>
      <c r="C927" s="2">
        <v>1</v>
      </c>
      <c r="D927" s="2" t="s">
        <v>3909</v>
      </c>
      <c r="E927" s="29" t="e">
        <f>일위대가목록!#REF!</f>
        <v>#REF!</v>
      </c>
      <c r="F927" s="29" t="e">
        <f t="shared" si="117"/>
        <v>#REF!</v>
      </c>
      <c r="G927" s="29" t="e">
        <f>일위대가목록!#REF!</f>
        <v>#REF!</v>
      </c>
      <c r="H927" s="29" t="e">
        <f t="shared" si="118"/>
        <v>#REF!</v>
      </c>
      <c r="I927" s="29" t="e">
        <f>일위대가목록!#REF!</f>
        <v>#REF!</v>
      </c>
      <c r="J927" s="29" t="e">
        <f t="shared" si="119"/>
        <v>#REF!</v>
      </c>
      <c r="K927" s="29" t="e">
        <f t="shared" si="116"/>
        <v>#REF!</v>
      </c>
      <c r="L927" s="29" t="e">
        <f t="shared" si="115"/>
        <v>#REF!</v>
      </c>
      <c r="M927" s="20" t="s">
        <v>6232</v>
      </c>
      <c r="N927" t="s">
        <v>6232</v>
      </c>
      <c r="P927" t="s">
        <v>1558</v>
      </c>
      <c r="Q927" t="s">
        <v>6232</v>
      </c>
      <c r="R927" t="s">
        <v>5784</v>
      </c>
      <c r="T927" t="s">
        <v>3860</v>
      </c>
      <c r="BI927" s="52" t="str">
        <f>HYPERLINK("#일위대가목록!A920","TM-700-300 →")</f>
        <v>TM-700-300 →</v>
      </c>
    </row>
    <row r="928" spans="1:61" ht="18.399999999999999" customHeight="1">
      <c r="A928" s="11" t="s">
        <v>305</v>
      </c>
      <c r="B928" s="2" t="s">
        <v>4894</v>
      </c>
      <c r="C928" s="2">
        <v>1</v>
      </c>
      <c r="D928" s="2" t="s">
        <v>3909</v>
      </c>
      <c r="E928" s="29" t="e">
        <f>일위대가목록!#REF!</f>
        <v>#REF!</v>
      </c>
      <c r="F928" s="29" t="e">
        <f t="shared" si="117"/>
        <v>#REF!</v>
      </c>
      <c r="G928" s="29" t="e">
        <f>일위대가목록!#REF!</f>
        <v>#REF!</v>
      </c>
      <c r="H928" s="29" t="e">
        <f t="shared" si="118"/>
        <v>#REF!</v>
      </c>
      <c r="I928" s="29" t="e">
        <f>일위대가목록!#REF!</f>
        <v>#REF!</v>
      </c>
      <c r="J928" s="29" t="e">
        <f t="shared" si="119"/>
        <v>#REF!</v>
      </c>
      <c r="K928" s="29" t="e">
        <f t="shared" si="116"/>
        <v>#REF!</v>
      </c>
      <c r="L928" s="29" t="e">
        <f t="shared" si="115"/>
        <v>#REF!</v>
      </c>
      <c r="M928" s="20" t="s">
        <v>6232</v>
      </c>
      <c r="N928" t="s">
        <v>6232</v>
      </c>
      <c r="P928" t="s">
        <v>3442</v>
      </c>
      <c r="Q928" t="s">
        <v>6232</v>
      </c>
      <c r="R928" t="s">
        <v>73</v>
      </c>
      <c r="T928" t="s">
        <v>3860</v>
      </c>
      <c r="BI928" s="52" t="str">
        <f>HYPERLINK("#일위대가목록!A921","TM-700-300Y →")</f>
        <v>TM-700-300Y →</v>
      </c>
    </row>
    <row r="929" spans="1:61" ht="18.399999999999999" customHeight="1">
      <c r="A929" s="11" t="s">
        <v>1475</v>
      </c>
      <c r="B929" s="2" t="s">
        <v>1701</v>
      </c>
      <c r="C929" s="2">
        <v>1</v>
      </c>
      <c r="D929" s="2" t="s">
        <v>3909</v>
      </c>
      <c r="E929" s="29" t="e">
        <f>일위대가목록!#REF!</f>
        <v>#REF!</v>
      </c>
      <c r="F929" s="29" t="e">
        <f t="shared" si="117"/>
        <v>#REF!</v>
      </c>
      <c r="G929" s="29" t="e">
        <f>일위대가목록!#REF!</f>
        <v>#REF!</v>
      </c>
      <c r="H929" s="29" t="e">
        <f t="shared" si="118"/>
        <v>#REF!</v>
      </c>
      <c r="I929" s="29" t="e">
        <f>일위대가목록!#REF!</f>
        <v>#REF!</v>
      </c>
      <c r="J929" s="29" t="e">
        <f t="shared" si="119"/>
        <v>#REF!</v>
      </c>
      <c r="K929" s="29" t="e">
        <f t="shared" si="116"/>
        <v>#REF!</v>
      </c>
      <c r="L929" s="29" t="e">
        <f t="shared" si="115"/>
        <v>#REF!</v>
      </c>
      <c r="M929" s="20" t="s">
        <v>6232</v>
      </c>
      <c r="N929" t="s">
        <v>6232</v>
      </c>
      <c r="P929" t="s">
        <v>5029</v>
      </c>
      <c r="Q929" t="s">
        <v>6232</v>
      </c>
      <c r="R929" t="s">
        <v>3791</v>
      </c>
      <c r="T929" t="s">
        <v>3860</v>
      </c>
      <c r="BI929" s="52" t="str">
        <f>HYPERLINK("#일위대가목록!A922","TM-700-250 →")</f>
        <v>TM-700-250 →</v>
      </c>
    </row>
    <row r="930" spans="1:61" ht="18.399999999999999" customHeight="1">
      <c r="A930" s="11" t="s">
        <v>305</v>
      </c>
      <c r="B930" s="2" t="s">
        <v>1701</v>
      </c>
      <c r="C930" s="2">
        <v>1</v>
      </c>
      <c r="D930" s="2" t="s">
        <v>3909</v>
      </c>
      <c r="E930" s="29" t="e">
        <f>일위대가목록!#REF!</f>
        <v>#REF!</v>
      </c>
      <c r="F930" s="29" t="e">
        <f t="shared" si="117"/>
        <v>#REF!</v>
      </c>
      <c r="G930" s="29" t="e">
        <f>일위대가목록!#REF!</f>
        <v>#REF!</v>
      </c>
      <c r="H930" s="29" t="e">
        <f t="shared" si="118"/>
        <v>#REF!</v>
      </c>
      <c r="I930" s="29" t="e">
        <f>일위대가목록!#REF!</f>
        <v>#REF!</v>
      </c>
      <c r="J930" s="29" t="e">
        <f t="shared" si="119"/>
        <v>#REF!</v>
      </c>
      <c r="K930" s="29" t="e">
        <f t="shared" si="116"/>
        <v>#REF!</v>
      </c>
      <c r="L930" s="29" t="e">
        <f t="shared" si="115"/>
        <v>#REF!</v>
      </c>
      <c r="M930" s="20" t="s">
        <v>6232</v>
      </c>
      <c r="N930" t="s">
        <v>6232</v>
      </c>
      <c r="P930" t="s">
        <v>68</v>
      </c>
      <c r="Q930" t="s">
        <v>6232</v>
      </c>
      <c r="R930" t="s">
        <v>3417</v>
      </c>
      <c r="T930" t="s">
        <v>3860</v>
      </c>
      <c r="BI930" s="52" t="str">
        <f>HYPERLINK("#일위대가목록!A923","TM-700-250Y →")</f>
        <v>TM-700-250Y →</v>
      </c>
    </row>
    <row r="931" spans="1:61" ht="18.399999999999999" customHeight="1">
      <c r="A931" s="11" t="s">
        <v>1475</v>
      </c>
      <c r="B931" s="2" t="s">
        <v>4196</v>
      </c>
      <c r="C931" s="2">
        <v>1</v>
      </c>
      <c r="D931" s="2" t="s">
        <v>3909</v>
      </c>
      <c r="E931" s="29" t="e">
        <f>일위대가목록!#REF!</f>
        <v>#REF!</v>
      </c>
      <c r="F931" s="29" t="e">
        <f t="shared" si="117"/>
        <v>#REF!</v>
      </c>
      <c r="G931" s="29" t="e">
        <f>일위대가목록!#REF!</f>
        <v>#REF!</v>
      </c>
      <c r="H931" s="29" t="e">
        <f t="shared" si="118"/>
        <v>#REF!</v>
      </c>
      <c r="I931" s="29" t="e">
        <f>일위대가목록!#REF!</f>
        <v>#REF!</v>
      </c>
      <c r="J931" s="29" t="e">
        <f t="shared" si="119"/>
        <v>#REF!</v>
      </c>
      <c r="K931" s="29" t="e">
        <f t="shared" si="116"/>
        <v>#REF!</v>
      </c>
      <c r="L931" s="29" t="e">
        <f t="shared" si="115"/>
        <v>#REF!</v>
      </c>
      <c r="M931" s="20" t="s">
        <v>6232</v>
      </c>
      <c r="N931" t="s">
        <v>6232</v>
      </c>
      <c r="P931" t="s">
        <v>1587</v>
      </c>
      <c r="Q931" t="s">
        <v>6232</v>
      </c>
      <c r="R931" t="s">
        <v>5263</v>
      </c>
      <c r="T931" t="s">
        <v>3860</v>
      </c>
      <c r="BI931" s="52" t="str">
        <f>HYPERLINK("#일위대가목록!A924","TM-700-200 →")</f>
        <v>TM-700-200 →</v>
      </c>
    </row>
    <row r="932" spans="1:61" ht="18.399999999999999" customHeight="1">
      <c r="A932" s="11" t="s">
        <v>305</v>
      </c>
      <c r="B932" s="2" t="s">
        <v>4196</v>
      </c>
      <c r="C932" s="2">
        <v>1</v>
      </c>
      <c r="D932" s="2" t="s">
        <v>3909</v>
      </c>
      <c r="E932" s="29" t="e">
        <f>일위대가목록!#REF!</f>
        <v>#REF!</v>
      </c>
      <c r="F932" s="29" t="e">
        <f t="shared" si="117"/>
        <v>#REF!</v>
      </c>
      <c r="G932" s="29" t="e">
        <f>일위대가목록!#REF!</f>
        <v>#REF!</v>
      </c>
      <c r="H932" s="29" t="e">
        <f t="shared" si="118"/>
        <v>#REF!</v>
      </c>
      <c r="I932" s="29" t="e">
        <f>일위대가목록!#REF!</f>
        <v>#REF!</v>
      </c>
      <c r="J932" s="29" t="e">
        <f t="shared" si="119"/>
        <v>#REF!</v>
      </c>
      <c r="K932" s="29" t="e">
        <f t="shared" si="116"/>
        <v>#REF!</v>
      </c>
      <c r="L932" s="29" t="e">
        <f t="shared" si="115"/>
        <v>#REF!</v>
      </c>
      <c r="M932" s="20" t="s">
        <v>6232</v>
      </c>
      <c r="N932" t="s">
        <v>6232</v>
      </c>
      <c r="P932" t="s">
        <v>3102</v>
      </c>
      <c r="Q932" t="s">
        <v>6232</v>
      </c>
      <c r="R932" t="s">
        <v>2469</v>
      </c>
      <c r="T932" t="s">
        <v>3860</v>
      </c>
      <c r="BI932" s="52" t="str">
        <f>HYPERLINK("#일위대가목록!A925","TM-700-200Y →")</f>
        <v>TM-700-200Y →</v>
      </c>
    </row>
    <row r="933" spans="1:61" ht="18.399999999999999" customHeight="1">
      <c r="A933" s="11" t="s">
        <v>1475</v>
      </c>
      <c r="B933" s="2" t="s">
        <v>4124</v>
      </c>
      <c r="C933" s="2">
        <v>1</v>
      </c>
      <c r="D933" s="2" t="s">
        <v>3909</v>
      </c>
      <c r="E933" s="29" t="e">
        <f>일위대가목록!#REF!</f>
        <v>#REF!</v>
      </c>
      <c r="F933" s="29" t="e">
        <f t="shared" si="117"/>
        <v>#REF!</v>
      </c>
      <c r="G933" s="29" t="e">
        <f>일위대가목록!#REF!</f>
        <v>#REF!</v>
      </c>
      <c r="H933" s="29" t="e">
        <f t="shared" si="118"/>
        <v>#REF!</v>
      </c>
      <c r="I933" s="29" t="e">
        <f>일위대가목록!#REF!</f>
        <v>#REF!</v>
      </c>
      <c r="J933" s="29" t="e">
        <f t="shared" si="119"/>
        <v>#REF!</v>
      </c>
      <c r="K933" s="29" t="e">
        <f t="shared" si="116"/>
        <v>#REF!</v>
      </c>
      <c r="L933" s="29" t="e">
        <f t="shared" si="115"/>
        <v>#REF!</v>
      </c>
      <c r="M933" s="20" t="s">
        <v>6232</v>
      </c>
      <c r="N933" t="s">
        <v>6232</v>
      </c>
      <c r="P933" t="s">
        <v>4650</v>
      </c>
      <c r="Q933" t="s">
        <v>6232</v>
      </c>
      <c r="R933" t="s">
        <v>4782</v>
      </c>
      <c r="T933" t="s">
        <v>3860</v>
      </c>
      <c r="BI933" s="52" t="str">
        <f>HYPERLINK("#일위대가목록!A926","TM-700-150 →")</f>
        <v>TM-700-150 →</v>
      </c>
    </row>
    <row r="934" spans="1:61" ht="18.399999999999999" customHeight="1">
      <c r="A934" s="11" t="s">
        <v>305</v>
      </c>
      <c r="B934" s="2" t="s">
        <v>4124</v>
      </c>
      <c r="C934" s="2">
        <v>1</v>
      </c>
      <c r="D934" s="2" t="s">
        <v>3909</v>
      </c>
      <c r="E934" s="29" t="e">
        <f>일위대가목록!#REF!</f>
        <v>#REF!</v>
      </c>
      <c r="F934" s="29" t="e">
        <f t="shared" si="117"/>
        <v>#REF!</v>
      </c>
      <c r="G934" s="29" t="e">
        <f>일위대가목록!#REF!</f>
        <v>#REF!</v>
      </c>
      <c r="H934" s="29" t="e">
        <f t="shared" si="118"/>
        <v>#REF!</v>
      </c>
      <c r="I934" s="29" t="e">
        <f>일위대가목록!#REF!</f>
        <v>#REF!</v>
      </c>
      <c r="J934" s="29" t="e">
        <f t="shared" si="119"/>
        <v>#REF!</v>
      </c>
      <c r="K934" s="29" t="e">
        <f t="shared" si="116"/>
        <v>#REF!</v>
      </c>
      <c r="L934" s="29" t="e">
        <f t="shared" si="115"/>
        <v>#REF!</v>
      </c>
      <c r="M934" s="20" t="s">
        <v>6232</v>
      </c>
      <c r="N934" t="s">
        <v>6232</v>
      </c>
      <c r="P934" t="s">
        <v>171</v>
      </c>
      <c r="Q934" t="s">
        <v>6232</v>
      </c>
      <c r="R934" t="s">
        <v>2401</v>
      </c>
      <c r="T934" t="s">
        <v>3860</v>
      </c>
      <c r="BI934" s="52" t="str">
        <f>HYPERLINK("#일위대가목록!A927","TM-700-150Y →")</f>
        <v>TM-700-150Y →</v>
      </c>
    </row>
    <row r="935" spans="1:61" ht="18.399999999999999" customHeight="1">
      <c r="A935" s="11" t="s">
        <v>1475</v>
      </c>
      <c r="B935" s="2" t="s">
        <v>2533</v>
      </c>
      <c r="C935" s="2">
        <v>1</v>
      </c>
      <c r="D935" s="2" t="s">
        <v>3909</v>
      </c>
      <c r="E935" s="29" t="e">
        <f>일위대가목록!#REF!</f>
        <v>#REF!</v>
      </c>
      <c r="F935" s="29" t="e">
        <f t="shared" si="117"/>
        <v>#REF!</v>
      </c>
      <c r="G935" s="29" t="e">
        <f>일위대가목록!#REF!</f>
        <v>#REF!</v>
      </c>
      <c r="H935" s="29" t="e">
        <f t="shared" si="118"/>
        <v>#REF!</v>
      </c>
      <c r="I935" s="29" t="e">
        <f>일위대가목록!#REF!</f>
        <v>#REF!</v>
      </c>
      <c r="J935" s="29" t="e">
        <f t="shared" si="119"/>
        <v>#REF!</v>
      </c>
      <c r="K935" s="29" t="e">
        <f t="shared" si="116"/>
        <v>#REF!</v>
      </c>
      <c r="L935" s="29" t="e">
        <f t="shared" si="115"/>
        <v>#REF!</v>
      </c>
      <c r="M935" s="20" t="s">
        <v>6232</v>
      </c>
      <c r="N935" t="s">
        <v>6232</v>
      </c>
      <c r="P935" t="s">
        <v>1688</v>
      </c>
      <c r="Q935" t="s">
        <v>6232</v>
      </c>
      <c r="R935" t="s">
        <v>3410</v>
      </c>
      <c r="T935" t="s">
        <v>3860</v>
      </c>
      <c r="BI935" s="52" t="str">
        <f>HYPERLINK("#일위대가목록!A928","TM-700-125 →")</f>
        <v>TM-700-125 →</v>
      </c>
    </row>
    <row r="936" spans="1:61" ht="18.399999999999999" customHeight="1">
      <c r="A936" s="11" t="s">
        <v>305</v>
      </c>
      <c r="B936" s="2" t="s">
        <v>2533</v>
      </c>
      <c r="C936" s="2">
        <v>1</v>
      </c>
      <c r="D936" s="2" t="s">
        <v>3909</v>
      </c>
      <c r="E936" s="29" t="e">
        <f>일위대가목록!#REF!</f>
        <v>#REF!</v>
      </c>
      <c r="F936" s="29" t="e">
        <f t="shared" si="117"/>
        <v>#REF!</v>
      </c>
      <c r="G936" s="29" t="e">
        <f>일위대가목록!#REF!</f>
        <v>#REF!</v>
      </c>
      <c r="H936" s="29" t="e">
        <f t="shared" si="118"/>
        <v>#REF!</v>
      </c>
      <c r="I936" s="29" t="e">
        <f>일위대가목록!#REF!</f>
        <v>#REF!</v>
      </c>
      <c r="J936" s="29" t="e">
        <f t="shared" si="119"/>
        <v>#REF!</v>
      </c>
      <c r="K936" s="29" t="e">
        <f t="shared" si="116"/>
        <v>#REF!</v>
      </c>
      <c r="L936" s="29" t="e">
        <f t="shared" si="115"/>
        <v>#REF!</v>
      </c>
      <c r="M936" s="20" t="s">
        <v>6232</v>
      </c>
      <c r="N936" t="s">
        <v>6232</v>
      </c>
      <c r="P936" t="s">
        <v>3224</v>
      </c>
      <c r="Q936" t="s">
        <v>6232</v>
      </c>
      <c r="R936" t="s">
        <v>3966</v>
      </c>
      <c r="T936" t="s">
        <v>3860</v>
      </c>
      <c r="BI936" s="52" t="str">
        <f>HYPERLINK("#일위대가목록!A929","TM-700-125Y →")</f>
        <v>TM-700-125Y →</v>
      </c>
    </row>
    <row r="937" spans="1:61" ht="18.399999999999999" customHeight="1">
      <c r="A937" s="11" t="s">
        <v>1475</v>
      </c>
      <c r="B937" s="2" t="s">
        <v>1572</v>
      </c>
      <c r="C937" s="2">
        <v>1</v>
      </c>
      <c r="D937" s="2" t="s">
        <v>3909</v>
      </c>
      <c r="E937" s="29" t="e">
        <f>일위대가목록!#REF!</f>
        <v>#REF!</v>
      </c>
      <c r="F937" s="29" t="e">
        <f t="shared" si="117"/>
        <v>#REF!</v>
      </c>
      <c r="G937" s="29" t="e">
        <f>일위대가목록!#REF!</f>
        <v>#REF!</v>
      </c>
      <c r="H937" s="29" t="e">
        <f t="shared" si="118"/>
        <v>#REF!</v>
      </c>
      <c r="I937" s="29" t="e">
        <f>일위대가목록!#REF!</f>
        <v>#REF!</v>
      </c>
      <c r="J937" s="29" t="e">
        <f t="shared" si="119"/>
        <v>#REF!</v>
      </c>
      <c r="K937" s="29" t="e">
        <f t="shared" si="116"/>
        <v>#REF!</v>
      </c>
      <c r="L937" s="29" t="e">
        <f t="shared" si="115"/>
        <v>#REF!</v>
      </c>
      <c r="M937" s="20" t="s">
        <v>6232</v>
      </c>
      <c r="N937" t="s">
        <v>6232</v>
      </c>
      <c r="P937" t="s">
        <v>4774</v>
      </c>
      <c r="Q937" t="s">
        <v>6232</v>
      </c>
      <c r="R937" t="s">
        <v>3098</v>
      </c>
      <c r="T937" t="s">
        <v>3860</v>
      </c>
      <c r="BI937" s="52" t="str">
        <f>HYPERLINK("#일위대가목록!A930","TM-700-100 →")</f>
        <v>TM-700-100 →</v>
      </c>
    </row>
    <row r="938" spans="1:61" ht="18.399999999999999" customHeight="1">
      <c r="A938" s="11" t="s">
        <v>305</v>
      </c>
      <c r="B938" s="2" t="s">
        <v>1572</v>
      </c>
      <c r="C938" s="2">
        <v>1</v>
      </c>
      <c r="D938" s="2" t="s">
        <v>3909</v>
      </c>
      <c r="E938" s="29" t="e">
        <f>일위대가목록!#REF!</f>
        <v>#REF!</v>
      </c>
      <c r="F938" s="29" t="e">
        <f t="shared" si="117"/>
        <v>#REF!</v>
      </c>
      <c r="G938" s="29" t="e">
        <f>일위대가목록!#REF!</f>
        <v>#REF!</v>
      </c>
      <c r="H938" s="29" t="e">
        <f t="shared" si="118"/>
        <v>#REF!</v>
      </c>
      <c r="I938" s="29" t="e">
        <f>일위대가목록!#REF!</f>
        <v>#REF!</v>
      </c>
      <c r="J938" s="29" t="e">
        <f t="shared" si="119"/>
        <v>#REF!</v>
      </c>
      <c r="K938" s="29" t="e">
        <f t="shared" si="116"/>
        <v>#REF!</v>
      </c>
      <c r="L938" s="29" t="e">
        <f t="shared" si="115"/>
        <v>#REF!</v>
      </c>
      <c r="M938" s="20" t="s">
        <v>6232</v>
      </c>
      <c r="N938" t="s">
        <v>6232</v>
      </c>
      <c r="P938" t="s">
        <v>256</v>
      </c>
      <c r="Q938" t="s">
        <v>6232</v>
      </c>
      <c r="R938" t="s">
        <v>3299</v>
      </c>
      <c r="T938" t="s">
        <v>3860</v>
      </c>
      <c r="BI938" s="52" t="str">
        <f>HYPERLINK("#일위대가목록!A931","TM-700-100Y →")</f>
        <v>TM-700-100Y →</v>
      </c>
    </row>
    <row r="939" spans="1:61" ht="18.399999999999999" customHeight="1">
      <c r="A939" s="11" t="s">
        <v>1475</v>
      </c>
      <c r="B939" s="2" t="s">
        <v>1160</v>
      </c>
      <c r="C939" s="2">
        <v>1</v>
      </c>
      <c r="D939" s="2" t="s">
        <v>3909</v>
      </c>
      <c r="E939" s="29" t="e">
        <f>일위대가목록!#REF!</f>
        <v>#REF!</v>
      </c>
      <c r="F939" s="29" t="e">
        <f t="shared" si="117"/>
        <v>#REF!</v>
      </c>
      <c r="G939" s="29" t="e">
        <f>일위대가목록!#REF!</f>
        <v>#REF!</v>
      </c>
      <c r="H939" s="29" t="e">
        <f t="shared" si="118"/>
        <v>#REF!</v>
      </c>
      <c r="I939" s="29" t="e">
        <f>일위대가목록!#REF!</f>
        <v>#REF!</v>
      </c>
      <c r="J939" s="29" t="e">
        <f t="shared" si="119"/>
        <v>#REF!</v>
      </c>
      <c r="K939" s="29" t="e">
        <f t="shared" si="116"/>
        <v>#REF!</v>
      </c>
      <c r="L939" s="29" t="e">
        <f t="shared" si="115"/>
        <v>#REF!</v>
      </c>
      <c r="M939" s="20" t="s">
        <v>6232</v>
      </c>
      <c r="N939" t="s">
        <v>6232</v>
      </c>
      <c r="P939" t="s">
        <v>1787</v>
      </c>
      <c r="Q939" t="s">
        <v>6232</v>
      </c>
      <c r="R939" t="s">
        <v>4616</v>
      </c>
      <c r="T939" t="s">
        <v>3860</v>
      </c>
      <c r="BI939" s="52" t="str">
        <f>HYPERLINK("#일위대가목록!A932","TM-700-080 →")</f>
        <v>TM-700-080 →</v>
      </c>
    </row>
    <row r="940" spans="1:61" ht="18.399999999999999" customHeight="1">
      <c r="A940" s="11" t="s">
        <v>305</v>
      </c>
      <c r="B940" s="2" t="s">
        <v>1160</v>
      </c>
      <c r="C940" s="2">
        <v>1</v>
      </c>
      <c r="D940" s="2" t="s">
        <v>3909</v>
      </c>
      <c r="E940" s="29" t="e">
        <f>일위대가목록!#REF!</f>
        <v>#REF!</v>
      </c>
      <c r="F940" s="29" t="e">
        <f t="shared" si="117"/>
        <v>#REF!</v>
      </c>
      <c r="G940" s="29" t="e">
        <f>일위대가목록!#REF!</f>
        <v>#REF!</v>
      </c>
      <c r="H940" s="29" t="e">
        <f t="shared" si="118"/>
        <v>#REF!</v>
      </c>
      <c r="I940" s="29" t="e">
        <f>일위대가목록!#REF!</f>
        <v>#REF!</v>
      </c>
      <c r="J940" s="29" t="e">
        <f t="shared" si="119"/>
        <v>#REF!</v>
      </c>
      <c r="K940" s="29" t="e">
        <f t="shared" si="116"/>
        <v>#REF!</v>
      </c>
      <c r="L940" s="29" t="e">
        <f t="shared" si="115"/>
        <v>#REF!</v>
      </c>
      <c r="M940" s="20" t="s">
        <v>6232</v>
      </c>
      <c r="N940" t="s">
        <v>6232</v>
      </c>
      <c r="P940" t="s">
        <v>1250</v>
      </c>
      <c r="Q940" t="s">
        <v>6232</v>
      </c>
      <c r="R940" t="s">
        <v>2055</v>
      </c>
      <c r="T940" t="s">
        <v>3860</v>
      </c>
      <c r="BI940" s="52" t="str">
        <f>HYPERLINK("#일위대가목록!A933","TM-700-080Y →")</f>
        <v>TM-700-080Y →</v>
      </c>
    </row>
    <row r="941" spans="1:61" ht="18.399999999999999" customHeight="1">
      <c r="A941" s="11" t="s">
        <v>1475</v>
      </c>
      <c r="B941" s="2" t="s">
        <v>3058</v>
      </c>
      <c r="C941" s="2">
        <v>1</v>
      </c>
      <c r="D941" s="2" t="s">
        <v>3909</v>
      </c>
      <c r="E941" s="29" t="e">
        <f>일위대가목록!#REF!</f>
        <v>#REF!</v>
      </c>
      <c r="F941" s="29" t="e">
        <f t="shared" si="117"/>
        <v>#REF!</v>
      </c>
      <c r="G941" s="29" t="e">
        <f>일위대가목록!#REF!</f>
        <v>#REF!</v>
      </c>
      <c r="H941" s="29" t="e">
        <f t="shared" si="118"/>
        <v>#REF!</v>
      </c>
      <c r="I941" s="29" t="e">
        <f>일위대가목록!#REF!</f>
        <v>#REF!</v>
      </c>
      <c r="J941" s="29" t="e">
        <f t="shared" si="119"/>
        <v>#REF!</v>
      </c>
      <c r="K941" s="29" t="e">
        <f t="shared" si="116"/>
        <v>#REF!</v>
      </c>
      <c r="L941" s="29" t="e">
        <f t="shared" si="115"/>
        <v>#REF!</v>
      </c>
      <c r="M941" s="20" t="s">
        <v>6232</v>
      </c>
      <c r="N941" t="s">
        <v>6232</v>
      </c>
      <c r="P941" t="s">
        <v>2813</v>
      </c>
      <c r="Q941" t="s">
        <v>6232</v>
      </c>
      <c r="R941" t="s">
        <v>4608</v>
      </c>
      <c r="T941" t="s">
        <v>3860</v>
      </c>
      <c r="BI941" s="52" t="str">
        <f>HYPERLINK("#일위대가목록!A934","TM-700-065 →")</f>
        <v>TM-700-065 →</v>
      </c>
    </row>
    <row r="942" spans="1:61" ht="18.399999999999999" customHeight="1">
      <c r="A942" s="11" t="s">
        <v>305</v>
      </c>
      <c r="B942" s="2" t="s">
        <v>3058</v>
      </c>
      <c r="C942" s="2">
        <v>1</v>
      </c>
      <c r="D942" s="2" t="s">
        <v>3909</v>
      </c>
      <c r="E942" s="29" t="e">
        <f>일위대가목록!#REF!</f>
        <v>#REF!</v>
      </c>
      <c r="F942" s="29" t="e">
        <f t="shared" si="117"/>
        <v>#REF!</v>
      </c>
      <c r="G942" s="29" t="e">
        <f>일위대가목록!#REF!</f>
        <v>#REF!</v>
      </c>
      <c r="H942" s="29" t="e">
        <f t="shared" si="118"/>
        <v>#REF!</v>
      </c>
      <c r="I942" s="29" t="e">
        <f>일위대가목록!#REF!</f>
        <v>#REF!</v>
      </c>
      <c r="J942" s="29" t="e">
        <f t="shared" si="119"/>
        <v>#REF!</v>
      </c>
      <c r="K942" s="29" t="e">
        <f t="shared" si="116"/>
        <v>#REF!</v>
      </c>
      <c r="L942" s="29" t="e">
        <f t="shared" si="115"/>
        <v>#REF!</v>
      </c>
      <c r="M942" s="20" t="s">
        <v>6232</v>
      </c>
      <c r="N942" t="s">
        <v>6232</v>
      </c>
      <c r="P942" t="s">
        <v>4406</v>
      </c>
      <c r="Q942" t="s">
        <v>6232</v>
      </c>
      <c r="R942" t="s">
        <v>641</v>
      </c>
      <c r="T942" t="s">
        <v>3860</v>
      </c>
      <c r="BI942" s="52" t="str">
        <f>HYPERLINK("#일위대가목록!A935","TM-700-065Y →")</f>
        <v>TM-700-065Y →</v>
      </c>
    </row>
    <row r="943" spans="1:61" ht="18.399999999999999" customHeight="1">
      <c r="A943" s="11" t="s">
        <v>1475</v>
      </c>
      <c r="B943" s="2" t="s">
        <v>2393</v>
      </c>
      <c r="C943" s="2">
        <v>1</v>
      </c>
      <c r="D943" s="2" t="s">
        <v>3909</v>
      </c>
      <c r="E943" s="29" t="e">
        <f>일위대가목록!#REF!</f>
        <v>#REF!</v>
      </c>
      <c r="F943" s="29" t="e">
        <f t="shared" si="117"/>
        <v>#REF!</v>
      </c>
      <c r="G943" s="29" t="e">
        <f>일위대가목록!#REF!</f>
        <v>#REF!</v>
      </c>
      <c r="H943" s="29" t="e">
        <f t="shared" si="118"/>
        <v>#REF!</v>
      </c>
      <c r="I943" s="29" t="e">
        <f>일위대가목록!#REF!</f>
        <v>#REF!</v>
      </c>
      <c r="J943" s="29" t="e">
        <f t="shared" si="119"/>
        <v>#REF!</v>
      </c>
      <c r="K943" s="29" t="e">
        <f t="shared" si="116"/>
        <v>#REF!</v>
      </c>
      <c r="L943" s="29" t="e">
        <f t="shared" si="115"/>
        <v>#REF!</v>
      </c>
      <c r="M943" s="20" t="s">
        <v>6232</v>
      </c>
      <c r="N943" t="s">
        <v>6232</v>
      </c>
      <c r="P943" t="s">
        <v>6013</v>
      </c>
      <c r="Q943" t="s">
        <v>6232</v>
      </c>
      <c r="R943" t="s">
        <v>5879</v>
      </c>
      <c r="T943" t="s">
        <v>3860</v>
      </c>
      <c r="BI943" s="52" t="str">
        <f>HYPERLINK("#일위대가목록!A936","TM-700-050 →")</f>
        <v>TM-700-050 →</v>
      </c>
    </row>
    <row r="944" spans="1:61" ht="18.399999999999999" customHeight="1">
      <c r="A944" s="11" t="s">
        <v>305</v>
      </c>
      <c r="B944" s="2" t="s">
        <v>2393</v>
      </c>
      <c r="C944" s="2">
        <v>1</v>
      </c>
      <c r="D944" s="2" t="s">
        <v>3909</v>
      </c>
      <c r="E944" s="29" t="e">
        <f>일위대가목록!#REF!</f>
        <v>#REF!</v>
      </c>
      <c r="F944" s="29" t="e">
        <f t="shared" si="117"/>
        <v>#REF!</v>
      </c>
      <c r="G944" s="29" t="e">
        <f>일위대가목록!#REF!</f>
        <v>#REF!</v>
      </c>
      <c r="H944" s="29" t="e">
        <f t="shared" si="118"/>
        <v>#REF!</v>
      </c>
      <c r="I944" s="29" t="e">
        <f>일위대가목록!#REF!</f>
        <v>#REF!</v>
      </c>
      <c r="J944" s="29" t="e">
        <f t="shared" si="119"/>
        <v>#REF!</v>
      </c>
      <c r="K944" s="29" t="e">
        <f t="shared" si="116"/>
        <v>#REF!</v>
      </c>
      <c r="L944" s="29" t="e">
        <f t="shared" si="115"/>
        <v>#REF!</v>
      </c>
      <c r="M944" s="20" t="s">
        <v>6232</v>
      </c>
      <c r="N944" t="s">
        <v>6232</v>
      </c>
      <c r="P944" t="s">
        <v>1161</v>
      </c>
      <c r="Q944" t="s">
        <v>6232</v>
      </c>
      <c r="R944" t="s">
        <v>136</v>
      </c>
      <c r="T944" t="s">
        <v>3860</v>
      </c>
      <c r="BI944" s="52" t="str">
        <f>HYPERLINK("#일위대가목록!A937","TM-700-050Y →")</f>
        <v>TM-700-050Y →</v>
      </c>
    </row>
    <row r="945" spans="1:61" ht="18.399999999999999" customHeight="1">
      <c r="A945" s="11" t="s">
        <v>1544</v>
      </c>
      <c r="B945" s="2" t="s">
        <v>6232</v>
      </c>
      <c r="C945" s="2"/>
      <c r="D945" s="2" t="s">
        <v>6232</v>
      </c>
      <c r="E945" s="1"/>
      <c r="F945" s="29" t="e">
        <f>TRUNC(SUM(AF945:AF946),0)</f>
        <v>#REF!</v>
      </c>
      <c r="G945" s="1"/>
      <c r="H945" s="29" t="e">
        <f>TRUNC(SUM(AG945:AG946),0)</f>
        <v>#REF!</v>
      </c>
      <c r="I945" s="1"/>
      <c r="J945" s="29" t="e">
        <f>TRUNC(SUM(AH945:AH946),0)</f>
        <v>#REF!</v>
      </c>
      <c r="K945" s="29">
        <f t="shared" si="116"/>
        <v>0</v>
      </c>
      <c r="L945" s="29" t="e">
        <f t="shared" si="115"/>
        <v>#REF!</v>
      </c>
      <c r="M945" s="20" t="s">
        <v>6232</v>
      </c>
      <c r="N945" t="s">
        <v>6232</v>
      </c>
      <c r="P945" t="s">
        <v>2734</v>
      </c>
      <c r="Q945" t="s">
        <v>6232</v>
      </c>
      <c r="R945" t="s">
        <v>6232</v>
      </c>
      <c r="AF945" s="29" t="e">
        <f>F944+F943+F942+F941+F940+F939+F938+F937+F936+F935+F934+F933+F932+F931+F930+F929+F928+F927+F926+F925+F924+F923+F922+F921+F920+F919+F918+F917+F916+F915</f>
        <v>#REF!</v>
      </c>
      <c r="AG945" s="29" t="e">
        <f>H944+H943+H942+H941+H940+H939+H938+H937+H936+H935+H934+H933+H932+H931+H930+H929+H928+H927+H926+H925+H924+H923+H922+H921+H920+H919+H918+H917+H916+H915</f>
        <v>#REF!</v>
      </c>
      <c r="AH945" s="29" t="e">
        <f>J944+J943+J942+J941+J940+J939+J938+J937+J936+J935+J934+J933+J932+J931+J930+J929+J928+J927+J926+J925+J924+J923+J922+J921+J920+J919+J918+J917+J916+J915</f>
        <v>#REF!</v>
      </c>
    </row>
    <row r="946" spans="1:61" ht="18.399999999999999" customHeight="1">
      <c r="A946" s="11" t="s">
        <v>3665</v>
      </c>
      <c r="B946" s="2" t="s">
        <v>6232</v>
      </c>
      <c r="C946" s="2"/>
      <c r="D946" s="2" t="s">
        <v>6232</v>
      </c>
      <c r="E946" s="1"/>
      <c r="F946" s="29" t="e">
        <f>TRUNC(F945+F906+F877+F852+F835+F810+F799+F766+F751+F736+F601+F466+F441+F394+F347+F300+F253+F206+F159+F112+F87+F44,0)</f>
        <v>#REF!</v>
      </c>
      <c r="G946" s="1"/>
      <c r="H946" s="29" t="e">
        <f>TRUNC(H945+H906+H877+H852+H835+H810+H799+H766+H751+H736+H601+H466+H441+H394+H347+H300+H253+H206+H159+H112+H87+H44,0)</f>
        <v>#REF!</v>
      </c>
      <c r="I946" s="1"/>
      <c r="J946" s="29" t="e">
        <f>TRUNC(J945+J906+J877+J852+J835+J810+J799+J766+J751+J736+J601+J466+J441+J394+J347+J300+J253+J206+J159+J112+J87+J44,0)</f>
        <v>#REF!</v>
      </c>
      <c r="K946" s="29">
        <f t="shared" si="116"/>
        <v>0</v>
      </c>
      <c r="L946" s="29" t="e">
        <f t="shared" si="115"/>
        <v>#REF!</v>
      </c>
      <c r="M946" s="20" t="s">
        <v>6232</v>
      </c>
      <c r="N946" t="s">
        <v>6232</v>
      </c>
      <c r="P946" t="s">
        <v>4341</v>
      </c>
      <c r="Q946" t="s">
        <v>6232</v>
      </c>
      <c r="R946" t="s">
        <v>6232</v>
      </c>
      <c r="AF946" s="29" t="e">
        <f>F914+F913+F912+F911+F910+F909</f>
        <v>#REF!</v>
      </c>
      <c r="AG946" s="29" t="e">
        <f>H914+H913+H912+H911+H910+H909</f>
        <v>#REF!</v>
      </c>
      <c r="AH946" s="29" t="e">
        <f>J914+J913+J912+J911+J910+J909</f>
        <v>#REF!</v>
      </c>
    </row>
    <row r="947" spans="1:61" ht="18.399999999999999" customHeight="1">
      <c r="A947" s="11" t="s">
        <v>2495</v>
      </c>
      <c r="B947" s="2" t="s">
        <v>6232</v>
      </c>
      <c r="C947" s="2"/>
      <c r="D947" s="2" t="s">
        <v>6232</v>
      </c>
      <c r="E947" s="1"/>
      <c r="F947" s="29">
        <v>0</v>
      </c>
      <c r="G947" s="1"/>
      <c r="H947" s="29">
        <v>0</v>
      </c>
      <c r="I947" s="1"/>
      <c r="J947" s="29">
        <v>0</v>
      </c>
      <c r="K947" s="29">
        <f t="shared" si="116"/>
        <v>0</v>
      </c>
      <c r="L947" s="29">
        <f t="shared" si="115"/>
        <v>0</v>
      </c>
      <c r="M947" s="20" t="s">
        <v>6232</v>
      </c>
      <c r="N947" t="s">
        <v>6232</v>
      </c>
      <c r="P947" t="s">
        <v>5918</v>
      </c>
      <c r="Q947" t="s">
        <v>6232</v>
      </c>
      <c r="R947" t="s">
        <v>6232</v>
      </c>
    </row>
    <row r="948" spans="1:61" ht="18.399999999999999" customHeight="1">
      <c r="A948" s="11" t="s">
        <v>5853</v>
      </c>
      <c r="B948" s="2" t="s">
        <v>6232</v>
      </c>
      <c r="C948" s="2"/>
      <c r="D948" s="2" t="s">
        <v>6232</v>
      </c>
      <c r="E948" s="1"/>
      <c r="F948" s="29">
        <v>0</v>
      </c>
      <c r="G948" s="1"/>
      <c r="H948" s="29">
        <v>0</v>
      </c>
      <c r="I948" s="1"/>
      <c r="J948" s="29">
        <v>0</v>
      </c>
      <c r="K948" s="29">
        <f t="shared" si="116"/>
        <v>0</v>
      </c>
      <c r="L948" s="29">
        <f t="shared" si="115"/>
        <v>0</v>
      </c>
      <c r="M948" s="20" t="s">
        <v>6232</v>
      </c>
      <c r="N948" t="s">
        <v>6232</v>
      </c>
      <c r="P948" t="s">
        <v>1446</v>
      </c>
      <c r="Q948" t="s">
        <v>6232</v>
      </c>
      <c r="R948" t="s">
        <v>6232</v>
      </c>
    </row>
    <row r="949" spans="1:61" ht="18.399999999999999" customHeight="1">
      <c r="A949" s="11" t="s">
        <v>530</v>
      </c>
      <c r="B949" s="2" t="s">
        <v>6232</v>
      </c>
      <c r="C949" s="2"/>
      <c r="D949" s="2" t="s">
        <v>6232</v>
      </c>
      <c r="E949" s="1"/>
      <c r="F949" s="29">
        <v>0</v>
      </c>
      <c r="G949" s="1"/>
      <c r="H949" s="29">
        <v>0</v>
      </c>
      <c r="I949" s="1"/>
      <c r="J949" s="29">
        <v>0</v>
      </c>
      <c r="K949" s="29">
        <f t="shared" si="116"/>
        <v>0</v>
      </c>
      <c r="L949" s="29">
        <f t="shared" si="115"/>
        <v>0</v>
      </c>
      <c r="M949" s="20" t="s">
        <v>6232</v>
      </c>
      <c r="N949" t="s">
        <v>6232</v>
      </c>
      <c r="P949" t="s">
        <v>3016</v>
      </c>
      <c r="Q949" t="s">
        <v>6232</v>
      </c>
      <c r="R949" t="s">
        <v>6232</v>
      </c>
    </row>
    <row r="950" spans="1:61" ht="18.399999999999999" customHeight="1">
      <c r="A950" s="11" t="s">
        <v>530</v>
      </c>
      <c r="B950" s="2" t="s">
        <v>2823</v>
      </c>
      <c r="C950" s="2">
        <v>1</v>
      </c>
      <c r="D950" s="2" t="s">
        <v>4785</v>
      </c>
      <c r="E950" s="29">
        <f>자재조서!E33</f>
        <v>493130</v>
      </c>
      <c r="F950" s="29">
        <f t="shared" ref="F950:F971" si="120">TRUNC(E950*C950,0)</f>
        <v>493130</v>
      </c>
      <c r="G950" s="29">
        <v>0</v>
      </c>
      <c r="H950" s="29"/>
      <c r="I950" s="29">
        <v>0</v>
      </c>
      <c r="J950" s="29"/>
      <c r="K950" s="29">
        <f t="shared" si="116"/>
        <v>493130</v>
      </c>
      <c r="L950" s="29">
        <f t="shared" si="115"/>
        <v>493130</v>
      </c>
      <c r="M950" s="20" t="s">
        <v>6232</v>
      </c>
      <c r="N950" t="s">
        <v>6232</v>
      </c>
      <c r="P950" t="s">
        <v>2644</v>
      </c>
      <c r="Q950" t="s">
        <v>6232</v>
      </c>
      <c r="R950" t="s">
        <v>1823</v>
      </c>
      <c r="BI950" s="52" t="str">
        <f>HYPERLINK("#자재조서!A33","M4507051-750 →")</f>
        <v>M4507051-750 →</v>
      </c>
    </row>
    <row r="951" spans="1:61" ht="18.399999999999999" customHeight="1">
      <c r="A951" s="11" t="s">
        <v>530</v>
      </c>
      <c r="B951" s="2" t="s">
        <v>3826</v>
      </c>
      <c r="C951" s="2">
        <v>1</v>
      </c>
      <c r="D951" s="2" t="s">
        <v>4785</v>
      </c>
      <c r="E951" s="29">
        <f>자재조서!E32</f>
        <v>460760</v>
      </c>
      <c r="F951" s="29">
        <f t="shared" si="120"/>
        <v>460760</v>
      </c>
      <c r="G951" s="29">
        <v>0</v>
      </c>
      <c r="H951" s="29"/>
      <c r="I951" s="29">
        <v>0</v>
      </c>
      <c r="J951" s="29"/>
      <c r="K951" s="29">
        <f t="shared" si="116"/>
        <v>460760</v>
      </c>
      <c r="L951" s="29">
        <f t="shared" si="115"/>
        <v>460760</v>
      </c>
      <c r="M951" s="20" t="s">
        <v>6232</v>
      </c>
      <c r="N951" t="s">
        <v>6232</v>
      </c>
      <c r="P951" t="s">
        <v>1063</v>
      </c>
      <c r="Q951" t="s">
        <v>6232</v>
      </c>
      <c r="R951" t="s">
        <v>210</v>
      </c>
      <c r="BI951" s="52" t="str">
        <f>HYPERLINK("#자재조서!A32","M4507051-700 →")</f>
        <v>M4507051-700 →</v>
      </c>
    </row>
    <row r="952" spans="1:61" ht="18.399999999999999" customHeight="1">
      <c r="A952" s="11" t="s">
        <v>530</v>
      </c>
      <c r="B952" s="2" t="s">
        <v>397</v>
      </c>
      <c r="C952" s="2">
        <v>1</v>
      </c>
      <c r="D952" s="2" t="s">
        <v>4785</v>
      </c>
      <c r="E952" s="29">
        <f>자재조서!E31</f>
        <v>427050</v>
      </c>
      <c r="F952" s="29">
        <f t="shared" si="120"/>
        <v>427050</v>
      </c>
      <c r="G952" s="29">
        <v>0</v>
      </c>
      <c r="H952" s="29"/>
      <c r="I952" s="29">
        <v>0</v>
      </c>
      <c r="J952" s="29"/>
      <c r="K952" s="29">
        <f t="shared" si="116"/>
        <v>427050</v>
      </c>
      <c r="L952" s="29">
        <f t="shared" si="115"/>
        <v>427050</v>
      </c>
      <c r="M952" s="20" t="s">
        <v>6232</v>
      </c>
      <c r="N952" t="s">
        <v>6232</v>
      </c>
      <c r="P952" t="s">
        <v>5825</v>
      </c>
      <c r="Q952" t="s">
        <v>6232</v>
      </c>
      <c r="R952" t="s">
        <v>2964</v>
      </c>
      <c r="BI952" s="52" t="str">
        <f>HYPERLINK("#자재조서!A31","M4507051-650 →")</f>
        <v>M4507051-650 →</v>
      </c>
    </row>
    <row r="953" spans="1:61" ht="18.399999999999999" customHeight="1">
      <c r="A953" s="11" t="s">
        <v>530</v>
      </c>
      <c r="B953" s="2" t="s">
        <v>6105</v>
      </c>
      <c r="C953" s="2">
        <v>1</v>
      </c>
      <c r="D953" s="2" t="s">
        <v>4785</v>
      </c>
      <c r="E953" s="29">
        <f>자재조서!E30</f>
        <v>411280</v>
      </c>
      <c r="F953" s="29">
        <f t="shared" si="120"/>
        <v>411280</v>
      </c>
      <c r="G953" s="29">
        <v>0</v>
      </c>
      <c r="H953" s="29"/>
      <c r="I953" s="29">
        <v>0</v>
      </c>
      <c r="J953" s="29"/>
      <c r="K953" s="29">
        <f t="shared" si="116"/>
        <v>411280</v>
      </c>
      <c r="L953" s="29">
        <f t="shared" si="115"/>
        <v>411280</v>
      </c>
      <c r="M953" s="20" t="s">
        <v>6232</v>
      </c>
      <c r="N953" t="s">
        <v>6232</v>
      </c>
      <c r="P953" t="s">
        <v>4237</v>
      </c>
      <c r="Q953" t="s">
        <v>6232</v>
      </c>
      <c r="R953" t="s">
        <v>1484</v>
      </c>
      <c r="BI953" s="52" t="str">
        <f>HYPERLINK("#자재조서!A30","M4507051-600 →")</f>
        <v>M4507051-600 →</v>
      </c>
    </row>
    <row r="954" spans="1:61" ht="18.399999999999999" customHeight="1">
      <c r="A954" s="11" t="s">
        <v>530</v>
      </c>
      <c r="B954" s="2" t="s">
        <v>6191</v>
      </c>
      <c r="C954" s="2">
        <v>1</v>
      </c>
      <c r="D954" s="2" t="s">
        <v>4785</v>
      </c>
      <c r="E954" s="29">
        <f>자재조서!E29</f>
        <v>353670</v>
      </c>
      <c r="F954" s="29">
        <f t="shared" si="120"/>
        <v>353670</v>
      </c>
      <c r="G954" s="29">
        <v>0</v>
      </c>
      <c r="H954" s="29"/>
      <c r="I954" s="29">
        <v>0</v>
      </c>
      <c r="J954" s="29"/>
      <c r="K954" s="29">
        <f t="shared" si="116"/>
        <v>353670</v>
      </c>
      <c r="L954" s="29">
        <f t="shared" si="115"/>
        <v>353670</v>
      </c>
      <c r="M954" s="20" t="s">
        <v>6232</v>
      </c>
      <c r="N954" t="s">
        <v>6232</v>
      </c>
      <c r="P954" t="s">
        <v>2537</v>
      </c>
      <c r="Q954" t="s">
        <v>6232</v>
      </c>
      <c r="R954" t="s">
        <v>820</v>
      </c>
      <c r="BI954" s="52" t="str">
        <f>HYPERLINK("#자재조서!A29","M4507051-550 →")</f>
        <v>M4507051-550 →</v>
      </c>
    </row>
    <row r="955" spans="1:61" ht="18.399999999999999" customHeight="1">
      <c r="A955" s="11" t="s">
        <v>530</v>
      </c>
      <c r="B955" s="2" t="s">
        <v>524</v>
      </c>
      <c r="C955" s="2">
        <v>1</v>
      </c>
      <c r="D955" s="2" t="s">
        <v>4785</v>
      </c>
      <c r="E955" s="29">
        <f>자재조서!E28</f>
        <v>294420</v>
      </c>
      <c r="F955" s="29">
        <f t="shared" si="120"/>
        <v>294420</v>
      </c>
      <c r="G955" s="29">
        <v>0</v>
      </c>
      <c r="H955" s="29"/>
      <c r="I955" s="29">
        <v>0</v>
      </c>
      <c r="J955" s="29"/>
      <c r="K955" s="29">
        <f t="shared" si="116"/>
        <v>294420</v>
      </c>
      <c r="L955" s="29">
        <f t="shared" si="115"/>
        <v>294420</v>
      </c>
      <c r="M955" s="20" t="s">
        <v>6232</v>
      </c>
      <c r="N955" t="s">
        <v>6232</v>
      </c>
      <c r="P955" t="s">
        <v>977</v>
      </c>
      <c r="Q955" t="s">
        <v>6232</v>
      </c>
      <c r="R955" t="s">
        <v>2878</v>
      </c>
      <c r="BI955" s="52" t="str">
        <f>HYPERLINK("#자재조서!A28","M4507051 →")</f>
        <v>M4507051 →</v>
      </c>
    </row>
    <row r="956" spans="1:61" ht="18.399999999999999" customHeight="1">
      <c r="A956" s="11" t="s">
        <v>530</v>
      </c>
      <c r="B956" s="2" t="s">
        <v>3764</v>
      </c>
      <c r="C956" s="2">
        <v>1</v>
      </c>
      <c r="D956" s="2" t="s">
        <v>4785</v>
      </c>
      <c r="E956" s="29">
        <f>자재조서!E27</f>
        <v>241550</v>
      </c>
      <c r="F956" s="29">
        <f t="shared" si="120"/>
        <v>241550</v>
      </c>
      <c r="G956" s="29">
        <v>0</v>
      </c>
      <c r="H956" s="29"/>
      <c r="I956" s="29">
        <v>0</v>
      </c>
      <c r="J956" s="29"/>
      <c r="K956" s="29">
        <f t="shared" si="116"/>
        <v>241550</v>
      </c>
      <c r="L956" s="29">
        <f t="shared" si="115"/>
        <v>241550</v>
      </c>
      <c r="M956" s="20" t="s">
        <v>6232</v>
      </c>
      <c r="N956" t="s">
        <v>6232</v>
      </c>
      <c r="P956" t="s">
        <v>5711</v>
      </c>
      <c r="Q956" t="s">
        <v>6232</v>
      </c>
      <c r="R956" t="s">
        <v>3518</v>
      </c>
      <c r="BI956" s="52" t="str">
        <f>HYPERLINK("#자재조서!A27","M4507048 →")</f>
        <v>M4507048 →</v>
      </c>
    </row>
    <row r="957" spans="1:61" ht="18.399999999999999" customHeight="1">
      <c r="A957" s="11" t="s">
        <v>530</v>
      </c>
      <c r="B957" s="2" t="s">
        <v>2715</v>
      </c>
      <c r="C957" s="2">
        <v>1</v>
      </c>
      <c r="D957" s="2" t="s">
        <v>4785</v>
      </c>
      <c r="E957" s="29">
        <f>자재조서!E26</f>
        <v>203770</v>
      </c>
      <c r="F957" s="29">
        <f t="shared" si="120"/>
        <v>203770</v>
      </c>
      <c r="G957" s="29">
        <v>0</v>
      </c>
      <c r="H957" s="29"/>
      <c r="I957" s="29">
        <v>0</v>
      </c>
      <c r="J957" s="29"/>
      <c r="K957" s="29">
        <f t="shared" si="116"/>
        <v>203770</v>
      </c>
      <c r="L957" s="29">
        <f t="shared" si="115"/>
        <v>203770</v>
      </c>
      <c r="M957" s="20" t="s">
        <v>6232</v>
      </c>
      <c r="N957" t="s">
        <v>6232</v>
      </c>
      <c r="P957" t="s">
        <v>4134</v>
      </c>
      <c r="Q957" t="s">
        <v>6232</v>
      </c>
      <c r="R957" t="s">
        <v>1124</v>
      </c>
      <c r="BI957" s="52" t="str">
        <f>HYPERLINK("#자재조서!A26","M4507045 →")</f>
        <v>M4507045 →</v>
      </c>
    </row>
    <row r="958" spans="1:61" ht="18.399999999999999" customHeight="1">
      <c r="A958" s="11" t="s">
        <v>530</v>
      </c>
      <c r="B958" s="2" t="s">
        <v>809</v>
      </c>
      <c r="C958" s="2">
        <v>1</v>
      </c>
      <c r="D958" s="2" t="s">
        <v>4785</v>
      </c>
      <c r="E958" s="29">
        <f>자재조서!E25</f>
        <v>173320</v>
      </c>
      <c r="F958" s="29">
        <f t="shared" si="120"/>
        <v>173320</v>
      </c>
      <c r="G958" s="29">
        <v>0</v>
      </c>
      <c r="H958" s="29"/>
      <c r="I958" s="29">
        <v>0</v>
      </c>
      <c r="J958" s="29"/>
      <c r="K958" s="29">
        <f t="shared" si="116"/>
        <v>173320</v>
      </c>
      <c r="L958" s="29">
        <f t="shared" si="115"/>
        <v>173320</v>
      </c>
      <c r="M958" s="20" t="s">
        <v>6232</v>
      </c>
      <c r="N958" t="s">
        <v>6232</v>
      </c>
      <c r="P958" t="s">
        <v>2447</v>
      </c>
      <c r="Q958" t="s">
        <v>6232</v>
      </c>
      <c r="R958" t="s">
        <v>3397</v>
      </c>
      <c r="BI958" s="52" t="str">
        <f>HYPERLINK("#자재조서!A25","M4507042 →")</f>
        <v>M4507042 →</v>
      </c>
    </row>
    <row r="959" spans="1:61" ht="18.399999999999999" customHeight="1">
      <c r="A959" s="11" t="s">
        <v>530</v>
      </c>
      <c r="B959" s="2" t="s">
        <v>4894</v>
      </c>
      <c r="C959" s="2">
        <v>1</v>
      </c>
      <c r="D959" s="2" t="s">
        <v>4785</v>
      </c>
      <c r="E959" s="29">
        <f>자재조서!E24</f>
        <v>151600</v>
      </c>
      <c r="F959" s="29">
        <f t="shared" si="120"/>
        <v>151600</v>
      </c>
      <c r="G959" s="29">
        <v>0</v>
      </c>
      <c r="H959" s="29"/>
      <c r="I959" s="29">
        <v>0</v>
      </c>
      <c r="J959" s="29"/>
      <c r="K959" s="29">
        <f t="shared" si="116"/>
        <v>151600</v>
      </c>
      <c r="L959" s="29">
        <f t="shared" si="115"/>
        <v>151600</v>
      </c>
      <c r="M959" s="20" t="s">
        <v>6232</v>
      </c>
      <c r="N959" t="s">
        <v>6232</v>
      </c>
      <c r="P959" t="s">
        <v>873</v>
      </c>
      <c r="Q959" t="s">
        <v>6232</v>
      </c>
      <c r="R959" t="s">
        <v>4737</v>
      </c>
      <c r="BI959" s="52" t="str">
        <f>HYPERLINK("#자재조서!A24","M4507039 →")</f>
        <v>M4507039 →</v>
      </c>
    </row>
    <row r="960" spans="1:61" ht="18.399999999999999" customHeight="1">
      <c r="A960" s="11" t="s">
        <v>530</v>
      </c>
      <c r="B960" s="2" t="s">
        <v>1701</v>
      </c>
      <c r="C960" s="2">
        <v>1</v>
      </c>
      <c r="D960" s="2" t="s">
        <v>4785</v>
      </c>
      <c r="E960" s="29">
        <f>자재조서!E23</f>
        <v>125740</v>
      </c>
      <c r="F960" s="29">
        <f t="shared" si="120"/>
        <v>125740</v>
      </c>
      <c r="G960" s="29">
        <v>0</v>
      </c>
      <c r="H960" s="29"/>
      <c r="I960" s="29">
        <v>0</v>
      </c>
      <c r="J960" s="29"/>
      <c r="K960" s="29">
        <f t="shared" si="116"/>
        <v>125740</v>
      </c>
      <c r="L960" s="29">
        <f t="shared" si="115"/>
        <v>125740</v>
      </c>
      <c r="M960" s="20" t="s">
        <v>6232</v>
      </c>
      <c r="N960" t="s">
        <v>6232</v>
      </c>
      <c r="P960" t="s">
        <v>2176</v>
      </c>
      <c r="Q960" t="s">
        <v>6232</v>
      </c>
      <c r="R960" t="s">
        <v>1968</v>
      </c>
      <c r="BI960" s="52" t="str">
        <f>HYPERLINK("#자재조서!A23","M4507036 →")</f>
        <v>M4507036 →</v>
      </c>
    </row>
    <row r="961" spans="1:61" ht="18.399999999999999" customHeight="1">
      <c r="A961" s="11" t="s">
        <v>530</v>
      </c>
      <c r="B961" s="2" t="s">
        <v>4196</v>
      </c>
      <c r="C961" s="2">
        <v>1</v>
      </c>
      <c r="D961" s="2" t="s">
        <v>4785</v>
      </c>
      <c r="E961" s="29">
        <f>자재조서!E22</f>
        <v>92290</v>
      </c>
      <c r="F961" s="29">
        <f t="shared" si="120"/>
        <v>92290</v>
      </c>
      <c r="G961" s="29">
        <v>0</v>
      </c>
      <c r="H961" s="29"/>
      <c r="I961" s="29">
        <v>0</v>
      </c>
      <c r="J961" s="29"/>
      <c r="K961" s="29">
        <f t="shared" si="116"/>
        <v>92290</v>
      </c>
      <c r="L961" s="29">
        <f t="shared" si="115"/>
        <v>92290</v>
      </c>
      <c r="M961" s="20" t="s">
        <v>6232</v>
      </c>
      <c r="N961" t="s">
        <v>6232</v>
      </c>
      <c r="P961" t="s">
        <v>662</v>
      </c>
      <c r="Q961" t="s">
        <v>6232</v>
      </c>
      <c r="R961" t="s">
        <v>5371</v>
      </c>
      <c r="BI961" s="52" t="str">
        <f>HYPERLINK("#자재조서!A22","M4507033 →")</f>
        <v>M4507033 →</v>
      </c>
    </row>
    <row r="962" spans="1:61" ht="18.399999999999999" customHeight="1">
      <c r="A962" s="11" t="s">
        <v>530</v>
      </c>
      <c r="B962" s="2" t="s">
        <v>4124</v>
      </c>
      <c r="C962" s="2">
        <v>1</v>
      </c>
      <c r="D962" s="2" t="s">
        <v>4785</v>
      </c>
      <c r="E962" s="29">
        <f>자재조서!E21</f>
        <v>69220</v>
      </c>
      <c r="F962" s="29">
        <f t="shared" si="120"/>
        <v>69220</v>
      </c>
      <c r="G962" s="29">
        <v>0</v>
      </c>
      <c r="H962" s="29"/>
      <c r="I962" s="29">
        <v>0</v>
      </c>
      <c r="J962" s="29"/>
      <c r="K962" s="29">
        <f t="shared" si="116"/>
        <v>69220</v>
      </c>
      <c r="L962" s="29">
        <f t="shared" si="115"/>
        <v>69220</v>
      </c>
      <c r="M962" s="20" t="s">
        <v>6232</v>
      </c>
      <c r="N962" t="s">
        <v>6232</v>
      </c>
      <c r="P962" t="s">
        <v>5246</v>
      </c>
      <c r="Q962" t="s">
        <v>6232</v>
      </c>
      <c r="R962" t="s">
        <v>2491</v>
      </c>
      <c r="BI962" s="52" t="str">
        <f>HYPERLINK("#자재조서!A21","M4507030 →")</f>
        <v>M4507030 →</v>
      </c>
    </row>
    <row r="963" spans="1:61" ht="18.399999999999999" customHeight="1">
      <c r="A963" s="11" t="s">
        <v>530</v>
      </c>
      <c r="B963" s="2" t="s">
        <v>2533</v>
      </c>
      <c r="C963" s="2">
        <v>1</v>
      </c>
      <c r="D963" s="2" t="s">
        <v>4785</v>
      </c>
      <c r="E963" s="29">
        <f>자재조서!E20</f>
        <v>53670</v>
      </c>
      <c r="F963" s="29">
        <f t="shared" si="120"/>
        <v>53670</v>
      </c>
      <c r="G963" s="29">
        <v>0</v>
      </c>
      <c r="H963" s="29"/>
      <c r="I963" s="29">
        <v>0</v>
      </c>
      <c r="J963" s="29"/>
      <c r="K963" s="29">
        <f t="shared" si="116"/>
        <v>53670</v>
      </c>
      <c r="L963" s="29">
        <f t="shared" si="115"/>
        <v>53670</v>
      </c>
      <c r="M963" s="20" t="s">
        <v>6232</v>
      </c>
      <c r="N963" t="s">
        <v>6232</v>
      </c>
      <c r="P963" t="s">
        <v>3734</v>
      </c>
      <c r="Q963" t="s">
        <v>6232</v>
      </c>
      <c r="R963" t="s">
        <v>3217</v>
      </c>
      <c r="BI963" s="52" t="str">
        <f>HYPERLINK("#자재조서!A20","M4507027 →")</f>
        <v>M4507027 →</v>
      </c>
    </row>
    <row r="964" spans="1:61" ht="18.399999999999999" customHeight="1">
      <c r="A964" s="11" t="s">
        <v>530</v>
      </c>
      <c r="B964" s="2" t="s">
        <v>1572</v>
      </c>
      <c r="C964" s="2">
        <v>1</v>
      </c>
      <c r="D964" s="2" t="s">
        <v>4785</v>
      </c>
      <c r="E964" s="29">
        <f>자재조서!E19</f>
        <v>54600</v>
      </c>
      <c r="F964" s="29">
        <f t="shared" si="120"/>
        <v>54600</v>
      </c>
      <c r="G964" s="29">
        <v>0</v>
      </c>
      <c r="H964" s="29"/>
      <c r="I964" s="29">
        <v>0</v>
      </c>
      <c r="J964" s="29"/>
      <c r="K964" s="29">
        <f t="shared" si="116"/>
        <v>54600</v>
      </c>
      <c r="L964" s="29">
        <f t="shared" si="115"/>
        <v>54600</v>
      </c>
      <c r="M964" s="20" t="s">
        <v>6232</v>
      </c>
      <c r="N964" t="s">
        <v>6232</v>
      </c>
      <c r="P964" t="s">
        <v>2270</v>
      </c>
      <c r="Q964" t="s">
        <v>6232</v>
      </c>
      <c r="R964" t="s">
        <v>1513</v>
      </c>
      <c r="BI964" s="52" t="str">
        <f>HYPERLINK("#자재조서!A19","M4507024 →")</f>
        <v>M4507024 →</v>
      </c>
    </row>
    <row r="965" spans="1:61" ht="18.399999999999999" customHeight="1">
      <c r="A965" s="11" t="s">
        <v>530</v>
      </c>
      <c r="B965" s="2" t="s">
        <v>1160</v>
      </c>
      <c r="C965" s="2">
        <v>1</v>
      </c>
      <c r="D965" s="2" t="s">
        <v>4785</v>
      </c>
      <c r="E965" s="29">
        <f>자재조서!E18</f>
        <v>45620</v>
      </c>
      <c r="F965" s="29">
        <f t="shared" si="120"/>
        <v>45620</v>
      </c>
      <c r="G965" s="29">
        <v>0</v>
      </c>
      <c r="H965" s="29"/>
      <c r="I965" s="29">
        <v>0</v>
      </c>
      <c r="J965" s="29"/>
      <c r="K965" s="29">
        <f t="shared" si="116"/>
        <v>45620</v>
      </c>
      <c r="L965" s="29">
        <f t="shared" si="115"/>
        <v>45620</v>
      </c>
      <c r="M965" s="20" t="s">
        <v>6232</v>
      </c>
      <c r="N965" t="s">
        <v>6232</v>
      </c>
      <c r="P965" t="s">
        <v>747</v>
      </c>
      <c r="Q965" t="s">
        <v>6232</v>
      </c>
      <c r="R965" t="s">
        <v>4279</v>
      </c>
      <c r="BI965" s="52" t="str">
        <f>HYPERLINK("#자재조서!A18","M4507021 →")</f>
        <v>M4507021 →</v>
      </c>
    </row>
    <row r="966" spans="1:61" ht="18.399999999999999" customHeight="1">
      <c r="A966" s="11" t="s">
        <v>530</v>
      </c>
      <c r="B966" s="2" t="s">
        <v>3058</v>
      </c>
      <c r="C966" s="2">
        <v>1</v>
      </c>
      <c r="D966" s="2" t="s">
        <v>4785</v>
      </c>
      <c r="E966" s="29">
        <f>자재조서!E17</f>
        <v>40020</v>
      </c>
      <c r="F966" s="29">
        <f t="shared" si="120"/>
        <v>40020</v>
      </c>
      <c r="G966" s="29">
        <v>0</v>
      </c>
      <c r="H966" s="29"/>
      <c r="I966" s="29">
        <v>0</v>
      </c>
      <c r="J966" s="29"/>
      <c r="K966" s="29">
        <f t="shared" si="116"/>
        <v>40020</v>
      </c>
      <c r="L966" s="29">
        <f t="shared" si="115"/>
        <v>40020</v>
      </c>
      <c r="M966" s="20" t="s">
        <v>6232</v>
      </c>
      <c r="N966" t="s">
        <v>6232</v>
      </c>
      <c r="P966" t="s">
        <v>5345</v>
      </c>
      <c r="Q966" t="s">
        <v>6232</v>
      </c>
      <c r="R966" t="s">
        <v>5230</v>
      </c>
      <c r="BI966" s="52" t="str">
        <f>HYPERLINK("#자재조서!A17","M4507018 →")</f>
        <v>M4507018 →</v>
      </c>
    </row>
    <row r="967" spans="1:61" ht="18.399999999999999" customHeight="1">
      <c r="A967" s="11" t="s">
        <v>530</v>
      </c>
      <c r="B967" s="2" t="s">
        <v>2393</v>
      </c>
      <c r="C967" s="2">
        <v>1</v>
      </c>
      <c r="D967" s="2" t="s">
        <v>4785</v>
      </c>
      <c r="E967" s="29">
        <f>자재조서!E16</f>
        <v>33020</v>
      </c>
      <c r="F967" s="29">
        <f t="shared" si="120"/>
        <v>33020</v>
      </c>
      <c r="G967" s="29">
        <v>0</v>
      </c>
      <c r="H967" s="29"/>
      <c r="I967" s="29">
        <v>0</v>
      </c>
      <c r="J967" s="29"/>
      <c r="K967" s="29">
        <f t="shared" si="116"/>
        <v>33020</v>
      </c>
      <c r="L967" s="29">
        <f t="shared" si="115"/>
        <v>33020</v>
      </c>
      <c r="M967" s="20" t="s">
        <v>6232</v>
      </c>
      <c r="N967" t="s">
        <v>6232</v>
      </c>
      <c r="P967" t="s">
        <v>3807</v>
      </c>
      <c r="Q967" t="s">
        <v>6232</v>
      </c>
      <c r="R967" t="s">
        <v>2576</v>
      </c>
      <c r="BI967" s="52" t="str">
        <f>HYPERLINK("#자재조서!A16","M4507015 →")</f>
        <v>M4507015 →</v>
      </c>
    </row>
    <row r="968" spans="1:61" ht="18.399999999999999" customHeight="1">
      <c r="A968" s="11" t="s">
        <v>530</v>
      </c>
      <c r="B968" s="2" t="s">
        <v>2012</v>
      </c>
      <c r="C968" s="2">
        <v>1</v>
      </c>
      <c r="D968" s="2" t="s">
        <v>4785</v>
      </c>
      <c r="E968" s="29">
        <f>자재조서!E15</f>
        <v>29450</v>
      </c>
      <c r="F968" s="29">
        <f t="shared" si="120"/>
        <v>29450</v>
      </c>
      <c r="G968" s="29">
        <v>0</v>
      </c>
      <c r="H968" s="29"/>
      <c r="I968" s="29">
        <v>0</v>
      </c>
      <c r="J968" s="29"/>
      <c r="K968" s="29">
        <f t="shared" si="116"/>
        <v>29450</v>
      </c>
      <c r="L968" s="29">
        <f t="shared" si="115"/>
        <v>29450</v>
      </c>
      <c r="M968" s="20" t="s">
        <v>6232</v>
      </c>
      <c r="N968" t="s">
        <v>6232</v>
      </c>
      <c r="P968" t="s">
        <v>1966</v>
      </c>
      <c r="Q968" t="s">
        <v>6232</v>
      </c>
      <c r="R968" t="s">
        <v>4871</v>
      </c>
      <c r="BI968" s="52" t="str">
        <f>HYPERLINK("#자재조서!A15","M4507012 →")</f>
        <v>M4507012 →</v>
      </c>
    </row>
    <row r="969" spans="1:61" ht="18.399999999999999" customHeight="1">
      <c r="A969" s="11" t="s">
        <v>530</v>
      </c>
      <c r="B969" s="2" t="s">
        <v>1993</v>
      </c>
      <c r="C969" s="2">
        <v>1</v>
      </c>
      <c r="D969" s="2" t="s">
        <v>4785</v>
      </c>
      <c r="E969" s="29">
        <f>자재조서!E14</f>
        <v>28540</v>
      </c>
      <c r="F969" s="29">
        <f t="shared" si="120"/>
        <v>28540</v>
      </c>
      <c r="G969" s="29">
        <v>0</v>
      </c>
      <c r="H969" s="29"/>
      <c r="I969" s="29">
        <v>0</v>
      </c>
      <c r="J969" s="29"/>
      <c r="K969" s="29">
        <f t="shared" si="116"/>
        <v>28540</v>
      </c>
      <c r="L969" s="29">
        <f t="shared" ref="L969:L1032" si="121">F969+H969+J969</f>
        <v>28540</v>
      </c>
      <c r="M969" s="20" t="s">
        <v>6232</v>
      </c>
      <c r="N969" t="s">
        <v>6232</v>
      </c>
      <c r="P969" t="s">
        <v>461</v>
      </c>
      <c r="Q969" t="s">
        <v>6232</v>
      </c>
      <c r="R969" t="s">
        <v>18</v>
      </c>
      <c r="BI969" s="52" t="str">
        <f>HYPERLINK("#자재조서!A14","M4507009 →")</f>
        <v>M4507009 →</v>
      </c>
    </row>
    <row r="970" spans="1:61" ht="18.399999999999999" customHeight="1">
      <c r="A970" s="11" t="s">
        <v>530</v>
      </c>
      <c r="B970" s="2" t="s">
        <v>3967</v>
      </c>
      <c r="C970" s="2">
        <v>1</v>
      </c>
      <c r="D970" s="2" t="s">
        <v>4785</v>
      </c>
      <c r="E970" s="29">
        <f>자재조서!E13</f>
        <v>25320</v>
      </c>
      <c r="F970" s="29">
        <f t="shared" si="120"/>
        <v>25320</v>
      </c>
      <c r="G970" s="29">
        <v>0</v>
      </c>
      <c r="H970" s="29"/>
      <c r="I970" s="29">
        <v>0</v>
      </c>
      <c r="J970" s="29"/>
      <c r="K970" s="29">
        <f t="shared" ref="K970:K1033" si="122">E970+G970+I970</f>
        <v>25320</v>
      </c>
      <c r="L970" s="29">
        <f t="shared" si="121"/>
        <v>25320</v>
      </c>
      <c r="M970" s="20" t="s">
        <v>6232</v>
      </c>
      <c r="N970" t="s">
        <v>6232</v>
      </c>
      <c r="P970" t="s">
        <v>2502</v>
      </c>
      <c r="Q970" t="s">
        <v>6232</v>
      </c>
      <c r="R970" t="s">
        <v>3508</v>
      </c>
      <c r="BI970" s="52" t="str">
        <f>HYPERLINK("#자재조서!A13","M4507006 →")</f>
        <v>M4507006 →</v>
      </c>
    </row>
    <row r="971" spans="1:61" ht="18.399999999999999" customHeight="1">
      <c r="A971" s="11" t="s">
        <v>530</v>
      </c>
      <c r="B971" s="2" t="s">
        <v>5596</v>
      </c>
      <c r="C971" s="2">
        <v>1</v>
      </c>
      <c r="D971" s="2" t="s">
        <v>4785</v>
      </c>
      <c r="E971" s="29">
        <f>자재조서!E12</f>
        <v>24120</v>
      </c>
      <c r="F971" s="29">
        <f t="shared" si="120"/>
        <v>24120</v>
      </c>
      <c r="G971" s="29">
        <v>0</v>
      </c>
      <c r="H971" s="29"/>
      <c r="I971" s="29">
        <v>0</v>
      </c>
      <c r="J971" s="29"/>
      <c r="K971" s="29">
        <f t="shared" si="122"/>
        <v>24120</v>
      </c>
      <c r="L971" s="29">
        <f t="shared" si="121"/>
        <v>24120</v>
      </c>
      <c r="M971" s="20" t="s">
        <v>6232</v>
      </c>
      <c r="N971" t="s">
        <v>6232</v>
      </c>
      <c r="P971" t="s">
        <v>924</v>
      </c>
      <c r="Q971" t="s">
        <v>6232</v>
      </c>
      <c r="R971" t="s">
        <v>730</v>
      </c>
      <c r="BI971" s="52" t="str">
        <f>HYPERLINK("#자재조서!A12","M4507003 →")</f>
        <v>M4507003 →</v>
      </c>
    </row>
    <row r="972" spans="1:61" ht="18.399999999999999" customHeight="1">
      <c r="A972" s="11" t="s">
        <v>1544</v>
      </c>
      <c r="B972" s="2" t="s">
        <v>6232</v>
      </c>
      <c r="C972" s="2"/>
      <c r="D972" s="2" t="s">
        <v>6232</v>
      </c>
      <c r="E972" s="1"/>
      <c r="F972" s="29">
        <f>TRUNC(F971+F970+F969+F968+F967+F966+F965+F964+F963+F962+F961+F960+F959+F958+F957+F956+F955+F954+F953+F952+F951+F950,0)</f>
        <v>3832160</v>
      </c>
      <c r="G972" s="1"/>
      <c r="H972" s="29">
        <f>TRUNC(H971+H970+H969+H968+H967+H966+H965+H964+H963+H962+H961+H960+H959+H958+H957+H956+H955+H954+H953+H952+H951+H950,0)</f>
        <v>0</v>
      </c>
      <c r="I972" s="1"/>
      <c r="J972" s="29">
        <f>TRUNC(J971+J970+J969+J968+J967+J966+J965+J964+J963+J962+J961+J960+J959+J958+J957+J956+J955+J954+J953+J952+J951+J950,0)</f>
        <v>0</v>
      </c>
      <c r="K972" s="29">
        <f t="shared" si="122"/>
        <v>0</v>
      </c>
      <c r="L972" s="29">
        <f t="shared" si="121"/>
        <v>3832160</v>
      </c>
      <c r="M972" s="20" t="s">
        <v>6232</v>
      </c>
      <c r="N972" t="s">
        <v>6232</v>
      </c>
      <c r="P972" t="s">
        <v>5583</v>
      </c>
      <c r="Q972" t="s">
        <v>6232</v>
      </c>
      <c r="R972" t="s">
        <v>6232</v>
      </c>
    </row>
    <row r="973" spans="1:61" ht="18.399999999999999" customHeight="1">
      <c r="A973" s="11" t="s">
        <v>2495</v>
      </c>
      <c r="B973" s="2" t="s">
        <v>6232</v>
      </c>
      <c r="C973" s="2"/>
      <c r="D973" s="2" t="s">
        <v>6232</v>
      </c>
      <c r="E973" s="1"/>
      <c r="F973" s="29">
        <v>0</v>
      </c>
      <c r="G973" s="1"/>
      <c r="H973" s="29">
        <v>0</v>
      </c>
      <c r="I973" s="1"/>
      <c r="J973" s="29">
        <v>0</v>
      </c>
      <c r="K973" s="29">
        <f t="shared" si="122"/>
        <v>0</v>
      </c>
      <c r="L973" s="29">
        <f t="shared" si="121"/>
        <v>0</v>
      </c>
      <c r="M973" s="20" t="s">
        <v>6232</v>
      </c>
      <c r="N973" t="s">
        <v>6232</v>
      </c>
      <c r="P973" t="s">
        <v>4013</v>
      </c>
      <c r="Q973" t="s">
        <v>6232</v>
      </c>
      <c r="R973" t="s">
        <v>6232</v>
      </c>
    </row>
    <row r="974" spans="1:61" ht="18.399999999999999" customHeight="1">
      <c r="A974" s="11" t="s">
        <v>1417</v>
      </c>
      <c r="B974" s="2" t="s">
        <v>6232</v>
      </c>
      <c r="C974" s="2"/>
      <c r="D974" s="2" t="s">
        <v>6232</v>
      </c>
      <c r="E974" s="1"/>
      <c r="F974" s="29">
        <v>0</v>
      </c>
      <c r="G974" s="1"/>
      <c r="H974" s="29">
        <v>0</v>
      </c>
      <c r="I974" s="1"/>
      <c r="J974" s="29">
        <v>0</v>
      </c>
      <c r="K974" s="29">
        <f t="shared" si="122"/>
        <v>0</v>
      </c>
      <c r="L974" s="29">
        <f t="shared" si="121"/>
        <v>0</v>
      </c>
      <c r="M974" s="20" t="s">
        <v>6232</v>
      </c>
      <c r="N974" t="s">
        <v>6232</v>
      </c>
      <c r="P974" t="s">
        <v>2399</v>
      </c>
      <c r="Q974" t="s">
        <v>6232</v>
      </c>
      <c r="R974" t="s">
        <v>6232</v>
      </c>
    </row>
    <row r="975" spans="1:61" ht="18.399999999999999" customHeight="1">
      <c r="A975" s="11" t="s">
        <v>1417</v>
      </c>
      <c r="B975" s="2" t="s">
        <v>2823</v>
      </c>
      <c r="C975" s="2">
        <v>1</v>
      </c>
      <c r="D975" s="2" t="s">
        <v>1055</v>
      </c>
      <c r="E975" s="29">
        <f>자재조서!E108</f>
        <v>4160250</v>
      </c>
      <c r="F975" s="29">
        <f t="shared" ref="F975:F996" si="123">TRUNC(E975*C975,0)</f>
        <v>4160250</v>
      </c>
      <c r="G975" s="29">
        <v>0</v>
      </c>
      <c r="H975" s="29"/>
      <c r="I975" s="29">
        <v>0</v>
      </c>
      <c r="J975" s="29"/>
      <c r="K975" s="29">
        <f t="shared" si="122"/>
        <v>4160250</v>
      </c>
      <c r="L975" s="29">
        <f t="shared" si="121"/>
        <v>4160250</v>
      </c>
      <c r="M975" s="20" t="s">
        <v>6232</v>
      </c>
      <c r="N975" t="s">
        <v>6232</v>
      </c>
      <c r="P975" t="s">
        <v>812</v>
      </c>
      <c r="Q975" t="s">
        <v>6232</v>
      </c>
      <c r="R975" t="s">
        <v>446</v>
      </c>
      <c r="BI975" s="52" t="str">
        <f>HYPERLINK("#자재조서!A108","MV-4000-750 →")</f>
        <v>MV-4000-750 →</v>
      </c>
    </row>
    <row r="976" spans="1:61" ht="18.399999999999999" customHeight="1">
      <c r="A976" s="11" t="s">
        <v>1417</v>
      </c>
      <c r="B976" s="2" t="s">
        <v>3826</v>
      </c>
      <c r="C976" s="2">
        <v>1</v>
      </c>
      <c r="D976" s="2" t="s">
        <v>1055</v>
      </c>
      <c r="E976" s="29">
        <f>자재조서!E107</f>
        <v>3905740</v>
      </c>
      <c r="F976" s="29">
        <f t="shared" si="123"/>
        <v>3905740</v>
      </c>
      <c r="G976" s="29">
        <v>0</v>
      </c>
      <c r="H976" s="29"/>
      <c r="I976" s="29">
        <v>0</v>
      </c>
      <c r="J976" s="29"/>
      <c r="K976" s="29">
        <f t="shared" si="122"/>
        <v>3905740</v>
      </c>
      <c r="L976" s="29">
        <f t="shared" si="121"/>
        <v>3905740</v>
      </c>
      <c r="M976" s="20" t="s">
        <v>6232</v>
      </c>
      <c r="N976" t="s">
        <v>6232</v>
      </c>
      <c r="P976" t="s">
        <v>5451</v>
      </c>
      <c r="Q976" t="s">
        <v>6232</v>
      </c>
      <c r="R976" t="s">
        <v>2093</v>
      </c>
      <c r="BI976" s="52" t="str">
        <f>HYPERLINK("#자재조서!A107","MV-4000-700 →")</f>
        <v>MV-4000-700 →</v>
      </c>
    </row>
    <row r="977" spans="1:61" ht="18.399999999999999" customHeight="1">
      <c r="A977" s="11" t="s">
        <v>1417</v>
      </c>
      <c r="B977" s="2" t="s">
        <v>397</v>
      </c>
      <c r="C977" s="2">
        <v>1</v>
      </c>
      <c r="D977" s="2" t="s">
        <v>1055</v>
      </c>
      <c r="E977" s="29">
        <f>자재조서!E106</f>
        <v>3609920</v>
      </c>
      <c r="F977" s="29">
        <f t="shared" si="123"/>
        <v>3609920</v>
      </c>
      <c r="G977" s="29">
        <v>0</v>
      </c>
      <c r="H977" s="29"/>
      <c r="I977" s="29">
        <v>0</v>
      </c>
      <c r="J977" s="29"/>
      <c r="K977" s="29">
        <f t="shared" si="122"/>
        <v>3609920</v>
      </c>
      <c r="L977" s="29">
        <f t="shared" si="121"/>
        <v>3609920</v>
      </c>
      <c r="M977" s="20" t="s">
        <v>6232</v>
      </c>
      <c r="N977" t="s">
        <v>6232</v>
      </c>
      <c r="P977" t="s">
        <v>3876</v>
      </c>
      <c r="Q977" t="s">
        <v>6232</v>
      </c>
      <c r="R977" t="s">
        <v>903</v>
      </c>
      <c r="BI977" s="52" t="str">
        <f>HYPERLINK("#자재조서!A106","MV-4000-650 →")</f>
        <v>MV-4000-650 →</v>
      </c>
    </row>
    <row r="978" spans="1:61" ht="18.399999999999999" customHeight="1">
      <c r="A978" s="11" t="s">
        <v>1417</v>
      </c>
      <c r="B978" s="2" t="s">
        <v>6105</v>
      </c>
      <c r="C978" s="2">
        <v>1</v>
      </c>
      <c r="D978" s="2" t="s">
        <v>1055</v>
      </c>
      <c r="E978" s="29">
        <f>자재조서!E105</f>
        <v>3260260</v>
      </c>
      <c r="F978" s="29">
        <f t="shared" si="123"/>
        <v>3260260</v>
      </c>
      <c r="G978" s="29">
        <v>0</v>
      </c>
      <c r="H978" s="29"/>
      <c r="I978" s="29">
        <v>0</v>
      </c>
      <c r="J978" s="29"/>
      <c r="K978" s="29">
        <f t="shared" si="122"/>
        <v>3260260</v>
      </c>
      <c r="L978" s="29">
        <f t="shared" si="121"/>
        <v>3260260</v>
      </c>
      <c r="M978" s="20" t="s">
        <v>6232</v>
      </c>
      <c r="N978" t="s">
        <v>6232</v>
      </c>
      <c r="P978" t="s">
        <v>2675</v>
      </c>
      <c r="Q978" t="s">
        <v>6232</v>
      </c>
      <c r="R978" t="s">
        <v>2315</v>
      </c>
      <c r="BI978" s="52" t="str">
        <f>HYPERLINK("#자재조서!A105","MV-4000-600 →")</f>
        <v>MV-4000-600 →</v>
      </c>
    </row>
    <row r="979" spans="1:61" ht="18.399999999999999" customHeight="1">
      <c r="A979" s="11" t="s">
        <v>1417</v>
      </c>
      <c r="B979" s="2" t="s">
        <v>6191</v>
      </c>
      <c r="C979" s="2">
        <v>1</v>
      </c>
      <c r="D979" s="2" t="s">
        <v>1055</v>
      </c>
      <c r="E979" s="29">
        <f>자재조서!E104</f>
        <v>2850940</v>
      </c>
      <c r="F979" s="29">
        <f t="shared" si="123"/>
        <v>2850940</v>
      </c>
      <c r="G979" s="29">
        <v>0</v>
      </c>
      <c r="H979" s="29"/>
      <c r="I979" s="29">
        <v>0</v>
      </c>
      <c r="J979" s="29"/>
      <c r="K979" s="29">
        <f t="shared" si="122"/>
        <v>2850940</v>
      </c>
      <c r="L979" s="29">
        <f t="shared" si="121"/>
        <v>2850940</v>
      </c>
      <c r="M979" s="20" t="s">
        <v>6232</v>
      </c>
      <c r="N979" t="s">
        <v>6232</v>
      </c>
      <c r="P979" t="s">
        <v>1085</v>
      </c>
      <c r="Q979" t="s">
        <v>6232</v>
      </c>
      <c r="R979" t="s">
        <v>2976</v>
      </c>
      <c r="BI979" s="52" t="str">
        <f>HYPERLINK("#자재조서!A104","MV-4000-550 →")</f>
        <v>MV-4000-550 →</v>
      </c>
    </row>
    <row r="980" spans="1:61" ht="18.399999999999999" customHeight="1">
      <c r="A980" s="11" t="s">
        <v>1417</v>
      </c>
      <c r="B980" s="2" t="s">
        <v>524</v>
      </c>
      <c r="C980" s="2">
        <v>1</v>
      </c>
      <c r="D980" s="2" t="s">
        <v>1055</v>
      </c>
      <c r="E980" s="29">
        <f>자재조서!E103</f>
        <v>2353140</v>
      </c>
      <c r="F980" s="29">
        <f t="shared" si="123"/>
        <v>2353140</v>
      </c>
      <c r="G980" s="29">
        <v>0</v>
      </c>
      <c r="H980" s="29"/>
      <c r="I980" s="29">
        <v>0</v>
      </c>
      <c r="J980" s="29"/>
      <c r="K980" s="29">
        <f t="shared" si="122"/>
        <v>2353140</v>
      </c>
      <c r="L980" s="29">
        <f t="shared" si="121"/>
        <v>2353140</v>
      </c>
      <c r="M980" s="20" t="s">
        <v>6232</v>
      </c>
      <c r="N980" t="s">
        <v>6232</v>
      </c>
      <c r="P980" t="s">
        <v>1922</v>
      </c>
      <c r="Q980" t="s">
        <v>6232</v>
      </c>
      <c r="R980" t="s">
        <v>1374</v>
      </c>
      <c r="BI980" s="52" t="str">
        <f>HYPERLINK("#자재조서!A103","MV-4000-500 →")</f>
        <v>MV-4000-500 →</v>
      </c>
    </row>
    <row r="981" spans="1:61" ht="18.399999999999999" customHeight="1">
      <c r="A981" s="11" t="s">
        <v>1417</v>
      </c>
      <c r="B981" s="2" t="s">
        <v>3764</v>
      </c>
      <c r="C981" s="2">
        <v>1</v>
      </c>
      <c r="D981" s="2" t="s">
        <v>1055</v>
      </c>
      <c r="E981" s="29">
        <f>자재조서!E102</f>
        <v>1758020</v>
      </c>
      <c r="F981" s="29">
        <f t="shared" si="123"/>
        <v>1758020</v>
      </c>
      <c r="G981" s="29">
        <v>0</v>
      </c>
      <c r="H981" s="29"/>
      <c r="I981" s="29">
        <v>0</v>
      </c>
      <c r="J981" s="29"/>
      <c r="K981" s="29">
        <f t="shared" si="122"/>
        <v>1758020</v>
      </c>
      <c r="L981" s="29">
        <f t="shared" si="121"/>
        <v>1758020</v>
      </c>
      <c r="M981" s="20" t="s">
        <v>6232</v>
      </c>
      <c r="N981" t="s">
        <v>6232</v>
      </c>
      <c r="P981" t="s">
        <v>428</v>
      </c>
      <c r="Q981" t="s">
        <v>6232</v>
      </c>
      <c r="R981" t="s">
        <v>1793</v>
      </c>
      <c r="BI981" s="52" t="str">
        <f>HYPERLINK("#자재조서!A102","MV-4000-450 →")</f>
        <v>MV-4000-450 →</v>
      </c>
    </row>
    <row r="982" spans="1:61" ht="18.399999999999999" customHeight="1">
      <c r="A982" s="11" t="s">
        <v>1417</v>
      </c>
      <c r="B982" s="2" t="s">
        <v>2715</v>
      </c>
      <c r="C982" s="2">
        <v>1</v>
      </c>
      <c r="D982" s="2" t="s">
        <v>1055</v>
      </c>
      <c r="E982" s="29">
        <f>자재조서!E101</f>
        <v>1570310</v>
      </c>
      <c r="F982" s="29">
        <f t="shared" si="123"/>
        <v>1570310</v>
      </c>
      <c r="G982" s="29">
        <v>0</v>
      </c>
      <c r="H982" s="29"/>
      <c r="I982" s="29">
        <v>0</v>
      </c>
      <c r="J982" s="29"/>
      <c r="K982" s="29">
        <f t="shared" si="122"/>
        <v>1570310</v>
      </c>
      <c r="L982" s="29">
        <f t="shared" si="121"/>
        <v>1570310</v>
      </c>
      <c r="M982" s="20" t="s">
        <v>6232</v>
      </c>
      <c r="N982" t="s">
        <v>6232</v>
      </c>
      <c r="P982" t="s">
        <v>5100</v>
      </c>
      <c r="Q982" t="s">
        <v>6232</v>
      </c>
      <c r="R982" t="s">
        <v>332</v>
      </c>
      <c r="BI982" s="52" t="str">
        <f>HYPERLINK("#자재조서!A101","MV-4000-400 →")</f>
        <v>MV-4000-400 →</v>
      </c>
    </row>
    <row r="983" spans="1:61" ht="18.399999999999999" customHeight="1">
      <c r="A983" s="11" t="s">
        <v>1417</v>
      </c>
      <c r="B983" s="2" t="s">
        <v>809</v>
      </c>
      <c r="C983" s="2">
        <v>1</v>
      </c>
      <c r="D983" s="2" t="s">
        <v>1055</v>
      </c>
      <c r="E983" s="29">
        <f>자재조서!E100</f>
        <v>1336960</v>
      </c>
      <c r="F983" s="29">
        <f t="shared" si="123"/>
        <v>1336960</v>
      </c>
      <c r="G983" s="29">
        <v>0</v>
      </c>
      <c r="H983" s="29"/>
      <c r="I983" s="29">
        <v>0</v>
      </c>
      <c r="J983" s="29"/>
      <c r="K983" s="29">
        <f t="shared" si="122"/>
        <v>1336960</v>
      </c>
      <c r="L983" s="29">
        <f t="shared" si="121"/>
        <v>1336960</v>
      </c>
      <c r="M983" s="20" t="s">
        <v>6232</v>
      </c>
      <c r="N983" t="s">
        <v>6232</v>
      </c>
      <c r="P983" t="s">
        <v>3569</v>
      </c>
      <c r="Q983" t="s">
        <v>6232</v>
      </c>
      <c r="R983" t="s">
        <v>4993</v>
      </c>
      <c r="BI983" s="52" t="str">
        <f>HYPERLINK("#자재조서!A100","MV-4000-350 →")</f>
        <v>MV-4000-350 →</v>
      </c>
    </row>
    <row r="984" spans="1:61" ht="18.399999999999999" customHeight="1">
      <c r="A984" s="11" t="s">
        <v>1417</v>
      </c>
      <c r="B984" s="2" t="s">
        <v>4894</v>
      </c>
      <c r="C984" s="2">
        <v>1</v>
      </c>
      <c r="D984" s="2" t="s">
        <v>1055</v>
      </c>
      <c r="E984" s="29">
        <f>자재조서!E99</f>
        <v>1031010</v>
      </c>
      <c r="F984" s="29">
        <f t="shared" si="123"/>
        <v>1031010</v>
      </c>
      <c r="G984" s="29">
        <v>0</v>
      </c>
      <c r="H984" s="29"/>
      <c r="I984" s="29">
        <v>0</v>
      </c>
      <c r="J984" s="29"/>
      <c r="K984" s="29">
        <f t="shared" si="122"/>
        <v>1031010</v>
      </c>
      <c r="L984" s="29">
        <f t="shared" si="121"/>
        <v>1031010</v>
      </c>
      <c r="M984" s="20" t="s">
        <v>6232</v>
      </c>
      <c r="N984" t="s">
        <v>6232</v>
      </c>
      <c r="P984" t="s">
        <v>2009</v>
      </c>
      <c r="Q984" t="s">
        <v>6232</v>
      </c>
      <c r="R984" t="s">
        <v>3379</v>
      </c>
      <c r="BI984" s="52" t="str">
        <f>HYPERLINK("#자재조서!A99","MV-4000-300 →")</f>
        <v>MV-4000-300 →</v>
      </c>
    </row>
    <row r="985" spans="1:61" ht="18.399999999999999" customHeight="1">
      <c r="A985" s="11" t="s">
        <v>5700</v>
      </c>
      <c r="B985" s="2" t="s">
        <v>1701</v>
      </c>
      <c r="C985" s="2">
        <v>1</v>
      </c>
      <c r="D985" s="2" t="s">
        <v>1055</v>
      </c>
      <c r="E985" s="29">
        <f>자재조서!E98</f>
        <v>911880</v>
      </c>
      <c r="F985" s="29">
        <f t="shared" si="123"/>
        <v>911880</v>
      </c>
      <c r="G985" s="29">
        <v>0</v>
      </c>
      <c r="H985" s="29"/>
      <c r="I985" s="29">
        <v>0</v>
      </c>
      <c r="J985" s="29"/>
      <c r="K985" s="29">
        <f t="shared" si="122"/>
        <v>911880</v>
      </c>
      <c r="L985" s="29">
        <f t="shared" si="121"/>
        <v>911880</v>
      </c>
      <c r="M985" s="20" t="s">
        <v>6232</v>
      </c>
      <c r="N985" t="s">
        <v>6232</v>
      </c>
      <c r="P985" t="s">
        <v>515</v>
      </c>
      <c r="Q985" t="s">
        <v>6232</v>
      </c>
      <c r="R985" t="s">
        <v>6057</v>
      </c>
      <c r="BI985" s="52" t="str">
        <f>HYPERLINK("#자재조서!A98","MV-4000-250 →")</f>
        <v>MV-4000-250 →</v>
      </c>
    </row>
    <row r="986" spans="1:61" ht="18.399999999999999" customHeight="1">
      <c r="A986" s="11" t="s">
        <v>5700</v>
      </c>
      <c r="B986" s="2" t="s">
        <v>4196</v>
      </c>
      <c r="C986" s="2">
        <v>1</v>
      </c>
      <c r="D986" s="2" t="s">
        <v>1055</v>
      </c>
      <c r="E986" s="29">
        <f>자재조서!E97</f>
        <v>662470</v>
      </c>
      <c r="F986" s="29">
        <f t="shared" si="123"/>
        <v>662470</v>
      </c>
      <c r="G986" s="29">
        <v>0</v>
      </c>
      <c r="H986" s="29"/>
      <c r="I986" s="29">
        <v>0</v>
      </c>
      <c r="J986" s="29"/>
      <c r="K986" s="29">
        <f t="shared" si="122"/>
        <v>662470</v>
      </c>
      <c r="L986" s="29">
        <f t="shared" si="121"/>
        <v>662470</v>
      </c>
      <c r="M986" s="20" t="s">
        <v>6232</v>
      </c>
      <c r="N986" t="s">
        <v>6232</v>
      </c>
      <c r="P986" t="s">
        <v>5196</v>
      </c>
      <c r="Q986" t="s">
        <v>6232</v>
      </c>
      <c r="R986" t="s">
        <v>4556</v>
      </c>
      <c r="BI986" s="52" t="str">
        <f>HYPERLINK("#자재조서!A97","MV-4000-200 →")</f>
        <v>MV-4000-200 →</v>
      </c>
    </row>
    <row r="987" spans="1:61" ht="18.399999999999999" customHeight="1">
      <c r="A987" s="11" t="s">
        <v>5700</v>
      </c>
      <c r="B987" s="2" t="s">
        <v>4124</v>
      </c>
      <c r="C987" s="2">
        <v>1</v>
      </c>
      <c r="D987" s="2" t="s">
        <v>1055</v>
      </c>
      <c r="E987" s="29">
        <f>자재조서!E96</f>
        <v>489990</v>
      </c>
      <c r="F987" s="29">
        <f t="shared" si="123"/>
        <v>489990</v>
      </c>
      <c r="G987" s="29">
        <v>0</v>
      </c>
      <c r="H987" s="29"/>
      <c r="I987" s="29">
        <v>0</v>
      </c>
      <c r="J987" s="29"/>
      <c r="K987" s="29">
        <f t="shared" si="122"/>
        <v>489990</v>
      </c>
      <c r="L987" s="29">
        <f t="shared" si="121"/>
        <v>489990</v>
      </c>
      <c r="M987" s="20" t="s">
        <v>6232</v>
      </c>
      <c r="N987" t="s">
        <v>6232</v>
      </c>
      <c r="P987" t="s">
        <v>3678</v>
      </c>
      <c r="Q987" t="s">
        <v>6232</v>
      </c>
      <c r="R987" t="s">
        <v>3890</v>
      </c>
      <c r="BI987" s="52" t="str">
        <f>HYPERLINK("#자재조서!A96","MV-4000-150 →")</f>
        <v>MV-4000-150 →</v>
      </c>
    </row>
    <row r="988" spans="1:61" ht="18.399999999999999" customHeight="1">
      <c r="A988" s="11" t="s">
        <v>5700</v>
      </c>
      <c r="B988" s="2" t="s">
        <v>2533</v>
      </c>
      <c r="C988" s="2">
        <v>1</v>
      </c>
      <c r="D988" s="2" t="s">
        <v>1055</v>
      </c>
      <c r="E988" s="29">
        <f>자재조서!E95</f>
        <v>399980</v>
      </c>
      <c r="F988" s="29">
        <f t="shared" si="123"/>
        <v>399980</v>
      </c>
      <c r="G988" s="29">
        <v>0</v>
      </c>
      <c r="H988" s="29"/>
      <c r="I988" s="29">
        <v>0</v>
      </c>
      <c r="J988" s="29"/>
      <c r="K988" s="29">
        <f t="shared" si="122"/>
        <v>399980</v>
      </c>
      <c r="L988" s="29">
        <f t="shared" si="121"/>
        <v>399980</v>
      </c>
      <c r="M988" s="20" t="s">
        <v>6232</v>
      </c>
      <c r="N988" t="s">
        <v>6232</v>
      </c>
      <c r="P988" t="s">
        <v>2128</v>
      </c>
      <c r="Q988" t="s">
        <v>6232</v>
      </c>
      <c r="R988" t="s">
        <v>5662</v>
      </c>
      <c r="BI988" s="52" t="str">
        <f>HYPERLINK("#자재조서!A95","MV-4000-125 →")</f>
        <v>MV-4000-125 →</v>
      </c>
    </row>
    <row r="989" spans="1:61" ht="18.399999999999999" customHeight="1">
      <c r="A989" s="11" t="s">
        <v>5700</v>
      </c>
      <c r="B989" s="2" t="s">
        <v>1572</v>
      </c>
      <c r="C989" s="2">
        <v>1</v>
      </c>
      <c r="D989" s="2" t="s">
        <v>1055</v>
      </c>
      <c r="E989" s="29">
        <f>자재조서!E94</f>
        <v>321270</v>
      </c>
      <c r="F989" s="29">
        <f t="shared" si="123"/>
        <v>321270</v>
      </c>
      <c r="G989" s="29">
        <v>0</v>
      </c>
      <c r="H989" s="29"/>
      <c r="I989" s="29">
        <v>0</v>
      </c>
      <c r="J989" s="29"/>
      <c r="K989" s="29">
        <f t="shared" si="122"/>
        <v>321270</v>
      </c>
      <c r="L989" s="29">
        <f t="shared" si="121"/>
        <v>321270</v>
      </c>
      <c r="M989" s="20" t="s">
        <v>6232</v>
      </c>
      <c r="N989" t="s">
        <v>6232</v>
      </c>
      <c r="P989" t="s">
        <v>622</v>
      </c>
      <c r="Q989" t="s">
        <v>6232</v>
      </c>
      <c r="R989" t="s">
        <v>5566</v>
      </c>
      <c r="BI989" s="52" t="str">
        <f>HYPERLINK("#자재조서!A94","MV-4000-100 →")</f>
        <v>MV-4000-100 →</v>
      </c>
    </row>
    <row r="990" spans="1:61" ht="18.399999999999999" customHeight="1">
      <c r="A990" s="11" t="s">
        <v>5700</v>
      </c>
      <c r="B990" s="2" t="s">
        <v>1160</v>
      </c>
      <c r="C990" s="2">
        <v>1</v>
      </c>
      <c r="D990" s="2" t="s">
        <v>1055</v>
      </c>
      <c r="E990" s="29">
        <f>자재조서!E93</f>
        <v>246310</v>
      </c>
      <c r="F990" s="29">
        <f t="shared" si="123"/>
        <v>246310</v>
      </c>
      <c r="G990" s="29">
        <v>0</v>
      </c>
      <c r="H990" s="29"/>
      <c r="I990" s="29">
        <v>0</v>
      </c>
      <c r="J990" s="29"/>
      <c r="K990" s="29">
        <f t="shared" si="122"/>
        <v>246310</v>
      </c>
      <c r="L990" s="29">
        <f t="shared" si="121"/>
        <v>246310</v>
      </c>
      <c r="M990" s="20" t="s">
        <v>6232</v>
      </c>
      <c r="N990" t="s">
        <v>6232</v>
      </c>
      <c r="P990" t="s">
        <v>1170</v>
      </c>
      <c r="Q990" t="s">
        <v>6232</v>
      </c>
      <c r="R990" t="s">
        <v>5312</v>
      </c>
      <c r="BI990" s="52" t="str">
        <f>HYPERLINK("#자재조서!A93","MV-4000-080 →")</f>
        <v>MV-4000-080 →</v>
      </c>
    </row>
    <row r="991" spans="1:61" ht="18.399999999999999" customHeight="1">
      <c r="A991" s="11" t="s">
        <v>5700</v>
      </c>
      <c r="B991" s="2" t="s">
        <v>3058</v>
      </c>
      <c r="C991" s="2">
        <v>1</v>
      </c>
      <c r="D991" s="2" t="s">
        <v>1055</v>
      </c>
      <c r="E991" s="29">
        <f>자재조서!E92</f>
        <v>219040</v>
      </c>
      <c r="F991" s="29">
        <f t="shared" si="123"/>
        <v>219040</v>
      </c>
      <c r="G991" s="29">
        <v>0</v>
      </c>
      <c r="H991" s="29"/>
      <c r="I991" s="29">
        <v>0</v>
      </c>
      <c r="J991" s="29"/>
      <c r="K991" s="29">
        <f t="shared" si="122"/>
        <v>219040</v>
      </c>
      <c r="L991" s="29">
        <f t="shared" si="121"/>
        <v>219040</v>
      </c>
      <c r="M991" s="20" t="s">
        <v>6232</v>
      </c>
      <c r="N991" t="s">
        <v>6232</v>
      </c>
      <c r="P991" t="s">
        <v>2709</v>
      </c>
      <c r="Q991" t="s">
        <v>6232</v>
      </c>
      <c r="R991" t="s">
        <v>5320</v>
      </c>
      <c r="BI991" s="52" t="str">
        <f>HYPERLINK("#자재조서!A92","MV-4000-065 →")</f>
        <v>MV-4000-065 →</v>
      </c>
    </row>
    <row r="992" spans="1:61" ht="18.399999999999999" customHeight="1">
      <c r="A992" s="11" t="s">
        <v>5700</v>
      </c>
      <c r="B992" s="2" t="s">
        <v>2393</v>
      </c>
      <c r="C992" s="2">
        <v>1</v>
      </c>
      <c r="D992" s="2" t="s">
        <v>1055</v>
      </c>
      <c r="E992" s="29">
        <f>자재조서!E91</f>
        <v>182460</v>
      </c>
      <c r="F992" s="29">
        <f t="shared" si="123"/>
        <v>182460</v>
      </c>
      <c r="G992" s="29">
        <v>0</v>
      </c>
      <c r="H992" s="29"/>
      <c r="I992" s="29">
        <v>0</v>
      </c>
      <c r="J992" s="29"/>
      <c r="K992" s="29">
        <f t="shared" si="122"/>
        <v>182460</v>
      </c>
      <c r="L992" s="29">
        <f t="shared" si="121"/>
        <v>182460</v>
      </c>
      <c r="M992" s="20" t="s">
        <v>6232</v>
      </c>
      <c r="N992" t="s">
        <v>6232</v>
      </c>
      <c r="P992" t="s">
        <v>4352</v>
      </c>
      <c r="Q992" t="s">
        <v>6232</v>
      </c>
      <c r="R992" t="s">
        <v>3687</v>
      </c>
      <c r="BI992" s="52" t="str">
        <f>HYPERLINK("#자재조서!A91","MV-4000-050 →")</f>
        <v>MV-4000-050 →</v>
      </c>
    </row>
    <row r="993" spans="1:61" ht="18.399999999999999" customHeight="1">
      <c r="A993" s="11" t="s">
        <v>5700</v>
      </c>
      <c r="B993" s="2" t="s">
        <v>2012</v>
      </c>
      <c r="C993" s="2">
        <v>1</v>
      </c>
      <c r="D993" s="2" t="s">
        <v>1055</v>
      </c>
      <c r="E993" s="29">
        <f>자재조서!E90</f>
        <v>173210</v>
      </c>
      <c r="F993" s="29">
        <f t="shared" si="123"/>
        <v>173210</v>
      </c>
      <c r="G993" s="29">
        <v>0</v>
      </c>
      <c r="H993" s="29"/>
      <c r="I993" s="29">
        <v>0</v>
      </c>
      <c r="J993" s="29"/>
      <c r="K993" s="29">
        <f t="shared" si="122"/>
        <v>173210</v>
      </c>
      <c r="L993" s="29">
        <f t="shared" si="121"/>
        <v>173210</v>
      </c>
      <c r="M993" s="20" t="s">
        <v>6232</v>
      </c>
      <c r="N993" t="s">
        <v>6232</v>
      </c>
      <c r="P993" t="s">
        <v>5871</v>
      </c>
      <c r="Q993" t="s">
        <v>6232</v>
      </c>
      <c r="R993" t="s">
        <v>5198</v>
      </c>
      <c r="BI993" s="52" t="str">
        <f>HYPERLINK("#자재조서!A90","MV-4000-040 →")</f>
        <v>MV-4000-040 →</v>
      </c>
    </row>
    <row r="994" spans="1:61" ht="18.399999999999999" customHeight="1">
      <c r="A994" s="11" t="s">
        <v>5700</v>
      </c>
      <c r="B994" s="2" t="s">
        <v>1993</v>
      </c>
      <c r="C994" s="2">
        <v>1</v>
      </c>
      <c r="D994" s="2" t="s">
        <v>1055</v>
      </c>
      <c r="E994" s="29">
        <f>자재조서!E89</f>
        <v>163480</v>
      </c>
      <c r="F994" s="29">
        <f t="shared" si="123"/>
        <v>163480</v>
      </c>
      <c r="G994" s="29">
        <v>0</v>
      </c>
      <c r="H994" s="29"/>
      <c r="I994" s="29">
        <v>0</v>
      </c>
      <c r="J994" s="29"/>
      <c r="K994" s="29">
        <f t="shared" si="122"/>
        <v>163480</v>
      </c>
      <c r="L994" s="29">
        <f t="shared" si="121"/>
        <v>163480</v>
      </c>
      <c r="M994" s="20" t="s">
        <v>6232</v>
      </c>
      <c r="N994" t="s">
        <v>6232</v>
      </c>
      <c r="P994" t="s">
        <v>1277</v>
      </c>
      <c r="Q994" t="s">
        <v>6232</v>
      </c>
      <c r="R994" t="s">
        <v>1462</v>
      </c>
      <c r="BI994" s="52" t="str">
        <f>HYPERLINK("#자재조서!A89","MV-4000-032 →")</f>
        <v>MV-4000-032 →</v>
      </c>
    </row>
    <row r="995" spans="1:61" ht="18.399999999999999" customHeight="1">
      <c r="A995" s="11" t="s">
        <v>5700</v>
      </c>
      <c r="B995" s="2" t="s">
        <v>3967</v>
      </c>
      <c r="C995" s="2">
        <v>1</v>
      </c>
      <c r="D995" s="2" t="s">
        <v>1055</v>
      </c>
      <c r="E995" s="29">
        <f>자재조서!E88</f>
        <v>146300</v>
      </c>
      <c r="F995" s="29">
        <f t="shared" si="123"/>
        <v>146300</v>
      </c>
      <c r="G995" s="29">
        <v>0</v>
      </c>
      <c r="H995" s="29"/>
      <c r="I995" s="29">
        <v>0</v>
      </c>
      <c r="J995" s="29"/>
      <c r="K995" s="29">
        <f t="shared" si="122"/>
        <v>146300</v>
      </c>
      <c r="L995" s="29">
        <f t="shared" si="121"/>
        <v>146300</v>
      </c>
      <c r="M995" s="20" t="s">
        <v>6232</v>
      </c>
      <c r="N995" t="s">
        <v>6232</v>
      </c>
      <c r="P995" t="s">
        <v>2803</v>
      </c>
      <c r="Q995" t="s">
        <v>6232</v>
      </c>
      <c r="R995" t="s">
        <v>5424</v>
      </c>
      <c r="BI995" s="52" t="str">
        <f>HYPERLINK("#자재조서!A88","MV-4000-025 →")</f>
        <v>MV-4000-025 →</v>
      </c>
    </row>
    <row r="996" spans="1:61" ht="18.399999999999999" customHeight="1">
      <c r="A996" s="11" t="s">
        <v>5700</v>
      </c>
      <c r="B996" s="2" t="s">
        <v>5596</v>
      </c>
      <c r="C996" s="2">
        <v>1</v>
      </c>
      <c r="D996" s="2" t="s">
        <v>1055</v>
      </c>
      <c r="E996" s="29">
        <f>자재조서!E87</f>
        <v>129120</v>
      </c>
      <c r="F996" s="29">
        <f t="shared" si="123"/>
        <v>129120</v>
      </c>
      <c r="G996" s="29">
        <v>0</v>
      </c>
      <c r="H996" s="29"/>
      <c r="I996" s="29">
        <v>0</v>
      </c>
      <c r="J996" s="29"/>
      <c r="K996" s="29">
        <f t="shared" si="122"/>
        <v>129120</v>
      </c>
      <c r="L996" s="29">
        <f t="shared" si="121"/>
        <v>129120</v>
      </c>
      <c r="M996" s="20" t="s">
        <v>6232</v>
      </c>
      <c r="N996" t="s">
        <v>6232</v>
      </c>
      <c r="P996" t="s">
        <v>4449</v>
      </c>
      <c r="Q996" t="s">
        <v>6232</v>
      </c>
      <c r="R996" t="s">
        <v>1911</v>
      </c>
      <c r="BI996" s="52" t="str">
        <f>HYPERLINK("#자재조서!A87","MV-4000-020 →")</f>
        <v>MV-4000-020 →</v>
      </c>
    </row>
    <row r="997" spans="1:61" ht="18.399999999999999" customHeight="1">
      <c r="A997" s="11" t="s">
        <v>1544</v>
      </c>
      <c r="B997" s="2" t="s">
        <v>6232</v>
      </c>
      <c r="C997" s="2"/>
      <c r="D997" s="2" t="s">
        <v>6232</v>
      </c>
      <c r="E997" s="1"/>
      <c r="F997" s="29">
        <f>TRUNC(F996+F995+F994+F993+F992+F991+F990+F989+F988+F987+F986+F985+F984+F983+F982+F981+F980+F979+F978+F977+F976+F975,0)</f>
        <v>29882060</v>
      </c>
      <c r="G997" s="1"/>
      <c r="H997" s="29">
        <f>TRUNC(H996+H995+H994+H993+H992+H991+H990+H989+H988+H987+H986+H985+H984+H983+H982+H981+H980+H979+H978+H977+H976+H975,0)</f>
        <v>0</v>
      </c>
      <c r="I997" s="1"/>
      <c r="J997" s="29">
        <f>TRUNC(J996+J995+J994+J993+J992+J991+J990+J989+J988+J987+J986+J985+J984+J983+J982+J981+J980+J979+J978+J977+J976+J975,0)</f>
        <v>0</v>
      </c>
      <c r="K997" s="29">
        <f t="shared" si="122"/>
        <v>0</v>
      </c>
      <c r="L997" s="29">
        <f t="shared" si="121"/>
        <v>29882060</v>
      </c>
      <c r="M997" s="20" t="s">
        <v>6232</v>
      </c>
      <c r="N997" t="s">
        <v>6232</v>
      </c>
      <c r="P997" t="s">
        <v>5991</v>
      </c>
      <c r="Q997" t="s">
        <v>6232</v>
      </c>
      <c r="R997" t="s">
        <v>6232</v>
      </c>
    </row>
    <row r="998" spans="1:61" ht="18.399999999999999" customHeight="1">
      <c r="A998" s="11" t="s">
        <v>2495</v>
      </c>
      <c r="B998" s="2" t="s">
        <v>6232</v>
      </c>
      <c r="C998" s="2"/>
      <c r="D998" s="2" t="s">
        <v>6232</v>
      </c>
      <c r="E998" s="1"/>
      <c r="F998" s="29">
        <v>0</v>
      </c>
      <c r="G998" s="1"/>
      <c r="H998" s="29">
        <v>0</v>
      </c>
      <c r="I998" s="1"/>
      <c r="J998" s="29">
        <v>0</v>
      </c>
      <c r="K998" s="29">
        <f t="shared" si="122"/>
        <v>0</v>
      </c>
      <c r="L998" s="29">
        <f t="shared" si="121"/>
        <v>0</v>
      </c>
      <c r="M998" s="20" t="s">
        <v>6232</v>
      </c>
      <c r="N998" t="s">
        <v>6232</v>
      </c>
      <c r="P998" t="s">
        <v>1382</v>
      </c>
      <c r="Q998" t="s">
        <v>6232</v>
      </c>
      <c r="R998" t="s">
        <v>6232</v>
      </c>
    </row>
    <row r="999" spans="1:61" ht="18.399999999999999" customHeight="1">
      <c r="A999" s="11" t="s">
        <v>5177</v>
      </c>
      <c r="B999" s="2" t="s">
        <v>6232</v>
      </c>
      <c r="C999" s="2"/>
      <c r="D999" s="2" t="s">
        <v>6232</v>
      </c>
      <c r="E999" s="1"/>
      <c r="F999" s="29">
        <v>0</v>
      </c>
      <c r="G999" s="1"/>
      <c r="H999" s="29">
        <v>0</v>
      </c>
      <c r="I999" s="1"/>
      <c r="J999" s="29">
        <v>0</v>
      </c>
      <c r="K999" s="29">
        <f t="shared" si="122"/>
        <v>0</v>
      </c>
      <c r="L999" s="29">
        <f t="shared" si="121"/>
        <v>0</v>
      </c>
      <c r="M999" s="20" t="s">
        <v>6232</v>
      </c>
      <c r="N999" t="s">
        <v>6232</v>
      </c>
      <c r="P999" t="s">
        <v>2911</v>
      </c>
      <c r="Q999" t="s">
        <v>6232</v>
      </c>
      <c r="R999" t="s">
        <v>6232</v>
      </c>
    </row>
    <row r="1000" spans="1:61" ht="18.399999999999999" customHeight="1">
      <c r="A1000" s="11" t="s">
        <v>5177</v>
      </c>
      <c r="B1000" s="2" t="s">
        <v>2823</v>
      </c>
      <c r="C1000" s="2">
        <v>1</v>
      </c>
      <c r="D1000" s="2" t="s">
        <v>1055</v>
      </c>
      <c r="E1000" s="29">
        <f>자재조서!E130</f>
        <v>3600610</v>
      </c>
      <c r="F1000" s="29">
        <f t="shared" ref="F1000:F1021" si="124">TRUNC(E1000*C1000,0)</f>
        <v>3600610</v>
      </c>
      <c r="G1000" s="29">
        <v>0</v>
      </c>
      <c r="H1000" s="29"/>
      <c r="I1000" s="29">
        <v>0</v>
      </c>
      <c r="J1000" s="29"/>
      <c r="K1000" s="29">
        <f t="shared" si="122"/>
        <v>3600610</v>
      </c>
      <c r="L1000" s="29">
        <f t="shared" si="121"/>
        <v>3600610</v>
      </c>
      <c r="M1000" s="20" t="s">
        <v>6232</v>
      </c>
      <c r="N1000" t="s">
        <v>6232</v>
      </c>
      <c r="P1000" t="s">
        <v>137</v>
      </c>
      <c r="Q1000" t="s">
        <v>6232</v>
      </c>
      <c r="R1000" t="s">
        <v>4058</v>
      </c>
      <c r="BI1000" s="52" t="str">
        <f>HYPERLINK("#자재조서!A130","MV-4100-750 →")</f>
        <v>MV-4100-750 →</v>
      </c>
    </row>
    <row r="1001" spans="1:61" ht="18.399999999999999" customHeight="1">
      <c r="A1001" s="11" t="s">
        <v>5177</v>
      </c>
      <c r="B1001" s="2" t="s">
        <v>3826</v>
      </c>
      <c r="C1001" s="2">
        <v>1</v>
      </c>
      <c r="D1001" s="2" t="s">
        <v>1055</v>
      </c>
      <c r="E1001" s="29">
        <f>자재조서!E129</f>
        <v>3296150</v>
      </c>
      <c r="F1001" s="29">
        <f t="shared" si="124"/>
        <v>3296150</v>
      </c>
      <c r="G1001" s="29">
        <v>0</v>
      </c>
      <c r="H1001" s="29"/>
      <c r="I1001" s="29">
        <v>0</v>
      </c>
      <c r="J1001" s="29"/>
      <c r="K1001" s="29">
        <f t="shared" si="122"/>
        <v>3296150</v>
      </c>
      <c r="L1001" s="29">
        <f t="shared" si="121"/>
        <v>3296150</v>
      </c>
      <c r="M1001" s="20" t="s">
        <v>6232</v>
      </c>
      <c r="N1001" t="s">
        <v>6232</v>
      </c>
      <c r="P1001" t="s">
        <v>1694</v>
      </c>
      <c r="Q1001" t="s">
        <v>6232</v>
      </c>
      <c r="R1001" t="s">
        <v>5516</v>
      </c>
      <c r="BI1001" s="52" t="str">
        <f>HYPERLINK("#자재조서!A129","MV-4100-700 →")</f>
        <v>MV-4100-700 →</v>
      </c>
    </row>
    <row r="1002" spans="1:61" ht="18.399999999999999" customHeight="1">
      <c r="A1002" s="11" t="s">
        <v>5177</v>
      </c>
      <c r="B1002" s="2" t="s">
        <v>397</v>
      </c>
      <c r="C1002" s="2">
        <v>1</v>
      </c>
      <c r="D1002" s="2" t="s">
        <v>1055</v>
      </c>
      <c r="E1002" s="29">
        <f>자재조서!E128</f>
        <v>3030630</v>
      </c>
      <c r="F1002" s="29">
        <f t="shared" si="124"/>
        <v>3030630</v>
      </c>
      <c r="G1002" s="29">
        <v>0</v>
      </c>
      <c r="H1002" s="29"/>
      <c r="I1002" s="29">
        <v>0</v>
      </c>
      <c r="J1002" s="29"/>
      <c r="K1002" s="29">
        <f t="shared" si="122"/>
        <v>3030630</v>
      </c>
      <c r="L1002" s="29">
        <f t="shared" si="121"/>
        <v>3030630</v>
      </c>
      <c r="M1002" s="20" t="s">
        <v>6232</v>
      </c>
      <c r="N1002" t="s">
        <v>6232</v>
      </c>
      <c r="P1002" t="s">
        <v>3180</v>
      </c>
      <c r="Q1002" t="s">
        <v>6232</v>
      </c>
      <c r="R1002" t="s">
        <v>3507</v>
      </c>
      <c r="BI1002" s="52" t="str">
        <f>HYPERLINK("#자재조서!A128","MV-4100-650 →")</f>
        <v>MV-4100-650 →</v>
      </c>
    </row>
    <row r="1003" spans="1:61" ht="18.399999999999999" customHeight="1">
      <c r="A1003" s="11" t="s">
        <v>5177</v>
      </c>
      <c r="B1003" s="2" t="s">
        <v>6105</v>
      </c>
      <c r="C1003" s="2">
        <v>1</v>
      </c>
      <c r="D1003" s="2" t="s">
        <v>1055</v>
      </c>
      <c r="E1003" s="29">
        <f>자재조서!E127</f>
        <v>2706510</v>
      </c>
      <c r="F1003" s="29">
        <f t="shared" si="124"/>
        <v>2706510</v>
      </c>
      <c r="G1003" s="29">
        <v>0</v>
      </c>
      <c r="H1003" s="29"/>
      <c r="I1003" s="29">
        <v>0</v>
      </c>
      <c r="J1003" s="29"/>
      <c r="K1003" s="29">
        <f t="shared" si="122"/>
        <v>2706510</v>
      </c>
      <c r="L1003" s="29">
        <f t="shared" si="121"/>
        <v>2706510</v>
      </c>
      <c r="M1003" s="20" t="s">
        <v>6232</v>
      </c>
      <c r="N1003" t="s">
        <v>6232</v>
      </c>
      <c r="P1003" t="s">
        <v>4789</v>
      </c>
      <c r="Q1003" t="s">
        <v>6232</v>
      </c>
      <c r="R1003" t="s">
        <v>5138</v>
      </c>
      <c r="BI1003" s="52" t="str">
        <f>HYPERLINK("#자재조서!A127","MV-4100-600 →")</f>
        <v>MV-4100-600 →</v>
      </c>
    </row>
    <row r="1004" spans="1:61" ht="18.399999999999999" customHeight="1">
      <c r="A1004" s="11" t="s">
        <v>5177</v>
      </c>
      <c r="B1004" s="2" t="s">
        <v>6191</v>
      </c>
      <c r="C1004" s="2">
        <v>1</v>
      </c>
      <c r="D1004" s="2" t="s">
        <v>1055</v>
      </c>
      <c r="E1004" s="29">
        <f>자재조서!E126</f>
        <v>2442120</v>
      </c>
      <c r="F1004" s="29">
        <f t="shared" si="124"/>
        <v>2442120</v>
      </c>
      <c r="G1004" s="29">
        <v>0</v>
      </c>
      <c r="H1004" s="29"/>
      <c r="I1004" s="29">
        <v>0</v>
      </c>
      <c r="J1004" s="29"/>
      <c r="K1004" s="29">
        <f t="shared" si="122"/>
        <v>2442120</v>
      </c>
      <c r="L1004" s="29">
        <f t="shared" si="121"/>
        <v>2442120</v>
      </c>
      <c r="M1004" s="20" t="s">
        <v>6232</v>
      </c>
      <c r="N1004" t="s">
        <v>6232</v>
      </c>
      <c r="P1004" t="s">
        <v>64</v>
      </c>
      <c r="Q1004" t="s">
        <v>6232</v>
      </c>
      <c r="R1004" t="s">
        <v>4852</v>
      </c>
      <c r="BI1004" s="52" t="str">
        <f>HYPERLINK("#자재조서!A126","MV-4100-550 →")</f>
        <v>MV-4100-550 →</v>
      </c>
    </row>
    <row r="1005" spans="1:61" ht="18.399999999999999" customHeight="1">
      <c r="A1005" s="11" t="s">
        <v>5177</v>
      </c>
      <c r="B1005" s="2" t="s">
        <v>524</v>
      </c>
      <c r="C1005" s="2">
        <v>1</v>
      </c>
      <c r="D1005" s="2" t="s">
        <v>1055</v>
      </c>
      <c r="E1005" s="29">
        <f>자재조서!E125</f>
        <v>2025090</v>
      </c>
      <c r="F1005" s="29">
        <f t="shared" si="124"/>
        <v>2025090</v>
      </c>
      <c r="G1005" s="29">
        <v>0</v>
      </c>
      <c r="H1005" s="29"/>
      <c r="I1005" s="29">
        <v>0</v>
      </c>
      <c r="J1005" s="29"/>
      <c r="K1005" s="29">
        <f t="shared" si="122"/>
        <v>2025090</v>
      </c>
      <c r="L1005" s="29">
        <f t="shared" si="121"/>
        <v>2025090</v>
      </c>
      <c r="M1005" s="20" t="s">
        <v>6232</v>
      </c>
      <c r="N1005" t="s">
        <v>6232</v>
      </c>
      <c r="P1005" t="s">
        <v>1613</v>
      </c>
      <c r="Q1005" t="s">
        <v>6232</v>
      </c>
      <c r="R1005" t="s">
        <v>3413</v>
      </c>
      <c r="BI1005" s="52" t="str">
        <f>HYPERLINK("#자재조서!A125","MV-4100-500 →")</f>
        <v>MV-4100-500 →</v>
      </c>
    </row>
    <row r="1006" spans="1:61" ht="18.399999999999999" customHeight="1">
      <c r="A1006" s="11" t="s">
        <v>5177</v>
      </c>
      <c r="B1006" s="2" t="s">
        <v>3764</v>
      </c>
      <c r="C1006" s="2">
        <v>1</v>
      </c>
      <c r="D1006" s="2" t="s">
        <v>1055</v>
      </c>
      <c r="E1006" s="29">
        <f>자재조서!E124</f>
        <v>1480940</v>
      </c>
      <c r="F1006" s="29">
        <f t="shared" si="124"/>
        <v>1480940</v>
      </c>
      <c r="G1006" s="29">
        <v>0</v>
      </c>
      <c r="H1006" s="29"/>
      <c r="I1006" s="29">
        <v>0</v>
      </c>
      <c r="J1006" s="29"/>
      <c r="K1006" s="29">
        <f t="shared" si="122"/>
        <v>1480940</v>
      </c>
      <c r="L1006" s="29">
        <f t="shared" si="121"/>
        <v>1480940</v>
      </c>
      <c r="M1006" s="20" t="s">
        <v>6232</v>
      </c>
      <c r="N1006" t="s">
        <v>6232</v>
      </c>
      <c r="P1006" t="s">
        <v>3084</v>
      </c>
      <c r="Q1006" t="s">
        <v>6232</v>
      </c>
      <c r="R1006" t="s">
        <v>6208</v>
      </c>
      <c r="BI1006" s="52" t="str">
        <f>HYPERLINK("#자재조서!A124","MV-4100-450 →")</f>
        <v>MV-4100-450 →</v>
      </c>
    </row>
    <row r="1007" spans="1:61" ht="18.399999999999999" customHeight="1">
      <c r="A1007" s="11" t="s">
        <v>5177</v>
      </c>
      <c r="B1007" s="2" t="s">
        <v>2715</v>
      </c>
      <c r="C1007" s="2">
        <v>1</v>
      </c>
      <c r="D1007" s="2" t="s">
        <v>1055</v>
      </c>
      <c r="E1007" s="29">
        <f>자재조서!E123</f>
        <v>1361240</v>
      </c>
      <c r="F1007" s="29">
        <f t="shared" si="124"/>
        <v>1361240</v>
      </c>
      <c r="G1007" s="29">
        <v>0</v>
      </c>
      <c r="H1007" s="29"/>
      <c r="I1007" s="29">
        <v>0</v>
      </c>
      <c r="J1007" s="29"/>
      <c r="K1007" s="29">
        <f t="shared" si="122"/>
        <v>1361240</v>
      </c>
      <c r="L1007" s="29">
        <f t="shared" si="121"/>
        <v>1361240</v>
      </c>
      <c r="M1007" s="20" t="s">
        <v>6232</v>
      </c>
      <c r="N1007" t="s">
        <v>6232</v>
      </c>
      <c r="P1007" t="s">
        <v>4696</v>
      </c>
      <c r="Q1007" t="s">
        <v>6232</v>
      </c>
      <c r="R1007" t="s">
        <v>4514</v>
      </c>
      <c r="BI1007" s="52" t="str">
        <f>HYPERLINK("#자재조서!A123","MV-4100-400 →")</f>
        <v>MV-4100-400 →</v>
      </c>
    </row>
    <row r="1008" spans="1:61" ht="18.399999999999999" customHeight="1">
      <c r="A1008" s="11" t="s">
        <v>5177</v>
      </c>
      <c r="B1008" s="2" t="s">
        <v>809</v>
      </c>
      <c r="C1008" s="2">
        <v>1</v>
      </c>
      <c r="D1008" s="2" t="s">
        <v>1055</v>
      </c>
      <c r="E1008" s="29">
        <f>자재조서!E122</f>
        <v>1187300</v>
      </c>
      <c r="F1008" s="29">
        <f t="shared" si="124"/>
        <v>1187300</v>
      </c>
      <c r="G1008" s="29">
        <v>0</v>
      </c>
      <c r="H1008" s="29"/>
      <c r="I1008" s="29">
        <v>0</v>
      </c>
      <c r="J1008" s="29"/>
      <c r="K1008" s="29">
        <f t="shared" si="122"/>
        <v>1187300</v>
      </c>
      <c r="L1008" s="29">
        <f t="shared" si="121"/>
        <v>1187300</v>
      </c>
      <c r="M1008" s="20" t="s">
        <v>6232</v>
      </c>
      <c r="N1008" t="s">
        <v>6232</v>
      </c>
      <c r="P1008" t="s">
        <v>322</v>
      </c>
      <c r="Q1008" t="s">
        <v>6232</v>
      </c>
      <c r="R1008" t="s">
        <v>2934</v>
      </c>
      <c r="BI1008" s="52" t="str">
        <f>HYPERLINK("#자재조서!A122","MV-4100-350 →")</f>
        <v>MV-4100-350 →</v>
      </c>
    </row>
    <row r="1009" spans="1:61" ht="18.399999999999999" customHeight="1">
      <c r="A1009" s="11" t="s">
        <v>5177</v>
      </c>
      <c r="B1009" s="2" t="s">
        <v>4894</v>
      </c>
      <c r="C1009" s="2">
        <v>1</v>
      </c>
      <c r="D1009" s="2" t="s">
        <v>1055</v>
      </c>
      <c r="E1009" s="29">
        <f>자재조서!E121</f>
        <v>943910</v>
      </c>
      <c r="F1009" s="29">
        <f t="shared" si="124"/>
        <v>943910</v>
      </c>
      <c r="G1009" s="29">
        <v>0</v>
      </c>
      <c r="H1009" s="29"/>
      <c r="I1009" s="29">
        <v>0</v>
      </c>
      <c r="J1009" s="29"/>
      <c r="K1009" s="29">
        <f t="shared" si="122"/>
        <v>943910</v>
      </c>
      <c r="L1009" s="29">
        <f t="shared" si="121"/>
        <v>943910</v>
      </c>
      <c r="M1009" s="20" t="s">
        <v>6232</v>
      </c>
      <c r="N1009" t="s">
        <v>6232</v>
      </c>
      <c r="P1009" t="s">
        <v>1899</v>
      </c>
      <c r="Q1009" t="s">
        <v>6232</v>
      </c>
      <c r="R1009" t="s">
        <v>1516</v>
      </c>
      <c r="BI1009" s="52" t="str">
        <f>HYPERLINK("#자재조서!A121","MV-4100-300 →")</f>
        <v>MV-4100-300 →</v>
      </c>
    </row>
    <row r="1010" spans="1:61" ht="18.399999999999999" customHeight="1">
      <c r="A1010" s="11" t="s">
        <v>4906</v>
      </c>
      <c r="B1010" s="2" t="s">
        <v>1701</v>
      </c>
      <c r="C1010" s="2">
        <v>1</v>
      </c>
      <c r="D1010" s="2" t="s">
        <v>1055</v>
      </c>
      <c r="E1010" s="29">
        <f>자재조서!E120</f>
        <v>864850</v>
      </c>
      <c r="F1010" s="29">
        <f t="shared" si="124"/>
        <v>864850</v>
      </c>
      <c r="G1010" s="29">
        <v>0</v>
      </c>
      <c r="H1010" s="29"/>
      <c r="I1010" s="29">
        <v>0</v>
      </c>
      <c r="J1010" s="29"/>
      <c r="K1010" s="29">
        <f t="shared" si="122"/>
        <v>864850</v>
      </c>
      <c r="L1010" s="29">
        <f t="shared" si="121"/>
        <v>864850</v>
      </c>
      <c r="M1010" s="20" t="s">
        <v>6232</v>
      </c>
      <c r="N1010" t="s">
        <v>6232</v>
      </c>
      <c r="P1010" t="s">
        <v>2298</v>
      </c>
      <c r="Q1010" t="s">
        <v>6232</v>
      </c>
      <c r="R1010" t="s">
        <v>1846</v>
      </c>
      <c r="BI1010" s="52" t="str">
        <f>HYPERLINK("#자재조서!A120","MV-4100-250 →")</f>
        <v>MV-4100-250 →</v>
      </c>
    </row>
    <row r="1011" spans="1:61" ht="18.399999999999999" customHeight="1">
      <c r="A1011" s="11" t="s">
        <v>4906</v>
      </c>
      <c r="B1011" s="2" t="s">
        <v>4196</v>
      </c>
      <c r="C1011" s="2">
        <v>1</v>
      </c>
      <c r="D1011" s="2" t="s">
        <v>1055</v>
      </c>
      <c r="E1011" s="29">
        <f>자재조서!E119</f>
        <v>639450</v>
      </c>
      <c r="F1011" s="29">
        <f t="shared" si="124"/>
        <v>639450</v>
      </c>
      <c r="G1011" s="29">
        <v>0</v>
      </c>
      <c r="H1011" s="29"/>
      <c r="I1011" s="29">
        <v>0</v>
      </c>
      <c r="J1011" s="29"/>
      <c r="K1011" s="29">
        <f t="shared" si="122"/>
        <v>639450</v>
      </c>
      <c r="L1011" s="29">
        <f t="shared" si="121"/>
        <v>639450</v>
      </c>
      <c r="M1011" s="20" t="s">
        <v>6232</v>
      </c>
      <c r="N1011" t="s">
        <v>6232</v>
      </c>
      <c r="P1011" t="s">
        <v>738</v>
      </c>
      <c r="Q1011" t="s">
        <v>6232</v>
      </c>
      <c r="R1011" t="s">
        <v>188</v>
      </c>
      <c r="BI1011" s="52" t="str">
        <f>HYPERLINK("#자재조서!A119","MV-4100-200 →")</f>
        <v>MV-4100-200 →</v>
      </c>
    </row>
    <row r="1012" spans="1:61" ht="18.399999999999999" customHeight="1">
      <c r="A1012" s="11" t="s">
        <v>4906</v>
      </c>
      <c r="B1012" s="2" t="s">
        <v>4124</v>
      </c>
      <c r="C1012" s="2">
        <v>1</v>
      </c>
      <c r="D1012" s="2" t="s">
        <v>1055</v>
      </c>
      <c r="E1012" s="29">
        <f>자재조서!E118</f>
        <v>476130</v>
      </c>
      <c r="F1012" s="29">
        <f t="shared" si="124"/>
        <v>476130</v>
      </c>
      <c r="G1012" s="29">
        <v>0</v>
      </c>
      <c r="H1012" s="29"/>
      <c r="I1012" s="29">
        <v>0</v>
      </c>
      <c r="J1012" s="29"/>
      <c r="K1012" s="29">
        <f t="shared" si="122"/>
        <v>476130</v>
      </c>
      <c r="L1012" s="29">
        <f t="shared" si="121"/>
        <v>476130</v>
      </c>
      <c r="M1012" s="20" t="s">
        <v>6232</v>
      </c>
      <c r="N1012" t="s">
        <v>6232</v>
      </c>
      <c r="P1012" t="s">
        <v>5386</v>
      </c>
      <c r="Q1012" t="s">
        <v>6232</v>
      </c>
      <c r="R1012" t="s">
        <v>503</v>
      </c>
      <c r="BI1012" s="52" t="str">
        <f>HYPERLINK("#자재조서!A118","MV-4100-150 →")</f>
        <v>MV-4100-150 →</v>
      </c>
    </row>
    <row r="1013" spans="1:61" ht="18.399999999999999" customHeight="1">
      <c r="A1013" s="11" t="s">
        <v>4906</v>
      </c>
      <c r="B1013" s="2" t="s">
        <v>2533</v>
      </c>
      <c r="C1013" s="2">
        <v>1</v>
      </c>
      <c r="D1013" s="2" t="s">
        <v>1055</v>
      </c>
      <c r="E1013" s="29">
        <f>자재조서!E117</f>
        <v>379290</v>
      </c>
      <c r="F1013" s="29">
        <f t="shared" si="124"/>
        <v>379290</v>
      </c>
      <c r="G1013" s="29">
        <v>0</v>
      </c>
      <c r="H1013" s="29"/>
      <c r="I1013" s="29">
        <v>0</v>
      </c>
      <c r="J1013" s="29"/>
      <c r="K1013" s="29">
        <f t="shared" si="122"/>
        <v>379290</v>
      </c>
      <c r="L1013" s="29">
        <f t="shared" si="121"/>
        <v>379290</v>
      </c>
      <c r="M1013" s="20" t="s">
        <v>6232</v>
      </c>
      <c r="N1013" t="s">
        <v>6232</v>
      </c>
      <c r="P1013" t="s">
        <v>3794</v>
      </c>
      <c r="Q1013" t="s">
        <v>6232</v>
      </c>
      <c r="R1013" t="s">
        <v>2224</v>
      </c>
      <c r="BI1013" s="52" t="str">
        <f>HYPERLINK("#자재조서!A117","MV-4100-125 →")</f>
        <v>MV-4100-125 →</v>
      </c>
    </row>
    <row r="1014" spans="1:61" ht="18.399999999999999" customHeight="1">
      <c r="A1014" s="11" t="s">
        <v>4906</v>
      </c>
      <c r="B1014" s="2" t="s">
        <v>1572</v>
      </c>
      <c r="C1014" s="2">
        <v>1</v>
      </c>
      <c r="D1014" s="2" t="s">
        <v>1055</v>
      </c>
      <c r="E1014" s="29">
        <f>자재조서!E116</f>
        <v>300880</v>
      </c>
      <c r="F1014" s="29">
        <f t="shared" si="124"/>
        <v>300880</v>
      </c>
      <c r="G1014" s="29">
        <v>0</v>
      </c>
      <c r="H1014" s="29"/>
      <c r="I1014" s="29">
        <v>0</v>
      </c>
      <c r="J1014" s="29"/>
      <c r="K1014" s="29">
        <f t="shared" si="122"/>
        <v>300880</v>
      </c>
      <c r="L1014" s="29">
        <f t="shared" si="121"/>
        <v>300880</v>
      </c>
      <c r="M1014" s="20" t="s">
        <v>6232</v>
      </c>
      <c r="N1014" t="s">
        <v>6232</v>
      </c>
      <c r="P1014" t="s">
        <v>2189</v>
      </c>
      <c r="Q1014" t="s">
        <v>6232</v>
      </c>
      <c r="R1014" t="s">
        <v>1934</v>
      </c>
      <c r="BI1014" s="52" t="str">
        <f>HYPERLINK("#자재조서!A116","MV-4100-100 →")</f>
        <v>MV-4100-100 →</v>
      </c>
    </row>
    <row r="1015" spans="1:61" ht="18.399999999999999" customHeight="1">
      <c r="A1015" s="11" t="s">
        <v>4906</v>
      </c>
      <c r="B1015" s="2" t="s">
        <v>1160</v>
      </c>
      <c r="C1015" s="2">
        <v>1</v>
      </c>
      <c r="D1015" s="2" t="s">
        <v>1055</v>
      </c>
      <c r="E1015" s="29">
        <f>자재조서!E115</f>
        <v>234540</v>
      </c>
      <c r="F1015" s="29">
        <f t="shared" si="124"/>
        <v>234540</v>
      </c>
      <c r="G1015" s="29">
        <v>0</v>
      </c>
      <c r="H1015" s="29"/>
      <c r="I1015" s="29">
        <v>0</v>
      </c>
      <c r="J1015" s="29"/>
      <c r="K1015" s="29">
        <f t="shared" si="122"/>
        <v>234540</v>
      </c>
      <c r="L1015" s="29">
        <f t="shared" si="121"/>
        <v>234540</v>
      </c>
      <c r="M1015" s="20" t="s">
        <v>6232</v>
      </c>
      <c r="N1015" t="s">
        <v>6232</v>
      </c>
      <c r="P1015" t="s">
        <v>645</v>
      </c>
      <c r="Q1015" t="s">
        <v>6232</v>
      </c>
      <c r="R1015" t="s">
        <v>2667</v>
      </c>
      <c r="BI1015" s="52" t="str">
        <f>HYPERLINK("#자재조서!A115","MV-4100-080 →")</f>
        <v>MV-4100-080 →</v>
      </c>
    </row>
    <row r="1016" spans="1:61" ht="18.399999999999999" customHeight="1">
      <c r="A1016" s="11" t="s">
        <v>4906</v>
      </c>
      <c r="B1016" s="2" t="s">
        <v>3058</v>
      </c>
      <c r="C1016" s="2">
        <v>1</v>
      </c>
      <c r="D1016" s="2" t="s">
        <v>1055</v>
      </c>
      <c r="E1016" s="29">
        <f>자재조서!E114</f>
        <v>206070</v>
      </c>
      <c r="F1016" s="29">
        <f t="shared" si="124"/>
        <v>206070</v>
      </c>
      <c r="G1016" s="29">
        <v>0</v>
      </c>
      <c r="H1016" s="29"/>
      <c r="I1016" s="29">
        <v>0</v>
      </c>
      <c r="J1016" s="29"/>
      <c r="K1016" s="29">
        <f t="shared" si="122"/>
        <v>206070</v>
      </c>
      <c r="L1016" s="29">
        <f t="shared" si="121"/>
        <v>206070</v>
      </c>
      <c r="M1016" s="20" t="s">
        <v>6232</v>
      </c>
      <c r="N1016" t="s">
        <v>6232</v>
      </c>
      <c r="P1016" t="s">
        <v>5260</v>
      </c>
      <c r="Q1016" t="s">
        <v>6232</v>
      </c>
      <c r="R1016" t="s">
        <v>2672</v>
      </c>
      <c r="BI1016" s="52" t="str">
        <f>HYPERLINK("#자재조서!A114","MV-4100-065 →")</f>
        <v>MV-4100-065 →</v>
      </c>
    </row>
    <row r="1017" spans="1:61" ht="18.399999999999999" customHeight="1">
      <c r="A1017" s="11" t="s">
        <v>4906</v>
      </c>
      <c r="B1017" s="2" t="s">
        <v>2393</v>
      </c>
      <c r="C1017" s="2">
        <v>1</v>
      </c>
      <c r="D1017" s="2" t="s">
        <v>1055</v>
      </c>
      <c r="E1017" s="29">
        <f>자재조서!E113</f>
        <v>173550</v>
      </c>
      <c r="F1017" s="29">
        <f t="shared" si="124"/>
        <v>173550</v>
      </c>
      <c r="G1017" s="29">
        <v>0</v>
      </c>
      <c r="H1017" s="29"/>
      <c r="I1017" s="29">
        <v>0</v>
      </c>
      <c r="J1017" s="29"/>
      <c r="K1017" s="29">
        <f t="shared" si="122"/>
        <v>173550</v>
      </c>
      <c r="L1017" s="29">
        <f t="shared" si="121"/>
        <v>173550</v>
      </c>
      <c r="M1017" s="20" t="s">
        <v>6232</v>
      </c>
      <c r="N1017" t="s">
        <v>6232</v>
      </c>
      <c r="P1017" t="s">
        <v>3698</v>
      </c>
      <c r="Q1017" t="s">
        <v>6232</v>
      </c>
      <c r="R1017" t="s">
        <v>859</v>
      </c>
      <c r="BI1017" s="52" t="str">
        <f>HYPERLINK("#자재조서!A113","MV-4100-050 →")</f>
        <v>MV-4100-050 →</v>
      </c>
    </row>
    <row r="1018" spans="1:61" ht="18.399999999999999" customHeight="1">
      <c r="A1018" s="11" t="s">
        <v>4906</v>
      </c>
      <c r="B1018" s="2" t="s">
        <v>2012</v>
      </c>
      <c r="C1018" s="2">
        <v>1</v>
      </c>
      <c r="D1018" s="2" t="s">
        <v>1055</v>
      </c>
      <c r="E1018" s="29">
        <f>자재조서!E112</f>
        <v>164360</v>
      </c>
      <c r="F1018" s="29">
        <f t="shared" si="124"/>
        <v>164360</v>
      </c>
      <c r="G1018" s="29">
        <v>0</v>
      </c>
      <c r="H1018" s="29"/>
      <c r="I1018" s="29">
        <v>0</v>
      </c>
      <c r="J1018" s="29"/>
      <c r="K1018" s="29">
        <f t="shared" si="122"/>
        <v>164360</v>
      </c>
      <c r="L1018" s="29">
        <f t="shared" si="121"/>
        <v>164360</v>
      </c>
      <c r="M1018" s="20" t="s">
        <v>6232</v>
      </c>
      <c r="N1018" t="s">
        <v>6232</v>
      </c>
      <c r="P1018" t="s">
        <v>2089</v>
      </c>
      <c r="Q1018" t="s">
        <v>6232</v>
      </c>
      <c r="R1018" t="s">
        <v>2372</v>
      </c>
      <c r="BI1018" s="52" t="str">
        <f>HYPERLINK("#자재조서!A112","MV-4100-040 →")</f>
        <v>MV-4100-040 →</v>
      </c>
    </row>
    <row r="1019" spans="1:61" ht="18.399999999999999" customHeight="1">
      <c r="A1019" s="11" t="s">
        <v>4906</v>
      </c>
      <c r="B1019" s="2" t="s">
        <v>1993</v>
      </c>
      <c r="C1019" s="2">
        <v>1</v>
      </c>
      <c r="D1019" s="2" t="s">
        <v>1055</v>
      </c>
      <c r="E1019" s="29">
        <f>자재조서!E111</f>
        <v>154920</v>
      </c>
      <c r="F1019" s="29">
        <f t="shared" si="124"/>
        <v>154920</v>
      </c>
      <c r="G1019" s="29">
        <v>0</v>
      </c>
      <c r="H1019" s="29"/>
      <c r="I1019" s="29">
        <v>0</v>
      </c>
      <c r="J1019" s="29"/>
      <c r="K1019" s="29">
        <f t="shared" si="122"/>
        <v>154920</v>
      </c>
      <c r="L1019" s="29">
        <f t="shared" si="121"/>
        <v>154920</v>
      </c>
      <c r="M1019" s="20" t="s">
        <v>6232</v>
      </c>
      <c r="N1019" t="s">
        <v>6232</v>
      </c>
      <c r="P1019" t="s">
        <v>545</v>
      </c>
      <c r="Q1019" t="s">
        <v>6232</v>
      </c>
      <c r="R1019" t="s">
        <v>3319</v>
      </c>
      <c r="BI1019" s="52" t="str">
        <f>HYPERLINK("#자재조서!A111","MV-4100-032 →")</f>
        <v>MV-4100-032 →</v>
      </c>
    </row>
    <row r="1020" spans="1:61" ht="18.399999999999999" customHeight="1">
      <c r="A1020" s="11" t="s">
        <v>4906</v>
      </c>
      <c r="B1020" s="2" t="s">
        <v>3967</v>
      </c>
      <c r="C1020" s="2">
        <v>1</v>
      </c>
      <c r="D1020" s="2" t="s">
        <v>1055</v>
      </c>
      <c r="E1020" s="29">
        <f>자재조서!E110</f>
        <v>139820</v>
      </c>
      <c r="F1020" s="29">
        <f t="shared" si="124"/>
        <v>139820</v>
      </c>
      <c r="G1020" s="29">
        <v>0</v>
      </c>
      <c r="H1020" s="29"/>
      <c r="I1020" s="29">
        <v>0</v>
      </c>
      <c r="J1020" s="29"/>
      <c r="K1020" s="29">
        <f t="shared" si="122"/>
        <v>139820</v>
      </c>
      <c r="L1020" s="29">
        <f t="shared" si="121"/>
        <v>139820</v>
      </c>
      <c r="M1020" s="20" t="s">
        <v>6232</v>
      </c>
      <c r="N1020" t="s">
        <v>6232</v>
      </c>
      <c r="P1020" t="s">
        <v>2524</v>
      </c>
      <c r="Q1020" t="s">
        <v>6232</v>
      </c>
      <c r="R1020" t="s">
        <v>2606</v>
      </c>
      <c r="BI1020" s="52" t="str">
        <f>HYPERLINK("#자재조서!A110","MV-4100-025 →")</f>
        <v>MV-4100-025 →</v>
      </c>
    </row>
    <row r="1021" spans="1:61" ht="18.399999999999999" customHeight="1">
      <c r="A1021" s="11" t="s">
        <v>4906</v>
      </c>
      <c r="B1021" s="2" t="s">
        <v>5596</v>
      </c>
      <c r="C1021" s="2">
        <v>1</v>
      </c>
      <c r="D1021" s="2" t="s">
        <v>1055</v>
      </c>
      <c r="E1021" s="29">
        <f>자재조서!E109</f>
        <v>122960</v>
      </c>
      <c r="F1021" s="29">
        <f t="shared" si="124"/>
        <v>122960</v>
      </c>
      <c r="G1021" s="29">
        <v>0</v>
      </c>
      <c r="H1021" s="29"/>
      <c r="I1021" s="29">
        <v>0</v>
      </c>
      <c r="J1021" s="29"/>
      <c r="K1021" s="29">
        <f t="shared" si="122"/>
        <v>122960</v>
      </c>
      <c r="L1021" s="29">
        <f t="shared" si="121"/>
        <v>122960</v>
      </c>
      <c r="M1021" s="20" t="s">
        <v>6232</v>
      </c>
      <c r="N1021" t="s">
        <v>6232</v>
      </c>
      <c r="P1021" t="s">
        <v>994</v>
      </c>
      <c r="Q1021" t="s">
        <v>6232</v>
      </c>
      <c r="R1021" t="s">
        <v>5541</v>
      </c>
      <c r="BI1021" s="52" t="str">
        <f>HYPERLINK("#자재조서!A109","MV-4100-020 →")</f>
        <v>MV-4100-020 →</v>
      </c>
    </row>
    <row r="1022" spans="1:61" ht="18.399999999999999" customHeight="1">
      <c r="A1022" s="11" t="s">
        <v>1544</v>
      </c>
      <c r="B1022" s="2" t="s">
        <v>6232</v>
      </c>
      <c r="C1022" s="2"/>
      <c r="D1022" s="2" t="s">
        <v>6232</v>
      </c>
      <c r="E1022" s="1"/>
      <c r="F1022" s="29">
        <f>TRUNC(F1021+F1020+F1019+F1018+F1017+F1016+F1015+F1014+F1013+F1012+F1011+F1010+F1009+F1008+F1007+F1006+F1005+F1004+F1003+F1002+F1001+F1000,0)</f>
        <v>25931320</v>
      </c>
      <c r="G1022" s="1"/>
      <c r="H1022" s="29">
        <f>TRUNC(H1021+H1020+H1019+H1018+H1017+H1016+H1015+H1014+H1013+H1012+H1011+H1010+H1009+H1008+H1007+H1006+H1005+H1004+H1003+H1002+H1001+H1000,0)</f>
        <v>0</v>
      </c>
      <c r="I1022" s="1"/>
      <c r="J1022" s="29">
        <f>TRUNC(J1021+J1020+J1019+J1018+J1017+J1016+J1015+J1014+J1013+J1012+J1011+J1010+J1009+J1008+J1007+J1006+J1005+J1004+J1003+J1002+J1001+J1000,0)</f>
        <v>0</v>
      </c>
      <c r="K1022" s="29">
        <f t="shared" si="122"/>
        <v>0</v>
      </c>
      <c r="L1022" s="29">
        <f t="shared" si="121"/>
        <v>25931320</v>
      </c>
      <c r="M1022" s="20" t="s">
        <v>6232</v>
      </c>
      <c r="N1022" t="s">
        <v>6232</v>
      </c>
      <c r="P1022" t="s">
        <v>5692</v>
      </c>
      <c r="Q1022" t="s">
        <v>6232</v>
      </c>
      <c r="R1022" t="s">
        <v>6232</v>
      </c>
    </row>
    <row r="1023" spans="1:61" ht="18.399999999999999" customHeight="1">
      <c r="A1023" s="11" t="s">
        <v>2495</v>
      </c>
      <c r="B1023" s="2" t="s">
        <v>6232</v>
      </c>
      <c r="C1023" s="2"/>
      <c r="D1023" s="2" t="s">
        <v>6232</v>
      </c>
      <c r="E1023" s="1"/>
      <c r="F1023" s="29">
        <v>0</v>
      </c>
      <c r="G1023" s="1"/>
      <c r="H1023" s="29">
        <v>0</v>
      </c>
      <c r="I1023" s="1"/>
      <c r="J1023" s="29">
        <v>0</v>
      </c>
      <c r="K1023" s="29">
        <f t="shared" si="122"/>
        <v>0</v>
      </c>
      <c r="L1023" s="29">
        <f t="shared" si="121"/>
        <v>0</v>
      </c>
      <c r="M1023" s="20" t="s">
        <v>6232</v>
      </c>
      <c r="N1023" t="s">
        <v>6232</v>
      </c>
      <c r="P1023" t="s">
        <v>4168</v>
      </c>
      <c r="Q1023" t="s">
        <v>6232</v>
      </c>
      <c r="R1023" t="s">
        <v>6232</v>
      </c>
    </row>
    <row r="1024" spans="1:61" ht="18.399999999999999" customHeight="1">
      <c r="A1024" s="11" t="s">
        <v>2610</v>
      </c>
      <c r="B1024" s="2" t="s">
        <v>6232</v>
      </c>
      <c r="C1024" s="2"/>
      <c r="D1024" s="2" t="s">
        <v>6232</v>
      </c>
      <c r="E1024" s="1"/>
      <c r="F1024" s="29">
        <v>0</v>
      </c>
      <c r="G1024" s="1"/>
      <c r="H1024" s="29">
        <v>0</v>
      </c>
      <c r="I1024" s="1"/>
      <c r="J1024" s="29">
        <v>0</v>
      </c>
      <c r="K1024" s="29">
        <f t="shared" si="122"/>
        <v>0</v>
      </c>
      <c r="L1024" s="29">
        <f t="shared" si="121"/>
        <v>0</v>
      </c>
      <c r="M1024" s="20" t="s">
        <v>6232</v>
      </c>
      <c r="N1024" t="s">
        <v>6232</v>
      </c>
      <c r="P1024" t="s">
        <v>2619</v>
      </c>
      <c r="Q1024" t="s">
        <v>6232</v>
      </c>
      <c r="R1024" t="s">
        <v>6232</v>
      </c>
    </row>
    <row r="1025" spans="1:61" ht="18.399999999999999" customHeight="1">
      <c r="A1025" s="11" t="s">
        <v>2610</v>
      </c>
      <c r="B1025" s="2" t="s">
        <v>2823</v>
      </c>
      <c r="C1025" s="2">
        <v>1</v>
      </c>
      <c r="D1025" s="2" t="s">
        <v>1055</v>
      </c>
      <c r="E1025" s="29">
        <f>자재조서!E152</f>
        <v>3218250</v>
      </c>
      <c r="F1025" s="29">
        <f t="shared" ref="F1025:F1046" si="125">TRUNC(E1025*C1025,0)</f>
        <v>3218250</v>
      </c>
      <c r="G1025" s="29">
        <v>0</v>
      </c>
      <c r="H1025" s="29"/>
      <c r="I1025" s="29">
        <v>0</v>
      </c>
      <c r="J1025" s="29"/>
      <c r="K1025" s="29">
        <f t="shared" si="122"/>
        <v>3218250</v>
      </c>
      <c r="L1025" s="29">
        <f t="shared" si="121"/>
        <v>3218250</v>
      </c>
      <c r="M1025" s="20" t="s">
        <v>6232</v>
      </c>
      <c r="N1025" t="s">
        <v>6232</v>
      </c>
      <c r="P1025" t="s">
        <v>1067</v>
      </c>
      <c r="Q1025" t="s">
        <v>6232</v>
      </c>
      <c r="R1025" t="s">
        <v>1429</v>
      </c>
      <c r="BI1025" s="52" t="str">
        <f>HYPERLINK("#자재조서!A152","MV-4200-750 →")</f>
        <v>MV-4200-750 →</v>
      </c>
    </row>
    <row r="1026" spans="1:61" ht="18.399999999999999" customHeight="1">
      <c r="A1026" s="11" t="s">
        <v>2610</v>
      </c>
      <c r="B1026" s="2" t="s">
        <v>3826</v>
      </c>
      <c r="C1026" s="2">
        <v>1</v>
      </c>
      <c r="D1026" s="2" t="s">
        <v>1055</v>
      </c>
      <c r="E1026" s="29">
        <f>자재조서!E151</f>
        <v>2962210</v>
      </c>
      <c r="F1026" s="29">
        <f t="shared" si="125"/>
        <v>2962210</v>
      </c>
      <c r="G1026" s="29">
        <v>0</v>
      </c>
      <c r="H1026" s="29"/>
      <c r="I1026" s="29">
        <v>0</v>
      </c>
      <c r="J1026" s="29"/>
      <c r="K1026" s="29">
        <f t="shared" si="122"/>
        <v>2962210</v>
      </c>
      <c r="L1026" s="29">
        <f t="shared" si="121"/>
        <v>2962210</v>
      </c>
      <c r="M1026" s="20" t="s">
        <v>6232</v>
      </c>
      <c r="N1026" t="s">
        <v>6232</v>
      </c>
      <c r="P1026" t="s">
        <v>5785</v>
      </c>
      <c r="Q1026" t="s">
        <v>6232</v>
      </c>
      <c r="R1026" t="s">
        <v>3040</v>
      </c>
      <c r="BI1026" s="52" t="str">
        <f>HYPERLINK("#자재조서!A151","MV-4200-700 →")</f>
        <v>MV-4200-700 →</v>
      </c>
    </row>
    <row r="1027" spans="1:61" ht="18.399999999999999" customHeight="1">
      <c r="A1027" s="11" t="s">
        <v>2610</v>
      </c>
      <c r="B1027" s="2" t="s">
        <v>397</v>
      </c>
      <c r="C1027" s="2">
        <v>1</v>
      </c>
      <c r="D1027" s="2" t="s">
        <v>1055</v>
      </c>
      <c r="E1027" s="29">
        <f>자재조서!E150</f>
        <v>2743720</v>
      </c>
      <c r="F1027" s="29">
        <f t="shared" si="125"/>
        <v>2743720</v>
      </c>
      <c r="G1027" s="29">
        <v>0</v>
      </c>
      <c r="H1027" s="29"/>
      <c r="I1027" s="29">
        <v>0</v>
      </c>
      <c r="J1027" s="29"/>
      <c r="K1027" s="29">
        <f t="shared" si="122"/>
        <v>2743720</v>
      </c>
      <c r="L1027" s="29">
        <f t="shared" si="121"/>
        <v>2743720</v>
      </c>
      <c r="M1027" s="20" t="s">
        <v>6232</v>
      </c>
      <c r="N1027" t="s">
        <v>6232</v>
      </c>
      <c r="P1027" t="s">
        <v>4257</v>
      </c>
      <c r="Q1027" t="s">
        <v>6232</v>
      </c>
      <c r="R1027" t="s">
        <v>271</v>
      </c>
      <c r="BI1027" s="52" t="str">
        <f>HYPERLINK("#자재조서!A150","MV-4200-650 →")</f>
        <v>MV-4200-650 →</v>
      </c>
    </row>
    <row r="1028" spans="1:61" ht="18.399999999999999" customHeight="1">
      <c r="A1028" s="11" t="s">
        <v>2610</v>
      </c>
      <c r="B1028" s="2" t="s">
        <v>6105</v>
      </c>
      <c r="C1028" s="2">
        <v>1</v>
      </c>
      <c r="D1028" s="2" t="s">
        <v>1055</v>
      </c>
      <c r="E1028" s="29">
        <f>자재조서!E149</f>
        <v>2477520</v>
      </c>
      <c r="F1028" s="29">
        <f t="shared" si="125"/>
        <v>2477520</v>
      </c>
      <c r="G1028" s="29">
        <v>0</v>
      </c>
      <c r="H1028" s="29"/>
      <c r="I1028" s="29">
        <v>0</v>
      </c>
      <c r="J1028" s="29"/>
      <c r="K1028" s="29">
        <f t="shared" si="122"/>
        <v>2477520</v>
      </c>
      <c r="L1028" s="29">
        <f t="shared" si="121"/>
        <v>2477520</v>
      </c>
      <c r="M1028" s="20" t="s">
        <v>6232</v>
      </c>
      <c r="N1028" t="s">
        <v>6232</v>
      </c>
      <c r="P1028" t="s">
        <v>2324</v>
      </c>
      <c r="Q1028" t="s">
        <v>6232</v>
      </c>
      <c r="R1028" t="s">
        <v>1744</v>
      </c>
      <c r="BI1028" s="52" t="str">
        <f>HYPERLINK("#자재조서!A149","MV-4200-600 →")</f>
        <v>MV-4200-600 →</v>
      </c>
    </row>
    <row r="1029" spans="1:61" ht="18.399999999999999" customHeight="1">
      <c r="A1029" s="11" t="s">
        <v>2610</v>
      </c>
      <c r="B1029" s="2" t="s">
        <v>6191</v>
      </c>
      <c r="C1029" s="2">
        <v>1</v>
      </c>
      <c r="D1029" s="2" t="s">
        <v>1055</v>
      </c>
      <c r="E1029" s="29">
        <f>자재조서!E148</f>
        <v>2262330</v>
      </c>
      <c r="F1029" s="29">
        <f t="shared" si="125"/>
        <v>2262330</v>
      </c>
      <c r="G1029" s="29">
        <v>0</v>
      </c>
      <c r="H1029" s="29"/>
      <c r="I1029" s="29">
        <v>0</v>
      </c>
      <c r="J1029" s="29"/>
      <c r="K1029" s="29">
        <f t="shared" si="122"/>
        <v>2262330</v>
      </c>
      <c r="L1029" s="29">
        <f t="shared" si="121"/>
        <v>2262330</v>
      </c>
      <c r="M1029" s="20" t="s">
        <v>6232</v>
      </c>
      <c r="N1029" t="s">
        <v>6232</v>
      </c>
      <c r="P1029" t="s">
        <v>786</v>
      </c>
      <c r="Q1029" t="s">
        <v>6232</v>
      </c>
      <c r="R1029" t="s">
        <v>2052</v>
      </c>
      <c r="BI1029" s="52" t="str">
        <f>HYPERLINK("#자재조서!A148","MV-4200-550 →")</f>
        <v>MV-4200-550 →</v>
      </c>
    </row>
    <row r="1030" spans="1:61" ht="18.399999999999999" customHeight="1">
      <c r="A1030" s="11" t="s">
        <v>2610</v>
      </c>
      <c r="B1030" s="2" t="s">
        <v>524</v>
      </c>
      <c r="C1030" s="2">
        <v>1</v>
      </c>
      <c r="D1030" s="2" t="s">
        <v>1055</v>
      </c>
      <c r="E1030" s="29">
        <f>자재조서!E147</f>
        <v>1893760</v>
      </c>
      <c r="F1030" s="29">
        <f t="shared" si="125"/>
        <v>1893760</v>
      </c>
      <c r="G1030" s="29">
        <v>0</v>
      </c>
      <c r="H1030" s="29"/>
      <c r="I1030" s="29">
        <v>0</v>
      </c>
      <c r="J1030" s="29"/>
      <c r="K1030" s="29">
        <f t="shared" si="122"/>
        <v>1893760</v>
      </c>
      <c r="L1030" s="29">
        <f t="shared" si="121"/>
        <v>1893760</v>
      </c>
      <c r="M1030" s="20" t="s">
        <v>6232</v>
      </c>
      <c r="N1030" t="s">
        <v>6232</v>
      </c>
      <c r="P1030" t="s">
        <v>5775</v>
      </c>
      <c r="Q1030" t="s">
        <v>6232</v>
      </c>
      <c r="R1030" t="s">
        <v>388</v>
      </c>
      <c r="BI1030" s="52" t="str">
        <f>HYPERLINK("#자재조서!A147","MV-4200-500 →")</f>
        <v>MV-4200-500 →</v>
      </c>
    </row>
    <row r="1031" spans="1:61" ht="18.399999999999999" customHeight="1">
      <c r="A1031" s="11" t="s">
        <v>2610</v>
      </c>
      <c r="B1031" s="2" t="s">
        <v>3764</v>
      </c>
      <c r="C1031" s="2">
        <v>1</v>
      </c>
      <c r="D1031" s="2" t="s">
        <v>1055</v>
      </c>
      <c r="E1031" s="29">
        <f>자재조서!E146</f>
        <v>1375570</v>
      </c>
      <c r="F1031" s="29">
        <f t="shared" si="125"/>
        <v>1375570</v>
      </c>
      <c r="G1031" s="29">
        <v>0</v>
      </c>
      <c r="H1031" s="29"/>
      <c r="I1031" s="29">
        <v>0</v>
      </c>
      <c r="J1031" s="29"/>
      <c r="K1031" s="29">
        <f t="shared" si="122"/>
        <v>1375570</v>
      </c>
      <c r="L1031" s="29">
        <f t="shared" si="121"/>
        <v>1375570</v>
      </c>
      <c r="M1031" s="20" t="s">
        <v>6232</v>
      </c>
      <c r="N1031" t="s">
        <v>6232</v>
      </c>
      <c r="P1031" t="s">
        <v>4199</v>
      </c>
      <c r="Q1031" t="s">
        <v>6232</v>
      </c>
      <c r="R1031" t="s">
        <v>2364</v>
      </c>
      <c r="BI1031" s="52" t="str">
        <f>HYPERLINK("#자재조서!A146","MV-4200-450 →")</f>
        <v>MV-4200-450 →</v>
      </c>
    </row>
    <row r="1032" spans="1:61" ht="18.399999999999999" customHeight="1">
      <c r="A1032" s="11" t="s">
        <v>2610</v>
      </c>
      <c r="B1032" s="2" t="s">
        <v>2715</v>
      </c>
      <c r="C1032" s="2">
        <v>1</v>
      </c>
      <c r="D1032" s="2" t="s">
        <v>1055</v>
      </c>
      <c r="E1032" s="29">
        <f>자재조서!E145</f>
        <v>1283690</v>
      </c>
      <c r="F1032" s="29">
        <f t="shared" si="125"/>
        <v>1283690</v>
      </c>
      <c r="G1032" s="29">
        <v>0</v>
      </c>
      <c r="H1032" s="29"/>
      <c r="I1032" s="29">
        <v>0</v>
      </c>
      <c r="J1032" s="29"/>
      <c r="K1032" s="29">
        <f t="shared" si="122"/>
        <v>1283690</v>
      </c>
      <c r="L1032" s="29">
        <f t="shared" si="121"/>
        <v>1283690</v>
      </c>
      <c r="M1032" s="20" t="s">
        <v>6232</v>
      </c>
      <c r="N1032" t="s">
        <v>6232</v>
      </c>
      <c r="P1032" t="s">
        <v>2682</v>
      </c>
      <c r="Q1032" t="s">
        <v>6232</v>
      </c>
      <c r="R1032" t="s">
        <v>960</v>
      </c>
      <c r="BI1032" s="52" t="str">
        <f>HYPERLINK("#자재조서!A145","MV-4200-400 →")</f>
        <v>MV-4200-400 →</v>
      </c>
    </row>
    <row r="1033" spans="1:61" ht="18.399999999999999" customHeight="1">
      <c r="A1033" s="11" t="s">
        <v>2610</v>
      </c>
      <c r="B1033" s="2" t="s">
        <v>809</v>
      </c>
      <c r="C1033" s="2">
        <v>1</v>
      </c>
      <c r="D1033" s="2" t="s">
        <v>1055</v>
      </c>
      <c r="E1033" s="29">
        <f>자재조서!E144</f>
        <v>1129990</v>
      </c>
      <c r="F1033" s="29">
        <f t="shared" si="125"/>
        <v>1129990</v>
      </c>
      <c r="G1033" s="29">
        <v>0</v>
      </c>
      <c r="H1033" s="29"/>
      <c r="I1033" s="29">
        <v>0</v>
      </c>
      <c r="J1033" s="29"/>
      <c r="K1033" s="29">
        <f t="shared" si="122"/>
        <v>1129990</v>
      </c>
      <c r="L1033" s="29">
        <f t="shared" ref="L1033:L1096" si="126">F1033+H1033+J1033</f>
        <v>1129990</v>
      </c>
      <c r="M1033" s="20" t="s">
        <v>6232</v>
      </c>
      <c r="N1033" t="s">
        <v>6232</v>
      </c>
      <c r="P1033" t="s">
        <v>1101</v>
      </c>
      <c r="Q1033" t="s">
        <v>6232</v>
      </c>
      <c r="R1033" t="s">
        <v>5616</v>
      </c>
      <c r="BI1033" s="52" t="str">
        <f>HYPERLINK("#자재조서!A144","MV-4200-350 →")</f>
        <v>MV-4200-350 →</v>
      </c>
    </row>
    <row r="1034" spans="1:61" ht="18.399999999999999" customHeight="1">
      <c r="A1034" s="11" t="s">
        <v>2610</v>
      </c>
      <c r="B1034" s="2" t="s">
        <v>4894</v>
      </c>
      <c r="C1034" s="2">
        <v>1</v>
      </c>
      <c r="D1034" s="2" t="s">
        <v>1055</v>
      </c>
      <c r="E1034" s="29">
        <f>자재조서!E143</f>
        <v>908050</v>
      </c>
      <c r="F1034" s="29">
        <f t="shared" si="125"/>
        <v>908050</v>
      </c>
      <c r="G1034" s="29">
        <v>0</v>
      </c>
      <c r="H1034" s="29"/>
      <c r="I1034" s="29">
        <v>0</v>
      </c>
      <c r="J1034" s="29"/>
      <c r="K1034" s="29">
        <f t="shared" ref="K1034:K1097" si="127">E1034+G1034+I1034</f>
        <v>908050</v>
      </c>
      <c r="L1034" s="29">
        <f t="shared" si="126"/>
        <v>908050</v>
      </c>
      <c r="M1034" s="20" t="s">
        <v>6232</v>
      </c>
      <c r="N1034" t="s">
        <v>6232</v>
      </c>
      <c r="P1034" t="s">
        <v>5675</v>
      </c>
      <c r="Q1034" t="s">
        <v>6232</v>
      </c>
      <c r="R1034" t="s">
        <v>3949</v>
      </c>
      <c r="BI1034" s="52" t="str">
        <f>HYPERLINK("#자재조서!A143","MV-4200-300 →")</f>
        <v>MV-4200-300 →</v>
      </c>
    </row>
    <row r="1035" spans="1:61" ht="18.399999999999999" customHeight="1">
      <c r="A1035" s="11" t="s">
        <v>3667</v>
      </c>
      <c r="B1035" s="2" t="s">
        <v>1701</v>
      </c>
      <c r="C1035" s="2">
        <v>1</v>
      </c>
      <c r="D1035" s="2" t="s">
        <v>1055</v>
      </c>
      <c r="E1035" s="29">
        <f>자재조서!E142</f>
        <v>864850</v>
      </c>
      <c r="F1035" s="29">
        <f t="shared" si="125"/>
        <v>864850</v>
      </c>
      <c r="G1035" s="29">
        <v>0</v>
      </c>
      <c r="H1035" s="29"/>
      <c r="I1035" s="29">
        <v>0</v>
      </c>
      <c r="J1035" s="29"/>
      <c r="K1035" s="29">
        <f t="shared" si="127"/>
        <v>864850</v>
      </c>
      <c r="L1035" s="29">
        <f t="shared" si="126"/>
        <v>864850</v>
      </c>
      <c r="M1035" s="20" t="s">
        <v>6232</v>
      </c>
      <c r="N1035" t="s">
        <v>6232</v>
      </c>
      <c r="P1035" t="s">
        <v>4086</v>
      </c>
      <c r="Q1035" t="s">
        <v>6232</v>
      </c>
      <c r="R1035" t="s">
        <v>5040</v>
      </c>
      <c r="BI1035" s="52" t="str">
        <f>HYPERLINK("#자재조서!A142","MV-4200-250 →")</f>
        <v>MV-4200-250 →</v>
      </c>
    </row>
    <row r="1036" spans="1:61" ht="18.399999999999999" customHeight="1">
      <c r="A1036" s="11" t="s">
        <v>3667</v>
      </c>
      <c r="B1036" s="2" t="s">
        <v>4196</v>
      </c>
      <c r="C1036" s="2">
        <v>1</v>
      </c>
      <c r="D1036" s="2" t="s">
        <v>1055</v>
      </c>
      <c r="E1036" s="29">
        <f>자재조서!E141</f>
        <v>639450</v>
      </c>
      <c r="F1036" s="29">
        <f t="shared" si="125"/>
        <v>639450</v>
      </c>
      <c r="G1036" s="29">
        <v>0</v>
      </c>
      <c r="H1036" s="29"/>
      <c r="I1036" s="29">
        <v>0</v>
      </c>
      <c r="J1036" s="29"/>
      <c r="K1036" s="29">
        <f t="shared" si="127"/>
        <v>639450</v>
      </c>
      <c r="L1036" s="29">
        <f t="shared" si="126"/>
        <v>639450</v>
      </c>
      <c r="M1036" s="20" t="s">
        <v>6232</v>
      </c>
      <c r="N1036" t="s">
        <v>6232</v>
      </c>
      <c r="P1036" t="s">
        <v>2592</v>
      </c>
      <c r="Q1036" t="s">
        <v>6232</v>
      </c>
      <c r="R1036" t="s">
        <v>3626</v>
      </c>
      <c r="BI1036" s="52" t="str">
        <f>HYPERLINK("#자재조서!A141","MV-4200-200 →")</f>
        <v>MV-4200-200 →</v>
      </c>
    </row>
    <row r="1037" spans="1:61" ht="18.399999999999999" customHeight="1">
      <c r="A1037" s="11" t="s">
        <v>3667</v>
      </c>
      <c r="B1037" s="2" t="s">
        <v>4124</v>
      </c>
      <c r="C1037" s="2">
        <v>1</v>
      </c>
      <c r="D1037" s="2" t="s">
        <v>1055</v>
      </c>
      <c r="E1037" s="29">
        <f>자재조서!E140</f>
        <v>476130</v>
      </c>
      <c r="F1037" s="29">
        <f t="shared" si="125"/>
        <v>476130</v>
      </c>
      <c r="G1037" s="29">
        <v>0</v>
      </c>
      <c r="H1037" s="29"/>
      <c r="I1037" s="29">
        <v>0</v>
      </c>
      <c r="J1037" s="29"/>
      <c r="K1037" s="29">
        <f t="shared" si="127"/>
        <v>476130</v>
      </c>
      <c r="L1037" s="29">
        <f t="shared" si="126"/>
        <v>476130</v>
      </c>
      <c r="M1037" s="20" t="s">
        <v>6232</v>
      </c>
      <c r="N1037" t="s">
        <v>6232</v>
      </c>
      <c r="P1037" t="s">
        <v>1012</v>
      </c>
      <c r="Q1037" t="s">
        <v>6232</v>
      </c>
      <c r="R1037" t="s">
        <v>3326</v>
      </c>
      <c r="BI1037" s="52" t="str">
        <f>HYPERLINK("#자재조서!A140","MV-4200-150 →")</f>
        <v>MV-4200-150 →</v>
      </c>
    </row>
    <row r="1038" spans="1:61" ht="18.399999999999999" customHeight="1">
      <c r="A1038" s="11" t="s">
        <v>3667</v>
      </c>
      <c r="B1038" s="2" t="s">
        <v>2533</v>
      </c>
      <c r="C1038" s="2">
        <v>1</v>
      </c>
      <c r="D1038" s="2" t="s">
        <v>1055</v>
      </c>
      <c r="E1038" s="29">
        <f>자재조서!E139</f>
        <v>379290</v>
      </c>
      <c r="F1038" s="29">
        <f t="shared" si="125"/>
        <v>379290</v>
      </c>
      <c r="G1038" s="29">
        <v>0</v>
      </c>
      <c r="H1038" s="29"/>
      <c r="I1038" s="29">
        <v>0</v>
      </c>
      <c r="J1038" s="29"/>
      <c r="K1038" s="29">
        <f t="shared" si="127"/>
        <v>379290</v>
      </c>
      <c r="L1038" s="29">
        <f t="shared" si="126"/>
        <v>379290</v>
      </c>
      <c r="M1038" s="20" t="s">
        <v>6232</v>
      </c>
      <c r="N1038" t="s">
        <v>6232</v>
      </c>
      <c r="P1038" t="s">
        <v>5572</v>
      </c>
      <c r="Q1038" t="s">
        <v>6232</v>
      </c>
      <c r="R1038" t="s">
        <v>4697</v>
      </c>
      <c r="BI1038" s="52" t="str">
        <f>HYPERLINK("#자재조서!A139","MV-4200-125 →")</f>
        <v>MV-4200-125 →</v>
      </c>
    </row>
    <row r="1039" spans="1:61" ht="18.399999999999999" customHeight="1">
      <c r="A1039" s="11" t="s">
        <v>3667</v>
      </c>
      <c r="B1039" s="2" t="s">
        <v>1572</v>
      </c>
      <c r="C1039" s="2">
        <v>1</v>
      </c>
      <c r="D1039" s="2" t="s">
        <v>1055</v>
      </c>
      <c r="E1039" s="29">
        <f>자재조서!E138</f>
        <v>300880</v>
      </c>
      <c r="F1039" s="29">
        <f t="shared" si="125"/>
        <v>300880</v>
      </c>
      <c r="G1039" s="29">
        <v>0</v>
      </c>
      <c r="H1039" s="29"/>
      <c r="I1039" s="29">
        <v>0</v>
      </c>
      <c r="J1039" s="29"/>
      <c r="K1039" s="29">
        <f t="shared" si="127"/>
        <v>300880</v>
      </c>
      <c r="L1039" s="29">
        <f t="shared" si="126"/>
        <v>300880</v>
      </c>
      <c r="M1039" s="20" t="s">
        <v>6232</v>
      </c>
      <c r="N1039" t="s">
        <v>6232</v>
      </c>
      <c r="P1039" t="s">
        <v>3992</v>
      </c>
      <c r="Q1039" t="s">
        <v>6232</v>
      </c>
      <c r="R1039" t="s">
        <v>4937</v>
      </c>
      <c r="BI1039" s="52" t="str">
        <f>HYPERLINK("#자재조서!A138","MV-4200-100 →")</f>
        <v>MV-4200-100 →</v>
      </c>
    </row>
    <row r="1040" spans="1:61" ht="18.399999999999999" customHeight="1">
      <c r="A1040" s="11" t="s">
        <v>3667</v>
      </c>
      <c r="B1040" s="2" t="s">
        <v>1160</v>
      </c>
      <c r="C1040" s="2">
        <v>1</v>
      </c>
      <c r="D1040" s="2" t="s">
        <v>1055</v>
      </c>
      <c r="E1040" s="29">
        <f>자재조서!E137</f>
        <v>234540</v>
      </c>
      <c r="F1040" s="29">
        <f t="shared" si="125"/>
        <v>234540</v>
      </c>
      <c r="G1040" s="29">
        <v>0</v>
      </c>
      <c r="H1040" s="29"/>
      <c r="I1040" s="29">
        <v>0</v>
      </c>
      <c r="J1040" s="29"/>
      <c r="K1040" s="29">
        <f t="shared" si="127"/>
        <v>234540</v>
      </c>
      <c r="L1040" s="29">
        <f t="shared" si="126"/>
        <v>234540</v>
      </c>
      <c r="M1040" s="20" t="s">
        <v>6232</v>
      </c>
      <c r="N1040" t="s">
        <v>6232</v>
      </c>
      <c r="P1040" t="s">
        <v>5307</v>
      </c>
      <c r="Q1040" t="s">
        <v>6232</v>
      </c>
      <c r="R1040" t="s">
        <v>5919</v>
      </c>
      <c r="BI1040" s="52" t="str">
        <f>HYPERLINK("#자재조서!A137","MV-4200-080 →")</f>
        <v>MV-4200-080 →</v>
      </c>
    </row>
    <row r="1041" spans="1:61" ht="18.399999999999999" customHeight="1">
      <c r="A1041" s="11" t="s">
        <v>3667</v>
      </c>
      <c r="B1041" s="2" t="s">
        <v>3058</v>
      </c>
      <c r="C1041" s="2">
        <v>1</v>
      </c>
      <c r="D1041" s="2" t="s">
        <v>1055</v>
      </c>
      <c r="E1041" s="29">
        <f>자재조서!E136</f>
        <v>206070</v>
      </c>
      <c r="F1041" s="29">
        <f t="shared" si="125"/>
        <v>206070</v>
      </c>
      <c r="G1041" s="29">
        <v>0</v>
      </c>
      <c r="H1041" s="29"/>
      <c r="I1041" s="29">
        <v>0</v>
      </c>
      <c r="J1041" s="29"/>
      <c r="K1041" s="29">
        <f t="shared" si="127"/>
        <v>206070</v>
      </c>
      <c r="L1041" s="29">
        <f t="shared" si="126"/>
        <v>206070</v>
      </c>
      <c r="M1041" s="20" t="s">
        <v>6232</v>
      </c>
      <c r="N1041" t="s">
        <v>6232</v>
      </c>
      <c r="P1041" t="s">
        <v>3778</v>
      </c>
      <c r="Q1041" t="s">
        <v>6232</v>
      </c>
      <c r="R1041" t="s">
        <v>5870</v>
      </c>
      <c r="BI1041" s="52" t="str">
        <f>HYPERLINK("#자재조서!A136","MV-4200-065 →")</f>
        <v>MV-4200-065 →</v>
      </c>
    </row>
    <row r="1042" spans="1:61" ht="18.399999999999999" customHeight="1">
      <c r="A1042" s="11" t="s">
        <v>3667</v>
      </c>
      <c r="B1042" s="2" t="s">
        <v>2393</v>
      </c>
      <c r="C1042" s="2">
        <v>1</v>
      </c>
      <c r="D1042" s="2" t="s">
        <v>1055</v>
      </c>
      <c r="E1042" s="29">
        <f>자재조서!E135</f>
        <v>173550</v>
      </c>
      <c r="F1042" s="29">
        <f t="shared" si="125"/>
        <v>173550</v>
      </c>
      <c r="G1042" s="29">
        <v>0</v>
      </c>
      <c r="H1042" s="29"/>
      <c r="I1042" s="29">
        <v>0</v>
      </c>
      <c r="J1042" s="29"/>
      <c r="K1042" s="29">
        <f t="shared" si="127"/>
        <v>173550</v>
      </c>
      <c r="L1042" s="29">
        <f t="shared" si="126"/>
        <v>173550</v>
      </c>
      <c r="M1042" s="20" t="s">
        <v>6232</v>
      </c>
      <c r="N1042" t="s">
        <v>6232</v>
      </c>
      <c r="P1042" t="s">
        <v>2138</v>
      </c>
      <c r="Q1042" t="s">
        <v>6232</v>
      </c>
      <c r="R1042" t="s">
        <v>4607</v>
      </c>
      <c r="BI1042" s="52" t="str">
        <f>HYPERLINK("#자재조서!A135","MV-4200-050 →")</f>
        <v>MV-4200-050 →</v>
      </c>
    </row>
    <row r="1043" spans="1:61" ht="18.399999999999999" customHeight="1">
      <c r="A1043" s="11" t="s">
        <v>3667</v>
      </c>
      <c r="B1043" s="2" t="s">
        <v>2012</v>
      </c>
      <c r="C1043" s="2">
        <v>1</v>
      </c>
      <c r="D1043" s="2" t="s">
        <v>1055</v>
      </c>
      <c r="E1043" s="29">
        <f>자재조서!E134</f>
        <v>164360</v>
      </c>
      <c r="F1043" s="29">
        <f t="shared" si="125"/>
        <v>164360</v>
      </c>
      <c r="G1043" s="29">
        <v>0</v>
      </c>
      <c r="H1043" s="29"/>
      <c r="I1043" s="29">
        <v>0</v>
      </c>
      <c r="J1043" s="29"/>
      <c r="K1043" s="29">
        <f t="shared" si="127"/>
        <v>164360</v>
      </c>
      <c r="L1043" s="29">
        <f t="shared" si="126"/>
        <v>164360</v>
      </c>
      <c r="M1043" s="20" t="s">
        <v>6232</v>
      </c>
      <c r="N1043" t="s">
        <v>6232</v>
      </c>
      <c r="P1043" t="s">
        <v>630</v>
      </c>
      <c r="Q1043" t="s">
        <v>6232</v>
      </c>
      <c r="R1043" t="s">
        <v>6222</v>
      </c>
      <c r="BI1043" s="52" t="str">
        <f>HYPERLINK("#자재조서!A134","MV-4200-040 →")</f>
        <v>MV-4200-040 →</v>
      </c>
    </row>
    <row r="1044" spans="1:61" ht="18.399999999999999" customHeight="1">
      <c r="A1044" s="11" t="s">
        <v>3667</v>
      </c>
      <c r="B1044" s="2" t="s">
        <v>1993</v>
      </c>
      <c r="C1044" s="2">
        <v>1</v>
      </c>
      <c r="D1044" s="2" t="s">
        <v>1055</v>
      </c>
      <c r="E1044" s="29">
        <f>자재조서!E133</f>
        <v>154920</v>
      </c>
      <c r="F1044" s="29">
        <f t="shared" si="125"/>
        <v>154920</v>
      </c>
      <c r="G1044" s="29">
        <v>0</v>
      </c>
      <c r="H1044" s="29"/>
      <c r="I1044" s="29">
        <v>0</v>
      </c>
      <c r="J1044" s="29"/>
      <c r="K1044" s="29">
        <f t="shared" si="127"/>
        <v>154920</v>
      </c>
      <c r="L1044" s="29">
        <f t="shared" si="126"/>
        <v>154920</v>
      </c>
      <c r="M1044" s="20" t="s">
        <v>6232</v>
      </c>
      <c r="N1044" t="s">
        <v>6232</v>
      </c>
      <c r="P1044" t="s">
        <v>5391</v>
      </c>
      <c r="Q1044" t="s">
        <v>6232</v>
      </c>
      <c r="R1044" t="s">
        <v>491</v>
      </c>
      <c r="BI1044" s="52" t="str">
        <f>HYPERLINK("#자재조서!A133","MV-4200-032 →")</f>
        <v>MV-4200-032 →</v>
      </c>
    </row>
    <row r="1045" spans="1:61" ht="18.399999999999999" customHeight="1">
      <c r="A1045" s="11" t="s">
        <v>3667</v>
      </c>
      <c r="B1045" s="2" t="s">
        <v>3967</v>
      </c>
      <c r="C1045" s="2">
        <v>1</v>
      </c>
      <c r="D1045" s="2" t="s">
        <v>1055</v>
      </c>
      <c r="E1045" s="29">
        <f>자재조서!E132</f>
        <v>139820</v>
      </c>
      <c r="F1045" s="29">
        <f t="shared" si="125"/>
        <v>139820</v>
      </c>
      <c r="G1045" s="29">
        <v>0</v>
      </c>
      <c r="H1045" s="29"/>
      <c r="I1045" s="29">
        <v>0</v>
      </c>
      <c r="J1045" s="29"/>
      <c r="K1045" s="29">
        <f t="shared" si="127"/>
        <v>139820</v>
      </c>
      <c r="L1045" s="29">
        <f t="shared" si="126"/>
        <v>139820</v>
      </c>
      <c r="M1045" s="20" t="s">
        <v>6232</v>
      </c>
      <c r="N1045" t="s">
        <v>6232</v>
      </c>
      <c r="P1045" t="s">
        <v>3859</v>
      </c>
      <c r="Q1045" t="s">
        <v>6232</v>
      </c>
      <c r="R1045" t="s">
        <v>5993</v>
      </c>
      <c r="BI1045" s="52" t="str">
        <f>HYPERLINK("#자재조서!A132","MV-4200-025 →")</f>
        <v>MV-4200-025 →</v>
      </c>
    </row>
    <row r="1046" spans="1:61" ht="18.399999999999999" customHeight="1">
      <c r="A1046" s="11" t="s">
        <v>3667</v>
      </c>
      <c r="B1046" s="2" t="s">
        <v>5596</v>
      </c>
      <c r="C1046" s="2">
        <v>1</v>
      </c>
      <c r="D1046" s="2" t="s">
        <v>1055</v>
      </c>
      <c r="E1046" s="29">
        <f>자재조서!E131</f>
        <v>122960</v>
      </c>
      <c r="F1046" s="29">
        <f t="shared" si="125"/>
        <v>122960</v>
      </c>
      <c r="G1046" s="29">
        <v>0</v>
      </c>
      <c r="H1046" s="29"/>
      <c r="I1046" s="29">
        <v>0</v>
      </c>
      <c r="J1046" s="29"/>
      <c r="K1046" s="29">
        <f t="shared" si="127"/>
        <v>122960</v>
      </c>
      <c r="L1046" s="29">
        <f t="shared" si="126"/>
        <v>122960</v>
      </c>
      <c r="M1046" s="20" t="s">
        <v>6232</v>
      </c>
      <c r="N1046" t="s">
        <v>6232</v>
      </c>
      <c r="P1046" t="s">
        <v>2210</v>
      </c>
      <c r="Q1046" t="s">
        <v>6232</v>
      </c>
      <c r="R1046" t="s">
        <v>2916</v>
      </c>
      <c r="BI1046" s="52" t="str">
        <f>HYPERLINK("#자재조서!A131","MV-4200-020 →")</f>
        <v>MV-4200-020 →</v>
      </c>
    </row>
    <row r="1047" spans="1:61" ht="18.399999999999999" customHeight="1">
      <c r="A1047" s="11" t="s">
        <v>1544</v>
      </c>
      <c r="B1047" s="2" t="s">
        <v>6232</v>
      </c>
      <c r="C1047" s="2"/>
      <c r="D1047" s="2" t="s">
        <v>6232</v>
      </c>
      <c r="E1047" s="1"/>
      <c r="F1047" s="29">
        <f>TRUNC(F1046+F1045+F1044+F1043+F1042+F1041+F1040+F1039+F1038+F1037+F1036+F1035+F1034+F1033+F1032+F1031+F1030+F1029+F1028+F1027+F1026+F1025,0)</f>
        <v>24111910</v>
      </c>
      <c r="G1047" s="1"/>
      <c r="H1047" s="29">
        <f>TRUNC(H1046+H1045+H1044+H1043+H1042+H1041+H1040+H1039+H1038+H1037+H1036+H1035+H1034+H1033+H1032+H1031+H1030+H1029+H1028+H1027+H1026+H1025,0)</f>
        <v>0</v>
      </c>
      <c r="I1047" s="1"/>
      <c r="J1047" s="29">
        <f>TRUNC(J1046+J1045+J1044+J1043+J1042+J1041+J1040+J1039+J1038+J1037+J1036+J1035+J1034+J1033+J1032+J1031+J1030+J1029+J1028+J1027+J1026+J1025,0)</f>
        <v>0</v>
      </c>
      <c r="K1047" s="29">
        <f t="shared" si="127"/>
        <v>0</v>
      </c>
      <c r="L1047" s="29">
        <f t="shared" si="126"/>
        <v>24111910</v>
      </c>
      <c r="M1047" s="20" t="s">
        <v>6232</v>
      </c>
      <c r="N1047" t="s">
        <v>6232</v>
      </c>
      <c r="P1047" t="s">
        <v>698</v>
      </c>
      <c r="Q1047" t="s">
        <v>6232</v>
      </c>
      <c r="R1047" t="s">
        <v>6232</v>
      </c>
    </row>
    <row r="1048" spans="1:61" ht="18.399999999999999" customHeight="1">
      <c r="A1048" s="11" t="s">
        <v>2495</v>
      </c>
      <c r="B1048" s="2" t="s">
        <v>6232</v>
      </c>
      <c r="C1048" s="2"/>
      <c r="D1048" s="2" t="s">
        <v>6232</v>
      </c>
      <c r="E1048" s="1"/>
      <c r="F1048" s="29">
        <v>0</v>
      </c>
      <c r="G1048" s="1"/>
      <c r="H1048" s="29">
        <v>0</v>
      </c>
      <c r="I1048" s="1"/>
      <c r="J1048" s="29">
        <v>0</v>
      </c>
      <c r="K1048" s="29">
        <f t="shared" si="127"/>
        <v>0</v>
      </c>
      <c r="L1048" s="29">
        <f t="shared" si="126"/>
        <v>0</v>
      </c>
      <c r="M1048" s="20" t="s">
        <v>6232</v>
      </c>
      <c r="N1048" t="s">
        <v>6232</v>
      </c>
      <c r="P1048" t="s">
        <v>5084</v>
      </c>
      <c r="Q1048" t="s">
        <v>6232</v>
      </c>
      <c r="R1048" t="s">
        <v>6232</v>
      </c>
    </row>
    <row r="1049" spans="1:61" ht="18.399999999999999" customHeight="1">
      <c r="A1049" s="11" t="s">
        <v>2395</v>
      </c>
      <c r="B1049" s="2" t="s">
        <v>6232</v>
      </c>
      <c r="C1049" s="2"/>
      <c r="D1049" s="2" t="s">
        <v>6232</v>
      </c>
      <c r="E1049" s="1"/>
      <c r="F1049" s="29">
        <v>0</v>
      </c>
      <c r="G1049" s="1"/>
      <c r="H1049" s="29">
        <v>0</v>
      </c>
      <c r="I1049" s="1"/>
      <c r="J1049" s="29">
        <v>0</v>
      </c>
      <c r="K1049" s="29">
        <f t="shared" si="127"/>
        <v>0</v>
      </c>
      <c r="L1049" s="29">
        <f t="shared" si="126"/>
        <v>0</v>
      </c>
      <c r="M1049" s="20" t="s">
        <v>6232</v>
      </c>
      <c r="N1049" t="s">
        <v>6232</v>
      </c>
      <c r="P1049" t="s">
        <v>3556</v>
      </c>
      <c r="Q1049" t="s">
        <v>6232</v>
      </c>
      <c r="R1049" t="s">
        <v>6232</v>
      </c>
    </row>
    <row r="1050" spans="1:61" ht="18.399999999999999" customHeight="1">
      <c r="A1050" s="11" t="s">
        <v>2395</v>
      </c>
      <c r="B1050" s="2" t="s">
        <v>99</v>
      </c>
      <c r="C1050" s="2">
        <v>1</v>
      </c>
      <c r="D1050" s="2" t="s">
        <v>1055</v>
      </c>
      <c r="E1050" s="29">
        <f>자재조서!E153</f>
        <v>379900</v>
      </c>
      <c r="F1050" s="29">
        <f t="shared" ref="F1050:F1081" si="128">TRUNC(E1050*C1050,0)</f>
        <v>379900</v>
      </c>
      <c r="G1050" s="29">
        <v>0</v>
      </c>
      <c r="H1050" s="29"/>
      <c r="I1050" s="29">
        <v>0</v>
      </c>
      <c r="J1050" s="29"/>
      <c r="K1050" s="29">
        <f t="shared" si="127"/>
        <v>379900</v>
      </c>
      <c r="L1050" s="29">
        <f t="shared" si="126"/>
        <v>379900</v>
      </c>
      <c r="M1050" s="20" t="s">
        <v>6232</v>
      </c>
      <c r="N1050" t="s">
        <v>6232</v>
      </c>
      <c r="P1050" t="s">
        <v>3157</v>
      </c>
      <c r="Q1050" t="s">
        <v>6232</v>
      </c>
      <c r="R1050" t="s">
        <v>5277</v>
      </c>
      <c r="BI1050" s="52" t="str">
        <f>HYPERLINK("#자재조서!A153","MV-4300-020020 →")</f>
        <v>MV-4300-020020 →</v>
      </c>
    </row>
    <row r="1051" spans="1:61" ht="18.399999999999999" customHeight="1">
      <c r="A1051" s="11" t="s">
        <v>2395</v>
      </c>
      <c r="B1051" s="2" t="s">
        <v>2786</v>
      </c>
      <c r="C1051" s="2">
        <v>1</v>
      </c>
      <c r="D1051" s="2" t="s">
        <v>1055</v>
      </c>
      <c r="E1051" s="29">
        <f>자재조서!E154</f>
        <v>387340</v>
      </c>
      <c r="F1051" s="29">
        <f t="shared" si="128"/>
        <v>387340</v>
      </c>
      <c r="G1051" s="29">
        <v>0</v>
      </c>
      <c r="H1051" s="29"/>
      <c r="I1051" s="29">
        <v>0</v>
      </c>
      <c r="J1051" s="29"/>
      <c r="K1051" s="29">
        <f t="shared" si="127"/>
        <v>387340</v>
      </c>
      <c r="L1051" s="29">
        <f t="shared" si="126"/>
        <v>387340</v>
      </c>
      <c r="M1051" s="20" t="s">
        <v>6232</v>
      </c>
      <c r="N1051" t="s">
        <v>6232</v>
      </c>
      <c r="P1051" t="s">
        <v>4705</v>
      </c>
      <c r="Q1051" t="s">
        <v>6232</v>
      </c>
      <c r="R1051" t="s">
        <v>5720</v>
      </c>
      <c r="BI1051" s="52" t="str">
        <f>HYPERLINK("#자재조서!A154","MV-4300-025020 →")</f>
        <v>MV-4300-025020 →</v>
      </c>
    </row>
    <row r="1052" spans="1:61" ht="18.399999999999999" customHeight="1">
      <c r="A1052" s="11" t="s">
        <v>2395</v>
      </c>
      <c r="B1052" s="2" t="s">
        <v>1180</v>
      </c>
      <c r="C1052" s="2">
        <v>1</v>
      </c>
      <c r="D1052" s="2" t="s">
        <v>1055</v>
      </c>
      <c r="E1052" s="29">
        <f>자재조서!E155</f>
        <v>396890</v>
      </c>
      <c r="F1052" s="29">
        <f t="shared" si="128"/>
        <v>396890</v>
      </c>
      <c r="G1052" s="29">
        <v>0</v>
      </c>
      <c r="H1052" s="29"/>
      <c r="I1052" s="29">
        <v>0</v>
      </c>
      <c r="J1052" s="29"/>
      <c r="K1052" s="29">
        <f t="shared" si="127"/>
        <v>396890</v>
      </c>
      <c r="L1052" s="29">
        <f t="shared" si="126"/>
        <v>396890</v>
      </c>
      <c r="M1052" s="20" t="s">
        <v>6232</v>
      </c>
      <c r="N1052" t="s">
        <v>6232</v>
      </c>
      <c r="P1052" t="s">
        <v>31</v>
      </c>
      <c r="Q1052" t="s">
        <v>6232</v>
      </c>
      <c r="R1052" t="s">
        <v>2418</v>
      </c>
      <c r="BI1052" s="52" t="str">
        <f>HYPERLINK("#자재조서!A155","MV-4300-025025 →")</f>
        <v>MV-4300-025025 →</v>
      </c>
    </row>
    <row r="1053" spans="1:61" ht="18.399999999999999" customHeight="1">
      <c r="A1053" s="11" t="s">
        <v>2395</v>
      </c>
      <c r="B1053" s="2" t="s">
        <v>4681</v>
      </c>
      <c r="C1053" s="2">
        <v>1</v>
      </c>
      <c r="D1053" s="2" t="s">
        <v>1055</v>
      </c>
      <c r="E1053" s="29">
        <f>자재조서!E156</f>
        <v>399690</v>
      </c>
      <c r="F1053" s="29">
        <f t="shared" si="128"/>
        <v>399690</v>
      </c>
      <c r="G1053" s="29">
        <v>0</v>
      </c>
      <c r="H1053" s="29"/>
      <c r="I1053" s="29">
        <v>0</v>
      </c>
      <c r="J1053" s="29"/>
      <c r="K1053" s="29">
        <f t="shared" si="127"/>
        <v>399690</v>
      </c>
      <c r="L1053" s="29">
        <f t="shared" si="126"/>
        <v>399690</v>
      </c>
      <c r="M1053" s="20" t="s">
        <v>6232</v>
      </c>
      <c r="N1053" t="s">
        <v>6232</v>
      </c>
      <c r="P1053" t="s">
        <v>1529</v>
      </c>
      <c r="Q1053" t="s">
        <v>6232</v>
      </c>
      <c r="R1053" t="s">
        <v>5493</v>
      </c>
      <c r="BI1053" s="52" t="str">
        <f>HYPERLINK("#자재조서!A156","MV-4300-032020 →")</f>
        <v>MV-4300-032020 →</v>
      </c>
    </row>
    <row r="1054" spans="1:61" ht="18.399999999999999" customHeight="1">
      <c r="A1054" s="11" t="s">
        <v>2395</v>
      </c>
      <c r="B1054" s="2" t="s">
        <v>3195</v>
      </c>
      <c r="C1054" s="2">
        <v>1</v>
      </c>
      <c r="D1054" s="2" t="s">
        <v>1055</v>
      </c>
      <c r="E1054" s="29">
        <f>자재조서!E157</f>
        <v>409240</v>
      </c>
      <c r="F1054" s="29">
        <f t="shared" si="128"/>
        <v>409240</v>
      </c>
      <c r="G1054" s="29">
        <v>0</v>
      </c>
      <c r="H1054" s="29"/>
      <c r="I1054" s="29">
        <v>0</v>
      </c>
      <c r="J1054" s="29"/>
      <c r="K1054" s="29">
        <f t="shared" si="127"/>
        <v>409240</v>
      </c>
      <c r="L1054" s="29">
        <f t="shared" si="126"/>
        <v>409240</v>
      </c>
      <c r="M1054" s="20" t="s">
        <v>6232</v>
      </c>
      <c r="N1054" t="s">
        <v>6232</v>
      </c>
      <c r="P1054" t="s">
        <v>3272</v>
      </c>
      <c r="Q1054" t="s">
        <v>6232</v>
      </c>
      <c r="R1054" t="s">
        <v>2642</v>
      </c>
      <c r="BI1054" s="52" t="str">
        <f>HYPERLINK("#자재조서!A157","MV-4300-032025 →")</f>
        <v>MV-4300-032025 →</v>
      </c>
    </row>
    <row r="1055" spans="1:61" ht="18.399999999999999" customHeight="1">
      <c r="A1055" s="11" t="s">
        <v>2395</v>
      </c>
      <c r="B1055" s="2" t="s">
        <v>2788</v>
      </c>
      <c r="C1055" s="2">
        <v>1</v>
      </c>
      <c r="D1055" s="2" t="s">
        <v>1055</v>
      </c>
      <c r="E1055" s="29">
        <f>자재조서!E158</f>
        <v>424830</v>
      </c>
      <c r="F1055" s="29">
        <f t="shared" si="128"/>
        <v>424830</v>
      </c>
      <c r="G1055" s="29">
        <v>0</v>
      </c>
      <c r="H1055" s="29"/>
      <c r="I1055" s="29">
        <v>0</v>
      </c>
      <c r="J1055" s="29"/>
      <c r="K1055" s="29">
        <f t="shared" si="127"/>
        <v>424830</v>
      </c>
      <c r="L1055" s="29">
        <f t="shared" si="126"/>
        <v>424830</v>
      </c>
      <c r="M1055" s="20" t="s">
        <v>6232</v>
      </c>
      <c r="N1055" t="s">
        <v>6232</v>
      </c>
      <c r="P1055" t="s">
        <v>4818</v>
      </c>
      <c r="Q1055" t="s">
        <v>6232</v>
      </c>
      <c r="R1055" t="s">
        <v>3472</v>
      </c>
      <c r="BI1055" s="52" t="str">
        <f>HYPERLINK("#자재조서!A158","MV-4300-032032 →")</f>
        <v>MV-4300-032032 →</v>
      </c>
    </row>
    <row r="1056" spans="1:61" ht="18.399999999999999" customHeight="1">
      <c r="A1056" s="11" t="s">
        <v>2395</v>
      </c>
      <c r="B1056" s="2" t="s">
        <v>621</v>
      </c>
      <c r="C1056" s="2">
        <v>1</v>
      </c>
      <c r="D1056" s="2" t="s">
        <v>1055</v>
      </c>
      <c r="E1056" s="29">
        <f>자재조서!E159</f>
        <v>410930</v>
      </c>
      <c r="F1056" s="29">
        <f t="shared" si="128"/>
        <v>410930</v>
      </c>
      <c r="G1056" s="29">
        <v>0</v>
      </c>
      <c r="H1056" s="29"/>
      <c r="I1056" s="29">
        <v>0</v>
      </c>
      <c r="J1056" s="29"/>
      <c r="K1056" s="29">
        <f t="shared" si="127"/>
        <v>410930</v>
      </c>
      <c r="L1056" s="29">
        <f t="shared" si="126"/>
        <v>410930</v>
      </c>
      <c r="M1056" s="20" t="s">
        <v>6232</v>
      </c>
      <c r="N1056" t="s">
        <v>6232</v>
      </c>
      <c r="P1056" t="s">
        <v>122</v>
      </c>
      <c r="Q1056" t="s">
        <v>6232</v>
      </c>
      <c r="R1056" t="s">
        <v>2922</v>
      </c>
      <c r="BI1056" s="52" t="str">
        <f>HYPERLINK("#자재조서!A159","MV-4300-040020 →")</f>
        <v>MV-4300-040020 →</v>
      </c>
    </row>
    <row r="1057" spans="1:61" ht="18.399999999999999" customHeight="1">
      <c r="A1057" s="11" t="s">
        <v>2395</v>
      </c>
      <c r="B1057" s="2" t="s">
        <v>2223</v>
      </c>
      <c r="C1057" s="2">
        <v>1</v>
      </c>
      <c r="D1057" s="2" t="s">
        <v>1055</v>
      </c>
      <c r="E1057" s="29">
        <f>자재조서!E160</f>
        <v>420790</v>
      </c>
      <c r="F1057" s="29">
        <f t="shared" si="128"/>
        <v>420790</v>
      </c>
      <c r="G1057" s="29">
        <v>0</v>
      </c>
      <c r="H1057" s="29"/>
      <c r="I1057" s="29">
        <v>0</v>
      </c>
      <c r="J1057" s="29"/>
      <c r="K1057" s="29">
        <f t="shared" si="127"/>
        <v>420790</v>
      </c>
      <c r="L1057" s="29">
        <f t="shared" si="126"/>
        <v>420790</v>
      </c>
      <c r="M1057" s="20" t="s">
        <v>6232</v>
      </c>
      <c r="N1057" t="s">
        <v>6232</v>
      </c>
      <c r="P1057" t="s">
        <v>1629</v>
      </c>
      <c r="Q1057" t="s">
        <v>6232</v>
      </c>
      <c r="R1057" t="s">
        <v>5978</v>
      </c>
      <c r="BI1057" s="52" t="str">
        <f>HYPERLINK("#자재조서!A160","MV-4300-040025 →")</f>
        <v>MV-4300-040025 →</v>
      </c>
    </row>
    <row r="1058" spans="1:61" ht="18.399999999999999" customHeight="1">
      <c r="A1058" s="11" t="s">
        <v>2395</v>
      </c>
      <c r="B1058" s="2" t="s">
        <v>4190</v>
      </c>
      <c r="C1058" s="2">
        <v>1</v>
      </c>
      <c r="D1058" s="2" t="s">
        <v>1055</v>
      </c>
      <c r="E1058" s="29">
        <f>자재조서!E161</f>
        <v>436280</v>
      </c>
      <c r="F1058" s="29">
        <f t="shared" si="128"/>
        <v>436280</v>
      </c>
      <c r="G1058" s="29">
        <v>0</v>
      </c>
      <c r="H1058" s="29"/>
      <c r="I1058" s="29">
        <v>0</v>
      </c>
      <c r="J1058" s="29"/>
      <c r="K1058" s="29">
        <f t="shared" si="127"/>
        <v>436280</v>
      </c>
      <c r="L1058" s="29">
        <f t="shared" si="126"/>
        <v>436280</v>
      </c>
      <c r="M1058" s="20" t="s">
        <v>6232</v>
      </c>
      <c r="N1058" t="s">
        <v>6232</v>
      </c>
      <c r="P1058" t="s">
        <v>3374</v>
      </c>
      <c r="Q1058" t="s">
        <v>6232</v>
      </c>
      <c r="R1058" t="s">
        <v>501</v>
      </c>
      <c r="BI1058" s="52" t="str">
        <f>HYPERLINK("#자재조서!A161","MV-4300-040032 →")</f>
        <v>MV-4300-040032 →</v>
      </c>
    </row>
    <row r="1059" spans="1:61" ht="18.399999999999999" customHeight="1">
      <c r="A1059" s="11" t="s">
        <v>2395</v>
      </c>
      <c r="B1059" s="2" t="s">
        <v>4159</v>
      </c>
      <c r="C1059" s="2">
        <v>1</v>
      </c>
      <c r="D1059" s="2" t="s">
        <v>1055</v>
      </c>
      <c r="E1059" s="29">
        <f>자재조서!E162</f>
        <v>450440</v>
      </c>
      <c r="F1059" s="29">
        <f t="shared" si="128"/>
        <v>450440</v>
      </c>
      <c r="G1059" s="29">
        <v>0</v>
      </c>
      <c r="H1059" s="29"/>
      <c r="I1059" s="29">
        <v>0</v>
      </c>
      <c r="J1059" s="29"/>
      <c r="K1059" s="29">
        <f t="shared" si="127"/>
        <v>450440</v>
      </c>
      <c r="L1059" s="29">
        <f t="shared" si="126"/>
        <v>450440</v>
      </c>
      <c r="M1059" s="20" t="s">
        <v>6232</v>
      </c>
      <c r="N1059" t="s">
        <v>6232</v>
      </c>
      <c r="P1059" t="s">
        <v>4913</v>
      </c>
      <c r="Q1059" t="s">
        <v>6232</v>
      </c>
      <c r="R1059" t="s">
        <v>6212</v>
      </c>
      <c r="BI1059" s="52" t="str">
        <f>HYPERLINK("#자재조서!A162","MV-4300-040040 →")</f>
        <v>MV-4300-040040 →</v>
      </c>
    </row>
    <row r="1060" spans="1:61" ht="18.399999999999999" customHeight="1">
      <c r="A1060" s="11" t="s">
        <v>2395</v>
      </c>
      <c r="B1060" s="2" t="s">
        <v>4555</v>
      </c>
      <c r="C1060" s="2">
        <v>1</v>
      </c>
      <c r="D1060" s="2" t="s">
        <v>1055</v>
      </c>
      <c r="E1060" s="29">
        <f>자재조서!E163</f>
        <v>431130</v>
      </c>
      <c r="F1060" s="29">
        <f t="shared" si="128"/>
        <v>431130</v>
      </c>
      <c r="G1060" s="29">
        <v>0</v>
      </c>
      <c r="H1060" s="29"/>
      <c r="I1060" s="29">
        <v>0</v>
      </c>
      <c r="J1060" s="29"/>
      <c r="K1060" s="29">
        <f t="shared" si="127"/>
        <v>431130</v>
      </c>
      <c r="L1060" s="29">
        <f t="shared" si="126"/>
        <v>431130</v>
      </c>
      <c r="M1060" s="20" t="s">
        <v>6232</v>
      </c>
      <c r="N1060" t="s">
        <v>6232</v>
      </c>
      <c r="P1060" t="s">
        <v>4370</v>
      </c>
      <c r="Q1060" t="s">
        <v>6232</v>
      </c>
      <c r="R1060" t="s">
        <v>4888</v>
      </c>
      <c r="BI1060" s="52" t="str">
        <f>HYPERLINK("#자재조서!A163","MV-4300-050020 →")</f>
        <v>MV-4300-050020 →</v>
      </c>
    </row>
    <row r="1061" spans="1:61" ht="18.399999999999999" customHeight="1">
      <c r="A1061" s="11" t="s">
        <v>2395</v>
      </c>
      <c r="B1061" s="2" t="s">
        <v>6056</v>
      </c>
      <c r="C1061" s="2">
        <v>1</v>
      </c>
      <c r="D1061" s="2" t="s">
        <v>1055</v>
      </c>
      <c r="E1061" s="29">
        <f>자재조서!E164</f>
        <v>440680</v>
      </c>
      <c r="F1061" s="29">
        <f t="shared" si="128"/>
        <v>440680</v>
      </c>
      <c r="G1061" s="29">
        <v>0</v>
      </c>
      <c r="H1061" s="29"/>
      <c r="I1061" s="29">
        <v>0</v>
      </c>
      <c r="J1061" s="29"/>
      <c r="K1061" s="29">
        <f t="shared" si="127"/>
        <v>440680</v>
      </c>
      <c r="L1061" s="29">
        <f t="shared" si="126"/>
        <v>440680</v>
      </c>
      <c r="M1061" s="20" t="s">
        <v>6232</v>
      </c>
      <c r="N1061" t="s">
        <v>6232</v>
      </c>
      <c r="P1061" t="s">
        <v>5953</v>
      </c>
      <c r="Q1061" t="s">
        <v>6232</v>
      </c>
      <c r="R1061" t="s">
        <v>1668</v>
      </c>
      <c r="BI1061" s="52" t="str">
        <f>HYPERLINK("#자재조서!A164","MV-4300-050025 →")</f>
        <v>MV-4300-050025 →</v>
      </c>
    </row>
    <row r="1062" spans="1:61" ht="18.399999999999999" customHeight="1">
      <c r="A1062" s="11" t="s">
        <v>2395</v>
      </c>
      <c r="B1062" s="2" t="s">
        <v>217</v>
      </c>
      <c r="C1062" s="2">
        <v>1</v>
      </c>
      <c r="D1062" s="2" t="s">
        <v>1055</v>
      </c>
      <c r="E1062" s="29">
        <f>자재조서!E165</f>
        <v>456180</v>
      </c>
      <c r="F1062" s="29">
        <f t="shared" si="128"/>
        <v>456180</v>
      </c>
      <c r="G1062" s="29">
        <v>0</v>
      </c>
      <c r="H1062" s="29"/>
      <c r="I1062" s="29">
        <v>0</v>
      </c>
      <c r="J1062" s="29"/>
      <c r="K1062" s="29">
        <f t="shared" si="127"/>
        <v>456180</v>
      </c>
      <c r="L1062" s="29">
        <f t="shared" si="126"/>
        <v>456180</v>
      </c>
      <c r="M1062" s="20" t="s">
        <v>6232</v>
      </c>
      <c r="N1062" t="s">
        <v>6232</v>
      </c>
      <c r="P1062" t="s">
        <v>1294</v>
      </c>
      <c r="Q1062" t="s">
        <v>6232</v>
      </c>
      <c r="R1062" t="s">
        <v>4011</v>
      </c>
      <c r="BI1062" s="52" t="str">
        <f>HYPERLINK("#자재조서!A165","MV-4300-050032 →")</f>
        <v>MV-4300-050032 →</v>
      </c>
    </row>
    <row r="1063" spans="1:61" ht="18.399999999999999" customHeight="1">
      <c r="A1063" s="11" t="s">
        <v>2395</v>
      </c>
      <c r="B1063" s="2" t="s">
        <v>331</v>
      </c>
      <c r="C1063" s="2">
        <v>1</v>
      </c>
      <c r="D1063" s="2" t="s">
        <v>1055</v>
      </c>
      <c r="E1063" s="29">
        <f>자재조서!E166</f>
        <v>470560</v>
      </c>
      <c r="F1063" s="29">
        <f t="shared" si="128"/>
        <v>470560</v>
      </c>
      <c r="G1063" s="29">
        <v>0</v>
      </c>
      <c r="H1063" s="29"/>
      <c r="I1063" s="29">
        <v>0</v>
      </c>
      <c r="J1063" s="29"/>
      <c r="K1063" s="29">
        <f t="shared" si="127"/>
        <v>470560</v>
      </c>
      <c r="L1063" s="29">
        <f t="shared" si="126"/>
        <v>470560</v>
      </c>
      <c r="M1063" s="20" t="s">
        <v>6232</v>
      </c>
      <c r="N1063" t="s">
        <v>6232</v>
      </c>
      <c r="P1063" t="s">
        <v>2864</v>
      </c>
      <c r="Q1063" t="s">
        <v>6232</v>
      </c>
      <c r="R1063" t="s">
        <v>1890</v>
      </c>
      <c r="BI1063" s="52" t="str">
        <f>HYPERLINK("#자재조서!A166","MV-4300-050040 →")</f>
        <v>MV-4300-050040 →</v>
      </c>
    </row>
    <row r="1064" spans="1:61" ht="18.399999999999999" customHeight="1">
      <c r="A1064" s="11" t="s">
        <v>2395</v>
      </c>
      <c r="B1064" s="2" t="s">
        <v>1373</v>
      </c>
      <c r="C1064" s="2">
        <v>1</v>
      </c>
      <c r="D1064" s="2" t="s">
        <v>1055</v>
      </c>
      <c r="E1064" s="29">
        <f>자재조서!E167</f>
        <v>491520</v>
      </c>
      <c r="F1064" s="29">
        <f t="shared" si="128"/>
        <v>491520</v>
      </c>
      <c r="G1064" s="29">
        <v>0</v>
      </c>
      <c r="H1064" s="29"/>
      <c r="I1064" s="29">
        <v>0</v>
      </c>
      <c r="J1064" s="29"/>
      <c r="K1064" s="29">
        <f t="shared" si="127"/>
        <v>491520</v>
      </c>
      <c r="L1064" s="29">
        <f t="shared" si="126"/>
        <v>491520</v>
      </c>
      <c r="M1064" s="20" t="s">
        <v>6232</v>
      </c>
      <c r="N1064" t="s">
        <v>6232</v>
      </c>
      <c r="P1064" t="s">
        <v>4288</v>
      </c>
      <c r="Q1064" t="s">
        <v>6232</v>
      </c>
      <c r="R1064" t="s">
        <v>307</v>
      </c>
      <c r="BI1064" s="52" t="str">
        <f>HYPERLINK("#자재조서!A167","MV-4300-050050 →")</f>
        <v>MV-4300-050050 →</v>
      </c>
    </row>
    <row r="1065" spans="1:61" ht="18.399999999999999" customHeight="1">
      <c r="A1065" s="11" t="s">
        <v>2395</v>
      </c>
      <c r="B1065" s="2" t="s">
        <v>2370</v>
      </c>
      <c r="C1065" s="2">
        <v>1</v>
      </c>
      <c r="D1065" s="2" t="s">
        <v>1055</v>
      </c>
      <c r="E1065" s="29">
        <f>자재조서!E168</f>
        <v>516550</v>
      </c>
      <c r="F1065" s="29">
        <f t="shared" si="128"/>
        <v>516550</v>
      </c>
      <c r="G1065" s="29">
        <v>0</v>
      </c>
      <c r="H1065" s="29"/>
      <c r="I1065" s="29">
        <v>0</v>
      </c>
      <c r="J1065" s="29"/>
      <c r="K1065" s="29">
        <f t="shared" si="127"/>
        <v>516550</v>
      </c>
      <c r="L1065" s="29">
        <f t="shared" si="126"/>
        <v>516550</v>
      </c>
      <c r="M1065" s="20" t="s">
        <v>6232</v>
      </c>
      <c r="N1065" t="s">
        <v>6232</v>
      </c>
      <c r="P1065" t="s">
        <v>5861</v>
      </c>
      <c r="Q1065" t="s">
        <v>6232</v>
      </c>
      <c r="R1065" t="s">
        <v>1034</v>
      </c>
      <c r="BI1065" s="52" t="str">
        <f>HYPERLINK("#자재조서!A168","MV-4300-065020 →")</f>
        <v>MV-4300-065020 →</v>
      </c>
    </row>
    <row r="1066" spans="1:61" ht="18.399999999999999" customHeight="1">
      <c r="A1066" s="11" t="s">
        <v>2395</v>
      </c>
      <c r="B1066" s="2" t="s">
        <v>955</v>
      </c>
      <c r="C1066" s="2">
        <v>1</v>
      </c>
      <c r="D1066" s="2" t="s">
        <v>1055</v>
      </c>
      <c r="E1066" s="29">
        <f>자재조서!E169</f>
        <v>530980</v>
      </c>
      <c r="F1066" s="29">
        <f t="shared" si="128"/>
        <v>530980</v>
      </c>
      <c r="G1066" s="29">
        <v>0</v>
      </c>
      <c r="H1066" s="29"/>
      <c r="I1066" s="29">
        <v>0</v>
      </c>
      <c r="J1066" s="29"/>
      <c r="K1066" s="29">
        <f t="shared" si="127"/>
        <v>530980</v>
      </c>
      <c r="L1066" s="29">
        <f t="shared" si="126"/>
        <v>530980</v>
      </c>
      <c r="M1066" s="20" t="s">
        <v>6232</v>
      </c>
      <c r="N1066" t="s">
        <v>6232</v>
      </c>
      <c r="P1066" t="s">
        <v>1223</v>
      </c>
      <c r="Q1066" t="s">
        <v>6232</v>
      </c>
      <c r="R1066" t="s">
        <v>4007</v>
      </c>
      <c r="BI1066" s="52" t="str">
        <f>HYPERLINK("#자재조서!A169","MV-4300-065025 →")</f>
        <v>MV-4300-065025 →</v>
      </c>
    </row>
    <row r="1067" spans="1:61" ht="18.399999999999999" customHeight="1">
      <c r="A1067" s="11" t="s">
        <v>2395</v>
      </c>
      <c r="B1067" s="2" t="s">
        <v>5226</v>
      </c>
      <c r="C1067" s="2">
        <v>1</v>
      </c>
      <c r="D1067" s="2" t="s">
        <v>1055</v>
      </c>
      <c r="E1067" s="29">
        <f>자재조서!E170</f>
        <v>553230</v>
      </c>
      <c r="F1067" s="29">
        <f t="shared" si="128"/>
        <v>553230</v>
      </c>
      <c r="G1067" s="29">
        <v>0</v>
      </c>
      <c r="H1067" s="29"/>
      <c r="I1067" s="29">
        <v>0</v>
      </c>
      <c r="J1067" s="29"/>
      <c r="K1067" s="29">
        <f t="shared" si="127"/>
        <v>553230</v>
      </c>
      <c r="L1067" s="29">
        <f t="shared" si="126"/>
        <v>553230</v>
      </c>
      <c r="M1067" s="20" t="s">
        <v>6232</v>
      </c>
      <c r="N1067" t="s">
        <v>6232</v>
      </c>
      <c r="P1067" t="s">
        <v>2776</v>
      </c>
      <c r="Q1067" t="s">
        <v>6232</v>
      </c>
      <c r="R1067" t="s">
        <v>1676</v>
      </c>
      <c r="BI1067" s="52" t="str">
        <f>HYPERLINK("#자재조서!A170","MV-4300-065032 →")</f>
        <v>MV-4300-065032 →</v>
      </c>
    </row>
    <row r="1068" spans="1:61" ht="18.399999999999999" customHeight="1">
      <c r="A1068" s="11" t="s">
        <v>2395</v>
      </c>
      <c r="B1068" s="2" t="s">
        <v>5035</v>
      </c>
      <c r="C1068" s="2">
        <v>1</v>
      </c>
      <c r="D1068" s="2" t="s">
        <v>1055</v>
      </c>
      <c r="E1068" s="29">
        <f>자재조서!E171</f>
        <v>511650</v>
      </c>
      <c r="F1068" s="29">
        <f t="shared" si="128"/>
        <v>511650</v>
      </c>
      <c r="G1068" s="29">
        <v>0</v>
      </c>
      <c r="H1068" s="29"/>
      <c r="I1068" s="29">
        <v>0</v>
      </c>
      <c r="J1068" s="29"/>
      <c r="K1068" s="29">
        <f t="shared" si="127"/>
        <v>511650</v>
      </c>
      <c r="L1068" s="29">
        <f t="shared" si="126"/>
        <v>511650</v>
      </c>
      <c r="M1068" s="20" t="s">
        <v>6232</v>
      </c>
      <c r="N1068" t="s">
        <v>6232</v>
      </c>
      <c r="P1068" t="s">
        <v>4565</v>
      </c>
      <c r="Q1068" t="s">
        <v>6232</v>
      </c>
      <c r="R1068" t="s">
        <v>4218</v>
      </c>
      <c r="BI1068" s="52" t="str">
        <f>HYPERLINK("#자재조서!A171","MV-4300-065040 →")</f>
        <v>MV-4300-065040 →</v>
      </c>
    </row>
    <row r="1069" spans="1:61" ht="18.399999999999999" customHeight="1">
      <c r="A1069" s="11" t="s">
        <v>2395</v>
      </c>
      <c r="B1069" s="2" t="s">
        <v>5626</v>
      </c>
      <c r="C1069" s="2">
        <v>1</v>
      </c>
      <c r="D1069" s="2" t="s">
        <v>1055</v>
      </c>
      <c r="E1069" s="29">
        <f>자재조서!E172</f>
        <v>534410</v>
      </c>
      <c r="F1069" s="29">
        <f t="shared" si="128"/>
        <v>534410</v>
      </c>
      <c r="G1069" s="29">
        <v>0</v>
      </c>
      <c r="H1069" s="29"/>
      <c r="I1069" s="29">
        <v>0</v>
      </c>
      <c r="J1069" s="29"/>
      <c r="K1069" s="29">
        <f t="shared" si="127"/>
        <v>534410</v>
      </c>
      <c r="L1069" s="29">
        <f t="shared" si="126"/>
        <v>534410</v>
      </c>
      <c r="M1069" s="20" t="s">
        <v>6232</v>
      </c>
      <c r="N1069" t="s">
        <v>6232</v>
      </c>
      <c r="P1069" t="s">
        <v>6177</v>
      </c>
      <c r="Q1069" t="s">
        <v>6232</v>
      </c>
      <c r="R1069" t="s">
        <v>5745</v>
      </c>
      <c r="BI1069" s="52" t="str">
        <f>HYPERLINK("#자재조서!A172","MV-4300-065050 →")</f>
        <v>MV-4300-065050 →</v>
      </c>
    </row>
    <row r="1070" spans="1:61" ht="18.399999999999999" customHeight="1">
      <c r="A1070" s="11" t="s">
        <v>2395</v>
      </c>
      <c r="B1070" s="2" t="s">
        <v>6106</v>
      </c>
      <c r="C1070" s="2">
        <v>1</v>
      </c>
      <c r="D1070" s="2" t="s">
        <v>1055</v>
      </c>
      <c r="E1070" s="29">
        <f>자재조서!E173</f>
        <v>594260</v>
      </c>
      <c r="F1070" s="29">
        <f t="shared" si="128"/>
        <v>594260</v>
      </c>
      <c r="G1070" s="29">
        <v>0</v>
      </c>
      <c r="H1070" s="29"/>
      <c r="I1070" s="29">
        <v>0</v>
      </c>
      <c r="J1070" s="29"/>
      <c r="K1070" s="29">
        <f t="shared" si="127"/>
        <v>594260</v>
      </c>
      <c r="L1070" s="29">
        <f t="shared" si="126"/>
        <v>594260</v>
      </c>
      <c r="M1070" s="20" t="s">
        <v>6232</v>
      </c>
      <c r="N1070" t="s">
        <v>6232</v>
      </c>
      <c r="P1070" t="s">
        <v>3308</v>
      </c>
      <c r="Q1070" t="s">
        <v>6232</v>
      </c>
      <c r="R1070" t="s">
        <v>3873</v>
      </c>
      <c r="BI1070" s="52" t="str">
        <f>HYPERLINK("#자재조서!A173","MV-4300-065065 →")</f>
        <v>MV-4300-065065 →</v>
      </c>
    </row>
    <row r="1071" spans="1:61" ht="18.399999999999999" customHeight="1">
      <c r="A1071" s="11" t="s">
        <v>2395</v>
      </c>
      <c r="B1071" s="2" t="s">
        <v>2373</v>
      </c>
      <c r="C1071" s="2">
        <v>1</v>
      </c>
      <c r="D1071" s="2" t="s">
        <v>1055</v>
      </c>
      <c r="E1071" s="29">
        <f>자재조서!E174</f>
        <v>538980</v>
      </c>
      <c r="F1071" s="29">
        <f t="shared" si="128"/>
        <v>538980</v>
      </c>
      <c r="G1071" s="29">
        <v>0</v>
      </c>
      <c r="H1071" s="29"/>
      <c r="I1071" s="29">
        <v>0</v>
      </c>
      <c r="J1071" s="29"/>
      <c r="K1071" s="29">
        <f t="shared" si="127"/>
        <v>538980</v>
      </c>
      <c r="L1071" s="29">
        <f t="shared" si="126"/>
        <v>538980</v>
      </c>
      <c r="M1071" s="20" t="s">
        <v>6232</v>
      </c>
      <c r="N1071" t="s">
        <v>6232</v>
      </c>
      <c r="P1071" t="s">
        <v>4846</v>
      </c>
      <c r="Q1071" t="s">
        <v>6232</v>
      </c>
      <c r="R1071" t="s">
        <v>2897</v>
      </c>
      <c r="BI1071" s="52" t="str">
        <f>HYPERLINK("#자재조서!A174","MV-4300-080020 →")</f>
        <v>MV-4300-080020 →</v>
      </c>
    </row>
    <row r="1072" spans="1:61" ht="18.399999999999999" customHeight="1">
      <c r="A1072" s="11" t="s">
        <v>2395</v>
      </c>
      <c r="B1072" s="2" t="s">
        <v>953</v>
      </c>
      <c r="C1072" s="2">
        <v>1</v>
      </c>
      <c r="D1072" s="2" t="s">
        <v>1055</v>
      </c>
      <c r="E1072" s="29">
        <f>자재조서!E175</f>
        <v>553410</v>
      </c>
      <c r="F1072" s="29">
        <f t="shared" si="128"/>
        <v>553410</v>
      </c>
      <c r="G1072" s="29">
        <v>0</v>
      </c>
      <c r="H1072" s="29"/>
      <c r="I1072" s="29">
        <v>0</v>
      </c>
      <c r="J1072" s="29"/>
      <c r="K1072" s="29">
        <f t="shared" si="127"/>
        <v>553410</v>
      </c>
      <c r="L1072" s="29">
        <f t="shared" si="126"/>
        <v>553410</v>
      </c>
      <c r="M1072" s="20" t="s">
        <v>6232</v>
      </c>
      <c r="N1072" t="s">
        <v>6232</v>
      </c>
      <c r="P1072" t="s">
        <v>250</v>
      </c>
      <c r="Q1072" t="s">
        <v>6232</v>
      </c>
      <c r="R1072" t="s">
        <v>6014</v>
      </c>
      <c r="BI1072" s="52" t="str">
        <f>HYPERLINK("#자재조서!A175","MV-4300-080025 →")</f>
        <v>MV-4300-080025 →</v>
      </c>
    </row>
    <row r="1073" spans="1:61" ht="18.399999999999999" customHeight="1">
      <c r="A1073" s="11" t="s">
        <v>2395</v>
      </c>
      <c r="B1073" s="2" t="s">
        <v>5228</v>
      </c>
      <c r="C1073" s="2">
        <v>1</v>
      </c>
      <c r="D1073" s="2" t="s">
        <v>1055</v>
      </c>
      <c r="E1073" s="29">
        <f>자재조서!E176</f>
        <v>575640</v>
      </c>
      <c r="F1073" s="29">
        <f t="shared" si="128"/>
        <v>575640</v>
      </c>
      <c r="G1073" s="29">
        <v>0</v>
      </c>
      <c r="H1073" s="29"/>
      <c r="I1073" s="29">
        <v>0</v>
      </c>
      <c r="J1073" s="29"/>
      <c r="K1073" s="29">
        <f t="shared" si="127"/>
        <v>575640</v>
      </c>
      <c r="L1073" s="29">
        <f t="shared" si="126"/>
        <v>575640</v>
      </c>
      <c r="M1073" s="20" t="s">
        <v>6232</v>
      </c>
      <c r="N1073" t="s">
        <v>6232</v>
      </c>
      <c r="P1073" t="s">
        <v>1764</v>
      </c>
      <c r="Q1073" t="s">
        <v>6232</v>
      </c>
      <c r="R1073" t="s">
        <v>514</v>
      </c>
      <c r="BI1073" s="52" t="str">
        <f>HYPERLINK("#자재조서!A176","MV-4300-080032 →")</f>
        <v>MV-4300-080032 →</v>
      </c>
    </row>
    <row r="1074" spans="1:61" ht="18.399999999999999" customHeight="1">
      <c r="A1074" s="11" t="s">
        <v>2395</v>
      </c>
      <c r="B1074" s="2" t="s">
        <v>5052</v>
      </c>
      <c r="C1074" s="2">
        <v>1</v>
      </c>
      <c r="D1074" s="2" t="s">
        <v>1055</v>
      </c>
      <c r="E1074" s="29">
        <f>자재조서!E177</f>
        <v>597880</v>
      </c>
      <c r="F1074" s="29">
        <f t="shared" si="128"/>
        <v>597880</v>
      </c>
      <c r="G1074" s="29">
        <v>0</v>
      </c>
      <c r="H1074" s="29"/>
      <c r="I1074" s="29">
        <v>0</v>
      </c>
      <c r="J1074" s="29"/>
      <c r="K1074" s="29">
        <f t="shared" si="127"/>
        <v>597880</v>
      </c>
      <c r="L1074" s="29">
        <f t="shared" si="126"/>
        <v>597880</v>
      </c>
      <c r="M1074" s="20" t="s">
        <v>6232</v>
      </c>
      <c r="N1074" t="s">
        <v>6232</v>
      </c>
      <c r="P1074" t="s">
        <v>3419</v>
      </c>
      <c r="Q1074" t="s">
        <v>6232</v>
      </c>
      <c r="R1074" t="s">
        <v>6202</v>
      </c>
      <c r="BI1074" s="52" t="str">
        <f>HYPERLINK("#자재조서!A177","MV-4300-080040 →")</f>
        <v>MV-4300-080040 →</v>
      </c>
    </row>
    <row r="1075" spans="1:61" ht="18.399999999999999" customHeight="1">
      <c r="A1075" s="11" t="s">
        <v>2395</v>
      </c>
      <c r="B1075" s="2" t="s">
        <v>5632</v>
      </c>
      <c r="C1075" s="2">
        <v>1</v>
      </c>
      <c r="D1075" s="2" t="s">
        <v>1055</v>
      </c>
      <c r="E1075" s="29">
        <f>자재조서!E178</f>
        <v>556820</v>
      </c>
      <c r="F1075" s="29">
        <f t="shared" si="128"/>
        <v>556820</v>
      </c>
      <c r="G1075" s="29">
        <v>0</v>
      </c>
      <c r="H1075" s="29"/>
      <c r="I1075" s="29">
        <v>0</v>
      </c>
      <c r="J1075" s="29"/>
      <c r="K1075" s="29">
        <f t="shared" si="127"/>
        <v>556820</v>
      </c>
      <c r="L1075" s="29">
        <f t="shared" si="126"/>
        <v>556820</v>
      </c>
      <c r="M1075" s="20" t="s">
        <v>6232</v>
      </c>
      <c r="N1075" t="s">
        <v>6232</v>
      </c>
      <c r="P1075" t="s">
        <v>4956</v>
      </c>
      <c r="Q1075" t="s">
        <v>6232</v>
      </c>
      <c r="R1075" t="s">
        <v>4637</v>
      </c>
      <c r="BI1075" s="52" t="str">
        <f>HYPERLINK("#자재조서!A178","MV-4300-080050 →")</f>
        <v>MV-4300-080050 →</v>
      </c>
    </row>
    <row r="1076" spans="1:61" ht="18.399999999999999" customHeight="1">
      <c r="A1076" s="11" t="s">
        <v>2395</v>
      </c>
      <c r="B1076" s="2" t="s">
        <v>6130</v>
      </c>
      <c r="C1076" s="2">
        <v>1</v>
      </c>
      <c r="D1076" s="2" t="s">
        <v>1055</v>
      </c>
      <c r="E1076" s="29">
        <f>자재조서!E179</f>
        <v>616420</v>
      </c>
      <c r="F1076" s="29">
        <f t="shared" si="128"/>
        <v>616420</v>
      </c>
      <c r="G1076" s="29">
        <v>0</v>
      </c>
      <c r="H1076" s="29"/>
      <c r="I1076" s="29">
        <v>0</v>
      </c>
      <c r="J1076" s="29"/>
      <c r="K1076" s="29">
        <f t="shared" si="127"/>
        <v>616420</v>
      </c>
      <c r="L1076" s="29">
        <f t="shared" si="126"/>
        <v>616420</v>
      </c>
      <c r="M1076" s="20" t="s">
        <v>6232</v>
      </c>
      <c r="N1076" t="s">
        <v>6232</v>
      </c>
      <c r="P1076" t="s">
        <v>357</v>
      </c>
      <c r="Q1076" t="s">
        <v>6232</v>
      </c>
      <c r="R1076" t="s">
        <v>5905</v>
      </c>
      <c r="BI1076" s="52" t="str">
        <f>HYPERLINK("#자재조서!A179","MV-4300-080065 →")</f>
        <v>MV-4300-080065 →</v>
      </c>
    </row>
    <row r="1077" spans="1:61" ht="18.399999999999999" customHeight="1">
      <c r="A1077" s="11" t="s">
        <v>2395</v>
      </c>
      <c r="B1077" s="2" t="s">
        <v>4367</v>
      </c>
      <c r="C1077" s="2">
        <v>1</v>
      </c>
      <c r="D1077" s="2" t="s">
        <v>1055</v>
      </c>
      <c r="E1077" s="29">
        <f>자재조서!E180</f>
        <v>651290</v>
      </c>
      <c r="F1077" s="29">
        <f t="shared" si="128"/>
        <v>651290</v>
      </c>
      <c r="G1077" s="29">
        <v>0</v>
      </c>
      <c r="H1077" s="29"/>
      <c r="I1077" s="29">
        <v>0</v>
      </c>
      <c r="J1077" s="29"/>
      <c r="K1077" s="29">
        <f t="shared" si="127"/>
        <v>651290</v>
      </c>
      <c r="L1077" s="29">
        <f t="shared" si="126"/>
        <v>651290</v>
      </c>
      <c r="M1077" s="20" t="s">
        <v>6232</v>
      </c>
      <c r="N1077" t="s">
        <v>6232</v>
      </c>
      <c r="P1077" t="s">
        <v>1872</v>
      </c>
      <c r="Q1077" t="s">
        <v>6232</v>
      </c>
      <c r="R1077" t="s">
        <v>5887</v>
      </c>
      <c r="BI1077" s="52" t="str">
        <f>HYPERLINK("#자재조서!A180","MV-4300-080080 →")</f>
        <v>MV-4300-080080 →</v>
      </c>
    </row>
    <row r="1078" spans="1:61" ht="18.399999999999999" customHeight="1">
      <c r="A1078" s="11" t="s">
        <v>2395</v>
      </c>
      <c r="B1078" s="2" t="s">
        <v>1265</v>
      </c>
      <c r="C1078" s="2">
        <v>1</v>
      </c>
      <c r="D1078" s="2" t="s">
        <v>1055</v>
      </c>
      <c r="E1078" s="29">
        <f>자재조서!E181</f>
        <v>643350</v>
      </c>
      <c r="F1078" s="29">
        <f t="shared" si="128"/>
        <v>643350</v>
      </c>
      <c r="G1078" s="29">
        <v>0</v>
      </c>
      <c r="H1078" s="29"/>
      <c r="I1078" s="29">
        <v>0</v>
      </c>
      <c r="J1078" s="29"/>
      <c r="K1078" s="29">
        <f t="shared" si="127"/>
        <v>643350</v>
      </c>
      <c r="L1078" s="29">
        <f t="shared" si="126"/>
        <v>643350</v>
      </c>
      <c r="M1078" s="20" t="s">
        <v>6232</v>
      </c>
      <c r="N1078" t="s">
        <v>6232</v>
      </c>
      <c r="P1078" t="s">
        <v>3113</v>
      </c>
      <c r="Q1078" t="s">
        <v>6232</v>
      </c>
      <c r="R1078" t="s">
        <v>694</v>
      </c>
      <c r="BI1078" s="52" t="str">
        <f>HYPERLINK("#자재조서!A181","MV-4300-100020 →")</f>
        <v>MV-4300-100020 →</v>
      </c>
    </row>
    <row r="1079" spans="1:61" ht="18.399999999999999" customHeight="1">
      <c r="A1079" s="11" t="s">
        <v>2395</v>
      </c>
      <c r="B1079" s="2" t="s">
        <v>2723</v>
      </c>
      <c r="C1079" s="2">
        <v>1</v>
      </c>
      <c r="D1079" s="2" t="s">
        <v>1055</v>
      </c>
      <c r="E1079" s="29">
        <f>자재조서!E182</f>
        <v>657960</v>
      </c>
      <c r="F1079" s="29">
        <f t="shared" si="128"/>
        <v>657960</v>
      </c>
      <c r="G1079" s="29">
        <v>0</v>
      </c>
      <c r="H1079" s="29"/>
      <c r="I1079" s="29">
        <v>0</v>
      </c>
      <c r="J1079" s="29"/>
      <c r="K1079" s="29">
        <f t="shared" si="127"/>
        <v>657960</v>
      </c>
      <c r="L1079" s="29">
        <f t="shared" si="126"/>
        <v>657960</v>
      </c>
      <c r="M1079" s="20" t="s">
        <v>6232</v>
      </c>
      <c r="N1079" t="s">
        <v>6232</v>
      </c>
      <c r="P1079" t="s">
        <v>4659</v>
      </c>
      <c r="Q1079" t="s">
        <v>6232</v>
      </c>
      <c r="R1079" t="s">
        <v>3554</v>
      </c>
      <c r="BI1079" s="52" t="str">
        <f>HYPERLINK("#자재조서!A182","MV-4300-100025 →")</f>
        <v>MV-4300-100025 →</v>
      </c>
    </row>
    <row r="1080" spans="1:61" ht="18.399999999999999" customHeight="1">
      <c r="A1080" s="11" t="s">
        <v>2395</v>
      </c>
      <c r="B1080" s="2" t="s">
        <v>3116</v>
      </c>
      <c r="C1080" s="2">
        <v>1</v>
      </c>
      <c r="D1080" s="2" t="s">
        <v>1055</v>
      </c>
      <c r="E1080" s="29">
        <f>자재조서!E183</f>
        <v>680860</v>
      </c>
      <c r="F1080" s="29">
        <f t="shared" si="128"/>
        <v>680860</v>
      </c>
      <c r="G1080" s="29">
        <v>0</v>
      </c>
      <c r="H1080" s="29"/>
      <c r="I1080" s="29">
        <v>0</v>
      </c>
      <c r="J1080" s="29"/>
      <c r="K1080" s="29">
        <f t="shared" si="127"/>
        <v>680860</v>
      </c>
      <c r="L1080" s="29">
        <f t="shared" si="126"/>
        <v>680860</v>
      </c>
      <c r="M1080" s="20" t="s">
        <v>6232</v>
      </c>
      <c r="N1080" t="s">
        <v>6232</v>
      </c>
      <c r="P1080" t="s">
        <v>4599</v>
      </c>
      <c r="Q1080" t="s">
        <v>6232</v>
      </c>
      <c r="R1080" t="s">
        <v>2731</v>
      </c>
      <c r="BI1080" s="52" t="str">
        <f>HYPERLINK("#자재조서!A183","MV-4300-100032 →")</f>
        <v>MV-4300-100032 →</v>
      </c>
    </row>
    <row r="1081" spans="1:61" ht="18.399999999999999" customHeight="1">
      <c r="A1081" s="11" t="s">
        <v>2395</v>
      </c>
      <c r="B1081" s="2" t="s">
        <v>3246</v>
      </c>
      <c r="C1081" s="2">
        <v>1</v>
      </c>
      <c r="D1081" s="2" t="s">
        <v>1055</v>
      </c>
      <c r="E1081" s="29">
        <f>자재조서!E184</f>
        <v>704050</v>
      </c>
      <c r="F1081" s="29">
        <f t="shared" si="128"/>
        <v>704050</v>
      </c>
      <c r="G1081" s="29">
        <v>0</v>
      </c>
      <c r="H1081" s="29"/>
      <c r="I1081" s="29">
        <v>0</v>
      </c>
      <c r="J1081" s="29"/>
      <c r="K1081" s="29">
        <f t="shared" si="127"/>
        <v>704050</v>
      </c>
      <c r="L1081" s="29">
        <f t="shared" si="126"/>
        <v>704050</v>
      </c>
      <c r="M1081" s="20" t="s">
        <v>6232</v>
      </c>
      <c r="N1081" t="s">
        <v>6232</v>
      </c>
      <c r="P1081" t="s">
        <v>6213</v>
      </c>
      <c r="Q1081" t="s">
        <v>6232</v>
      </c>
      <c r="R1081" t="s">
        <v>3745</v>
      </c>
      <c r="BI1081" s="52" t="str">
        <f>HYPERLINK("#자재조서!A184","MV-4300-100040 →")</f>
        <v>MV-4300-100040 →</v>
      </c>
    </row>
    <row r="1082" spans="1:61" ht="18.399999999999999" customHeight="1">
      <c r="A1082" s="11" t="s">
        <v>2395</v>
      </c>
      <c r="B1082" s="2" t="s">
        <v>4326</v>
      </c>
      <c r="C1082" s="2">
        <v>1</v>
      </c>
      <c r="D1082" s="2" t="s">
        <v>1055</v>
      </c>
      <c r="E1082" s="29">
        <f>자재조서!E185</f>
        <v>728390</v>
      </c>
      <c r="F1082" s="29">
        <f t="shared" ref="F1082:F1113" si="129">TRUNC(E1082*C1082,0)</f>
        <v>728390</v>
      </c>
      <c r="G1082" s="29">
        <v>0</v>
      </c>
      <c r="H1082" s="29"/>
      <c r="I1082" s="29">
        <v>0</v>
      </c>
      <c r="J1082" s="29"/>
      <c r="K1082" s="29">
        <f t="shared" si="127"/>
        <v>728390</v>
      </c>
      <c r="L1082" s="29">
        <f t="shared" si="126"/>
        <v>728390</v>
      </c>
      <c r="M1082" s="20" t="s">
        <v>6232</v>
      </c>
      <c r="N1082" t="s">
        <v>6232</v>
      </c>
      <c r="P1082" t="s">
        <v>1440</v>
      </c>
      <c r="Q1082" t="s">
        <v>6232</v>
      </c>
      <c r="R1082" t="s">
        <v>5330</v>
      </c>
      <c r="BI1082" s="52" t="str">
        <f>HYPERLINK("#자재조서!A185","MV-4300-100050 →")</f>
        <v>MV-4300-100050 →</v>
      </c>
    </row>
    <row r="1083" spans="1:61" ht="18.399999999999999" customHeight="1">
      <c r="A1083" s="11" t="s">
        <v>2395</v>
      </c>
      <c r="B1083" s="2" t="s">
        <v>4217</v>
      </c>
      <c r="C1083" s="2">
        <v>1</v>
      </c>
      <c r="D1083" s="2" t="s">
        <v>1055</v>
      </c>
      <c r="E1083" s="29">
        <f>자재조서!E186</f>
        <v>720450</v>
      </c>
      <c r="F1083" s="29">
        <f t="shared" si="129"/>
        <v>720450</v>
      </c>
      <c r="G1083" s="29">
        <v>0</v>
      </c>
      <c r="H1083" s="29"/>
      <c r="I1083" s="29">
        <v>0</v>
      </c>
      <c r="J1083" s="29"/>
      <c r="K1083" s="29">
        <f t="shared" si="127"/>
        <v>720450</v>
      </c>
      <c r="L1083" s="29">
        <f t="shared" si="126"/>
        <v>720450</v>
      </c>
      <c r="M1083" s="20" t="s">
        <v>6232</v>
      </c>
      <c r="N1083" t="s">
        <v>6232</v>
      </c>
      <c r="P1083" t="s">
        <v>3008</v>
      </c>
      <c r="Q1083" t="s">
        <v>6232</v>
      </c>
      <c r="R1083" t="s">
        <v>3691</v>
      </c>
      <c r="BI1083" s="52" t="str">
        <f>HYPERLINK("#자재조서!A186","MV-4300-100065 →")</f>
        <v>MV-4300-100065 →</v>
      </c>
    </row>
    <row r="1084" spans="1:61" ht="18.399999999999999" customHeight="1">
      <c r="A1084" s="11" t="s">
        <v>2395</v>
      </c>
      <c r="B1084" s="2" t="s">
        <v>5482</v>
      </c>
      <c r="C1084" s="2">
        <v>1</v>
      </c>
      <c r="D1084" s="2" t="s">
        <v>1055</v>
      </c>
      <c r="E1084" s="29">
        <f>자재조서!E187</f>
        <v>761970</v>
      </c>
      <c r="F1084" s="29">
        <f t="shared" si="129"/>
        <v>761970</v>
      </c>
      <c r="G1084" s="29">
        <v>0</v>
      </c>
      <c r="H1084" s="29"/>
      <c r="I1084" s="29">
        <v>0</v>
      </c>
      <c r="J1084" s="29"/>
      <c r="K1084" s="29">
        <f t="shared" si="127"/>
        <v>761970</v>
      </c>
      <c r="L1084" s="29">
        <f t="shared" si="126"/>
        <v>761970</v>
      </c>
      <c r="M1084" s="20" t="s">
        <v>6232</v>
      </c>
      <c r="N1084" t="s">
        <v>6232</v>
      </c>
      <c r="P1084" t="s">
        <v>4509</v>
      </c>
      <c r="Q1084" t="s">
        <v>6232</v>
      </c>
      <c r="R1084" t="s">
        <v>3637</v>
      </c>
      <c r="BI1084" s="52" t="str">
        <f>HYPERLINK("#자재조서!A187","MV-4300-100080 →")</f>
        <v>MV-4300-100080 →</v>
      </c>
    </row>
    <row r="1085" spans="1:61" ht="18.399999999999999" customHeight="1">
      <c r="A1085" s="11" t="s">
        <v>2395</v>
      </c>
      <c r="B1085" s="2" t="s">
        <v>893</v>
      </c>
      <c r="C1085" s="2">
        <v>1</v>
      </c>
      <c r="D1085" s="2" t="s">
        <v>1055</v>
      </c>
      <c r="E1085" s="29">
        <f>자재조서!E188</f>
        <v>812660</v>
      </c>
      <c r="F1085" s="29">
        <f t="shared" si="129"/>
        <v>812660</v>
      </c>
      <c r="G1085" s="29">
        <v>0</v>
      </c>
      <c r="H1085" s="29"/>
      <c r="I1085" s="29">
        <v>0</v>
      </c>
      <c r="J1085" s="29"/>
      <c r="K1085" s="29">
        <f t="shared" si="127"/>
        <v>812660</v>
      </c>
      <c r="L1085" s="29">
        <f t="shared" si="126"/>
        <v>812660</v>
      </c>
      <c r="M1085" s="20" t="s">
        <v>6232</v>
      </c>
      <c r="N1085" t="s">
        <v>6232</v>
      </c>
      <c r="P1085" t="s">
        <v>6122</v>
      </c>
      <c r="Q1085" t="s">
        <v>6232</v>
      </c>
      <c r="R1085" t="s">
        <v>4125</v>
      </c>
      <c r="BI1085" s="52" t="str">
        <f>HYPERLINK("#자재조서!A188","MV-4300-100100 →")</f>
        <v>MV-4300-100100 →</v>
      </c>
    </row>
    <row r="1086" spans="1:61" ht="18.399999999999999" customHeight="1">
      <c r="A1086" s="11" t="s">
        <v>2395</v>
      </c>
      <c r="B1086" s="2" t="s">
        <v>1905</v>
      </c>
      <c r="C1086" s="2">
        <v>1</v>
      </c>
      <c r="D1086" s="2" t="s">
        <v>1055</v>
      </c>
      <c r="E1086" s="29">
        <f>자재조서!E189</f>
        <v>689020</v>
      </c>
      <c r="F1086" s="29">
        <f t="shared" si="129"/>
        <v>689020</v>
      </c>
      <c r="G1086" s="29">
        <v>0</v>
      </c>
      <c r="H1086" s="29"/>
      <c r="I1086" s="29">
        <v>0</v>
      </c>
      <c r="J1086" s="29"/>
      <c r="K1086" s="29">
        <f t="shared" si="127"/>
        <v>689020</v>
      </c>
      <c r="L1086" s="29">
        <f t="shared" si="126"/>
        <v>689020</v>
      </c>
      <c r="M1086" s="20" t="s">
        <v>6232</v>
      </c>
      <c r="N1086" t="s">
        <v>6232</v>
      </c>
      <c r="P1086" t="s">
        <v>1356</v>
      </c>
      <c r="Q1086" t="s">
        <v>6232</v>
      </c>
      <c r="R1086" t="s">
        <v>1866</v>
      </c>
      <c r="BI1086" s="52" t="str">
        <f>HYPERLINK("#자재조서!A189","MV-4300-125020 →")</f>
        <v>MV-4300-125020 →</v>
      </c>
    </row>
    <row r="1087" spans="1:61" ht="18.399999999999999" customHeight="1">
      <c r="A1087" s="11" t="s">
        <v>2395</v>
      </c>
      <c r="B1087" s="2" t="s">
        <v>224</v>
      </c>
      <c r="C1087" s="2">
        <v>1</v>
      </c>
      <c r="D1087" s="2" t="s">
        <v>1055</v>
      </c>
      <c r="E1087" s="29">
        <f>자재조서!E190</f>
        <v>703550</v>
      </c>
      <c r="F1087" s="29">
        <f t="shared" si="129"/>
        <v>703550</v>
      </c>
      <c r="G1087" s="29">
        <v>0</v>
      </c>
      <c r="H1087" s="29"/>
      <c r="I1087" s="29">
        <v>0</v>
      </c>
      <c r="J1087" s="29"/>
      <c r="K1087" s="29">
        <f t="shared" si="127"/>
        <v>703550</v>
      </c>
      <c r="L1087" s="29">
        <f t="shared" si="126"/>
        <v>703550</v>
      </c>
      <c r="M1087" s="20" t="s">
        <v>6232</v>
      </c>
      <c r="N1087" t="s">
        <v>6232</v>
      </c>
      <c r="P1087" t="s">
        <v>2927</v>
      </c>
      <c r="Q1087" t="s">
        <v>6232</v>
      </c>
      <c r="R1087" t="s">
        <v>4698</v>
      </c>
      <c r="BI1087" s="52" t="str">
        <f>HYPERLINK("#자재조서!A190","MV-4300-125025 →")</f>
        <v>MV-4300-125025 →</v>
      </c>
    </row>
    <row r="1088" spans="1:61" ht="18.399999999999999" customHeight="1">
      <c r="A1088" s="11" t="s">
        <v>2395</v>
      </c>
      <c r="B1088" s="2" t="s">
        <v>6094</v>
      </c>
      <c r="C1088" s="2">
        <v>1</v>
      </c>
      <c r="D1088" s="2" t="s">
        <v>1055</v>
      </c>
      <c r="E1088" s="29">
        <f>자재조서!E191</f>
        <v>725870</v>
      </c>
      <c r="F1088" s="29">
        <f t="shared" si="129"/>
        <v>725870</v>
      </c>
      <c r="G1088" s="29">
        <v>0</v>
      </c>
      <c r="H1088" s="29"/>
      <c r="I1088" s="29">
        <v>0</v>
      </c>
      <c r="J1088" s="29"/>
      <c r="K1088" s="29">
        <f t="shared" si="127"/>
        <v>725870</v>
      </c>
      <c r="L1088" s="29">
        <f t="shared" si="126"/>
        <v>725870</v>
      </c>
      <c r="M1088" s="20" t="s">
        <v>6232</v>
      </c>
      <c r="N1088" t="s">
        <v>6232</v>
      </c>
      <c r="P1088" t="s">
        <v>4424</v>
      </c>
      <c r="Q1088" t="s">
        <v>6232</v>
      </c>
      <c r="R1088" t="s">
        <v>845</v>
      </c>
      <c r="BI1088" s="52" t="str">
        <f>HYPERLINK("#자재조서!A191","MV-4300-125032 →")</f>
        <v>MV-4300-125032 →</v>
      </c>
    </row>
    <row r="1089" spans="1:61" ht="18.399999999999999" customHeight="1">
      <c r="A1089" s="11" t="s">
        <v>2395</v>
      </c>
      <c r="B1089" s="2" t="s">
        <v>6167</v>
      </c>
      <c r="C1089" s="2">
        <v>1</v>
      </c>
      <c r="D1089" s="2" t="s">
        <v>1055</v>
      </c>
      <c r="E1089" s="29">
        <f>자재조서!E192</f>
        <v>748210</v>
      </c>
      <c r="F1089" s="29">
        <f t="shared" si="129"/>
        <v>748210</v>
      </c>
      <c r="G1089" s="29">
        <v>0</v>
      </c>
      <c r="H1089" s="29"/>
      <c r="I1089" s="29">
        <v>0</v>
      </c>
      <c r="J1089" s="29"/>
      <c r="K1089" s="29">
        <f t="shared" si="127"/>
        <v>748210</v>
      </c>
      <c r="L1089" s="29">
        <f t="shared" si="126"/>
        <v>748210</v>
      </c>
      <c r="M1089" s="20" t="s">
        <v>6232</v>
      </c>
      <c r="N1089" t="s">
        <v>6232</v>
      </c>
      <c r="P1089" t="s">
        <v>6022</v>
      </c>
      <c r="Q1089" t="s">
        <v>6232</v>
      </c>
      <c r="R1089" t="s">
        <v>4861</v>
      </c>
      <c r="BI1089" s="52" t="str">
        <f>HYPERLINK("#자재조서!A192","MV-4300-125040 →")</f>
        <v>MV-4300-125040 →</v>
      </c>
    </row>
    <row r="1090" spans="1:61" ht="18.399999999999999" customHeight="1">
      <c r="A1090" s="11" t="s">
        <v>2395</v>
      </c>
      <c r="B1090" s="2" t="s">
        <v>4922</v>
      </c>
      <c r="C1090" s="2">
        <v>1</v>
      </c>
      <c r="D1090" s="2" t="s">
        <v>1055</v>
      </c>
      <c r="E1090" s="29">
        <f>자재조서!E193</f>
        <v>780080</v>
      </c>
      <c r="F1090" s="29">
        <f t="shared" si="129"/>
        <v>780080</v>
      </c>
      <c r="G1090" s="29">
        <v>0</v>
      </c>
      <c r="H1090" s="29"/>
      <c r="I1090" s="29">
        <v>0</v>
      </c>
      <c r="J1090" s="29"/>
      <c r="K1090" s="29">
        <f t="shared" si="127"/>
        <v>780080</v>
      </c>
      <c r="L1090" s="29">
        <f t="shared" si="126"/>
        <v>780080</v>
      </c>
      <c r="M1090" s="20" t="s">
        <v>6232</v>
      </c>
      <c r="N1090" t="s">
        <v>6232</v>
      </c>
      <c r="P1090" t="s">
        <v>2013</v>
      </c>
      <c r="Q1090" t="s">
        <v>6232</v>
      </c>
      <c r="R1090" t="s">
        <v>3327</v>
      </c>
      <c r="BI1090" s="52" t="str">
        <f>HYPERLINK("#자재조서!A193","MV-4300-125050 →")</f>
        <v>MV-4300-125050 →</v>
      </c>
    </row>
    <row r="1091" spans="1:61" ht="18.399999999999999" customHeight="1">
      <c r="A1091" s="11" t="s">
        <v>2395</v>
      </c>
      <c r="B1091" s="2" t="s">
        <v>5201</v>
      </c>
      <c r="C1091" s="2">
        <v>1</v>
      </c>
      <c r="D1091" s="2" t="s">
        <v>1055</v>
      </c>
      <c r="E1091" s="29">
        <f>자재조서!E194</f>
        <v>765960</v>
      </c>
      <c r="F1091" s="29">
        <f t="shared" si="129"/>
        <v>765960</v>
      </c>
      <c r="G1091" s="29">
        <v>0</v>
      </c>
      <c r="H1091" s="29"/>
      <c r="I1091" s="29">
        <v>0</v>
      </c>
      <c r="J1091" s="29"/>
      <c r="K1091" s="29">
        <f t="shared" si="127"/>
        <v>765960</v>
      </c>
      <c r="L1091" s="29">
        <f t="shared" si="126"/>
        <v>765960</v>
      </c>
      <c r="M1091" s="20" t="s">
        <v>6232</v>
      </c>
      <c r="N1091" t="s">
        <v>6232</v>
      </c>
      <c r="P1091" t="s">
        <v>513</v>
      </c>
      <c r="Q1091" t="s">
        <v>6232</v>
      </c>
      <c r="R1091" t="s">
        <v>4791</v>
      </c>
      <c r="BI1091" s="52" t="str">
        <f>HYPERLINK("#자재조서!A194","MV-4300-125065 →")</f>
        <v>MV-4300-125065 →</v>
      </c>
    </row>
    <row r="1092" spans="1:61" ht="18.399999999999999" customHeight="1">
      <c r="A1092" s="11" t="s">
        <v>2395</v>
      </c>
      <c r="B1092" s="2" t="s">
        <v>3730</v>
      </c>
      <c r="C1092" s="2">
        <v>1</v>
      </c>
      <c r="D1092" s="2" t="s">
        <v>1055</v>
      </c>
      <c r="E1092" s="29">
        <f>자재조서!E195</f>
        <v>808640</v>
      </c>
      <c r="F1092" s="29">
        <f t="shared" si="129"/>
        <v>808640</v>
      </c>
      <c r="G1092" s="29">
        <v>0</v>
      </c>
      <c r="H1092" s="29"/>
      <c r="I1092" s="29">
        <v>0</v>
      </c>
      <c r="J1092" s="29"/>
      <c r="K1092" s="29">
        <f t="shared" si="127"/>
        <v>808640</v>
      </c>
      <c r="L1092" s="29">
        <f t="shared" si="126"/>
        <v>808640</v>
      </c>
      <c r="M1092" s="20" t="s">
        <v>6232</v>
      </c>
      <c r="N1092" t="s">
        <v>6232</v>
      </c>
      <c r="P1092" t="s">
        <v>5191</v>
      </c>
      <c r="Q1092" t="s">
        <v>6232</v>
      </c>
      <c r="R1092" t="s">
        <v>4767</v>
      </c>
      <c r="BI1092" s="52" t="str">
        <f>HYPERLINK("#자재조서!A195","MV-4300-125080 →")</f>
        <v>MV-4300-125080 →</v>
      </c>
    </row>
    <row r="1093" spans="1:61" ht="18.399999999999999" customHeight="1">
      <c r="A1093" s="11" t="s">
        <v>2395</v>
      </c>
      <c r="B1093" s="2" t="s">
        <v>4630</v>
      </c>
      <c r="C1093" s="2">
        <v>1</v>
      </c>
      <c r="D1093" s="2" t="s">
        <v>1055</v>
      </c>
      <c r="E1093" s="29">
        <f>자재조서!E196</f>
        <v>858760</v>
      </c>
      <c r="F1093" s="29">
        <f t="shared" si="129"/>
        <v>858760</v>
      </c>
      <c r="G1093" s="29">
        <v>0</v>
      </c>
      <c r="H1093" s="29"/>
      <c r="I1093" s="29">
        <v>0</v>
      </c>
      <c r="J1093" s="29"/>
      <c r="K1093" s="29">
        <f t="shared" si="127"/>
        <v>858760</v>
      </c>
      <c r="L1093" s="29">
        <f t="shared" si="126"/>
        <v>858760</v>
      </c>
      <c r="M1093" s="20" t="s">
        <v>6232</v>
      </c>
      <c r="N1093" t="s">
        <v>6232</v>
      </c>
      <c r="P1093" t="s">
        <v>3683</v>
      </c>
      <c r="Q1093" t="s">
        <v>6232</v>
      </c>
      <c r="R1093" t="s">
        <v>6108</v>
      </c>
      <c r="BI1093" s="52" t="str">
        <f>HYPERLINK("#자재조서!A196","MV-4300-125100 →")</f>
        <v>MV-4300-125100 →</v>
      </c>
    </row>
    <row r="1094" spans="1:61" ht="18.399999999999999" customHeight="1">
      <c r="A1094" s="11" t="s">
        <v>2395</v>
      </c>
      <c r="B1094" s="2" t="s">
        <v>3606</v>
      </c>
      <c r="C1094" s="2">
        <v>1</v>
      </c>
      <c r="D1094" s="2" t="s">
        <v>1055</v>
      </c>
      <c r="E1094" s="29">
        <f>자재조서!E197</f>
        <v>902240</v>
      </c>
      <c r="F1094" s="29">
        <f t="shared" si="129"/>
        <v>902240</v>
      </c>
      <c r="G1094" s="29">
        <v>0</v>
      </c>
      <c r="H1094" s="29"/>
      <c r="I1094" s="29">
        <v>0</v>
      </c>
      <c r="J1094" s="29"/>
      <c r="K1094" s="29">
        <f t="shared" si="127"/>
        <v>902240</v>
      </c>
      <c r="L1094" s="29">
        <f t="shared" si="126"/>
        <v>902240</v>
      </c>
      <c r="M1094" s="20" t="s">
        <v>6232</v>
      </c>
      <c r="N1094" t="s">
        <v>6232</v>
      </c>
      <c r="P1094" t="s">
        <v>1925</v>
      </c>
      <c r="Q1094" t="s">
        <v>6232</v>
      </c>
      <c r="R1094" t="s">
        <v>5990</v>
      </c>
      <c r="BI1094" s="52" t="str">
        <f>HYPERLINK("#자재조서!A197","MV-4300-125125 →")</f>
        <v>MV-4300-125125 →</v>
      </c>
    </row>
    <row r="1095" spans="1:61" ht="18.399999999999999" customHeight="1">
      <c r="A1095" s="11" t="s">
        <v>2395</v>
      </c>
      <c r="B1095" s="2" t="s">
        <v>3260</v>
      </c>
      <c r="C1095" s="2">
        <v>1</v>
      </c>
      <c r="D1095" s="2" t="s">
        <v>1055</v>
      </c>
      <c r="E1095" s="29">
        <f>자재조서!E198</f>
        <v>755280</v>
      </c>
      <c r="F1095" s="29">
        <f t="shared" si="129"/>
        <v>755280</v>
      </c>
      <c r="G1095" s="29">
        <v>0</v>
      </c>
      <c r="H1095" s="29"/>
      <c r="I1095" s="29">
        <v>0</v>
      </c>
      <c r="J1095" s="29"/>
      <c r="K1095" s="29">
        <f t="shared" si="127"/>
        <v>755280</v>
      </c>
      <c r="L1095" s="29">
        <f t="shared" si="126"/>
        <v>755280</v>
      </c>
      <c r="M1095" s="20" t="s">
        <v>6232</v>
      </c>
      <c r="N1095" t="s">
        <v>6232</v>
      </c>
      <c r="P1095" t="s">
        <v>427</v>
      </c>
      <c r="Q1095" t="s">
        <v>6232</v>
      </c>
      <c r="R1095" t="s">
        <v>2622</v>
      </c>
      <c r="BI1095" s="52" t="str">
        <f>HYPERLINK("#자재조서!A198","MV-4300-150020 →")</f>
        <v>MV-4300-150020 →</v>
      </c>
    </row>
    <row r="1096" spans="1:61" ht="18.399999999999999" customHeight="1">
      <c r="A1096" s="11" t="s">
        <v>2395</v>
      </c>
      <c r="B1096" s="2" t="s">
        <v>4720</v>
      </c>
      <c r="C1096" s="2">
        <v>1</v>
      </c>
      <c r="D1096" s="2" t="s">
        <v>1055</v>
      </c>
      <c r="E1096" s="29">
        <f>자재조서!E199</f>
        <v>770040</v>
      </c>
      <c r="F1096" s="29">
        <f t="shared" si="129"/>
        <v>770040</v>
      </c>
      <c r="G1096" s="29">
        <v>0</v>
      </c>
      <c r="H1096" s="29"/>
      <c r="I1096" s="29">
        <v>0</v>
      </c>
      <c r="J1096" s="29"/>
      <c r="K1096" s="29">
        <f t="shared" si="127"/>
        <v>770040</v>
      </c>
      <c r="L1096" s="29">
        <f t="shared" si="126"/>
        <v>770040</v>
      </c>
      <c r="M1096" s="20" t="s">
        <v>6232</v>
      </c>
      <c r="N1096" t="s">
        <v>6232</v>
      </c>
      <c r="P1096" t="s">
        <v>5096</v>
      </c>
      <c r="Q1096" t="s">
        <v>6232</v>
      </c>
      <c r="R1096" t="s">
        <v>5528</v>
      </c>
      <c r="BI1096" s="52" t="str">
        <f>HYPERLINK("#자재조서!A199","MV-4300-150025 →")</f>
        <v>MV-4300-150025 →</v>
      </c>
    </row>
    <row r="1097" spans="1:61" ht="18.399999999999999" customHeight="1">
      <c r="A1097" s="11" t="s">
        <v>2395</v>
      </c>
      <c r="B1097" s="2" t="s">
        <v>1199</v>
      </c>
      <c r="C1097" s="2">
        <v>1</v>
      </c>
      <c r="D1097" s="2" t="s">
        <v>1055</v>
      </c>
      <c r="E1097" s="29">
        <f>자재조서!E200</f>
        <v>792920</v>
      </c>
      <c r="F1097" s="29">
        <f t="shared" si="129"/>
        <v>792920</v>
      </c>
      <c r="G1097" s="29">
        <v>0</v>
      </c>
      <c r="H1097" s="29"/>
      <c r="I1097" s="29">
        <v>0</v>
      </c>
      <c r="J1097" s="29"/>
      <c r="K1097" s="29">
        <f t="shared" si="127"/>
        <v>792920</v>
      </c>
      <c r="L1097" s="29">
        <f t="shared" ref="L1097:L1160" si="130">F1097+H1097+J1097</f>
        <v>792920</v>
      </c>
      <c r="M1097" s="20" t="s">
        <v>6232</v>
      </c>
      <c r="N1097" t="s">
        <v>6232</v>
      </c>
      <c r="P1097" t="s">
        <v>3576</v>
      </c>
      <c r="Q1097" t="s">
        <v>6232</v>
      </c>
      <c r="R1097" t="s">
        <v>28</v>
      </c>
      <c r="BI1097" s="52" t="str">
        <f>HYPERLINK("#자재조서!A200","MV-4300-150032 →")</f>
        <v>MV-4300-150032 →</v>
      </c>
    </row>
    <row r="1098" spans="1:61" ht="18.399999999999999" customHeight="1">
      <c r="A1098" s="11" t="s">
        <v>2395</v>
      </c>
      <c r="B1098" s="2" t="s">
        <v>1272</v>
      </c>
      <c r="C1098" s="2">
        <v>1</v>
      </c>
      <c r="D1098" s="2" t="s">
        <v>1055</v>
      </c>
      <c r="E1098" s="29">
        <f>자재조서!E201</f>
        <v>814840</v>
      </c>
      <c r="F1098" s="29">
        <f t="shared" si="129"/>
        <v>814840</v>
      </c>
      <c r="G1098" s="29">
        <v>0</v>
      </c>
      <c r="H1098" s="29"/>
      <c r="I1098" s="29">
        <v>0</v>
      </c>
      <c r="J1098" s="29"/>
      <c r="K1098" s="29">
        <f t="shared" ref="K1098:K1161" si="131">E1098+G1098+I1098</f>
        <v>814840</v>
      </c>
      <c r="L1098" s="29">
        <f t="shared" si="130"/>
        <v>814840</v>
      </c>
      <c r="M1098" s="20" t="s">
        <v>6232</v>
      </c>
      <c r="N1098" t="s">
        <v>6232</v>
      </c>
      <c r="P1098" t="s">
        <v>2222</v>
      </c>
      <c r="Q1098" t="s">
        <v>6232</v>
      </c>
      <c r="R1098" t="s">
        <v>5696</v>
      </c>
      <c r="BI1098" s="52" t="str">
        <f>HYPERLINK("#자재조서!A201","MV-4300-150040 →")</f>
        <v>MV-4300-150040 →</v>
      </c>
    </row>
    <row r="1099" spans="1:61" ht="18.399999999999999" customHeight="1">
      <c r="A1099" s="11" t="s">
        <v>2395</v>
      </c>
      <c r="B1099" s="2" t="s">
        <v>54</v>
      </c>
      <c r="C1099" s="2">
        <v>1</v>
      </c>
      <c r="D1099" s="2" t="s">
        <v>1055</v>
      </c>
      <c r="E1099" s="29">
        <f>자재조서!E202</f>
        <v>848770</v>
      </c>
      <c r="F1099" s="29">
        <f t="shared" si="129"/>
        <v>848770</v>
      </c>
      <c r="G1099" s="29">
        <v>0</v>
      </c>
      <c r="H1099" s="29"/>
      <c r="I1099" s="29">
        <v>0</v>
      </c>
      <c r="J1099" s="29"/>
      <c r="K1099" s="29">
        <f t="shared" si="131"/>
        <v>848770</v>
      </c>
      <c r="L1099" s="29">
        <f t="shared" si="130"/>
        <v>848770</v>
      </c>
      <c r="M1099" s="20" t="s">
        <v>6232</v>
      </c>
      <c r="N1099" t="s">
        <v>6232</v>
      </c>
      <c r="P1099" t="s">
        <v>709</v>
      </c>
      <c r="Q1099" t="s">
        <v>6232</v>
      </c>
      <c r="R1099" t="s">
        <v>4179</v>
      </c>
      <c r="BI1099" s="52" t="str">
        <f>HYPERLINK("#자재조서!A202","MV-4300-150050 →")</f>
        <v>MV-4300-150050 →</v>
      </c>
    </row>
    <row r="1100" spans="1:61" ht="18.399999999999999" customHeight="1">
      <c r="A1100" s="11" t="s">
        <v>2395</v>
      </c>
      <c r="B1100" s="2" t="s">
        <v>724</v>
      </c>
      <c r="C1100" s="2">
        <v>1</v>
      </c>
      <c r="D1100" s="2" t="s">
        <v>1055</v>
      </c>
      <c r="E1100" s="29">
        <f>자재조서!E203</f>
        <v>935290</v>
      </c>
      <c r="F1100" s="29">
        <f t="shared" si="129"/>
        <v>935290</v>
      </c>
      <c r="G1100" s="29">
        <v>0</v>
      </c>
      <c r="H1100" s="29"/>
      <c r="I1100" s="29">
        <v>0</v>
      </c>
      <c r="J1100" s="29"/>
      <c r="K1100" s="29">
        <f t="shared" si="131"/>
        <v>935290</v>
      </c>
      <c r="L1100" s="29">
        <f t="shared" si="130"/>
        <v>935290</v>
      </c>
      <c r="M1100" s="20" t="s">
        <v>6232</v>
      </c>
      <c r="N1100" t="s">
        <v>6232</v>
      </c>
      <c r="P1100" t="s">
        <v>2394</v>
      </c>
      <c r="Q1100" t="s">
        <v>6232</v>
      </c>
      <c r="R1100" t="s">
        <v>5623</v>
      </c>
      <c r="BI1100" s="52" t="str">
        <f>HYPERLINK("#자재조서!A203","MV-4300-150065 →")</f>
        <v>MV-4300-150065 →</v>
      </c>
    </row>
    <row r="1101" spans="1:61" ht="18.399999999999999" customHeight="1">
      <c r="A1101" s="11" t="s">
        <v>2395</v>
      </c>
      <c r="B1101" s="2" t="s">
        <v>1949</v>
      </c>
      <c r="C1101" s="2">
        <v>1</v>
      </c>
      <c r="D1101" s="2" t="s">
        <v>1055</v>
      </c>
      <c r="E1101" s="29">
        <f>자재조서!E204</f>
        <v>884000</v>
      </c>
      <c r="F1101" s="29">
        <f t="shared" si="129"/>
        <v>884000</v>
      </c>
      <c r="G1101" s="29">
        <v>0</v>
      </c>
      <c r="H1101" s="29"/>
      <c r="I1101" s="29">
        <v>0</v>
      </c>
      <c r="J1101" s="29"/>
      <c r="K1101" s="29">
        <f t="shared" si="131"/>
        <v>884000</v>
      </c>
      <c r="L1101" s="29">
        <f t="shared" si="130"/>
        <v>884000</v>
      </c>
      <c r="M1101" s="20" t="s">
        <v>6232</v>
      </c>
      <c r="N1101" t="s">
        <v>6232</v>
      </c>
      <c r="P1101" t="s">
        <v>822</v>
      </c>
      <c r="Q1101" t="s">
        <v>6232</v>
      </c>
      <c r="R1101" t="s">
        <v>5604</v>
      </c>
      <c r="BI1101" s="52" t="str">
        <f>HYPERLINK("#자재조서!A204","MV-4300-150080 →")</f>
        <v>MV-4300-150080 →</v>
      </c>
    </row>
    <row r="1102" spans="1:61" ht="18.399999999999999" customHeight="1">
      <c r="A1102" s="11" t="s">
        <v>2395</v>
      </c>
      <c r="B1102" s="2" t="s">
        <v>3133</v>
      </c>
      <c r="C1102" s="2">
        <v>1</v>
      </c>
      <c r="D1102" s="2" t="s">
        <v>1055</v>
      </c>
      <c r="E1102" s="29">
        <f>자재조서!E205</f>
        <v>936690</v>
      </c>
      <c r="F1102" s="29">
        <f t="shared" si="129"/>
        <v>936690</v>
      </c>
      <c r="G1102" s="29">
        <v>0</v>
      </c>
      <c r="H1102" s="29"/>
      <c r="I1102" s="29">
        <v>0</v>
      </c>
      <c r="J1102" s="29"/>
      <c r="K1102" s="29">
        <f t="shared" si="131"/>
        <v>936690</v>
      </c>
      <c r="L1102" s="29">
        <f t="shared" si="130"/>
        <v>936690</v>
      </c>
      <c r="M1102" s="20" t="s">
        <v>6232</v>
      </c>
      <c r="N1102" t="s">
        <v>6232</v>
      </c>
      <c r="P1102" t="s">
        <v>5454</v>
      </c>
      <c r="Q1102" t="s">
        <v>6232</v>
      </c>
      <c r="R1102" t="s">
        <v>5276</v>
      </c>
      <c r="BI1102" s="52" t="str">
        <f>HYPERLINK("#자재조서!A205","MV-4300-150100 →")</f>
        <v>MV-4300-150100 →</v>
      </c>
    </row>
    <row r="1103" spans="1:61" ht="18.399999999999999" customHeight="1">
      <c r="A1103" s="11" t="s">
        <v>2395</v>
      </c>
      <c r="B1103" s="2" t="s">
        <v>4107</v>
      </c>
      <c r="C1103" s="2">
        <v>1</v>
      </c>
      <c r="D1103" s="2" t="s">
        <v>1055</v>
      </c>
      <c r="E1103" s="29">
        <f>자재조서!E206</f>
        <v>980440</v>
      </c>
      <c r="F1103" s="29">
        <f t="shared" si="129"/>
        <v>980440</v>
      </c>
      <c r="G1103" s="29">
        <v>0</v>
      </c>
      <c r="H1103" s="29"/>
      <c r="I1103" s="29">
        <v>0</v>
      </c>
      <c r="J1103" s="29"/>
      <c r="K1103" s="29">
        <f t="shared" si="131"/>
        <v>980440</v>
      </c>
      <c r="L1103" s="29">
        <f t="shared" si="130"/>
        <v>980440</v>
      </c>
      <c r="M1103" s="20" t="s">
        <v>6232</v>
      </c>
      <c r="N1103" t="s">
        <v>6232</v>
      </c>
      <c r="P1103" t="s">
        <v>3875</v>
      </c>
      <c r="Q1103" t="s">
        <v>6232</v>
      </c>
      <c r="R1103" t="s">
        <v>5168</v>
      </c>
      <c r="BI1103" s="52" t="str">
        <f>HYPERLINK("#자재조서!A206","MV-4300-150125 →")</f>
        <v>MV-4300-150125 →</v>
      </c>
    </row>
    <row r="1104" spans="1:61" ht="18.399999999999999" customHeight="1">
      <c r="A1104" s="11" t="s">
        <v>2395</v>
      </c>
      <c r="B1104" s="2" t="s">
        <v>2547</v>
      </c>
      <c r="C1104" s="2">
        <v>1</v>
      </c>
      <c r="D1104" s="2" t="s">
        <v>1055</v>
      </c>
      <c r="E1104" s="29">
        <f>자재조서!E207</f>
        <v>1050920</v>
      </c>
      <c r="F1104" s="29">
        <f t="shared" si="129"/>
        <v>1050920</v>
      </c>
      <c r="G1104" s="29">
        <v>0</v>
      </c>
      <c r="H1104" s="29"/>
      <c r="I1104" s="29">
        <v>0</v>
      </c>
      <c r="J1104" s="29"/>
      <c r="K1104" s="29">
        <f t="shared" si="131"/>
        <v>1050920</v>
      </c>
      <c r="L1104" s="29">
        <f t="shared" si="130"/>
        <v>1050920</v>
      </c>
      <c r="M1104" s="20" t="s">
        <v>6232</v>
      </c>
      <c r="N1104" t="s">
        <v>6232</v>
      </c>
      <c r="P1104" t="s">
        <v>2499</v>
      </c>
      <c r="Q1104" t="s">
        <v>6232</v>
      </c>
      <c r="R1104" t="s">
        <v>3790</v>
      </c>
      <c r="BI1104" s="52" t="str">
        <f>HYPERLINK("#자재조서!A207","MV-4300-150150 →")</f>
        <v>MV-4300-150150 →</v>
      </c>
    </row>
    <row r="1105" spans="1:61" ht="18.399999999999999" customHeight="1">
      <c r="A1105" s="11" t="s">
        <v>2395</v>
      </c>
      <c r="B1105" s="2" t="s">
        <v>1154</v>
      </c>
      <c r="C1105" s="2">
        <v>1</v>
      </c>
      <c r="D1105" s="2" t="s">
        <v>1055</v>
      </c>
      <c r="E1105" s="29">
        <f>자재조서!E208</f>
        <v>1039990</v>
      </c>
      <c r="F1105" s="29">
        <f t="shared" si="129"/>
        <v>1039990</v>
      </c>
      <c r="G1105" s="29">
        <v>0</v>
      </c>
      <c r="H1105" s="29"/>
      <c r="I1105" s="29">
        <v>0</v>
      </c>
      <c r="J1105" s="29"/>
      <c r="K1105" s="29">
        <f t="shared" si="131"/>
        <v>1039990</v>
      </c>
      <c r="L1105" s="29">
        <f t="shared" si="130"/>
        <v>1039990</v>
      </c>
      <c r="M1105" s="20" t="s">
        <v>6232</v>
      </c>
      <c r="N1105" t="s">
        <v>6232</v>
      </c>
      <c r="P1105" t="s">
        <v>931</v>
      </c>
      <c r="Q1105" t="s">
        <v>6232</v>
      </c>
      <c r="R1105" t="s">
        <v>1380</v>
      </c>
      <c r="BI1105" s="52" t="str">
        <f>HYPERLINK("#자재조서!A208","MV-4300-200065 →")</f>
        <v>MV-4300-200065 →</v>
      </c>
    </row>
    <row r="1106" spans="1:61" ht="18.399999999999999" customHeight="1">
      <c r="A1106" s="11" t="s">
        <v>2395</v>
      </c>
      <c r="B1106" s="2" t="s">
        <v>3064</v>
      </c>
      <c r="C1106" s="2">
        <v>1</v>
      </c>
      <c r="D1106" s="2" t="s">
        <v>1055</v>
      </c>
      <c r="E1106" s="29">
        <f>자재조서!E209</f>
        <v>1109580</v>
      </c>
      <c r="F1106" s="29">
        <f t="shared" si="129"/>
        <v>1109580</v>
      </c>
      <c r="G1106" s="29">
        <v>0</v>
      </c>
      <c r="H1106" s="29"/>
      <c r="I1106" s="29">
        <v>0</v>
      </c>
      <c r="J1106" s="29"/>
      <c r="K1106" s="29">
        <f t="shared" si="131"/>
        <v>1109580</v>
      </c>
      <c r="L1106" s="29">
        <f t="shared" si="130"/>
        <v>1109580</v>
      </c>
      <c r="M1106" s="20" t="s">
        <v>6232</v>
      </c>
      <c r="N1106" t="s">
        <v>6232</v>
      </c>
      <c r="P1106" t="s">
        <v>5584</v>
      </c>
      <c r="Q1106" t="s">
        <v>6232</v>
      </c>
      <c r="R1106" t="s">
        <v>1344</v>
      </c>
      <c r="BI1106" s="52" t="str">
        <f>HYPERLINK("#자재조서!A209","MV-4300-200080 →")</f>
        <v>MV-4300-200080 →</v>
      </c>
    </row>
    <row r="1107" spans="1:61" ht="18.399999999999999" customHeight="1">
      <c r="A1107" s="11" t="s">
        <v>2395</v>
      </c>
      <c r="B1107" s="2" t="s">
        <v>4811</v>
      </c>
      <c r="C1107" s="2">
        <v>1</v>
      </c>
      <c r="D1107" s="2" t="s">
        <v>1055</v>
      </c>
      <c r="E1107" s="29">
        <f>자재조서!E210</f>
        <v>1179510</v>
      </c>
      <c r="F1107" s="29">
        <f t="shared" si="129"/>
        <v>1179510</v>
      </c>
      <c r="G1107" s="29">
        <v>0</v>
      </c>
      <c r="H1107" s="29"/>
      <c r="I1107" s="29">
        <v>0</v>
      </c>
      <c r="J1107" s="29"/>
      <c r="K1107" s="29">
        <f t="shared" si="131"/>
        <v>1179510</v>
      </c>
      <c r="L1107" s="29">
        <f t="shared" si="130"/>
        <v>1179510</v>
      </c>
      <c r="M1107" s="20" t="s">
        <v>6232</v>
      </c>
      <c r="N1107" t="s">
        <v>6232</v>
      </c>
      <c r="P1107" t="s">
        <v>4008</v>
      </c>
      <c r="Q1107" t="s">
        <v>6232</v>
      </c>
      <c r="R1107" t="s">
        <v>172</v>
      </c>
      <c r="BI1107" s="52" t="str">
        <f>HYPERLINK("#자재조서!A210","MV-4300-200100 →")</f>
        <v>MV-4300-200100 →</v>
      </c>
    </row>
    <row r="1108" spans="1:61" ht="18.399999999999999" customHeight="1">
      <c r="A1108" s="11" t="s">
        <v>2395</v>
      </c>
      <c r="B1108" s="2" t="s">
        <v>5768</v>
      </c>
      <c r="C1108" s="2">
        <v>1</v>
      </c>
      <c r="D1108" s="2" t="s">
        <v>1055</v>
      </c>
      <c r="E1108" s="29">
        <f>자재조서!E211</f>
        <v>1088030</v>
      </c>
      <c r="F1108" s="29">
        <f t="shared" si="129"/>
        <v>1088030</v>
      </c>
      <c r="G1108" s="29">
        <v>0</v>
      </c>
      <c r="H1108" s="29"/>
      <c r="I1108" s="29">
        <v>0</v>
      </c>
      <c r="J1108" s="29"/>
      <c r="K1108" s="29">
        <f t="shared" si="131"/>
        <v>1088030</v>
      </c>
      <c r="L1108" s="29">
        <f t="shared" si="130"/>
        <v>1088030</v>
      </c>
      <c r="M1108" s="20" t="s">
        <v>6232</v>
      </c>
      <c r="N1108" t="s">
        <v>6232</v>
      </c>
      <c r="P1108" t="s">
        <v>2607</v>
      </c>
      <c r="Q1108" t="s">
        <v>6232</v>
      </c>
      <c r="R1108" t="s">
        <v>221</v>
      </c>
      <c r="BI1108" s="52" t="str">
        <f>HYPERLINK("#자재조서!A211","MV-4300-200125 →")</f>
        <v>MV-4300-200125 →</v>
      </c>
    </row>
    <row r="1109" spans="1:61" ht="18.399999999999999" customHeight="1">
      <c r="A1109" s="11" t="s">
        <v>2395</v>
      </c>
      <c r="B1109" s="2" t="s">
        <v>1075</v>
      </c>
      <c r="C1109" s="2">
        <v>1</v>
      </c>
      <c r="D1109" s="2" t="s">
        <v>1055</v>
      </c>
      <c r="E1109" s="29">
        <f>자재조서!E212</f>
        <v>1157440</v>
      </c>
      <c r="F1109" s="29">
        <f t="shared" si="129"/>
        <v>1157440</v>
      </c>
      <c r="G1109" s="29">
        <v>0</v>
      </c>
      <c r="H1109" s="29"/>
      <c r="I1109" s="29">
        <v>0</v>
      </c>
      <c r="J1109" s="29"/>
      <c r="K1109" s="29">
        <f t="shared" si="131"/>
        <v>1157440</v>
      </c>
      <c r="L1109" s="29">
        <f t="shared" si="130"/>
        <v>1157440</v>
      </c>
      <c r="M1109" s="20" t="s">
        <v>6232</v>
      </c>
      <c r="N1109" t="s">
        <v>6232</v>
      </c>
      <c r="P1109" t="s">
        <v>1026</v>
      </c>
      <c r="Q1109" t="s">
        <v>6232</v>
      </c>
      <c r="R1109" t="s">
        <v>1582</v>
      </c>
      <c r="BI1109" s="52" t="str">
        <f>HYPERLINK("#자재조서!A212","MV-4300-200150 →")</f>
        <v>MV-4300-200150 →</v>
      </c>
    </row>
    <row r="1110" spans="1:61" ht="18.399999999999999" customHeight="1">
      <c r="A1110" s="11" t="s">
        <v>2395</v>
      </c>
      <c r="B1110" s="2" t="s">
        <v>983</v>
      </c>
      <c r="C1110" s="2">
        <v>1</v>
      </c>
      <c r="D1110" s="2" t="s">
        <v>1055</v>
      </c>
      <c r="E1110" s="29">
        <f>자재조서!E213</f>
        <v>1276450</v>
      </c>
      <c r="F1110" s="29">
        <f t="shared" si="129"/>
        <v>1276450</v>
      </c>
      <c r="G1110" s="29">
        <v>0</v>
      </c>
      <c r="H1110" s="29"/>
      <c r="I1110" s="29">
        <v>0</v>
      </c>
      <c r="J1110" s="29"/>
      <c r="K1110" s="29">
        <f t="shared" si="131"/>
        <v>1276450</v>
      </c>
      <c r="L1110" s="29">
        <f t="shared" si="130"/>
        <v>1276450</v>
      </c>
      <c r="M1110" s="20" t="s">
        <v>6232</v>
      </c>
      <c r="N1110" t="s">
        <v>6232</v>
      </c>
      <c r="P1110" t="s">
        <v>1415</v>
      </c>
      <c r="Q1110" t="s">
        <v>6232</v>
      </c>
      <c r="R1110" t="s">
        <v>2269</v>
      </c>
      <c r="BI1110" s="52" t="str">
        <f>HYPERLINK("#자재조서!A213","MV-4300-200200 →")</f>
        <v>MV-4300-200200 →</v>
      </c>
    </row>
    <row r="1111" spans="1:61" ht="18.399999999999999" customHeight="1">
      <c r="A1111" s="11" t="s">
        <v>2395</v>
      </c>
      <c r="B1111" s="2" t="s">
        <v>3153</v>
      </c>
      <c r="C1111" s="2">
        <v>1</v>
      </c>
      <c r="D1111" s="2" t="s">
        <v>1055</v>
      </c>
      <c r="E1111" s="29">
        <f>자재조서!E214</f>
        <v>1359590</v>
      </c>
      <c r="F1111" s="29">
        <f t="shared" si="129"/>
        <v>1359590</v>
      </c>
      <c r="G1111" s="29">
        <v>0</v>
      </c>
      <c r="H1111" s="29"/>
      <c r="I1111" s="29">
        <v>0</v>
      </c>
      <c r="J1111" s="29"/>
      <c r="K1111" s="29">
        <f t="shared" si="131"/>
        <v>1359590</v>
      </c>
      <c r="L1111" s="29">
        <f t="shared" si="130"/>
        <v>1359590</v>
      </c>
      <c r="M1111" s="20" t="s">
        <v>6232</v>
      </c>
      <c r="N1111" t="s">
        <v>6232</v>
      </c>
      <c r="P1111" t="s">
        <v>2960</v>
      </c>
      <c r="Q1111" t="s">
        <v>6232</v>
      </c>
      <c r="R1111" t="s">
        <v>1742</v>
      </c>
      <c r="BI1111" s="52" t="str">
        <f>HYPERLINK("#자재조서!A214","MV-4300-250065 →")</f>
        <v>MV-4300-250065 →</v>
      </c>
    </row>
    <row r="1112" spans="1:61" ht="18.399999999999999" customHeight="1">
      <c r="A1112" s="11" t="s">
        <v>2395</v>
      </c>
      <c r="B1112" s="2" t="s">
        <v>4950</v>
      </c>
      <c r="C1112" s="2">
        <v>1</v>
      </c>
      <c r="D1112" s="2" t="s">
        <v>1055</v>
      </c>
      <c r="E1112" s="29">
        <f>자재조서!E215</f>
        <v>1440390</v>
      </c>
      <c r="F1112" s="29">
        <f t="shared" si="129"/>
        <v>1440390</v>
      </c>
      <c r="G1112" s="29">
        <v>0</v>
      </c>
      <c r="H1112" s="29"/>
      <c r="I1112" s="29">
        <v>0</v>
      </c>
      <c r="J1112" s="29"/>
      <c r="K1112" s="29">
        <f t="shared" si="131"/>
        <v>1440390</v>
      </c>
      <c r="L1112" s="29">
        <f t="shared" si="130"/>
        <v>1440390</v>
      </c>
      <c r="M1112" s="20" t="s">
        <v>6232</v>
      </c>
      <c r="N1112" t="s">
        <v>6232</v>
      </c>
      <c r="P1112" t="s">
        <v>4462</v>
      </c>
      <c r="Q1112" t="s">
        <v>6232</v>
      </c>
      <c r="R1112" t="s">
        <v>1737</v>
      </c>
      <c r="BI1112" s="52" t="str">
        <f>HYPERLINK("#자재조서!A215","MV-4300-250080 →")</f>
        <v>MV-4300-250080 →</v>
      </c>
    </row>
    <row r="1113" spans="1:61" ht="18.399999999999999" customHeight="1">
      <c r="A1113" s="11" t="s">
        <v>2395</v>
      </c>
      <c r="B1113" s="2" t="s">
        <v>2350</v>
      </c>
      <c r="C1113" s="2">
        <v>1</v>
      </c>
      <c r="D1113" s="2" t="s">
        <v>1055</v>
      </c>
      <c r="E1113" s="29">
        <f>자재조서!E216</f>
        <v>1515960</v>
      </c>
      <c r="F1113" s="29">
        <f t="shared" si="129"/>
        <v>1515960</v>
      </c>
      <c r="G1113" s="29">
        <v>0</v>
      </c>
      <c r="H1113" s="29"/>
      <c r="I1113" s="29">
        <v>0</v>
      </c>
      <c r="J1113" s="29"/>
      <c r="K1113" s="29">
        <f t="shared" si="131"/>
        <v>1515960</v>
      </c>
      <c r="L1113" s="29">
        <f t="shared" si="130"/>
        <v>1515960</v>
      </c>
      <c r="M1113" s="20" t="s">
        <v>6232</v>
      </c>
      <c r="N1113" t="s">
        <v>6232</v>
      </c>
      <c r="P1113" t="s">
        <v>6061</v>
      </c>
      <c r="Q1113" t="s">
        <v>6232</v>
      </c>
      <c r="R1113" t="s">
        <v>2865</v>
      </c>
      <c r="BI1113" s="52" t="str">
        <f>HYPERLINK("#자재조서!A216","MV-4300-250100 →")</f>
        <v>MV-4300-250100 →</v>
      </c>
    </row>
    <row r="1114" spans="1:61" ht="18.399999999999999" customHeight="1">
      <c r="A1114" s="11" t="s">
        <v>2395</v>
      </c>
      <c r="B1114" s="2" t="s">
        <v>1766</v>
      </c>
      <c r="C1114" s="2">
        <v>1</v>
      </c>
      <c r="D1114" s="2" t="s">
        <v>1055</v>
      </c>
      <c r="E1114" s="29">
        <f>자재조서!E217</f>
        <v>1585540</v>
      </c>
      <c r="F1114" s="29">
        <f t="shared" ref="F1114:F1145" si="132">TRUNC(E1114*C1114,0)</f>
        <v>1585540</v>
      </c>
      <c r="G1114" s="29">
        <v>0</v>
      </c>
      <c r="H1114" s="29"/>
      <c r="I1114" s="29">
        <v>0</v>
      </c>
      <c r="J1114" s="29"/>
      <c r="K1114" s="29">
        <f t="shared" si="131"/>
        <v>1585540</v>
      </c>
      <c r="L1114" s="29">
        <f t="shared" si="130"/>
        <v>1585540</v>
      </c>
      <c r="M1114" s="20" t="s">
        <v>6232</v>
      </c>
      <c r="N1114" t="s">
        <v>6232</v>
      </c>
      <c r="P1114" t="s">
        <v>1485</v>
      </c>
      <c r="Q1114" t="s">
        <v>6232</v>
      </c>
      <c r="R1114" t="s">
        <v>2939</v>
      </c>
      <c r="BI1114" s="52" t="str">
        <f>HYPERLINK("#자재조서!A217","MV-4300-250125 →")</f>
        <v>MV-4300-250125 →</v>
      </c>
    </row>
    <row r="1115" spans="1:61" ht="18.399999999999999" customHeight="1">
      <c r="A1115" s="11" t="s">
        <v>2395</v>
      </c>
      <c r="B1115" s="2" t="s">
        <v>3352</v>
      </c>
      <c r="C1115" s="2">
        <v>1</v>
      </c>
      <c r="D1115" s="2" t="s">
        <v>1055</v>
      </c>
      <c r="E1115" s="29">
        <f>자재조서!E218</f>
        <v>1500560</v>
      </c>
      <c r="F1115" s="29">
        <f t="shared" si="132"/>
        <v>1500560</v>
      </c>
      <c r="G1115" s="29">
        <v>0</v>
      </c>
      <c r="H1115" s="29"/>
      <c r="I1115" s="29">
        <v>0</v>
      </c>
      <c r="J1115" s="29"/>
      <c r="K1115" s="29">
        <f t="shared" si="131"/>
        <v>1500560</v>
      </c>
      <c r="L1115" s="29">
        <f t="shared" si="130"/>
        <v>1500560</v>
      </c>
      <c r="M1115" s="20" t="s">
        <v>6232</v>
      </c>
      <c r="N1115" t="s">
        <v>6232</v>
      </c>
      <c r="P1115" t="s">
        <v>3059</v>
      </c>
      <c r="Q1115" t="s">
        <v>6232</v>
      </c>
      <c r="R1115" t="s">
        <v>1220</v>
      </c>
      <c r="BI1115" s="52" t="str">
        <f>HYPERLINK("#자재조서!A218","MV-4300-250150 →")</f>
        <v>MV-4300-250150 →</v>
      </c>
    </row>
    <row r="1116" spans="1:61" ht="18.399999999999999" customHeight="1">
      <c r="A1116" s="11" t="s">
        <v>2395</v>
      </c>
      <c r="B1116" s="2" t="s">
        <v>3467</v>
      </c>
      <c r="C1116" s="2">
        <v>1</v>
      </c>
      <c r="D1116" s="2" t="s">
        <v>1055</v>
      </c>
      <c r="E1116" s="29">
        <f>자재조서!E219</f>
        <v>1622570</v>
      </c>
      <c r="F1116" s="29">
        <f t="shared" si="132"/>
        <v>1622570</v>
      </c>
      <c r="G1116" s="29">
        <v>0</v>
      </c>
      <c r="H1116" s="29"/>
      <c r="I1116" s="29">
        <v>0</v>
      </c>
      <c r="J1116" s="29"/>
      <c r="K1116" s="29">
        <f t="shared" si="131"/>
        <v>1622570</v>
      </c>
      <c r="L1116" s="29">
        <f t="shared" si="130"/>
        <v>1622570</v>
      </c>
      <c r="M1116" s="20" t="s">
        <v>6232</v>
      </c>
      <c r="N1116" t="s">
        <v>6232</v>
      </c>
      <c r="P1116" t="s">
        <v>4549</v>
      </c>
      <c r="Q1116" t="s">
        <v>6232</v>
      </c>
      <c r="R1116" t="s">
        <v>1099</v>
      </c>
      <c r="BI1116" s="52" t="str">
        <f>HYPERLINK("#자재조서!A219","MV-4300-250200 →")</f>
        <v>MV-4300-250200 →</v>
      </c>
    </row>
    <row r="1117" spans="1:61" ht="18.399999999999999" customHeight="1">
      <c r="A1117" s="11" t="s">
        <v>2395</v>
      </c>
      <c r="B1117" s="2" t="s">
        <v>2414</v>
      </c>
      <c r="C1117" s="2">
        <v>1</v>
      </c>
      <c r="D1117" s="2" t="s">
        <v>1055</v>
      </c>
      <c r="E1117" s="29">
        <f>자재조서!E220</f>
        <v>1795890</v>
      </c>
      <c r="F1117" s="29">
        <f t="shared" si="132"/>
        <v>1795890</v>
      </c>
      <c r="G1117" s="29">
        <v>0</v>
      </c>
      <c r="H1117" s="29"/>
      <c r="I1117" s="29">
        <v>0</v>
      </c>
      <c r="J1117" s="29"/>
      <c r="K1117" s="29">
        <f t="shared" si="131"/>
        <v>1795890</v>
      </c>
      <c r="L1117" s="29">
        <f t="shared" si="130"/>
        <v>1795890</v>
      </c>
      <c r="M1117" s="20" t="s">
        <v>6232</v>
      </c>
      <c r="N1117" t="s">
        <v>6232</v>
      </c>
      <c r="P1117" t="s">
        <v>6164</v>
      </c>
      <c r="Q1117" t="s">
        <v>6232</v>
      </c>
      <c r="R1117" t="s">
        <v>2593</v>
      </c>
      <c r="BI1117" s="52" t="str">
        <f>HYPERLINK("#자재조서!A220","MV-4300-250250 →")</f>
        <v>MV-4300-250250 →</v>
      </c>
    </row>
    <row r="1118" spans="1:61" ht="18.399999999999999" customHeight="1">
      <c r="A1118" s="11" t="s">
        <v>2395</v>
      </c>
      <c r="B1118" s="2" t="s">
        <v>3189</v>
      </c>
      <c r="C1118" s="2">
        <v>1</v>
      </c>
      <c r="D1118" s="2" t="s">
        <v>1055</v>
      </c>
      <c r="E1118" s="29">
        <f>자재조서!E221</f>
        <v>1503890</v>
      </c>
      <c r="F1118" s="29">
        <f t="shared" si="132"/>
        <v>1503890</v>
      </c>
      <c r="G1118" s="29">
        <v>0</v>
      </c>
      <c r="H1118" s="29"/>
      <c r="I1118" s="29">
        <v>0</v>
      </c>
      <c r="J1118" s="29"/>
      <c r="K1118" s="29">
        <f t="shared" si="131"/>
        <v>1503890</v>
      </c>
      <c r="L1118" s="29">
        <f t="shared" si="130"/>
        <v>1503890</v>
      </c>
      <c r="M1118" s="20" t="s">
        <v>6232</v>
      </c>
      <c r="N1118" t="s">
        <v>6232</v>
      </c>
      <c r="P1118" t="s">
        <v>1205</v>
      </c>
      <c r="Q1118" t="s">
        <v>6232</v>
      </c>
      <c r="R1118" t="s">
        <v>3789</v>
      </c>
      <c r="BI1118" s="52" t="str">
        <f>HYPERLINK("#자재조서!A221","MV-4300-300065 →")</f>
        <v>MV-4300-300065 →</v>
      </c>
    </row>
    <row r="1119" spans="1:61" ht="18.399999999999999" customHeight="1">
      <c r="A1119" s="11" t="s">
        <v>2395</v>
      </c>
      <c r="B1119" s="2" t="s">
        <v>4927</v>
      </c>
      <c r="C1119" s="2">
        <v>1</v>
      </c>
      <c r="D1119" s="2" t="s">
        <v>1055</v>
      </c>
      <c r="E1119" s="29">
        <f>자재조서!E222</f>
        <v>1591880</v>
      </c>
      <c r="F1119" s="29">
        <f t="shared" si="132"/>
        <v>1591880</v>
      </c>
      <c r="G1119" s="29">
        <v>0</v>
      </c>
      <c r="H1119" s="29"/>
      <c r="I1119" s="29">
        <v>0</v>
      </c>
      <c r="J1119" s="29"/>
      <c r="K1119" s="29">
        <f t="shared" si="131"/>
        <v>1591880</v>
      </c>
      <c r="L1119" s="29">
        <f t="shared" si="130"/>
        <v>1591880</v>
      </c>
      <c r="M1119" s="20" t="s">
        <v>6232</v>
      </c>
      <c r="N1119" t="s">
        <v>6232</v>
      </c>
      <c r="P1119" t="s">
        <v>2765</v>
      </c>
      <c r="Q1119" t="s">
        <v>6232</v>
      </c>
      <c r="R1119" t="s">
        <v>3812</v>
      </c>
      <c r="BI1119" s="52" t="str">
        <f>HYPERLINK("#자재조서!A222","MV-4300-300080 →")</f>
        <v>MV-4300-300080 →</v>
      </c>
    </row>
    <row r="1120" spans="1:61" ht="18.399999999999999" customHeight="1">
      <c r="A1120" s="11" t="s">
        <v>2395</v>
      </c>
      <c r="B1120" s="2" t="s">
        <v>2127</v>
      </c>
      <c r="C1120" s="2">
        <v>1</v>
      </c>
      <c r="D1120" s="2" t="s">
        <v>1055</v>
      </c>
      <c r="E1120" s="29">
        <f>자재조서!E223</f>
        <v>1665340</v>
      </c>
      <c r="F1120" s="29">
        <f t="shared" si="132"/>
        <v>1665340</v>
      </c>
      <c r="G1120" s="29">
        <v>0</v>
      </c>
      <c r="H1120" s="29"/>
      <c r="I1120" s="29">
        <v>0</v>
      </c>
      <c r="J1120" s="29"/>
      <c r="K1120" s="29">
        <f t="shared" si="131"/>
        <v>1665340</v>
      </c>
      <c r="L1120" s="29">
        <f t="shared" si="130"/>
        <v>1665340</v>
      </c>
      <c r="M1120" s="20" t="s">
        <v>6232</v>
      </c>
      <c r="N1120" t="s">
        <v>6232</v>
      </c>
      <c r="P1120" t="s">
        <v>291</v>
      </c>
      <c r="Q1120" t="s">
        <v>6232</v>
      </c>
      <c r="R1120" t="s">
        <v>3935</v>
      </c>
      <c r="BI1120" s="52" t="str">
        <f>HYPERLINK("#자재조서!A223","MV-4300-300100 →")</f>
        <v>MV-4300-300100 →</v>
      </c>
    </row>
    <row r="1121" spans="1:61" ht="18.399999999999999" customHeight="1">
      <c r="A1121" s="11" t="s">
        <v>2395</v>
      </c>
      <c r="B1121" s="2" t="s">
        <v>2767</v>
      </c>
      <c r="C1121" s="2">
        <v>1</v>
      </c>
      <c r="D1121" s="2" t="s">
        <v>1055</v>
      </c>
      <c r="E1121" s="29">
        <f>자재조서!E224</f>
        <v>1734510</v>
      </c>
      <c r="F1121" s="29">
        <f t="shared" si="132"/>
        <v>1734510</v>
      </c>
      <c r="G1121" s="29">
        <v>0</v>
      </c>
      <c r="H1121" s="29"/>
      <c r="I1121" s="29">
        <v>0</v>
      </c>
      <c r="J1121" s="29"/>
      <c r="K1121" s="29">
        <f t="shared" si="131"/>
        <v>1734510</v>
      </c>
      <c r="L1121" s="29">
        <f t="shared" si="130"/>
        <v>1734510</v>
      </c>
      <c r="M1121" s="20" t="s">
        <v>6232</v>
      </c>
      <c r="N1121" t="s">
        <v>6232</v>
      </c>
      <c r="P1121" t="s">
        <v>1822</v>
      </c>
      <c r="Q1121" t="s">
        <v>6232</v>
      </c>
      <c r="R1121" t="s">
        <v>4269</v>
      </c>
      <c r="BI1121" s="52" t="str">
        <f>HYPERLINK("#자재조서!A224","MV-4300-300125 →")</f>
        <v>MV-4300-300125 →</v>
      </c>
    </row>
    <row r="1122" spans="1:61" ht="18.399999999999999" customHeight="1">
      <c r="A1122" s="11" t="s">
        <v>2395</v>
      </c>
      <c r="B1122" s="2" t="s">
        <v>4357</v>
      </c>
      <c r="C1122" s="2">
        <v>1</v>
      </c>
      <c r="D1122" s="2" t="s">
        <v>1055</v>
      </c>
      <c r="E1122" s="29">
        <f>자재조서!E225</f>
        <v>1833050</v>
      </c>
      <c r="F1122" s="29">
        <f t="shared" si="132"/>
        <v>1833050</v>
      </c>
      <c r="G1122" s="29">
        <v>0</v>
      </c>
      <c r="H1122" s="29"/>
      <c r="I1122" s="29">
        <v>0</v>
      </c>
      <c r="J1122" s="29"/>
      <c r="K1122" s="29">
        <f t="shared" si="131"/>
        <v>1833050</v>
      </c>
      <c r="L1122" s="29">
        <f t="shared" si="130"/>
        <v>1833050</v>
      </c>
      <c r="M1122" s="20" t="s">
        <v>6232</v>
      </c>
      <c r="N1122" t="s">
        <v>6232</v>
      </c>
      <c r="P1122" t="s">
        <v>3475</v>
      </c>
      <c r="Q1122" t="s">
        <v>6232</v>
      </c>
      <c r="R1122" t="s">
        <v>5635</v>
      </c>
      <c r="BI1122" s="52" t="str">
        <f>HYPERLINK("#자재조서!A225","MV-4300-300150 →")</f>
        <v>MV-4300-300150 →</v>
      </c>
    </row>
    <row r="1123" spans="1:61" ht="18.399999999999999" customHeight="1">
      <c r="A1123" s="11" t="s">
        <v>2395</v>
      </c>
      <c r="B1123" s="2" t="s">
        <v>4423</v>
      </c>
      <c r="C1123" s="2">
        <v>1</v>
      </c>
      <c r="D1123" s="2" t="s">
        <v>1055</v>
      </c>
      <c r="E1123" s="29">
        <f>자재조서!E226</f>
        <v>1770430</v>
      </c>
      <c r="F1123" s="29">
        <f t="shared" si="132"/>
        <v>1770430</v>
      </c>
      <c r="G1123" s="29">
        <v>0</v>
      </c>
      <c r="H1123" s="29"/>
      <c r="I1123" s="29">
        <v>0</v>
      </c>
      <c r="J1123" s="29"/>
      <c r="K1123" s="29">
        <f t="shared" si="131"/>
        <v>1770430</v>
      </c>
      <c r="L1123" s="29">
        <f t="shared" si="130"/>
        <v>1770430</v>
      </c>
      <c r="M1123" s="20" t="s">
        <v>6232</v>
      </c>
      <c r="N1123" t="s">
        <v>6232</v>
      </c>
      <c r="P1123" t="s">
        <v>5004</v>
      </c>
      <c r="Q1123" t="s">
        <v>6232</v>
      </c>
      <c r="R1123" t="s">
        <v>6136</v>
      </c>
      <c r="BI1123" s="52" t="str">
        <f>HYPERLINK("#자재조서!A226","MV-4300-300200 →")</f>
        <v>MV-4300-300200 →</v>
      </c>
    </row>
    <row r="1124" spans="1:61" ht="18.399999999999999" customHeight="1">
      <c r="A1124" s="11" t="s">
        <v>2395</v>
      </c>
      <c r="B1124" s="2" t="s">
        <v>2239</v>
      </c>
      <c r="C1124" s="2">
        <v>1</v>
      </c>
      <c r="D1124" s="2" t="s">
        <v>1055</v>
      </c>
      <c r="E1124" s="29">
        <f>자재조서!E227</f>
        <v>1939790</v>
      </c>
      <c r="F1124" s="29">
        <f t="shared" si="132"/>
        <v>1939790</v>
      </c>
      <c r="G1124" s="29">
        <v>0</v>
      </c>
      <c r="H1124" s="29"/>
      <c r="I1124" s="29">
        <v>0</v>
      </c>
      <c r="J1124" s="29"/>
      <c r="K1124" s="29">
        <f t="shared" si="131"/>
        <v>1939790</v>
      </c>
      <c r="L1124" s="29">
        <f t="shared" si="130"/>
        <v>1939790</v>
      </c>
      <c r="M1124" s="20" t="s">
        <v>6232</v>
      </c>
      <c r="N1124" t="s">
        <v>6232</v>
      </c>
      <c r="P1124" t="s">
        <v>212</v>
      </c>
      <c r="Q1124" t="s">
        <v>6232</v>
      </c>
      <c r="R1124" t="s">
        <v>4589</v>
      </c>
      <c r="BI1124" s="52" t="str">
        <f>HYPERLINK("#자재조서!A227","MV-4300-300250 →")</f>
        <v>MV-4300-300250 →</v>
      </c>
    </row>
    <row r="1125" spans="1:61" ht="18.399999999999999" customHeight="1">
      <c r="A1125" s="11" t="s">
        <v>2395</v>
      </c>
      <c r="B1125" s="2" t="s">
        <v>5123</v>
      </c>
      <c r="C1125" s="2">
        <v>1</v>
      </c>
      <c r="D1125" s="2" t="s">
        <v>1055</v>
      </c>
      <c r="E1125" s="29">
        <f>자재조서!E228</f>
        <v>2151250</v>
      </c>
      <c r="F1125" s="29">
        <f t="shared" si="132"/>
        <v>2151250</v>
      </c>
      <c r="G1125" s="29">
        <v>0</v>
      </c>
      <c r="H1125" s="29"/>
      <c r="I1125" s="29">
        <v>0</v>
      </c>
      <c r="J1125" s="29"/>
      <c r="K1125" s="29">
        <f t="shared" si="131"/>
        <v>2151250</v>
      </c>
      <c r="L1125" s="29">
        <f t="shared" si="130"/>
        <v>2151250</v>
      </c>
      <c r="M1125" s="20" t="s">
        <v>6232</v>
      </c>
      <c r="N1125" t="s">
        <v>6232</v>
      </c>
      <c r="P1125" t="s">
        <v>1724</v>
      </c>
      <c r="Q1125" t="s">
        <v>6232</v>
      </c>
      <c r="R1125" t="s">
        <v>4946</v>
      </c>
      <c r="BI1125" s="52" t="str">
        <f>HYPERLINK("#자재조서!A228","MV-4300-300300 →")</f>
        <v>MV-4300-300300 →</v>
      </c>
    </row>
    <row r="1126" spans="1:61" ht="18.399999999999999" customHeight="1">
      <c r="A1126" s="11" t="s">
        <v>2395</v>
      </c>
      <c r="B1126" s="2" t="s">
        <v>1312</v>
      </c>
      <c r="C1126" s="2">
        <v>1</v>
      </c>
      <c r="D1126" s="2" t="s">
        <v>1055</v>
      </c>
      <c r="E1126" s="29">
        <f>자재조서!E229</f>
        <v>1672380</v>
      </c>
      <c r="F1126" s="29">
        <f t="shared" si="132"/>
        <v>1672380</v>
      </c>
      <c r="G1126" s="29">
        <v>0</v>
      </c>
      <c r="H1126" s="29"/>
      <c r="I1126" s="29">
        <v>0</v>
      </c>
      <c r="J1126" s="29"/>
      <c r="K1126" s="29">
        <f t="shared" si="131"/>
        <v>1672380</v>
      </c>
      <c r="L1126" s="29">
        <f t="shared" si="130"/>
        <v>1672380</v>
      </c>
      <c r="M1126" s="20" t="s">
        <v>6232</v>
      </c>
      <c r="N1126" t="s">
        <v>6232</v>
      </c>
      <c r="P1126" t="s">
        <v>3366</v>
      </c>
      <c r="Q1126" t="s">
        <v>6232</v>
      </c>
      <c r="R1126" t="s">
        <v>5754</v>
      </c>
      <c r="BI1126" s="52" t="str">
        <f>HYPERLINK("#자재조서!A229","MV-4300-350065 →")</f>
        <v>MV-4300-350065 →</v>
      </c>
    </row>
    <row r="1127" spans="1:61" ht="18.399999999999999" customHeight="1">
      <c r="A1127" s="11" t="s">
        <v>2395</v>
      </c>
      <c r="B1127" s="2" t="s">
        <v>2905</v>
      </c>
      <c r="C1127" s="2">
        <v>1</v>
      </c>
      <c r="D1127" s="2" t="s">
        <v>1055</v>
      </c>
      <c r="E1127" s="29">
        <f>자재조서!E230</f>
        <v>1769590</v>
      </c>
      <c r="F1127" s="29">
        <f t="shared" si="132"/>
        <v>1769590</v>
      </c>
      <c r="G1127" s="29">
        <v>0</v>
      </c>
      <c r="H1127" s="29"/>
      <c r="I1127" s="29">
        <v>0</v>
      </c>
      <c r="J1127" s="29"/>
      <c r="K1127" s="29">
        <f t="shared" si="131"/>
        <v>1769590</v>
      </c>
      <c r="L1127" s="29">
        <f t="shared" si="130"/>
        <v>1769590</v>
      </c>
      <c r="M1127" s="20" t="s">
        <v>6232</v>
      </c>
      <c r="N1127" t="s">
        <v>6232</v>
      </c>
      <c r="P1127" t="s">
        <v>4901</v>
      </c>
      <c r="Q1127" t="s">
        <v>6232</v>
      </c>
      <c r="R1127" t="s">
        <v>5762</v>
      </c>
      <c r="BI1127" s="52" t="str">
        <f>HYPERLINK("#자재조서!A230","MV-4300-350080 →")</f>
        <v>MV-4300-350080 →</v>
      </c>
    </row>
    <row r="1128" spans="1:61" ht="18.399999999999999" customHeight="1">
      <c r="A1128" s="11" t="s">
        <v>2395</v>
      </c>
      <c r="B1128" s="2" t="s">
        <v>6218</v>
      </c>
      <c r="C1128" s="2">
        <v>1</v>
      </c>
      <c r="D1128" s="2" t="s">
        <v>1055</v>
      </c>
      <c r="E1128" s="29">
        <f>자재조서!E231</f>
        <v>1842720</v>
      </c>
      <c r="F1128" s="29">
        <f t="shared" si="132"/>
        <v>1842720</v>
      </c>
      <c r="G1128" s="29">
        <v>0</v>
      </c>
      <c r="H1128" s="29"/>
      <c r="I1128" s="29">
        <v>0</v>
      </c>
      <c r="J1128" s="29"/>
      <c r="K1128" s="29">
        <f t="shared" si="131"/>
        <v>1842720</v>
      </c>
      <c r="L1128" s="29">
        <f t="shared" si="130"/>
        <v>1842720</v>
      </c>
      <c r="M1128" s="20" t="s">
        <v>6232</v>
      </c>
      <c r="N1128" t="s">
        <v>6232</v>
      </c>
      <c r="P1128" t="s">
        <v>110</v>
      </c>
      <c r="Q1128" t="s">
        <v>6232</v>
      </c>
      <c r="R1128" t="s">
        <v>5102</v>
      </c>
      <c r="BI1128" s="52" t="str">
        <f>HYPERLINK("#자재조서!A231","MV-4300-350100 →")</f>
        <v>MV-4300-350100 →</v>
      </c>
    </row>
    <row r="1129" spans="1:61" ht="18.399999999999999" customHeight="1">
      <c r="A1129" s="11" t="s">
        <v>2395</v>
      </c>
      <c r="B1129" s="2" t="s">
        <v>5141</v>
      </c>
      <c r="C1129" s="2">
        <v>1</v>
      </c>
      <c r="D1129" s="2" t="s">
        <v>1055</v>
      </c>
      <c r="E1129" s="29">
        <f>자재조서!E232</f>
        <v>1911820</v>
      </c>
      <c r="F1129" s="29">
        <f t="shared" si="132"/>
        <v>1911820</v>
      </c>
      <c r="G1129" s="29">
        <v>0</v>
      </c>
      <c r="H1129" s="29"/>
      <c r="I1129" s="29">
        <v>0</v>
      </c>
      <c r="J1129" s="29"/>
      <c r="K1129" s="29">
        <f t="shared" si="131"/>
        <v>1911820</v>
      </c>
      <c r="L1129" s="29">
        <f t="shared" si="130"/>
        <v>1911820</v>
      </c>
      <c r="M1129" s="20" t="s">
        <v>6232</v>
      </c>
      <c r="N1129" t="s">
        <v>6232</v>
      </c>
      <c r="P1129" t="s">
        <v>1620</v>
      </c>
      <c r="Q1129" t="s">
        <v>6232</v>
      </c>
      <c r="R1129" t="s">
        <v>5416</v>
      </c>
      <c r="BI1129" s="52" t="str">
        <f>HYPERLINK("#자재조서!A232","MV-4300-350125 →")</f>
        <v>MV-4300-350125 →</v>
      </c>
    </row>
    <row r="1130" spans="1:61" ht="18.399999999999999" customHeight="1">
      <c r="A1130" s="11" t="s">
        <v>2395</v>
      </c>
      <c r="B1130" s="2" t="s">
        <v>499</v>
      </c>
      <c r="C1130" s="2">
        <v>1</v>
      </c>
      <c r="D1130" s="2" t="s">
        <v>1055</v>
      </c>
      <c r="E1130" s="29">
        <f>자재조서!E233</f>
        <v>2010010</v>
      </c>
      <c r="F1130" s="29">
        <f t="shared" si="132"/>
        <v>2010010</v>
      </c>
      <c r="G1130" s="29">
        <v>0</v>
      </c>
      <c r="H1130" s="29"/>
      <c r="I1130" s="29">
        <v>0</v>
      </c>
      <c r="J1130" s="29"/>
      <c r="K1130" s="29">
        <f t="shared" si="131"/>
        <v>2010010</v>
      </c>
      <c r="L1130" s="29">
        <f t="shared" si="130"/>
        <v>2010010</v>
      </c>
      <c r="M1130" s="20" t="s">
        <v>6232</v>
      </c>
      <c r="N1130" t="s">
        <v>6232</v>
      </c>
      <c r="P1130" t="s">
        <v>3289</v>
      </c>
      <c r="Q1130" t="s">
        <v>6232</v>
      </c>
      <c r="R1130" t="s">
        <v>3677</v>
      </c>
      <c r="BI1130" s="52" t="str">
        <f>HYPERLINK("#자재조서!A233","MV-4300-350150 →")</f>
        <v>MV-4300-350150 →</v>
      </c>
    </row>
    <row r="1131" spans="1:61" ht="18.399999999999999" customHeight="1">
      <c r="A1131" s="11" t="s">
        <v>2395</v>
      </c>
      <c r="B1131" s="2" t="s">
        <v>425</v>
      </c>
      <c r="C1131" s="2">
        <v>1</v>
      </c>
      <c r="D1131" s="2" t="s">
        <v>1055</v>
      </c>
      <c r="E1131" s="29">
        <f>자재조서!E234</f>
        <v>1947030</v>
      </c>
      <c r="F1131" s="29">
        <f t="shared" si="132"/>
        <v>1947030</v>
      </c>
      <c r="G1131" s="29">
        <v>0</v>
      </c>
      <c r="H1131" s="29"/>
      <c r="I1131" s="29">
        <v>0</v>
      </c>
      <c r="J1131" s="29"/>
      <c r="K1131" s="29">
        <f t="shared" si="131"/>
        <v>1947030</v>
      </c>
      <c r="L1131" s="29">
        <f t="shared" si="130"/>
        <v>1947030</v>
      </c>
      <c r="M1131" s="20" t="s">
        <v>6232</v>
      </c>
      <c r="N1131" t="s">
        <v>6232</v>
      </c>
      <c r="P1131" t="s">
        <v>4890</v>
      </c>
      <c r="Q1131" t="s">
        <v>6232</v>
      </c>
      <c r="R1131" t="s">
        <v>3370</v>
      </c>
      <c r="BI1131" s="52" t="str">
        <f>HYPERLINK("#자재조서!A234","MV-4300-350200 →")</f>
        <v>MV-4300-350200 →</v>
      </c>
    </row>
    <row r="1132" spans="1:61" ht="18.399999999999999" customHeight="1">
      <c r="A1132" s="11" t="s">
        <v>2395</v>
      </c>
      <c r="B1132" s="2" t="s">
        <v>6069</v>
      </c>
      <c r="C1132" s="2">
        <v>1</v>
      </c>
      <c r="D1132" s="2" t="s">
        <v>1055</v>
      </c>
      <c r="E1132" s="29">
        <f>자재조서!E235</f>
        <v>2115320</v>
      </c>
      <c r="F1132" s="29">
        <f t="shared" si="132"/>
        <v>2115320</v>
      </c>
      <c r="G1132" s="29">
        <v>0</v>
      </c>
      <c r="H1132" s="29"/>
      <c r="I1132" s="29">
        <v>0</v>
      </c>
      <c r="J1132" s="29"/>
      <c r="K1132" s="29">
        <f t="shared" si="131"/>
        <v>2115320</v>
      </c>
      <c r="L1132" s="29">
        <f t="shared" si="130"/>
        <v>2115320</v>
      </c>
      <c r="M1132" s="20" t="s">
        <v>6232</v>
      </c>
      <c r="N1132" t="s">
        <v>6232</v>
      </c>
      <c r="P1132" t="s">
        <v>238</v>
      </c>
      <c r="Q1132" t="s">
        <v>6232</v>
      </c>
      <c r="R1132" t="s">
        <v>5002</v>
      </c>
      <c r="BI1132" s="52" t="str">
        <f>HYPERLINK("#자재조서!A235","MV-4300-350250 →")</f>
        <v>MV-4300-350250 →</v>
      </c>
    </row>
    <row r="1133" spans="1:61" ht="18.399999999999999" customHeight="1">
      <c r="A1133" s="11" t="s">
        <v>2395</v>
      </c>
      <c r="B1133" s="2" t="s">
        <v>2801</v>
      </c>
      <c r="C1133" s="2">
        <v>1</v>
      </c>
      <c r="D1133" s="2" t="s">
        <v>1055</v>
      </c>
      <c r="E1133" s="29">
        <f>자재조서!E236</f>
        <v>2325050</v>
      </c>
      <c r="F1133" s="29">
        <f t="shared" si="132"/>
        <v>2325050</v>
      </c>
      <c r="G1133" s="29">
        <v>0</v>
      </c>
      <c r="H1133" s="29"/>
      <c r="I1133" s="29">
        <v>0</v>
      </c>
      <c r="J1133" s="29"/>
      <c r="K1133" s="29">
        <f t="shared" si="131"/>
        <v>2325050</v>
      </c>
      <c r="L1133" s="29">
        <f t="shared" si="130"/>
        <v>2325050</v>
      </c>
      <c r="M1133" s="20" t="s">
        <v>6232</v>
      </c>
      <c r="N1133" t="s">
        <v>6232</v>
      </c>
      <c r="P1133" t="s">
        <v>1805</v>
      </c>
      <c r="Q1133" t="s">
        <v>6232</v>
      </c>
      <c r="R1133" t="s">
        <v>4538</v>
      </c>
      <c r="BI1133" s="52" t="str">
        <f>HYPERLINK("#자재조서!A236","MV-4300-350300 →")</f>
        <v>MV-4300-350300 →</v>
      </c>
    </row>
    <row r="1134" spans="1:61" ht="18.399999999999999" customHeight="1">
      <c r="A1134" s="11" t="s">
        <v>2395</v>
      </c>
      <c r="B1134" s="2" t="s">
        <v>3855</v>
      </c>
      <c r="C1134" s="2">
        <v>1</v>
      </c>
      <c r="D1134" s="2" t="s">
        <v>1055</v>
      </c>
      <c r="E1134" s="29">
        <f>자재조서!E237</f>
        <v>2536270</v>
      </c>
      <c r="F1134" s="29">
        <f t="shared" si="132"/>
        <v>2536270</v>
      </c>
      <c r="G1134" s="29">
        <v>0</v>
      </c>
      <c r="H1134" s="29"/>
      <c r="I1134" s="29">
        <v>0</v>
      </c>
      <c r="J1134" s="29"/>
      <c r="K1134" s="29">
        <f t="shared" si="131"/>
        <v>2536270</v>
      </c>
      <c r="L1134" s="29">
        <f t="shared" si="130"/>
        <v>2536270</v>
      </c>
      <c r="M1134" s="20" t="s">
        <v>6232</v>
      </c>
      <c r="N1134" t="s">
        <v>6232</v>
      </c>
      <c r="P1134" t="s">
        <v>3388</v>
      </c>
      <c r="Q1134" t="s">
        <v>6232</v>
      </c>
      <c r="R1134" t="s">
        <v>6064</v>
      </c>
      <c r="BI1134" s="52" t="str">
        <f>HYPERLINK("#자재조서!A237","MV-4300-350350 →")</f>
        <v>MV-4300-350350 →</v>
      </c>
    </row>
    <row r="1135" spans="1:61" ht="18.399999999999999" customHeight="1">
      <c r="A1135" s="11" t="s">
        <v>2395</v>
      </c>
      <c r="B1135" s="2" t="s">
        <v>1646</v>
      </c>
      <c r="C1135" s="2">
        <v>1</v>
      </c>
      <c r="D1135" s="2" t="s">
        <v>1055</v>
      </c>
      <c r="E1135" s="29">
        <f>자재조서!E238</f>
        <v>1939420</v>
      </c>
      <c r="F1135" s="29">
        <f t="shared" si="132"/>
        <v>1939420</v>
      </c>
      <c r="G1135" s="29">
        <v>0</v>
      </c>
      <c r="H1135" s="29"/>
      <c r="I1135" s="29">
        <v>0</v>
      </c>
      <c r="J1135" s="29"/>
      <c r="K1135" s="29">
        <f t="shared" si="131"/>
        <v>1939420</v>
      </c>
      <c r="L1135" s="29">
        <f t="shared" si="130"/>
        <v>1939420</v>
      </c>
      <c r="M1135" s="20" t="s">
        <v>6232</v>
      </c>
      <c r="N1135" t="s">
        <v>6232</v>
      </c>
      <c r="P1135" t="s">
        <v>4983</v>
      </c>
      <c r="Q1135" t="s">
        <v>6232</v>
      </c>
      <c r="R1135" t="s">
        <v>899</v>
      </c>
      <c r="BI1135" s="52" t="str">
        <f>HYPERLINK("#자재조서!A238","MV-4300-400080 →")</f>
        <v>MV-4300-400080 →</v>
      </c>
    </row>
    <row r="1136" spans="1:61" ht="18.399999999999999" customHeight="1">
      <c r="A1136" s="11" t="s">
        <v>2395</v>
      </c>
      <c r="B1136" s="2" t="s">
        <v>1548</v>
      </c>
      <c r="C1136" s="2">
        <v>1</v>
      </c>
      <c r="D1136" s="2" t="s">
        <v>1055</v>
      </c>
      <c r="E1136" s="29">
        <f>자재조서!E239</f>
        <v>2017290</v>
      </c>
      <c r="F1136" s="29">
        <f t="shared" si="132"/>
        <v>2017290</v>
      </c>
      <c r="G1136" s="29">
        <v>0</v>
      </c>
      <c r="H1136" s="29"/>
      <c r="I1136" s="29">
        <v>0</v>
      </c>
      <c r="J1136" s="29"/>
      <c r="K1136" s="29">
        <f t="shared" si="131"/>
        <v>2017290</v>
      </c>
      <c r="L1136" s="29">
        <f t="shared" si="130"/>
        <v>2017290</v>
      </c>
      <c r="M1136" s="20" t="s">
        <v>6232</v>
      </c>
      <c r="N1136" t="s">
        <v>6232</v>
      </c>
      <c r="P1136" t="s">
        <v>306</v>
      </c>
      <c r="Q1136" t="s">
        <v>6232</v>
      </c>
      <c r="R1136" t="s">
        <v>646</v>
      </c>
      <c r="BI1136" s="52" t="str">
        <f>HYPERLINK("#자재조서!A239","MV-4300-400100 →")</f>
        <v>MV-4300-400100 →</v>
      </c>
    </row>
    <row r="1137" spans="1:61" ht="18.399999999999999" customHeight="1">
      <c r="A1137" s="11" t="s">
        <v>2395</v>
      </c>
      <c r="B1137" s="2" t="s">
        <v>2564</v>
      </c>
      <c r="C1137" s="2">
        <v>1</v>
      </c>
      <c r="D1137" s="2" t="s">
        <v>1055</v>
      </c>
      <c r="E1137" s="29">
        <f>자재조서!E240</f>
        <v>2086600</v>
      </c>
      <c r="F1137" s="29">
        <f t="shared" si="132"/>
        <v>2086600</v>
      </c>
      <c r="G1137" s="29">
        <v>0</v>
      </c>
      <c r="H1137" s="29"/>
      <c r="I1137" s="29">
        <v>0</v>
      </c>
      <c r="J1137" s="29"/>
      <c r="K1137" s="29">
        <f t="shared" si="131"/>
        <v>2086600</v>
      </c>
      <c r="L1137" s="29">
        <f t="shared" si="130"/>
        <v>2086600</v>
      </c>
      <c r="M1137" s="20" t="s">
        <v>6232</v>
      </c>
      <c r="N1137" t="s">
        <v>6232</v>
      </c>
      <c r="P1137" t="s">
        <v>1889</v>
      </c>
      <c r="Q1137" t="s">
        <v>6232</v>
      </c>
      <c r="R1137" t="s">
        <v>582</v>
      </c>
      <c r="BI1137" s="52" t="str">
        <f>HYPERLINK("#자재조서!A240","MV-4300-400125 →")</f>
        <v>MV-4300-400125 →</v>
      </c>
    </row>
    <row r="1138" spans="1:61" ht="18.399999999999999" customHeight="1">
      <c r="A1138" s="11" t="s">
        <v>2395</v>
      </c>
      <c r="B1138" s="2" t="s">
        <v>4146</v>
      </c>
      <c r="C1138" s="2">
        <v>1</v>
      </c>
      <c r="D1138" s="2" t="s">
        <v>1055</v>
      </c>
      <c r="E1138" s="29">
        <f>자재조서!E241</f>
        <v>2178880</v>
      </c>
      <c r="F1138" s="29">
        <f t="shared" si="132"/>
        <v>2178880</v>
      </c>
      <c r="G1138" s="29">
        <v>0</v>
      </c>
      <c r="H1138" s="29"/>
      <c r="I1138" s="29">
        <v>0</v>
      </c>
      <c r="J1138" s="29"/>
      <c r="K1138" s="29">
        <f t="shared" si="131"/>
        <v>2178880</v>
      </c>
      <c r="L1138" s="29">
        <f t="shared" si="130"/>
        <v>2178880</v>
      </c>
      <c r="M1138" s="20" t="s">
        <v>6232</v>
      </c>
      <c r="N1138" t="s">
        <v>6232</v>
      </c>
      <c r="P1138" t="s">
        <v>3076</v>
      </c>
      <c r="Q1138" t="s">
        <v>6232</v>
      </c>
      <c r="R1138" t="s">
        <v>2296</v>
      </c>
      <c r="BI1138" s="52" t="str">
        <f>HYPERLINK("#자재조서!A241","MV-4300-400150 →")</f>
        <v>MV-4300-400150 →</v>
      </c>
    </row>
    <row r="1139" spans="1:61" ht="18.399999999999999" customHeight="1">
      <c r="A1139" s="11" t="s">
        <v>2395</v>
      </c>
      <c r="B1139" s="2" t="s">
        <v>4271</v>
      </c>
      <c r="C1139" s="2">
        <v>1</v>
      </c>
      <c r="D1139" s="2" t="s">
        <v>1055</v>
      </c>
      <c r="E1139" s="29">
        <f>자재조서!E242</f>
        <v>2348680</v>
      </c>
      <c r="F1139" s="29">
        <f t="shared" si="132"/>
        <v>2348680</v>
      </c>
      <c r="G1139" s="29">
        <v>0</v>
      </c>
      <c r="H1139" s="29"/>
      <c r="I1139" s="29">
        <v>0</v>
      </c>
      <c r="J1139" s="29"/>
      <c r="K1139" s="29">
        <f t="shared" si="131"/>
        <v>2348680</v>
      </c>
      <c r="L1139" s="29">
        <f t="shared" si="130"/>
        <v>2348680</v>
      </c>
      <c r="M1139" s="20" t="s">
        <v>6232</v>
      </c>
      <c r="N1139" t="s">
        <v>6232</v>
      </c>
      <c r="P1139" t="s">
        <v>4680</v>
      </c>
      <c r="Q1139" t="s">
        <v>6232</v>
      </c>
      <c r="R1139" t="s">
        <v>1612</v>
      </c>
      <c r="BI1139" s="52" t="str">
        <f>HYPERLINK("#자재조서!A242","MV-4300-400200 →")</f>
        <v>MV-4300-400200 →</v>
      </c>
    </row>
    <row r="1140" spans="1:61" ht="18.399999999999999" customHeight="1">
      <c r="A1140" s="11" t="s">
        <v>2395</v>
      </c>
      <c r="B1140" s="2" t="s">
        <v>1619</v>
      </c>
      <c r="C1140" s="2">
        <v>1</v>
      </c>
      <c r="D1140" s="2" t="s">
        <v>1055</v>
      </c>
      <c r="E1140" s="29">
        <f>자재조서!E243</f>
        <v>2282720</v>
      </c>
      <c r="F1140" s="29">
        <f t="shared" si="132"/>
        <v>2282720</v>
      </c>
      <c r="G1140" s="29">
        <v>0</v>
      </c>
      <c r="H1140" s="29"/>
      <c r="I1140" s="29">
        <v>0</v>
      </c>
      <c r="J1140" s="29"/>
      <c r="K1140" s="29">
        <f t="shared" si="131"/>
        <v>2282720</v>
      </c>
      <c r="L1140" s="29">
        <f t="shared" si="130"/>
        <v>2282720</v>
      </c>
      <c r="M1140" s="20" t="s">
        <v>6232</v>
      </c>
      <c r="N1140" t="s">
        <v>6232</v>
      </c>
      <c r="P1140" t="s">
        <v>4643</v>
      </c>
      <c r="Q1140" t="s">
        <v>6232</v>
      </c>
      <c r="R1140" t="s">
        <v>141</v>
      </c>
      <c r="BI1140" s="52" t="str">
        <f>HYPERLINK("#자재조서!A243","MV-4300-400250 →")</f>
        <v>MV-4300-400250 →</v>
      </c>
    </row>
    <row r="1141" spans="1:61" ht="18.399999999999999" customHeight="1">
      <c r="A1141" s="11" t="s">
        <v>2395</v>
      </c>
      <c r="B1141" s="2" t="s">
        <v>4912</v>
      </c>
      <c r="C1141" s="2">
        <v>1</v>
      </c>
      <c r="D1141" s="2" t="s">
        <v>1055</v>
      </c>
      <c r="E1141" s="29">
        <f>자재조서!E244</f>
        <v>2497050</v>
      </c>
      <c r="F1141" s="29">
        <f t="shared" si="132"/>
        <v>2497050</v>
      </c>
      <c r="G1141" s="29">
        <v>0</v>
      </c>
      <c r="H1141" s="29"/>
      <c r="I1141" s="29">
        <v>0</v>
      </c>
      <c r="J1141" s="29"/>
      <c r="K1141" s="29">
        <f t="shared" si="131"/>
        <v>2497050</v>
      </c>
      <c r="L1141" s="29">
        <f t="shared" si="130"/>
        <v>2497050</v>
      </c>
      <c r="M1141" s="20" t="s">
        <v>6232</v>
      </c>
      <c r="N1141" t="s">
        <v>6232</v>
      </c>
      <c r="P1141" t="s">
        <v>6204</v>
      </c>
      <c r="Q1141" t="s">
        <v>6232</v>
      </c>
      <c r="R1141" t="s">
        <v>2800</v>
      </c>
      <c r="BI1141" s="52" t="str">
        <f>HYPERLINK("#자재조서!A244","MV-4300-400300 →")</f>
        <v>MV-4300-400300 →</v>
      </c>
    </row>
    <row r="1142" spans="1:61" ht="18.399999999999999" customHeight="1">
      <c r="A1142" s="11" t="s">
        <v>2395</v>
      </c>
      <c r="B1142" s="2" t="s">
        <v>784</v>
      </c>
      <c r="C1142" s="2">
        <v>1</v>
      </c>
      <c r="D1142" s="2" t="s">
        <v>1055</v>
      </c>
      <c r="E1142" s="29">
        <f>자재조서!E245</f>
        <v>2702620</v>
      </c>
      <c r="F1142" s="29">
        <f t="shared" si="132"/>
        <v>2702620</v>
      </c>
      <c r="G1142" s="29">
        <v>0</v>
      </c>
      <c r="H1142" s="29"/>
      <c r="I1142" s="29">
        <v>0</v>
      </c>
      <c r="J1142" s="29"/>
      <c r="K1142" s="29">
        <f t="shared" si="131"/>
        <v>2702620</v>
      </c>
      <c r="L1142" s="29">
        <f t="shared" si="130"/>
        <v>2702620</v>
      </c>
      <c r="M1142" s="20" t="s">
        <v>6232</v>
      </c>
      <c r="N1142" t="s">
        <v>6232</v>
      </c>
      <c r="P1142" t="s">
        <v>1465</v>
      </c>
      <c r="Q1142" t="s">
        <v>6232</v>
      </c>
      <c r="R1142" t="s">
        <v>1171</v>
      </c>
      <c r="BI1142" s="52" t="str">
        <f>HYPERLINK("#자재조서!A245","MV-4300-400350 →")</f>
        <v>MV-4300-400350 →</v>
      </c>
    </row>
    <row r="1143" spans="1:61" ht="18.399999999999999" customHeight="1">
      <c r="A1143" s="11" t="s">
        <v>2395</v>
      </c>
      <c r="B1143" s="2" t="s">
        <v>2775</v>
      </c>
      <c r="C1143" s="2">
        <v>1</v>
      </c>
      <c r="D1143" s="2" t="s">
        <v>1055</v>
      </c>
      <c r="E1143" s="29">
        <f>자재조서!E246</f>
        <v>2886650</v>
      </c>
      <c r="F1143" s="29">
        <f t="shared" si="132"/>
        <v>2886650</v>
      </c>
      <c r="G1143" s="29">
        <v>0</v>
      </c>
      <c r="H1143" s="29"/>
      <c r="I1143" s="29">
        <v>0</v>
      </c>
      <c r="J1143" s="29"/>
      <c r="K1143" s="29">
        <f t="shared" si="131"/>
        <v>2886650</v>
      </c>
      <c r="L1143" s="29">
        <f t="shared" si="130"/>
        <v>2886650</v>
      </c>
      <c r="M1143" s="20" t="s">
        <v>6232</v>
      </c>
      <c r="N1143" t="s">
        <v>6232</v>
      </c>
      <c r="P1143" t="s">
        <v>2991</v>
      </c>
      <c r="Q1143" t="s">
        <v>6232</v>
      </c>
      <c r="R1143" t="s">
        <v>5862</v>
      </c>
      <c r="BI1143" s="52" t="str">
        <f>HYPERLINK("#자재조서!A246","MV-4300-400400 →")</f>
        <v>MV-4300-400400 →</v>
      </c>
    </row>
    <row r="1144" spans="1:61" ht="18.399999999999999" customHeight="1">
      <c r="A1144" s="11" t="s">
        <v>2395</v>
      </c>
      <c r="B1144" s="2" t="s">
        <v>1420</v>
      </c>
      <c r="C1144" s="2">
        <v>1</v>
      </c>
      <c r="D1144" s="2" t="s">
        <v>1055</v>
      </c>
      <c r="E1144" s="29">
        <f>자재조서!E247</f>
        <v>2274390</v>
      </c>
      <c r="F1144" s="29">
        <f t="shared" si="132"/>
        <v>2274390</v>
      </c>
      <c r="G1144" s="29">
        <v>0</v>
      </c>
      <c r="H1144" s="29"/>
      <c r="I1144" s="29">
        <v>0</v>
      </c>
      <c r="J1144" s="29"/>
      <c r="K1144" s="29">
        <f t="shared" si="131"/>
        <v>2274390</v>
      </c>
      <c r="L1144" s="29">
        <f t="shared" si="130"/>
        <v>2274390</v>
      </c>
      <c r="M1144" s="20" t="s">
        <v>6232</v>
      </c>
      <c r="N1144" t="s">
        <v>6232</v>
      </c>
      <c r="P1144" t="s">
        <v>4518</v>
      </c>
      <c r="Q1144" t="s">
        <v>6232</v>
      </c>
      <c r="R1144" t="s">
        <v>2043</v>
      </c>
      <c r="BI1144" s="52" t="str">
        <f>HYPERLINK("#자재조서!A247","MV-4300-450080 →")</f>
        <v>MV-4300-450080 →</v>
      </c>
    </row>
    <row r="1145" spans="1:61" ht="18.399999999999999" customHeight="1">
      <c r="A1145" s="11" t="s">
        <v>2395</v>
      </c>
      <c r="B1145" s="2" t="s">
        <v>5599</v>
      </c>
      <c r="C1145" s="2">
        <v>1</v>
      </c>
      <c r="D1145" s="2" t="s">
        <v>1055</v>
      </c>
      <c r="E1145" s="29">
        <f>자재조서!E248</f>
        <v>2344420</v>
      </c>
      <c r="F1145" s="29">
        <f t="shared" si="132"/>
        <v>2344420</v>
      </c>
      <c r="G1145" s="29">
        <v>0</v>
      </c>
      <c r="H1145" s="29"/>
      <c r="I1145" s="29">
        <v>0</v>
      </c>
      <c r="J1145" s="29"/>
      <c r="K1145" s="29">
        <f t="shared" si="131"/>
        <v>2344420</v>
      </c>
      <c r="L1145" s="29">
        <f t="shared" si="130"/>
        <v>2344420</v>
      </c>
      <c r="M1145" s="20" t="s">
        <v>6232</v>
      </c>
      <c r="N1145" t="s">
        <v>6232</v>
      </c>
      <c r="P1145" t="s">
        <v>6076</v>
      </c>
      <c r="Q1145" t="s">
        <v>6232</v>
      </c>
      <c r="R1145" t="s">
        <v>2585</v>
      </c>
      <c r="BI1145" s="52" t="str">
        <f>HYPERLINK("#자재조서!A248","MV-4300-450100 →")</f>
        <v>MV-4300-450100 →</v>
      </c>
    </row>
    <row r="1146" spans="1:61" ht="18.399999999999999" customHeight="1">
      <c r="A1146" s="11" t="s">
        <v>2395</v>
      </c>
      <c r="B1146" s="2" t="s">
        <v>4970</v>
      </c>
      <c r="C1146" s="2">
        <v>1</v>
      </c>
      <c r="D1146" s="2" t="s">
        <v>1055</v>
      </c>
      <c r="E1146" s="29">
        <f>자재조서!E249</f>
        <v>2384880</v>
      </c>
      <c r="F1146" s="29">
        <f t="shared" ref="F1146:F1177" si="133">TRUNC(E1146*C1146,0)</f>
        <v>2384880</v>
      </c>
      <c r="G1146" s="29">
        <v>0</v>
      </c>
      <c r="H1146" s="29"/>
      <c r="I1146" s="29">
        <v>0</v>
      </c>
      <c r="J1146" s="29"/>
      <c r="K1146" s="29">
        <f t="shared" si="131"/>
        <v>2384880</v>
      </c>
      <c r="L1146" s="29">
        <f t="shared" si="130"/>
        <v>2384880</v>
      </c>
      <c r="M1146" s="20" t="s">
        <v>6232</v>
      </c>
      <c r="N1146" t="s">
        <v>6232</v>
      </c>
      <c r="P1146" t="s">
        <v>1367</v>
      </c>
      <c r="Q1146" t="s">
        <v>6232</v>
      </c>
      <c r="R1146" t="s">
        <v>2496</v>
      </c>
      <c r="BI1146" s="52" t="str">
        <f>HYPERLINK("#자재조서!A249","MV-4300-450125 →")</f>
        <v>MV-4300-450125 →</v>
      </c>
    </row>
    <row r="1147" spans="1:61" ht="18.399999999999999" customHeight="1">
      <c r="A1147" s="11" t="s">
        <v>2395</v>
      </c>
      <c r="B1147" s="2" t="s">
        <v>294</v>
      </c>
      <c r="C1147" s="2">
        <v>1</v>
      </c>
      <c r="D1147" s="2" t="s">
        <v>1055</v>
      </c>
      <c r="E1147" s="29">
        <f>자재조서!E250</f>
        <v>2438890</v>
      </c>
      <c r="F1147" s="29">
        <f t="shared" si="133"/>
        <v>2438890</v>
      </c>
      <c r="G1147" s="29">
        <v>0</v>
      </c>
      <c r="H1147" s="29"/>
      <c r="I1147" s="29">
        <v>0</v>
      </c>
      <c r="J1147" s="29"/>
      <c r="K1147" s="29">
        <f t="shared" si="131"/>
        <v>2438890</v>
      </c>
      <c r="L1147" s="29">
        <f t="shared" si="130"/>
        <v>2438890</v>
      </c>
      <c r="M1147" s="20" t="s">
        <v>6232</v>
      </c>
      <c r="N1147" t="s">
        <v>6232</v>
      </c>
      <c r="P1147" t="s">
        <v>2898</v>
      </c>
      <c r="Q1147" t="s">
        <v>6232</v>
      </c>
      <c r="R1147" t="s">
        <v>1113</v>
      </c>
      <c r="BI1147" s="52" t="str">
        <f>HYPERLINK("#자재조서!A250","MV-4300-450150 →")</f>
        <v>MV-4300-450150 →</v>
      </c>
    </row>
    <row r="1148" spans="1:61" ht="18.399999999999999" customHeight="1">
      <c r="A1148" s="11" t="s">
        <v>2395</v>
      </c>
      <c r="B1148" s="2" t="s">
        <v>197</v>
      </c>
      <c r="C1148" s="2">
        <v>1</v>
      </c>
      <c r="D1148" s="2" t="s">
        <v>1055</v>
      </c>
      <c r="E1148" s="29">
        <f>자재조서!E251</f>
        <v>2559080</v>
      </c>
      <c r="F1148" s="29">
        <f t="shared" si="133"/>
        <v>2559080</v>
      </c>
      <c r="G1148" s="29">
        <v>0</v>
      </c>
      <c r="H1148" s="29"/>
      <c r="I1148" s="29">
        <v>0</v>
      </c>
      <c r="J1148" s="29"/>
      <c r="K1148" s="29">
        <f t="shared" si="131"/>
        <v>2559080</v>
      </c>
      <c r="L1148" s="29">
        <f t="shared" si="130"/>
        <v>2559080</v>
      </c>
      <c r="M1148" s="20" t="s">
        <v>6232</v>
      </c>
      <c r="N1148" t="s">
        <v>6232</v>
      </c>
      <c r="P1148" t="s">
        <v>4432</v>
      </c>
      <c r="Q1148" t="s">
        <v>6232</v>
      </c>
      <c r="R1148" t="s">
        <v>1230</v>
      </c>
      <c r="BI1148" s="52" t="str">
        <f>HYPERLINK("#자재조서!A251","MV-4300-450200 →")</f>
        <v>MV-4300-450200 →</v>
      </c>
    </row>
    <row r="1149" spans="1:61" ht="18.399999999999999" customHeight="1">
      <c r="A1149" s="11" t="s">
        <v>2395</v>
      </c>
      <c r="B1149" s="2" t="s">
        <v>5509</v>
      </c>
      <c r="C1149" s="2">
        <v>1</v>
      </c>
      <c r="D1149" s="2" t="s">
        <v>1055</v>
      </c>
      <c r="E1149" s="29">
        <f>자재조서!E252</f>
        <v>2615390</v>
      </c>
      <c r="F1149" s="29">
        <f t="shared" si="133"/>
        <v>2615390</v>
      </c>
      <c r="G1149" s="29">
        <v>0</v>
      </c>
      <c r="H1149" s="29"/>
      <c r="I1149" s="29">
        <v>0</v>
      </c>
      <c r="J1149" s="29"/>
      <c r="K1149" s="29">
        <f t="shared" si="131"/>
        <v>2615390</v>
      </c>
      <c r="L1149" s="29">
        <f t="shared" si="130"/>
        <v>2615390</v>
      </c>
      <c r="M1149" s="20" t="s">
        <v>6232</v>
      </c>
      <c r="N1149" t="s">
        <v>6232</v>
      </c>
      <c r="P1149" t="s">
        <v>5972</v>
      </c>
      <c r="Q1149" t="s">
        <v>6232</v>
      </c>
      <c r="R1149" t="s">
        <v>2847</v>
      </c>
      <c r="BI1149" s="52" t="str">
        <f>HYPERLINK("#자재조서!A252","MV-4300-450250 →")</f>
        <v>MV-4300-450250 →</v>
      </c>
    </row>
    <row r="1150" spans="1:61" ht="18.399999999999999" customHeight="1">
      <c r="A1150" s="11" t="s">
        <v>2395</v>
      </c>
      <c r="B1150" s="2" t="s">
        <v>2646</v>
      </c>
      <c r="C1150" s="2">
        <v>1</v>
      </c>
      <c r="D1150" s="2" t="s">
        <v>1055</v>
      </c>
      <c r="E1150" s="29">
        <f>자재조서!E253</f>
        <v>2836890</v>
      </c>
      <c r="F1150" s="29">
        <f t="shared" si="133"/>
        <v>2836890</v>
      </c>
      <c r="G1150" s="29">
        <v>0</v>
      </c>
      <c r="H1150" s="29"/>
      <c r="I1150" s="29">
        <v>0</v>
      </c>
      <c r="J1150" s="29"/>
      <c r="K1150" s="29">
        <f t="shared" si="131"/>
        <v>2836890</v>
      </c>
      <c r="L1150" s="29">
        <f t="shared" si="130"/>
        <v>2836890</v>
      </c>
      <c r="M1150" s="20" t="s">
        <v>6232</v>
      </c>
      <c r="N1150" t="s">
        <v>6232</v>
      </c>
      <c r="P1150" t="s">
        <v>5597</v>
      </c>
      <c r="Q1150" t="s">
        <v>6232</v>
      </c>
      <c r="R1150" t="s">
        <v>88</v>
      </c>
      <c r="BI1150" s="52" t="str">
        <f>HYPERLINK("#자재조서!A253","MV-4300-450300 →")</f>
        <v>MV-4300-450300 →</v>
      </c>
    </row>
    <row r="1151" spans="1:61" ht="18.399999999999999" customHeight="1">
      <c r="A1151" s="11" t="s">
        <v>2395</v>
      </c>
      <c r="B1151" s="2" t="s">
        <v>3241</v>
      </c>
      <c r="C1151" s="2">
        <v>1</v>
      </c>
      <c r="D1151" s="2" t="s">
        <v>1055</v>
      </c>
      <c r="E1151" s="29">
        <f>자재조서!E254</f>
        <v>3040960</v>
      </c>
      <c r="F1151" s="29">
        <f t="shared" si="133"/>
        <v>3040960</v>
      </c>
      <c r="G1151" s="29">
        <v>0</v>
      </c>
      <c r="H1151" s="29"/>
      <c r="I1151" s="29">
        <v>0</v>
      </c>
      <c r="J1151" s="29"/>
      <c r="K1151" s="29">
        <f t="shared" si="131"/>
        <v>3040960</v>
      </c>
      <c r="L1151" s="29">
        <f t="shared" si="130"/>
        <v>3040960</v>
      </c>
      <c r="M1151" s="20" t="s">
        <v>6232</v>
      </c>
      <c r="N1151" t="s">
        <v>6232</v>
      </c>
      <c r="P1151" t="s">
        <v>4073</v>
      </c>
      <c r="Q1151" t="s">
        <v>6232</v>
      </c>
      <c r="R1151" t="s">
        <v>1559</v>
      </c>
      <c r="BI1151" s="52" t="str">
        <f>HYPERLINK("#자재조서!A254","MV-4300-450350 →")</f>
        <v>MV-4300-450350 →</v>
      </c>
    </row>
    <row r="1152" spans="1:61" ht="18.399999999999999" customHeight="1">
      <c r="A1152" s="11" t="s">
        <v>2395</v>
      </c>
      <c r="B1152" s="2" t="s">
        <v>5152</v>
      </c>
      <c r="C1152" s="2">
        <v>1</v>
      </c>
      <c r="D1152" s="2" t="s">
        <v>1055</v>
      </c>
      <c r="E1152" s="29">
        <f>자재조서!E255</f>
        <v>3216880</v>
      </c>
      <c r="F1152" s="29">
        <f t="shared" si="133"/>
        <v>3216880</v>
      </c>
      <c r="G1152" s="29">
        <v>0</v>
      </c>
      <c r="H1152" s="29"/>
      <c r="I1152" s="29">
        <v>0</v>
      </c>
      <c r="J1152" s="29"/>
      <c r="K1152" s="29">
        <f t="shared" si="131"/>
        <v>3216880</v>
      </c>
      <c r="L1152" s="29">
        <f t="shared" si="130"/>
        <v>3216880</v>
      </c>
      <c r="M1152" s="20" t="s">
        <v>6232</v>
      </c>
      <c r="N1152" t="s">
        <v>6232</v>
      </c>
      <c r="P1152" t="s">
        <v>2416</v>
      </c>
      <c r="Q1152" t="s">
        <v>6232</v>
      </c>
      <c r="R1152" t="s">
        <v>3104</v>
      </c>
      <c r="BI1152" s="52" t="str">
        <f>HYPERLINK("#자재조서!A255","MV-4300-450400 →")</f>
        <v>MV-4300-450400 →</v>
      </c>
    </row>
    <row r="1153" spans="1:61" ht="18.399999999999999" customHeight="1">
      <c r="A1153" s="11" t="s">
        <v>2395</v>
      </c>
      <c r="B1153" s="2" t="s">
        <v>1502</v>
      </c>
      <c r="C1153" s="2">
        <v>1</v>
      </c>
      <c r="D1153" s="2" t="s">
        <v>1055</v>
      </c>
      <c r="E1153" s="29">
        <f>자재조서!E256</f>
        <v>3478710</v>
      </c>
      <c r="F1153" s="29">
        <f t="shared" si="133"/>
        <v>3478710</v>
      </c>
      <c r="G1153" s="29">
        <v>0</v>
      </c>
      <c r="H1153" s="29"/>
      <c r="I1153" s="29">
        <v>0</v>
      </c>
      <c r="J1153" s="29"/>
      <c r="K1153" s="29">
        <f t="shared" si="131"/>
        <v>3478710</v>
      </c>
      <c r="L1153" s="29">
        <f t="shared" si="130"/>
        <v>3478710</v>
      </c>
      <c r="M1153" s="20" t="s">
        <v>6232</v>
      </c>
      <c r="N1153" t="s">
        <v>6232</v>
      </c>
      <c r="P1153" t="s">
        <v>889</v>
      </c>
      <c r="Q1153" t="s">
        <v>6232</v>
      </c>
      <c r="R1153" t="s">
        <v>4772</v>
      </c>
      <c r="BI1153" s="52" t="str">
        <f>HYPERLINK("#자재조서!A256","MV-4300-450450 →")</f>
        <v>MV-4300-450450 →</v>
      </c>
    </row>
    <row r="1154" spans="1:61" ht="18.399999999999999" customHeight="1">
      <c r="A1154" s="11" t="s">
        <v>2395</v>
      </c>
      <c r="B1154" s="2" t="s">
        <v>57</v>
      </c>
      <c r="C1154" s="2">
        <v>1</v>
      </c>
      <c r="D1154" s="2" t="s">
        <v>1055</v>
      </c>
      <c r="E1154" s="29">
        <f>자재조서!E257</f>
        <v>2510300</v>
      </c>
      <c r="F1154" s="29">
        <f t="shared" si="133"/>
        <v>2510300</v>
      </c>
      <c r="G1154" s="29">
        <v>0</v>
      </c>
      <c r="H1154" s="29"/>
      <c r="I1154" s="29">
        <v>0</v>
      </c>
      <c r="J1154" s="29"/>
      <c r="K1154" s="29">
        <f t="shared" si="131"/>
        <v>2510300</v>
      </c>
      <c r="L1154" s="29">
        <f t="shared" si="130"/>
        <v>2510300</v>
      </c>
      <c r="M1154" s="20" t="s">
        <v>6232</v>
      </c>
      <c r="N1154" t="s">
        <v>6232</v>
      </c>
      <c r="P1154" t="s">
        <v>5495</v>
      </c>
      <c r="Q1154" t="s">
        <v>6232</v>
      </c>
      <c r="R1154" t="s">
        <v>3081</v>
      </c>
      <c r="BI1154" s="52" t="str">
        <f>HYPERLINK("#자재조서!A257","MV-4300-500080 →")</f>
        <v>MV-4300-500080 →</v>
      </c>
    </row>
    <row r="1155" spans="1:61" ht="18.399999999999999" customHeight="1">
      <c r="A1155" s="11" t="s">
        <v>2395</v>
      </c>
      <c r="B1155" s="2" t="s">
        <v>5414</v>
      </c>
      <c r="C1155" s="2">
        <v>1</v>
      </c>
      <c r="D1155" s="2" t="s">
        <v>1055</v>
      </c>
      <c r="E1155" s="29">
        <f>자재조서!E258</f>
        <v>2591060</v>
      </c>
      <c r="F1155" s="29">
        <f t="shared" si="133"/>
        <v>2591060</v>
      </c>
      <c r="G1155" s="29">
        <v>0</v>
      </c>
      <c r="H1155" s="29"/>
      <c r="I1155" s="29">
        <v>0</v>
      </c>
      <c r="J1155" s="29"/>
      <c r="K1155" s="29">
        <f t="shared" si="131"/>
        <v>2591060</v>
      </c>
      <c r="L1155" s="29">
        <f t="shared" si="130"/>
        <v>2591060</v>
      </c>
      <c r="M1155" s="20" t="s">
        <v>6232</v>
      </c>
      <c r="N1155" t="s">
        <v>6232</v>
      </c>
      <c r="P1155" t="s">
        <v>3968</v>
      </c>
      <c r="Q1155" t="s">
        <v>6232</v>
      </c>
      <c r="R1155" t="s">
        <v>4629</v>
      </c>
      <c r="BI1155" s="52" t="str">
        <f>HYPERLINK("#자재조서!A258","MV-4300-500100 →")</f>
        <v>MV-4300-500100 →</v>
      </c>
    </row>
    <row r="1156" spans="1:61" ht="18.399999999999999" customHeight="1">
      <c r="A1156" s="11" t="s">
        <v>2395</v>
      </c>
      <c r="B1156" s="2" t="s">
        <v>5935</v>
      </c>
      <c r="C1156" s="2">
        <v>1</v>
      </c>
      <c r="D1156" s="2" t="s">
        <v>1055</v>
      </c>
      <c r="E1156" s="29">
        <f>자재조서!E259</f>
        <v>2653990</v>
      </c>
      <c r="F1156" s="29">
        <f t="shared" si="133"/>
        <v>2653990</v>
      </c>
      <c r="G1156" s="29">
        <v>0</v>
      </c>
      <c r="H1156" s="29"/>
      <c r="I1156" s="29">
        <v>0</v>
      </c>
      <c r="J1156" s="29"/>
      <c r="K1156" s="29">
        <f t="shared" si="131"/>
        <v>2653990</v>
      </c>
      <c r="L1156" s="29">
        <f t="shared" si="130"/>
        <v>2653990</v>
      </c>
      <c r="M1156" s="20" t="s">
        <v>6232</v>
      </c>
      <c r="N1156" t="s">
        <v>6232</v>
      </c>
      <c r="P1156" t="s">
        <v>2337</v>
      </c>
      <c r="Q1156" t="s">
        <v>6232</v>
      </c>
      <c r="R1156" t="s">
        <v>4335</v>
      </c>
      <c r="BI1156" s="52" t="str">
        <f>HYPERLINK("#자재조서!A259","MV-4300-500125 →")</f>
        <v>MV-4300-500125 →</v>
      </c>
    </row>
    <row r="1157" spans="1:61" ht="18.399999999999999" customHeight="1">
      <c r="A1157" s="11" t="s">
        <v>2395</v>
      </c>
      <c r="B1157" s="2" t="s">
        <v>1262</v>
      </c>
      <c r="C1157" s="2">
        <v>1</v>
      </c>
      <c r="D1157" s="2" t="s">
        <v>1055</v>
      </c>
      <c r="E1157" s="29">
        <f>자재조서!E260</f>
        <v>2756810</v>
      </c>
      <c r="F1157" s="29">
        <f t="shared" si="133"/>
        <v>2756810</v>
      </c>
      <c r="G1157" s="29">
        <v>0</v>
      </c>
      <c r="H1157" s="29"/>
      <c r="I1157" s="29">
        <v>0</v>
      </c>
      <c r="J1157" s="29"/>
      <c r="K1157" s="29">
        <f t="shared" si="131"/>
        <v>2756810</v>
      </c>
      <c r="L1157" s="29">
        <f t="shared" si="130"/>
        <v>2756810</v>
      </c>
      <c r="M1157" s="20" t="s">
        <v>6232</v>
      </c>
      <c r="N1157" t="s">
        <v>6232</v>
      </c>
      <c r="P1157" t="s">
        <v>801</v>
      </c>
      <c r="Q1157" t="s">
        <v>6232</v>
      </c>
      <c r="R1157" t="s">
        <v>6084</v>
      </c>
      <c r="BI1157" s="52" t="str">
        <f>HYPERLINK("#자재조서!A260","MV-4300-500150 →")</f>
        <v>MV-4300-500150 →</v>
      </c>
    </row>
    <row r="1158" spans="1:61" ht="18.399999999999999" customHeight="1">
      <c r="A1158" s="11" t="s">
        <v>2395</v>
      </c>
      <c r="B1158" s="2" t="s">
        <v>1183</v>
      </c>
      <c r="C1158" s="2">
        <v>1</v>
      </c>
      <c r="D1158" s="2" t="s">
        <v>1055</v>
      </c>
      <c r="E1158" s="29">
        <f>자재조서!E261</f>
        <v>2928000</v>
      </c>
      <c r="F1158" s="29">
        <f t="shared" si="133"/>
        <v>2928000</v>
      </c>
      <c r="G1158" s="29">
        <v>0</v>
      </c>
      <c r="H1158" s="29"/>
      <c r="I1158" s="29">
        <v>0</v>
      </c>
      <c r="J1158" s="29"/>
      <c r="K1158" s="29">
        <f t="shared" si="131"/>
        <v>2928000</v>
      </c>
      <c r="L1158" s="29">
        <f t="shared" si="130"/>
        <v>2928000</v>
      </c>
      <c r="M1158" s="20" t="s">
        <v>6232</v>
      </c>
      <c r="N1158" t="s">
        <v>6232</v>
      </c>
      <c r="P1158" t="s">
        <v>5797</v>
      </c>
      <c r="Q1158" t="s">
        <v>6232</v>
      </c>
      <c r="R1158" t="s">
        <v>5590</v>
      </c>
      <c r="BI1158" s="52" t="str">
        <f>HYPERLINK("#자재조서!A261","MV-4300-500200 →")</f>
        <v>MV-4300-500200 →</v>
      </c>
    </row>
    <row r="1159" spans="1:61" ht="18.399999999999999" customHeight="1">
      <c r="A1159" s="11" t="s">
        <v>2395</v>
      </c>
      <c r="B1159" s="2" t="s">
        <v>5296</v>
      </c>
      <c r="C1159" s="2">
        <v>1</v>
      </c>
      <c r="D1159" s="2" t="s">
        <v>1055</v>
      </c>
      <c r="E1159" s="29">
        <f>자재조서!E262</f>
        <v>3161660</v>
      </c>
      <c r="F1159" s="29">
        <f t="shared" si="133"/>
        <v>3161660</v>
      </c>
      <c r="G1159" s="29">
        <v>0</v>
      </c>
      <c r="H1159" s="29"/>
      <c r="I1159" s="29">
        <v>0</v>
      </c>
      <c r="J1159" s="29"/>
      <c r="K1159" s="29">
        <f t="shared" si="131"/>
        <v>3161660</v>
      </c>
      <c r="L1159" s="29">
        <f t="shared" si="130"/>
        <v>3161660</v>
      </c>
      <c r="M1159" s="20" t="s">
        <v>6232</v>
      </c>
      <c r="N1159" t="s">
        <v>6232</v>
      </c>
      <c r="P1159" t="s">
        <v>4273</v>
      </c>
      <c r="Q1159" t="s">
        <v>6232</v>
      </c>
      <c r="R1159" t="s">
        <v>3976</v>
      </c>
      <c r="BI1159" s="52" t="str">
        <f>HYPERLINK("#자재조서!A262","MV-4300-500250 →")</f>
        <v>MV-4300-500250 →</v>
      </c>
    </row>
    <row r="1160" spans="1:61" ht="18.399999999999999" customHeight="1">
      <c r="A1160" s="11" t="s">
        <v>2395</v>
      </c>
      <c r="B1160" s="2" t="s">
        <v>2020</v>
      </c>
      <c r="C1160" s="2">
        <v>1</v>
      </c>
      <c r="D1160" s="2" t="s">
        <v>1055</v>
      </c>
      <c r="E1160" s="29">
        <f>자재조서!E263</f>
        <v>3101530</v>
      </c>
      <c r="F1160" s="29">
        <f t="shared" si="133"/>
        <v>3101530</v>
      </c>
      <c r="G1160" s="29">
        <v>0</v>
      </c>
      <c r="H1160" s="29"/>
      <c r="I1160" s="29">
        <v>0</v>
      </c>
      <c r="J1160" s="29"/>
      <c r="K1160" s="29">
        <f t="shared" si="131"/>
        <v>3101530</v>
      </c>
      <c r="L1160" s="29">
        <f t="shared" si="130"/>
        <v>3101530</v>
      </c>
      <c r="M1160" s="20" t="s">
        <v>6232</v>
      </c>
      <c r="N1160" t="s">
        <v>6232</v>
      </c>
      <c r="P1160" t="s">
        <v>5065</v>
      </c>
      <c r="Q1160" t="s">
        <v>6232</v>
      </c>
      <c r="R1160" t="s">
        <v>5070</v>
      </c>
      <c r="BI1160" s="52" t="str">
        <f>HYPERLINK("#자재조서!A263","MV-4300-500300 →")</f>
        <v>MV-4300-500300 →</v>
      </c>
    </row>
    <row r="1161" spans="1:61" ht="18.399999999999999" customHeight="1">
      <c r="A1161" s="11" t="s">
        <v>2395</v>
      </c>
      <c r="B1161" s="2" t="s">
        <v>4621</v>
      </c>
      <c r="C1161" s="2">
        <v>1</v>
      </c>
      <c r="D1161" s="2" t="s">
        <v>1055</v>
      </c>
      <c r="E1161" s="29">
        <f>자재조서!E264</f>
        <v>3309050</v>
      </c>
      <c r="F1161" s="29">
        <f t="shared" si="133"/>
        <v>3309050</v>
      </c>
      <c r="G1161" s="29">
        <v>0</v>
      </c>
      <c r="H1161" s="29"/>
      <c r="I1161" s="29">
        <v>0</v>
      </c>
      <c r="J1161" s="29"/>
      <c r="K1161" s="29">
        <f t="shared" si="131"/>
        <v>3309050</v>
      </c>
      <c r="L1161" s="29">
        <f t="shared" ref="L1161:L1224" si="134">F1161+H1161+J1161</f>
        <v>3309050</v>
      </c>
      <c r="M1161" s="20" t="s">
        <v>6232</v>
      </c>
      <c r="N1161" t="s">
        <v>6232</v>
      </c>
      <c r="P1161" t="s">
        <v>3476</v>
      </c>
      <c r="Q1161" t="s">
        <v>6232</v>
      </c>
      <c r="R1161" t="s">
        <v>3597</v>
      </c>
      <c r="BI1161" s="52" t="str">
        <f>HYPERLINK("#자재조서!A264","MV-4300-500350 →")</f>
        <v>MV-4300-500350 →</v>
      </c>
    </row>
    <row r="1162" spans="1:61" ht="18.399999999999999" customHeight="1">
      <c r="A1162" s="11" t="s">
        <v>2395</v>
      </c>
      <c r="B1162" s="2" t="s">
        <v>5772</v>
      </c>
      <c r="C1162" s="2">
        <v>1</v>
      </c>
      <c r="D1162" s="2" t="s">
        <v>1055</v>
      </c>
      <c r="E1162" s="29">
        <f>자재조서!E265</f>
        <v>3488920</v>
      </c>
      <c r="F1162" s="29">
        <f t="shared" si="133"/>
        <v>3488920</v>
      </c>
      <c r="G1162" s="29">
        <v>0</v>
      </c>
      <c r="H1162" s="29"/>
      <c r="I1162" s="29">
        <v>0</v>
      </c>
      <c r="J1162" s="29"/>
      <c r="K1162" s="29">
        <f t="shared" ref="K1162:K1225" si="135">E1162+G1162+I1162</f>
        <v>3488920</v>
      </c>
      <c r="L1162" s="29">
        <f t="shared" si="134"/>
        <v>3488920</v>
      </c>
      <c r="M1162" s="20" t="s">
        <v>6232</v>
      </c>
      <c r="N1162" t="s">
        <v>6232</v>
      </c>
      <c r="P1162" t="s">
        <v>1994</v>
      </c>
      <c r="Q1162" t="s">
        <v>6232</v>
      </c>
      <c r="R1162" t="s">
        <v>2017</v>
      </c>
      <c r="BI1162" s="52" t="str">
        <f>HYPERLINK("#자재조서!A265","MV-4300-500400 →")</f>
        <v>MV-4300-500400 →</v>
      </c>
    </row>
    <row r="1163" spans="1:61" ht="18.399999999999999" customHeight="1">
      <c r="A1163" s="11" t="s">
        <v>2395</v>
      </c>
      <c r="B1163" s="2" t="s">
        <v>145</v>
      </c>
      <c r="C1163" s="2">
        <v>1</v>
      </c>
      <c r="D1163" s="2" t="s">
        <v>1055</v>
      </c>
      <c r="E1163" s="29">
        <f>자재조서!E266</f>
        <v>3747050</v>
      </c>
      <c r="F1163" s="29">
        <f t="shared" si="133"/>
        <v>3747050</v>
      </c>
      <c r="G1163" s="29">
        <v>0</v>
      </c>
      <c r="H1163" s="29"/>
      <c r="I1163" s="29">
        <v>0</v>
      </c>
      <c r="J1163" s="29"/>
      <c r="K1163" s="29">
        <f t="shared" si="135"/>
        <v>3747050</v>
      </c>
      <c r="L1163" s="29">
        <f t="shared" si="134"/>
        <v>3747050</v>
      </c>
      <c r="M1163" s="20" t="s">
        <v>6232</v>
      </c>
      <c r="N1163" t="s">
        <v>6232</v>
      </c>
      <c r="P1163" t="s">
        <v>443</v>
      </c>
      <c r="Q1163" t="s">
        <v>6232</v>
      </c>
      <c r="R1163" t="s">
        <v>419</v>
      </c>
      <c r="BI1163" s="52" t="str">
        <f>HYPERLINK("#자재조서!A266","MV-4300-500450 →")</f>
        <v>MV-4300-500450 →</v>
      </c>
    </row>
    <row r="1164" spans="1:61" ht="18.399999999999999" customHeight="1">
      <c r="A1164" s="11" t="s">
        <v>2395</v>
      </c>
      <c r="B1164" s="2" t="s">
        <v>3302</v>
      </c>
      <c r="C1164" s="2">
        <v>1</v>
      </c>
      <c r="D1164" s="2" t="s">
        <v>1055</v>
      </c>
      <c r="E1164" s="29">
        <f>자재조서!E267</f>
        <v>4145100</v>
      </c>
      <c r="F1164" s="29">
        <f t="shared" si="133"/>
        <v>4145100</v>
      </c>
      <c r="G1164" s="29">
        <v>0</v>
      </c>
      <c r="H1164" s="29"/>
      <c r="I1164" s="29">
        <v>0</v>
      </c>
      <c r="J1164" s="29"/>
      <c r="K1164" s="29">
        <f t="shared" si="135"/>
        <v>4145100</v>
      </c>
      <c r="L1164" s="29">
        <f t="shared" si="134"/>
        <v>4145100</v>
      </c>
      <c r="M1164" s="20" t="s">
        <v>6232</v>
      </c>
      <c r="N1164" t="s">
        <v>6232</v>
      </c>
      <c r="P1164" t="s">
        <v>5185</v>
      </c>
      <c r="Q1164" t="s">
        <v>6232</v>
      </c>
      <c r="R1164" t="s">
        <v>2390</v>
      </c>
      <c r="BI1164" s="52" t="str">
        <f>HYPERLINK("#자재조서!A267","MV-4300-500500 →")</f>
        <v>MV-4300-500500 →</v>
      </c>
    </row>
    <row r="1165" spans="1:61" ht="18.399999999999999" customHeight="1">
      <c r="A1165" s="11" t="s">
        <v>2395</v>
      </c>
      <c r="B1165" s="2" t="s">
        <v>1988</v>
      </c>
      <c r="C1165" s="2">
        <v>1</v>
      </c>
      <c r="D1165" s="2" t="s">
        <v>1055</v>
      </c>
      <c r="E1165" s="29">
        <f>자재조서!E268</f>
        <v>3237780</v>
      </c>
      <c r="F1165" s="29">
        <f t="shared" si="133"/>
        <v>3237780</v>
      </c>
      <c r="G1165" s="29">
        <v>0</v>
      </c>
      <c r="H1165" s="29"/>
      <c r="I1165" s="29">
        <v>0</v>
      </c>
      <c r="J1165" s="29"/>
      <c r="K1165" s="29">
        <f t="shared" si="135"/>
        <v>3237780</v>
      </c>
      <c r="L1165" s="29">
        <f t="shared" si="134"/>
        <v>3237780</v>
      </c>
      <c r="M1165" s="20" t="s">
        <v>6232</v>
      </c>
      <c r="N1165" t="s">
        <v>6232</v>
      </c>
      <c r="P1165" t="s">
        <v>3605</v>
      </c>
      <c r="Q1165" t="s">
        <v>6232</v>
      </c>
      <c r="R1165" t="s">
        <v>4721</v>
      </c>
      <c r="BI1165" s="52" t="str">
        <f>HYPERLINK("#자재조서!A268","MV-4300-550125 →")</f>
        <v>MV-4300-550125 →</v>
      </c>
    </row>
    <row r="1166" spans="1:61" ht="18.399999999999999" customHeight="1">
      <c r="A1166" s="11" t="s">
        <v>2395</v>
      </c>
      <c r="B1166" s="2" t="s">
        <v>3574</v>
      </c>
      <c r="C1166" s="2">
        <v>1</v>
      </c>
      <c r="D1166" s="2" t="s">
        <v>1055</v>
      </c>
      <c r="E1166" s="29">
        <f>자재조서!E269</f>
        <v>3345340</v>
      </c>
      <c r="F1166" s="29">
        <f t="shared" si="133"/>
        <v>3345340</v>
      </c>
      <c r="G1166" s="29">
        <v>0</v>
      </c>
      <c r="H1166" s="29"/>
      <c r="I1166" s="29">
        <v>0</v>
      </c>
      <c r="J1166" s="29"/>
      <c r="K1166" s="29">
        <f t="shared" si="135"/>
        <v>3345340</v>
      </c>
      <c r="L1166" s="29">
        <f t="shared" si="134"/>
        <v>3345340</v>
      </c>
      <c r="M1166" s="20" t="s">
        <v>6232</v>
      </c>
      <c r="N1166" t="s">
        <v>6232</v>
      </c>
      <c r="P1166" t="s">
        <v>2104</v>
      </c>
      <c r="Q1166" t="s">
        <v>6232</v>
      </c>
      <c r="R1166" t="s">
        <v>3358</v>
      </c>
      <c r="BI1166" s="52" t="str">
        <f>HYPERLINK("#자재조서!A269","MV-4300-550150 →")</f>
        <v>MV-4300-550150 →</v>
      </c>
    </row>
    <row r="1167" spans="1:61" ht="18.399999999999999" customHeight="1">
      <c r="A1167" s="11" t="s">
        <v>2395</v>
      </c>
      <c r="B1167" s="2" t="s">
        <v>3658</v>
      </c>
      <c r="C1167" s="2">
        <v>1</v>
      </c>
      <c r="D1167" s="2" t="s">
        <v>1055</v>
      </c>
      <c r="E1167" s="29">
        <f>자재조서!E270</f>
        <v>3520520</v>
      </c>
      <c r="F1167" s="29">
        <f t="shared" si="133"/>
        <v>3520520</v>
      </c>
      <c r="G1167" s="29">
        <v>0</v>
      </c>
      <c r="H1167" s="29"/>
      <c r="I1167" s="29">
        <v>0</v>
      </c>
      <c r="J1167" s="29"/>
      <c r="K1167" s="29">
        <f t="shared" si="135"/>
        <v>3520520</v>
      </c>
      <c r="L1167" s="29">
        <f t="shared" si="134"/>
        <v>3520520</v>
      </c>
      <c r="M1167" s="20" t="s">
        <v>6232</v>
      </c>
      <c r="N1167" t="s">
        <v>6232</v>
      </c>
      <c r="P1167" t="s">
        <v>558</v>
      </c>
      <c r="Q1167" t="s">
        <v>6232</v>
      </c>
      <c r="R1167" t="s">
        <v>3655</v>
      </c>
      <c r="BI1167" s="52" t="str">
        <f>HYPERLINK("#자재조서!A270","MV-4300-550200 →")</f>
        <v>MV-4300-550200 →</v>
      </c>
    </row>
    <row r="1168" spans="1:61" ht="18.399999999999999" customHeight="1">
      <c r="A1168" s="11" t="s">
        <v>2395</v>
      </c>
      <c r="B1168" s="2" t="s">
        <v>3003</v>
      </c>
      <c r="C1168" s="2">
        <v>1</v>
      </c>
      <c r="D1168" s="2" t="s">
        <v>1055</v>
      </c>
      <c r="E1168" s="29">
        <f>자재조서!E271</f>
        <v>3724760</v>
      </c>
      <c r="F1168" s="29">
        <f t="shared" si="133"/>
        <v>3724760</v>
      </c>
      <c r="G1168" s="29">
        <v>0</v>
      </c>
      <c r="H1168" s="29"/>
      <c r="I1168" s="29">
        <v>0</v>
      </c>
      <c r="J1168" s="29"/>
      <c r="K1168" s="29">
        <f t="shared" si="135"/>
        <v>3724760</v>
      </c>
      <c r="L1168" s="29">
        <f t="shared" si="134"/>
        <v>3724760</v>
      </c>
      <c r="M1168" s="20" t="s">
        <v>6232</v>
      </c>
      <c r="N1168" t="s">
        <v>6232</v>
      </c>
      <c r="P1168" t="s">
        <v>5284</v>
      </c>
      <c r="Q1168" t="s">
        <v>6232</v>
      </c>
      <c r="R1168" t="s">
        <v>5120</v>
      </c>
      <c r="BI1168" s="52" t="str">
        <f>HYPERLINK("#자재조서!A271","MV-4300-550250 →")</f>
        <v>MV-4300-550250 →</v>
      </c>
    </row>
    <row r="1169" spans="1:61" ht="18.399999999999999" customHeight="1">
      <c r="A1169" s="11" t="s">
        <v>2395</v>
      </c>
      <c r="B1169" s="2" t="s">
        <v>5917</v>
      </c>
      <c r="C1169" s="2">
        <v>1</v>
      </c>
      <c r="D1169" s="2" t="s">
        <v>1055</v>
      </c>
      <c r="E1169" s="29">
        <f>자재조서!E272</f>
        <v>3718500</v>
      </c>
      <c r="F1169" s="29">
        <f t="shared" si="133"/>
        <v>3718500</v>
      </c>
      <c r="G1169" s="29">
        <v>0</v>
      </c>
      <c r="H1169" s="29"/>
      <c r="I1169" s="29">
        <v>0</v>
      </c>
      <c r="J1169" s="29"/>
      <c r="K1169" s="29">
        <f t="shared" si="135"/>
        <v>3718500</v>
      </c>
      <c r="L1169" s="29">
        <f t="shared" si="134"/>
        <v>3718500</v>
      </c>
      <c r="M1169" s="20" t="s">
        <v>6232</v>
      </c>
      <c r="N1169" t="s">
        <v>6232</v>
      </c>
      <c r="P1169" t="s">
        <v>3711</v>
      </c>
      <c r="Q1169" t="s">
        <v>6232</v>
      </c>
      <c r="R1169" t="s">
        <v>3929</v>
      </c>
      <c r="BI1169" s="52" t="str">
        <f>HYPERLINK("#자재조서!A272","MV-4300-550300 →")</f>
        <v>MV-4300-550300 →</v>
      </c>
    </row>
    <row r="1170" spans="1:61" ht="18.399999999999999" customHeight="1">
      <c r="A1170" s="11" t="s">
        <v>2395</v>
      </c>
      <c r="B1170" s="2" t="s">
        <v>600</v>
      </c>
      <c r="C1170" s="2">
        <v>1</v>
      </c>
      <c r="D1170" s="2" t="s">
        <v>1055</v>
      </c>
      <c r="E1170" s="29">
        <f>자재조서!E273</f>
        <v>3930060</v>
      </c>
      <c r="F1170" s="29">
        <f t="shared" si="133"/>
        <v>3930060</v>
      </c>
      <c r="G1170" s="29">
        <v>0</v>
      </c>
      <c r="H1170" s="29"/>
      <c r="I1170" s="29">
        <v>0</v>
      </c>
      <c r="J1170" s="29"/>
      <c r="K1170" s="29">
        <f t="shared" si="135"/>
        <v>3930060</v>
      </c>
      <c r="L1170" s="29">
        <f t="shared" si="134"/>
        <v>3930060</v>
      </c>
      <c r="M1170" s="20" t="s">
        <v>6232</v>
      </c>
      <c r="N1170" t="s">
        <v>6232</v>
      </c>
      <c r="P1170" t="s">
        <v>5739</v>
      </c>
      <c r="Q1170" t="s">
        <v>6232</v>
      </c>
      <c r="R1170" t="s">
        <v>5537</v>
      </c>
      <c r="BI1170" s="52" t="str">
        <f>HYPERLINK("#자재조서!A273","MV-4300-550350 →")</f>
        <v>MV-4300-550350 →</v>
      </c>
    </row>
    <row r="1171" spans="1:61" ht="18.399999999999999" customHeight="1">
      <c r="A1171" s="11" t="s">
        <v>2395</v>
      </c>
      <c r="B1171" s="2" t="s">
        <v>1777</v>
      </c>
      <c r="C1171" s="2">
        <v>1</v>
      </c>
      <c r="D1171" s="2" t="s">
        <v>1055</v>
      </c>
      <c r="E1171" s="29">
        <f>자재조서!E274</f>
        <v>4076630</v>
      </c>
      <c r="F1171" s="29">
        <f t="shared" si="133"/>
        <v>4076630</v>
      </c>
      <c r="G1171" s="29">
        <v>0</v>
      </c>
      <c r="H1171" s="29"/>
      <c r="I1171" s="29">
        <v>0</v>
      </c>
      <c r="J1171" s="29"/>
      <c r="K1171" s="29">
        <f t="shared" si="135"/>
        <v>4076630</v>
      </c>
      <c r="L1171" s="29">
        <f t="shared" si="134"/>
        <v>4076630</v>
      </c>
      <c r="M1171" s="20" t="s">
        <v>6232</v>
      </c>
      <c r="N1171" t="s">
        <v>6232</v>
      </c>
      <c r="P1171" t="s">
        <v>4206</v>
      </c>
      <c r="Q1171" t="s">
        <v>6232</v>
      </c>
      <c r="R1171" t="s">
        <v>886</v>
      </c>
      <c r="BI1171" s="52" t="str">
        <f>HYPERLINK("#자재조서!A274","MV-4300-550400 →")</f>
        <v>MV-4300-550400 →</v>
      </c>
    </row>
    <row r="1172" spans="1:61" ht="18.399999999999999" customHeight="1">
      <c r="A1172" s="11" t="s">
        <v>2395</v>
      </c>
      <c r="B1172" s="2" t="s">
        <v>3912</v>
      </c>
      <c r="C1172" s="2">
        <v>1</v>
      </c>
      <c r="D1172" s="2" t="s">
        <v>1055</v>
      </c>
      <c r="E1172" s="29">
        <f>자재조서!E275</f>
        <v>4334250</v>
      </c>
      <c r="F1172" s="29">
        <f t="shared" si="133"/>
        <v>4334250</v>
      </c>
      <c r="G1172" s="29">
        <v>0</v>
      </c>
      <c r="H1172" s="29"/>
      <c r="I1172" s="29">
        <v>0</v>
      </c>
      <c r="J1172" s="29"/>
      <c r="K1172" s="29">
        <f t="shared" si="135"/>
        <v>4334250</v>
      </c>
      <c r="L1172" s="29">
        <f t="shared" si="134"/>
        <v>4334250</v>
      </c>
      <c r="M1172" s="20" t="s">
        <v>6232</v>
      </c>
      <c r="N1172" t="s">
        <v>6232</v>
      </c>
      <c r="P1172" t="s">
        <v>2656</v>
      </c>
      <c r="Q1172" t="s">
        <v>6232</v>
      </c>
      <c r="R1172" t="s">
        <v>2341</v>
      </c>
      <c r="BI1172" s="52" t="str">
        <f>HYPERLINK("#자재조서!A275","MV-4300-550450 →")</f>
        <v>MV-4300-550450 →</v>
      </c>
    </row>
    <row r="1173" spans="1:61" ht="18.399999999999999" customHeight="1">
      <c r="A1173" s="11" t="s">
        <v>2395</v>
      </c>
      <c r="B1173" s="2" t="s">
        <v>1141</v>
      </c>
      <c r="C1173" s="2">
        <v>1</v>
      </c>
      <c r="D1173" s="2" t="s">
        <v>1055</v>
      </c>
      <c r="E1173" s="29">
        <f>자재조서!E276</f>
        <v>4752310</v>
      </c>
      <c r="F1173" s="29">
        <f t="shared" si="133"/>
        <v>4752310</v>
      </c>
      <c r="G1173" s="29">
        <v>0</v>
      </c>
      <c r="H1173" s="29"/>
      <c r="I1173" s="29">
        <v>0</v>
      </c>
      <c r="J1173" s="29"/>
      <c r="K1173" s="29">
        <f t="shared" si="135"/>
        <v>4752310</v>
      </c>
      <c r="L1173" s="29">
        <f t="shared" si="134"/>
        <v>4752310</v>
      </c>
      <c r="M1173" s="20" t="s">
        <v>6232</v>
      </c>
      <c r="N1173" t="s">
        <v>6232</v>
      </c>
      <c r="P1173" t="s">
        <v>1117</v>
      </c>
      <c r="Q1173" t="s">
        <v>6232</v>
      </c>
      <c r="R1173" t="s">
        <v>466</v>
      </c>
      <c r="BI1173" s="52" t="str">
        <f>HYPERLINK("#자재조서!A276","MV-4300-550500 →")</f>
        <v>MV-4300-550500 →</v>
      </c>
    </row>
    <row r="1174" spans="1:61" ht="18.399999999999999" customHeight="1">
      <c r="A1174" s="11" t="s">
        <v>2395</v>
      </c>
      <c r="B1174" s="2" t="s">
        <v>4751</v>
      </c>
      <c r="C1174" s="2">
        <v>1</v>
      </c>
      <c r="D1174" s="2" t="s">
        <v>1055</v>
      </c>
      <c r="E1174" s="29">
        <f>자재조서!E277</f>
        <v>5022470</v>
      </c>
      <c r="F1174" s="29">
        <f t="shared" si="133"/>
        <v>5022470</v>
      </c>
      <c r="G1174" s="29">
        <v>0</v>
      </c>
      <c r="H1174" s="29"/>
      <c r="I1174" s="29">
        <v>0</v>
      </c>
      <c r="J1174" s="29"/>
      <c r="K1174" s="29">
        <f t="shared" si="135"/>
        <v>5022470</v>
      </c>
      <c r="L1174" s="29">
        <f t="shared" si="134"/>
        <v>5022470</v>
      </c>
      <c r="M1174" s="20" t="s">
        <v>6232</v>
      </c>
      <c r="N1174" t="s">
        <v>6232</v>
      </c>
      <c r="P1174" t="s">
        <v>5666</v>
      </c>
      <c r="Q1174" t="s">
        <v>6232</v>
      </c>
      <c r="R1174" t="s">
        <v>2075</v>
      </c>
      <c r="BI1174" s="52" t="str">
        <f>HYPERLINK("#자재조서!A277","MV-4300-550550 →")</f>
        <v>MV-4300-550550 →</v>
      </c>
    </row>
    <row r="1175" spans="1:61" ht="18.399999999999999" customHeight="1">
      <c r="A1175" s="11" t="s">
        <v>2395</v>
      </c>
      <c r="B1175" s="2" t="s">
        <v>5227</v>
      </c>
      <c r="C1175" s="2">
        <v>1</v>
      </c>
      <c r="D1175" s="2" t="s">
        <v>1055</v>
      </c>
      <c r="E1175" s="29">
        <f>자재조서!E278</f>
        <v>3545950</v>
      </c>
      <c r="F1175" s="29">
        <f t="shared" si="133"/>
        <v>3545950</v>
      </c>
      <c r="G1175" s="29">
        <v>0</v>
      </c>
      <c r="H1175" s="29"/>
      <c r="I1175" s="29">
        <v>0</v>
      </c>
      <c r="J1175" s="29"/>
      <c r="K1175" s="29">
        <f t="shared" si="135"/>
        <v>3545950</v>
      </c>
      <c r="L1175" s="29">
        <f t="shared" si="134"/>
        <v>3545950</v>
      </c>
      <c r="M1175" s="20" t="s">
        <v>6232</v>
      </c>
      <c r="N1175" t="s">
        <v>6232</v>
      </c>
      <c r="P1175" t="s">
        <v>4112</v>
      </c>
      <c r="Q1175" t="s">
        <v>6232</v>
      </c>
      <c r="R1175" t="s">
        <v>2010</v>
      </c>
      <c r="BI1175" s="52" t="str">
        <f>HYPERLINK("#자재조서!A278","MV-4300-600150 →")</f>
        <v>MV-4300-600150 →</v>
      </c>
    </row>
    <row r="1176" spans="1:61" ht="18.399999999999999" customHeight="1">
      <c r="A1176" s="11" t="s">
        <v>2395</v>
      </c>
      <c r="B1176" s="2" t="s">
        <v>5105</v>
      </c>
      <c r="C1176" s="2">
        <v>1</v>
      </c>
      <c r="D1176" s="2" t="s">
        <v>1055</v>
      </c>
      <c r="E1176" s="29">
        <f>자재조서!E279</f>
        <v>3720900</v>
      </c>
      <c r="F1176" s="29">
        <f t="shared" si="133"/>
        <v>3720900</v>
      </c>
      <c r="G1176" s="29">
        <v>0</v>
      </c>
      <c r="H1176" s="29"/>
      <c r="I1176" s="29">
        <v>0</v>
      </c>
      <c r="J1176" s="29"/>
      <c r="K1176" s="29">
        <f t="shared" si="135"/>
        <v>3720900</v>
      </c>
      <c r="L1176" s="29">
        <f t="shared" si="134"/>
        <v>3720900</v>
      </c>
      <c r="M1176" s="20" t="s">
        <v>6232</v>
      </c>
      <c r="N1176" t="s">
        <v>6232</v>
      </c>
      <c r="P1176" t="s">
        <v>2580</v>
      </c>
      <c r="Q1176" t="s">
        <v>6232</v>
      </c>
      <c r="R1176" t="s">
        <v>1725</v>
      </c>
      <c r="BI1176" s="52" t="str">
        <f>HYPERLINK("#자재조서!A279","MV-4300-600200 →")</f>
        <v>MV-4300-600200 →</v>
      </c>
    </row>
    <row r="1177" spans="1:61" ht="18.399999999999999" customHeight="1">
      <c r="A1177" s="11" t="s">
        <v>2395</v>
      </c>
      <c r="B1177" s="2" t="s">
        <v>1364</v>
      </c>
      <c r="C1177" s="2">
        <v>1</v>
      </c>
      <c r="D1177" s="2" t="s">
        <v>1055</v>
      </c>
      <c r="E1177" s="29">
        <f>자재조서!E280</f>
        <v>3959850</v>
      </c>
      <c r="F1177" s="29">
        <f t="shared" si="133"/>
        <v>3959850</v>
      </c>
      <c r="G1177" s="29">
        <v>0</v>
      </c>
      <c r="H1177" s="29"/>
      <c r="I1177" s="29">
        <v>0</v>
      </c>
      <c r="J1177" s="29"/>
      <c r="K1177" s="29">
        <f t="shared" si="135"/>
        <v>3959850</v>
      </c>
      <c r="L1177" s="29">
        <f t="shared" si="134"/>
        <v>3959850</v>
      </c>
      <c r="M1177" s="20" t="s">
        <v>6232</v>
      </c>
      <c r="N1177" t="s">
        <v>6232</v>
      </c>
      <c r="P1177" t="s">
        <v>1048</v>
      </c>
      <c r="Q1177" t="s">
        <v>6232</v>
      </c>
      <c r="R1177" t="s">
        <v>292</v>
      </c>
      <c r="BI1177" s="52" t="str">
        <f>HYPERLINK("#자재조서!A280","MV-4300-600250 →")</f>
        <v>MV-4300-600250 →</v>
      </c>
    </row>
    <row r="1178" spans="1:61" ht="18.399999999999999" customHeight="1">
      <c r="A1178" s="11" t="s">
        <v>2395</v>
      </c>
      <c r="B1178" s="2" t="s">
        <v>4433</v>
      </c>
      <c r="C1178" s="2">
        <v>1</v>
      </c>
      <c r="D1178" s="2" t="s">
        <v>1055</v>
      </c>
      <c r="E1178" s="29">
        <f>자재조서!E281</f>
        <v>4252470</v>
      </c>
      <c r="F1178" s="29">
        <f t="shared" ref="F1178:F1209" si="136">TRUNC(E1178*C1178,0)</f>
        <v>4252470</v>
      </c>
      <c r="G1178" s="29">
        <v>0</v>
      </c>
      <c r="H1178" s="29"/>
      <c r="I1178" s="29">
        <v>0</v>
      </c>
      <c r="J1178" s="29"/>
      <c r="K1178" s="29">
        <f t="shared" si="135"/>
        <v>4252470</v>
      </c>
      <c r="L1178" s="29">
        <f t="shared" si="134"/>
        <v>4252470</v>
      </c>
      <c r="M1178" s="20" t="s">
        <v>6232</v>
      </c>
      <c r="N1178" t="s">
        <v>6232</v>
      </c>
      <c r="P1178" t="s">
        <v>5562</v>
      </c>
      <c r="Q1178" t="s">
        <v>6232</v>
      </c>
      <c r="R1178" t="s">
        <v>3056</v>
      </c>
      <c r="BI1178" s="52" t="str">
        <f>HYPERLINK("#자재조서!A281","MV-4300-600300 →")</f>
        <v>MV-4300-600300 →</v>
      </c>
    </row>
    <row r="1179" spans="1:61" ht="18.399999999999999" customHeight="1">
      <c r="A1179" s="11" t="s">
        <v>2395</v>
      </c>
      <c r="B1179" s="2" t="s">
        <v>2213</v>
      </c>
      <c r="C1179" s="2">
        <v>1</v>
      </c>
      <c r="D1179" s="2" t="s">
        <v>1055</v>
      </c>
      <c r="E1179" s="29">
        <f>자재조서!E282</f>
        <v>4141350</v>
      </c>
      <c r="F1179" s="29">
        <f t="shared" si="136"/>
        <v>4141350</v>
      </c>
      <c r="G1179" s="29">
        <v>0</v>
      </c>
      <c r="H1179" s="29"/>
      <c r="I1179" s="29">
        <v>0</v>
      </c>
      <c r="J1179" s="29"/>
      <c r="K1179" s="29">
        <f t="shared" si="135"/>
        <v>4141350</v>
      </c>
      <c r="L1179" s="29">
        <f t="shared" si="134"/>
        <v>4141350</v>
      </c>
      <c r="M1179" s="20" t="s">
        <v>6232</v>
      </c>
      <c r="N1179" t="s">
        <v>6232</v>
      </c>
      <c r="P1179" t="s">
        <v>4040</v>
      </c>
      <c r="Q1179" t="s">
        <v>6232</v>
      </c>
      <c r="R1179" t="s">
        <v>1412</v>
      </c>
      <c r="BI1179" s="52" t="str">
        <f>HYPERLINK("#자재조서!A282","MV-4300-600350 →")</f>
        <v>MV-4300-600350 →</v>
      </c>
    </row>
    <row r="1180" spans="1:61" ht="18.399999999999999" customHeight="1">
      <c r="A1180" s="11" t="s">
        <v>2395</v>
      </c>
      <c r="B1180" s="2" t="s">
        <v>323</v>
      </c>
      <c r="C1180" s="2">
        <v>1</v>
      </c>
      <c r="D1180" s="2" t="s">
        <v>1055</v>
      </c>
      <c r="E1180" s="29">
        <f>자재조서!E283</f>
        <v>4324540</v>
      </c>
      <c r="F1180" s="29">
        <f t="shared" si="136"/>
        <v>4324540</v>
      </c>
      <c r="G1180" s="29">
        <v>0</v>
      </c>
      <c r="H1180" s="29"/>
      <c r="I1180" s="29">
        <v>0</v>
      </c>
      <c r="J1180" s="29"/>
      <c r="K1180" s="29">
        <f t="shared" si="135"/>
        <v>4324540</v>
      </c>
      <c r="L1180" s="29">
        <f t="shared" si="134"/>
        <v>4324540</v>
      </c>
      <c r="M1180" s="20" t="s">
        <v>6232</v>
      </c>
      <c r="N1180" t="s">
        <v>6232</v>
      </c>
      <c r="P1180" t="s">
        <v>5322</v>
      </c>
      <c r="Q1180" t="s">
        <v>6232</v>
      </c>
      <c r="R1180" t="s">
        <v>6075</v>
      </c>
      <c r="BI1180" s="52" t="str">
        <f>HYPERLINK("#자재조서!A283","MV-4300-600400 →")</f>
        <v>MV-4300-600400 →</v>
      </c>
    </row>
    <row r="1181" spans="1:61" ht="18.399999999999999" customHeight="1">
      <c r="A1181" s="11" t="s">
        <v>2395</v>
      </c>
      <c r="B1181" s="2" t="s">
        <v>5573</v>
      </c>
      <c r="C1181" s="2">
        <v>1</v>
      </c>
      <c r="D1181" s="2" t="s">
        <v>1055</v>
      </c>
      <c r="E1181" s="29">
        <f>자재조서!E284</f>
        <v>4538850</v>
      </c>
      <c r="F1181" s="29">
        <f t="shared" si="136"/>
        <v>4538850</v>
      </c>
      <c r="G1181" s="29">
        <v>0</v>
      </c>
      <c r="H1181" s="29"/>
      <c r="I1181" s="29">
        <v>0</v>
      </c>
      <c r="J1181" s="29"/>
      <c r="K1181" s="29">
        <f t="shared" si="135"/>
        <v>4538850</v>
      </c>
      <c r="L1181" s="29">
        <f t="shared" si="134"/>
        <v>4538850</v>
      </c>
      <c r="M1181" s="20" t="s">
        <v>6232</v>
      </c>
      <c r="N1181" t="s">
        <v>6232</v>
      </c>
      <c r="P1181" t="s">
        <v>3741</v>
      </c>
      <c r="Q1181" t="s">
        <v>6232</v>
      </c>
      <c r="R1181" t="s">
        <v>4636</v>
      </c>
      <c r="BI1181" s="52" t="str">
        <f>HYPERLINK("#자재조서!A284","MV-4300-600450 →")</f>
        <v>MV-4300-600450 →</v>
      </c>
    </row>
    <row r="1182" spans="1:61" ht="18.399999999999999" customHeight="1">
      <c r="A1182" s="11" t="s">
        <v>2395</v>
      </c>
      <c r="B1182" s="2" t="s">
        <v>2609</v>
      </c>
      <c r="C1182" s="2">
        <v>1</v>
      </c>
      <c r="D1182" s="2" t="s">
        <v>1055</v>
      </c>
      <c r="E1182" s="29">
        <f>자재조서!E285</f>
        <v>4958240</v>
      </c>
      <c r="F1182" s="29">
        <f t="shared" si="136"/>
        <v>4958240</v>
      </c>
      <c r="G1182" s="29">
        <v>0</v>
      </c>
      <c r="H1182" s="29"/>
      <c r="I1182" s="29">
        <v>0</v>
      </c>
      <c r="J1182" s="29"/>
      <c r="K1182" s="29">
        <f t="shared" si="135"/>
        <v>4958240</v>
      </c>
      <c r="L1182" s="29">
        <f t="shared" si="134"/>
        <v>4958240</v>
      </c>
      <c r="M1182" s="20" t="s">
        <v>6232</v>
      </c>
      <c r="N1182" t="s">
        <v>6232</v>
      </c>
      <c r="P1182" t="s">
        <v>2147</v>
      </c>
      <c r="Q1182" t="s">
        <v>6232</v>
      </c>
      <c r="R1182" t="s">
        <v>4984</v>
      </c>
      <c r="BI1182" s="52" t="str">
        <f>HYPERLINK("#자재조서!A285","MV-4300-600500 →")</f>
        <v>MV-4300-600500 →</v>
      </c>
    </row>
    <row r="1183" spans="1:61" ht="18.399999999999999" customHeight="1">
      <c r="A1183" s="11" t="s">
        <v>2395</v>
      </c>
      <c r="B1183" s="2" t="s">
        <v>3077</v>
      </c>
      <c r="C1183" s="2">
        <v>1</v>
      </c>
      <c r="D1183" s="2" t="s">
        <v>1055</v>
      </c>
      <c r="E1183" s="29">
        <f>자재조서!E286</f>
        <v>5156300</v>
      </c>
      <c r="F1183" s="29">
        <f t="shared" si="136"/>
        <v>5156300</v>
      </c>
      <c r="G1183" s="29">
        <v>0</v>
      </c>
      <c r="H1183" s="29"/>
      <c r="I1183" s="29">
        <v>0</v>
      </c>
      <c r="J1183" s="29"/>
      <c r="K1183" s="29">
        <f t="shared" si="135"/>
        <v>5156300</v>
      </c>
      <c r="L1183" s="29">
        <f t="shared" si="134"/>
        <v>5156300</v>
      </c>
      <c r="M1183" s="20" t="s">
        <v>6232</v>
      </c>
      <c r="N1183" t="s">
        <v>6232</v>
      </c>
      <c r="P1183" t="s">
        <v>597</v>
      </c>
      <c r="Q1183" t="s">
        <v>6232</v>
      </c>
      <c r="R1183" t="s">
        <v>3290</v>
      </c>
      <c r="BI1183" s="52" t="str">
        <f>HYPERLINK("#자재조서!A286","MV-4300-600550 →")</f>
        <v>MV-4300-600550 →</v>
      </c>
    </row>
    <row r="1184" spans="1:61" ht="18.399999999999999" customHeight="1">
      <c r="A1184" s="11" t="s">
        <v>2395</v>
      </c>
      <c r="B1184" s="2" t="s">
        <v>3215</v>
      </c>
      <c r="C1184" s="2">
        <v>1</v>
      </c>
      <c r="D1184" s="2" t="s">
        <v>1055</v>
      </c>
      <c r="E1184" s="29">
        <f>자재조서!E287</f>
        <v>5573650</v>
      </c>
      <c r="F1184" s="29">
        <f t="shared" si="136"/>
        <v>5573650</v>
      </c>
      <c r="G1184" s="29">
        <v>0</v>
      </c>
      <c r="H1184" s="29"/>
      <c r="I1184" s="29">
        <v>0</v>
      </c>
      <c r="J1184" s="29"/>
      <c r="K1184" s="29">
        <f t="shared" si="135"/>
        <v>5573650</v>
      </c>
      <c r="L1184" s="29">
        <f t="shared" si="134"/>
        <v>5573650</v>
      </c>
      <c r="M1184" s="20" t="s">
        <v>6232</v>
      </c>
      <c r="N1184" t="s">
        <v>6232</v>
      </c>
      <c r="P1184" t="s">
        <v>5425</v>
      </c>
      <c r="Q1184" t="s">
        <v>6232</v>
      </c>
      <c r="R1184" t="s">
        <v>3603</v>
      </c>
      <c r="BI1184" s="52" t="str">
        <f>HYPERLINK("#자재조서!A287","MV-4300-600600 →")</f>
        <v>MV-4300-600600 →</v>
      </c>
    </row>
    <row r="1185" spans="1:61" ht="18.399999999999999" customHeight="1">
      <c r="A1185" s="11" t="s">
        <v>2395</v>
      </c>
      <c r="B1185" s="2" t="s">
        <v>2826</v>
      </c>
      <c r="C1185" s="2">
        <v>1</v>
      </c>
      <c r="D1185" s="2" t="s">
        <v>1055</v>
      </c>
      <c r="E1185" s="29">
        <f>자재조서!E288</f>
        <v>4128450</v>
      </c>
      <c r="F1185" s="29">
        <f t="shared" si="136"/>
        <v>4128450</v>
      </c>
      <c r="G1185" s="29">
        <v>0</v>
      </c>
      <c r="H1185" s="29"/>
      <c r="I1185" s="29">
        <v>0</v>
      </c>
      <c r="J1185" s="29"/>
      <c r="K1185" s="29">
        <f t="shared" si="135"/>
        <v>4128450</v>
      </c>
      <c r="L1185" s="29">
        <f t="shared" si="134"/>
        <v>4128450</v>
      </c>
      <c r="M1185" s="20" t="s">
        <v>6232</v>
      </c>
      <c r="N1185" t="s">
        <v>6232</v>
      </c>
      <c r="P1185" t="s">
        <v>3839</v>
      </c>
      <c r="Q1185" t="s">
        <v>6232</v>
      </c>
      <c r="R1185" t="s">
        <v>1358</v>
      </c>
      <c r="BI1185" s="52" t="str">
        <f>HYPERLINK("#자재조서!A288","MV-4300-650200 →")</f>
        <v>MV-4300-650200 →</v>
      </c>
    </row>
    <row r="1186" spans="1:61" ht="18.399999999999999" customHeight="1">
      <c r="A1186" s="11" t="s">
        <v>2395</v>
      </c>
      <c r="B1186" s="2" t="s">
        <v>3820</v>
      </c>
      <c r="C1186" s="2">
        <v>1</v>
      </c>
      <c r="D1186" s="2" t="s">
        <v>1055</v>
      </c>
      <c r="E1186" s="29">
        <f>자재조서!E289</f>
        <v>4377630</v>
      </c>
      <c r="F1186" s="29">
        <f t="shared" si="136"/>
        <v>4377630</v>
      </c>
      <c r="G1186" s="29">
        <v>0</v>
      </c>
      <c r="H1186" s="29"/>
      <c r="I1186" s="29">
        <v>0</v>
      </c>
      <c r="J1186" s="29"/>
      <c r="K1186" s="29">
        <f t="shared" si="135"/>
        <v>4377630</v>
      </c>
      <c r="L1186" s="29">
        <f t="shared" si="134"/>
        <v>4377630</v>
      </c>
      <c r="M1186" s="20" t="s">
        <v>6232</v>
      </c>
      <c r="N1186" t="s">
        <v>6232</v>
      </c>
      <c r="P1186" t="s">
        <v>2254</v>
      </c>
      <c r="Q1186" t="s">
        <v>6232</v>
      </c>
      <c r="R1186" t="s">
        <v>3004</v>
      </c>
      <c r="BI1186" s="52" t="str">
        <f>HYPERLINK("#자재조서!A289","MV-4300-650250 →")</f>
        <v>MV-4300-650250 →</v>
      </c>
    </row>
    <row r="1187" spans="1:61" ht="18.399999999999999" customHeight="1">
      <c r="A1187" s="11" t="s">
        <v>2395</v>
      </c>
      <c r="B1187" s="2" t="s">
        <v>391</v>
      </c>
      <c r="C1187" s="2">
        <v>1</v>
      </c>
      <c r="D1187" s="2" t="s">
        <v>1055</v>
      </c>
      <c r="E1187" s="29">
        <f>자재조서!E290</f>
        <v>4717330</v>
      </c>
      <c r="F1187" s="29">
        <f t="shared" si="136"/>
        <v>4717330</v>
      </c>
      <c r="G1187" s="29">
        <v>0</v>
      </c>
      <c r="H1187" s="29"/>
      <c r="I1187" s="29">
        <v>0</v>
      </c>
      <c r="J1187" s="29"/>
      <c r="K1187" s="29">
        <f t="shared" si="135"/>
        <v>4717330</v>
      </c>
      <c r="L1187" s="29">
        <f t="shared" si="134"/>
        <v>4717330</v>
      </c>
      <c r="M1187" s="20" t="s">
        <v>6232</v>
      </c>
      <c r="N1187" t="s">
        <v>6232</v>
      </c>
      <c r="P1187" t="s">
        <v>683</v>
      </c>
      <c r="Q1187" t="s">
        <v>6232</v>
      </c>
      <c r="R1187" t="s">
        <v>352</v>
      </c>
      <c r="BI1187" s="52" t="str">
        <f>HYPERLINK("#자재조서!A290","MV-4300-650300 →")</f>
        <v>MV-4300-650300 →</v>
      </c>
    </row>
    <row r="1188" spans="1:61" ht="18.399999999999999" customHeight="1">
      <c r="A1188" s="11" t="s">
        <v>2395</v>
      </c>
      <c r="B1188" s="2" t="s">
        <v>6119</v>
      </c>
      <c r="C1188" s="2">
        <v>1</v>
      </c>
      <c r="D1188" s="2" t="s">
        <v>1055</v>
      </c>
      <c r="E1188" s="29">
        <f>자재조서!E291</f>
        <v>4578950</v>
      </c>
      <c r="F1188" s="29">
        <f t="shared" si="136"/>
        <v>4578950</v>
      </c>
      <c r="G1188" s="29">
        <v>0</v>
      </c>
      <c r="H1188" s="29"/>
      <c r="I1188" s="29">
        <v>0</v>
      </c>
      <c r="J1188" s="29"/>
      <c r="K1188" s="29">
        <f t="shared" si="135"/>
        <v>4578950</v>
      </c>
      <c r="L1188" s="29">
        <f t="shared" si="134"/>
        <v>4578950</v>
      </c>
      <c r="M1188" s="20" t="s">
        <v>6232</v>
      </c>
      <c r="N1188" t="s">
        <v>6232</v>
      </c>
      <c r="P1188" t="s">
        <v>5127</v>
      </c>
      <c r="Q1188" t="s">
        <v>6232</v>
      </c>
      <c r="R1188" t="s">
        <v>1772</v>
      </c>
      <c r="BI1188" s="52" t="str">
        <f>HYPERLINK("#자재조서!A291","MV-4300-650350 →")</f>
        <v>MV-4300-650350 →</v>
      </c>
    </row>
    <row r="1189" spans="1:61" ht="18.399999999999999" customHeight="1">
      <c r="A1189" s="11" t="s">
        <v>2395</v>
      </c>
      <c r="B1189" s="2" t="s">
        <v>4114</v>
      </c>
      <c r="C1189" s="2">
        <v>1</v>
      </c>
      <c r="D1189" s="2" t="s">
        <v>1055</v>
      </c>
      <c r="E1189" s="29">
        <f>자재조서!E292</f>
        <v>4770460</v>
      </c>
      <c r="F1189" s="29">
        <f t="shared" si="136"/>
        <v>4770460</v>
      </c>
      <c r="G1189" s="29">
        <v>0</v>
      </c>
      <c r="H1189" s="29"/>
      <c r="I1189" s="29">
        <v>0</v>
      </c>
      <c r="J1189" s="29"/>
      <c r="K1189" s="29">
        <f t="shared" si="135"/>
        <v>4770460</v>
      </c>
      <c r="L1189" s="29">
        <f t="shared" si="134"/>
        <v>4770460</v>
      </c>
      <c r="M1189" s="20" t="s">
        <v>6232</v>
      </c>
      <c r="N1189" t="s">
        <v>6232</v>
      </c>
      <c r="P1189" t="s">
        <v>3533</v>
      </c>
      <c r="Q1189" t="s">
        <v>6232</v>
      </c>
      <c r="R1189" t="s">
        <v>3348</v>
      </c>
      <c r="BI1189" s="52" t="str">
        <f>HYPERLINK("#자재조서!A292","MV-4300-650400 →")</f>
        <v>MV-4300-650400 →</v>
      </c>
    </row>
    <row r="1190" spans="1:61" ht="18.399999999999999" customHeight="1">
      <c r="A1190" s="11" t="s">
        <v>2395</v>
      </c>
      <c r="B1190" s="2" t="s">
        <v>1579</v>
      </c>
      <c r="C1190" s="2">
        <v>1</v>
      </c>
      <c r="D1190" s="2" t="s">
        <v>1055</v>
      </c>
      <c r="E1190" s="29">
        <f>자재조서!E293</f>
        <v>5044080</v>
      </c>
      <c r="F1190" s="29">
        <f t="shared" si="136"/>
        <v>5044080</v>
      </c>
      <c r="G1190" s="29">
        <v>0</v>
      </c>
      <c r="H1190" s="29"/>
      <c r="I1190" s="29">
        <v>0</v>
      </c>
      <c r="J1190" s="29"/>
      <c r="K1190" s="29">
        <f t="shared" si="135"/>
        <v>5044080</v>
      </c>
      <c r="L1190" s="29">
        <f t="shared" si="134"/>
        <v>5044080</v>
      </c>
      <c r="M1190" s="20" t="s">
        <v>6232</v>
      </c>
      <c r="N1190" t="s">
        <v>6232</v>
      </c>
      <c r="P1190" t="s">
        <v>5758</v>
      </c>
      <c r="Q1190" t="s">
        <v>6232</v>
      </c>
      <c r="R1190" t="s">
        <v>5021</v>
      </c>
      <c r="BI1190" s="52" t="str">
        <f>HYPERLINK("#자재조서!A293","MV-4300-650450 →")</f>
        <v>MV-4300-650450 →</v>
      </c>
    </row>
    <row r="1191" spans="1:61" ht="18.399999999999999" customHeight="1">
      <c r="A1191" s="11" t="s">
        <v>2395</v>
      </c>
      <c r="B1191" s="2" t="s">
        <v>4959</v>
      </c>
      <c r="C1191" s="2">
        <v>1</v>
      </c>
      <c r="D1191" s="2" t="s">
        <v>1055</v>
      </c>
      <c r="E1191" s="29">
        <f>자재조서!E294</f>
        <v>5433150</v>
      </c>
      <c r="F1191" s="29">
        <f t="shared" si="136"/>
        <v>5433150</v>
      </c>
      <c r="G1191" s="29">
        <v>0</v>
      </c>
      <c r="H1191" s="29"/>
      <c r="I1191" s="29">
        <v>0</v>
      </c>
      <c r="J1191" s="29"/>
      <c r="K1191" s="29">
        <f t="shared" si="135"/>
        <v>5433150</v>
      </c>
      <c r="L1191" s="29">
        <f t="shared" si="134"/>
        <v>5433150</v>
      </c>
      <c r="M1191" s="20" t="s">
        <v>6232</v>
      </c>
      <c r="N1191" t="s">
        <v>6232</v>
      </c>
      <c r="P1191" t="s">
        <v>4186</v>
      </c>
      <c r="Q1191" t="s">
        <v>6232</v>
      </c>
      <c r="R1191" t="s">
        <v>4583</v>
      </c>
      <c r="BI1191" s="52" t="str">
        <f>HYPERLINK("#자재조서!A294","MV-4300-650500 →")</f>
        <v>MV-4300-650500 →</v>
      </c>
    </row>
    <row r="1192" spans="1:61" ht="18.399999999999999" customHeight="1">
      <c r="A1192" s="11" t="s">
        <v>2395</v>
      </c>
      <c r="B1192" s="2" t="s">
        <v>949</v>
      </c>
      <c r="C1192" s="2">
        <v>1</v>
      </c>
      <c r="D1192" s="2" t="s">
        <v>1055</v>
      </c>
      <c r="E1192" s="29">
        <f>자재조서!E295</f>
        <v>5724400</v>
      </c>
      <c r="F1192" s="29">
        <f t="shared" si="136"/>
        <v>5724400</v>
      </c>
      <c r="G1192" s="29">
        <v>0</v>
      </c>
      <c r="H1192" s="29"/>
      <c r="I1192" s="29">
        <v>0</v>
      </c>
      <c r="J1192" s="29"/>
      <c r="K1192" s="29">
        <f t="shared" si="135"/>
        <v>5724400</v>
      </c>
      <c r="L1192" s="29">
        <f t="shared" si="134"/>
        <v>5724400</v>
      </c>
      <c r="M1192" s="20" t="s">
        <v>6232</v>
      </c>
      <c r="N1192" t="s">
        <v>6232</v>
      </c>
      <c r="P1192" t="s">
        <v>2681</v>
      </c>
      <c r="Q1192" t="s">
        <v>6232</v>
      </c>
      <c r="R1192" t="s">
        <v>6029</v>
      </c>
      <c r="BI1192" s="52" t="str">
        <f>HYPERLINK("#자재조서!A295","MV-4300-650550 →")</f>
        <v>MV-4300-650550 →</v>
      </c>
    </row>
    <row r="1193" spans="1:61" ht="18.399999999999999" customHeight="1">
      <c r="A1193" s="11" t="s">
        <v>2395</v>
      </c>
      <c r="B1193" s="2" t="s">
        <v>816</v>
      </c>
      <c r="C1193" s="2">
        <v>1</v>
      </c>
      <c r="D1193" s="2" t="s">
        <v>1055</v>
      </c>
      <c r="E1193" s="29">
        <f>자재조서!E296</f>
        <v>6062420</v>
      </c>
      <c r="F1193" s="29">
        <f t="shared" si="136"/>
        <v>6062420</v>
      </c>
      <c r="G1193" s="29">
        <v>0</v>
      </c>
      <c r="H1193" s="29"/>
      <c r="I1193" s="29">
        <v>0</v>
      </c>
      <c r="J1193" s="29"/>
      <c r="K1193" s="29">
        <f t="shared" si="135"/>
        <v>6062420</v>
      </c>
      <c r="L1193" s="29">
        <f t="shared" si="134"/>
        <v>6062420</v>
      </c>
      <c r="M1193" s="20" t="s">
        <v>6232</v>
      </c>
      <c r="N1193" t="s">
        <v>6232</v>
      </c>
      <c r="P1193" t="s">
        <v>1088</v>
      </c>
      <c r="Q1193" t="s">
        <v>6232</v>
      </c>
      <c r="R1193" t="s">
        <v>5544</v>
      </c>
      <c r="BI1193" s="52" t="str">
        <f>HYPERLINK("#자재조서!A296","MV-4300-650600 →")</f>
        <v>MV-4300-650600 →</v>
      </c>
    </row>
    <row r="1194" spans="1:61" ht="18.399999999999999" customHeight="1">
      <c r="A1194" s="11" t="s">
        <v>2395</v>
      </c>
      <c r="B1194" s="2" t="s">
        <v>4882</v>
      </c>
      <c r="C1194" s="2">
        <v>1</v>
      </c>
      <c r="D1194" s="2" t="s">
        <v>1055</v>
      </c>
      <c r="E1194" s="29">
        <f>자재조서!E297</f>
        <v>6372700</v>
      </c>
      <c r="F1194" s="29">
        <f t="shared" si="136"/>
        <v>6372700</v>
      </c>
      <c r="G1194" s="29">
        <v>0</v>
      </c>
      <c r="H1194" s="29"/>
      <c r="I1194" s="29">
        <v>0</v>
      </c>
      <c r="J1194" s="29"/>
      <c r="K1194" s="29">
        <f t="shared" si="135"/>
        <v>6372700</v>
      </c>
      <c r="L1194" s="29">
        <f t="shared" si="134"/>
        <v>6372700</v>
      </c>
      <c r="M1194" s="20" t="s">
        <v>6232</v>
      </c>
      <c r="N1194" t="s">
        <v>6232</v>
      </c>
      <c r="P1194" t="s">
        <v>5682</v>
      </c>
      <c r="Q1194" t="s">
        <v>6232</v>
      </c>
      <c r="R1194" t="s">
        <v>3922</v>
      </c>
      <c r="BI1194" s="52" t="str">
        <f>HYPERLINK("#자재조서!A297","MV-4300-650650 →")</f>
        <v>MV-4300-650650 →</v>
      </c>
    </row>
    <row r="1195" spans="1:61" ht="18.399999999999999" customHeight="1">
      <c r="A1195" s="11" t="s">
        <v>2395</v>
      </c>
      <c r="B1195" s="2" t="s">
        <v>4070</v>
      </c>
      <c r="C1195" s="2">
        <v>1</v>
      </c>
      <c r="D1195" s="2" t="s">
        <v>1055</v>
      </c>
      <c r="E1195" s="29">
        <f>자재조서!E298</f>
        <v>4832090</v>
      </c>
      <c r="F1195" s="29">
        <f t="shared" si="136"/>
        <v>4832090</v>
      </c>
      <c r="G1195" s="29">
        <v>0</v>
      </c>
      <c r="H1195" s="29"/>
      <c r="I1195" s="29">
        <v>0</v>
      </c>
      <c r="J1195" s="29"/>
      <c r="K1195" s="29">
        <f t="shared" si="135"/>
        <v>4832090</v>
      </c>
      <c r="L1195" s="29">
        <f t="shared" si="134"/>
        <v>4832090</v>
      </c>
      <c r="M1195" s="20" t="s">
        <v>6232</v>
      </c>
      <c r="N1195" t="s">
        <v>6232</v>
      </c>
      <c r="P1195" t="s">
        <v>4099</v>
      </c>
      <c r="Q1195" t="s">
        <v>6232</v>
      </c>
      <c r="R1195" t="s">
        <v>4091</v>
      </c>
      <c r="BI1195" s="52" t="str">
        <f>HYPERLINK("#자재조서!A298","MV-4300-700250 →")</f>
        <v>MV-4300-700250 →</v>
      </c>
    </row>
    <row r="1196" spans="1:61" ht="18.399999999999999" customHeight="1">
      <c r="A1196" s="11" t="s">
        <v>2395</v>
      </c>
      <c r="B1196" s="2" t="s">
        <v>991</v>
      </c>
      <c r="C1196" s="2">
        <v>1</v>
      </c>
      <c r="D1196" s="2" t="s">
        <v>1055</v>
      </c>
      <c r="E1196" s="29">
        <f>자재조서!E299</f>
        <v>5110030</v>
      </c>
      <c r="F1196" s="29">
        <f t="shared" si="136"/>
        <v>5110030</v>
      </c>
      <c r="G1196" s="29">
        <v>0</v>
      </c>
      <c r="H1196" s="29"/>
      <c r="I1196" s="29">
        <v>0</v>
      </c>
      <c r="J1196" s="29"/>
      <c r="K1196" s="29">
        <f t="shared" si="135"/>
        <v>5110030</v>
      </c>
      <c r="L1196" s="29">
        <f t="shared" si="134"/>
        <v>5110030</v>
      </c>
      <c r="M1196" s="20" t="s">
        <v>6232</v>
      </c>
      <c r="N1196" t="s">
        <v>6232</v>
      </c>
      <c r="P1196" t="s">
        <v>2604</v>
      </c>
      <c r="Q1196" t="s">
        <v>6232</v>
      </c>
      <c r="R1196" t="s">
        <v>5314</v>
      </c>
      <c r="BI1196" s="52" t="str">
        <f>HYPERLINK("#자재조서!A299","MV-4300-700300 →")</f>
        <v>MV-4300-700300 →</v>
      </c>
    </row>
    <row r="1197" spans="1:61" ht="18.399999999999999" customHeight="1">
      <c r="A1197" s="11" t="s">
        <v>2395</v>
      </c>
      <c r="B1197" s="2" t="s">
        <v>4712</v>
      </c>
      <c r="C1197" s="2">
        <v>1</v>
      </c>
      <c r="D1197" s="2" t="s">
        <v>1055</v>
      </c>
      <c r="E1197" s="29">
        <f>자재조서!E300</f>
        <v>5352730</v>
      </c>
      <c r="F1197" s="29">
        <f t="shared" si="136"/>
        <v>5352730</v>
      </c>
      <c r="G1197" s="29">
        <v>0</v>
      </c>
      <c r="H1197" s="29"/>
      <c r="I1197" s="29">
        <v>0</v>
      </c>
      <c r="J1197" s="29"/>
      <c r="K1197" s="29">
        <f t="shared" si="135"/>
        <v>5352730</v>
      </c>
      <c r="L1197" s="29">
        <f t="shared" si="134"/>
        <v>5352730</v>
      </c>
      <c r="M1197" s="20" t="s">
        <v>6232</v>
      </c>
      <c r="N1197" t="s">
        <v>6232</v>
      </c>
      <c r="P1197" t="s">
        <v>1015</v>
      </c>
      <c r="Q1197" t="s">
        <v>6232</v>
      </c>
      <c r="R1197" t="s">
        <v>3850</v>
      </c>
      <c r="BI1197" s="52" t="str">
        <f>HYPERLINK("#자재조서!A300","MV-4300-700350 →")</f>
        <v>MV-4300-700350 →</v>
      </c>
    </row>
    <row r="1198" spans="1:61" ht="18.399999999999999" customHeight="1">
      <c r="A1198" s="11" t="s">
        <v>2395</v>
      </c>
      <c r="B1198" s="2" t="s">
        <v>3487</v>
      </c>
      <c r="C1198" s="2">
        <v>1</v>
      </c>
      <c r="D1198" s="2" t="s">
        <v>1055</v>
      </c>
      <c r="E1198" s="29">
        <f>자재조서!E301</f>
        <v>5119810</v>
      </c>
      <c r="F1198" s="29">
        <f t="shared" si="136"/>
        <v>5119810</v>
      </c>
      <c r="G1198" s="29">
        <v>0</v>
      </c>
      <c r="H1198" s="29"/>
      <c r="I1198" s="29">
        <v>0</v>
      </c>
      <c r="J1198" s="29"/>
      <c r="K1198" s="29">
        <f t="shared" si="135"/>
        <v>5119810</v>
      </c>
      <c r="L1198" s="29">
        <f t="shared" si="134"/>
        <v>5119810</v>
      </c>
      <c r="M1198" s="20" t="s">
        <v>6232</v>
      </c>
      <c r="N1198" t="s">
        <v>6232</v>
      </c>
      <c r="P1198" t="s">
        <v>5576</v>
      </c>
      <c r="Q1198" t="s">
        <v>6232</v>
      </c>
      <c r="R1198" t="s">
        <v>2303</v>
      </c>
      <c r="BI1198" s="52" t="str">
        <f>HYPERLINK("#자재조서!A301","MV-4300-700400 →")</f>
        <v>MV-4300-700400 →</v>
      </c>
    </row>
    <row r="1199" spans="1:61" ht="18.399999999999999" customHeight="1">
      <c r="A1199" s="11" t="s">
        <v>2395</v>
      </c>
      <c r="B1199" s="2" t="s">
        <v>2955</v>
      </c>
      <c r="C1199" s="2">
        <v>1</v>
      </c>
      <c r="D1199" s="2" t="s">
        <v>1055</v>
      </c>
      <c r="E1199" s="29">
        <f>자재조서!E302</f>
        <v>5435470</v>
      </c>
      <c r="F1199" s="29">
        <f t="shared" si="136"/>
        <v>5435470</v>
      </c>
      <c r="G1199" s="29">
        <v>0</v>
      </c>
      <c r="H1199" s="29"/>
      <c r="I1199" s="29">
        <v>0</v>
      </c>
      <c r="J1199" s="29"/>
      <c r="K1199" s="29">
        <f t="shared" si="135"/>
        <v>5435470</v>
      </c>
      <c r="L1199" s="29">
        <f t="shared" si="134"/>
        <v>5435470</v>
      </c>
      <c r="M1199" s="20" t="s">
        <v>6232</v>
      </c>
      <c r="N1199" t="s">
        <v>6232</v>
      </c>
      <c r="P1199" t="s">
        <v>4004</v>
      </c>
      <c r="Q1199" t="s">
        <v>6232</v>
      </c>
      <c r="R1199" t="s">
        <v>639</v>
      </c>
      <c r="BI1199" s="52" t="str">
        <f>HYPERLINK("#자재조서!A302","MV-4300-700450 →")</f>
        <v>MV-4300-700450 →</v>
      </c>
    </row>
    <row r="1200" spans="1:61" ht="18.399999999999999" customHeight="1">
      <c r="A1200" s="11" t="s">
        <v>2395</v>
      </c>
      <c r="B1200" s="2" t="s">
        <v>5962</v>
      </c>
      <c r="C1200" s="2">
        <v>1</v>
      </c>
      <c r="D1200" s="2" t="s">
        <v>1055</v>
      </c>
      <c r="E1200" s="29">
        <f>자재조서!E303</f>
        <v>5688100</v>
      </c>
      <c r="F1200" s="29">
        <f t="shared" si="136"/>
        <v>5688100</v>
      </c>
      <c r="G1200" s="29">
        <v>0</v>
      </c>
      <c r="H1200" s="29"/>
      <c r="I1200" s="29">
        <v>0</v>
      </c>
      <c r="J1200" s="29"/>
      <c r="K1200" s="29">
        <f t="shared" si="135"/>
        <v>5688100</v>
      </c>
      <c r="L1200" s="29">
        <f t="shared" si="134"/>
        <v>5688100</v>
      </c>
      <c r="M1200" s="20" t="s">
        <v>6232</v>
      </c>
      <c r="N1200" t="s">
        <v>6232</v>
      </c>
      <c r="P1200" t="s">
        <v>5306</v>
      </c>
      <c r="Q1200" t="s">
        <v>6232</v>
      </c>
      <c r="R1200" t="s">
        <v>2520</v>
      </c>
      <c r="BI1200" s="52" t="str">
        <f>HYPERLINK("#자재조서!A303","MV-4300-700500 →")</f>
        <v>MV-4300-700500 →</v>
      </c>
    </row>
    <row r="1201" spans="1:61" ht="18.399999999999999" customHeight="1">
      <c r="A1201" s="11" t="s">
        <v>2395</v>
      </c>
      <c r="B1201" s="2" t="s">
        <v>728</v>
      </c>
      <c r="C1201" s="2">
        <v>1</v>
      </c>
      <c r="D1201" s="2" t="s">
        <v>1055</v>
      </c>
      <c r="E1201" s="29">
        <f>자재조서!E304</f>
        <v>5979700</v>
      </c>
      <c r="F1201" s="29">
        <f t="shared" si="136"/>
        <v>5979700</v>
      </c>
      <c r="G1201" s="29">
        <v>0</v>
      </c>
      <c r="H1201" s="29"/>
      <c r="I1201" s="29">
        <v>0</v>
      </c>
      <c r="J1201" s="29"/>
      <c r="K1201" s="29">
        <f t="shared" si="135"/>
        <v>5979700</v>
      </c>
      <c r="L1201" s="29">
        <f t="shared" si="134"/>
        <v>5979700</v>
      </c>
      <c r="M1201" s="20" t="s">
        <v>6232</v>
      </c>
      <c r="N1201" t="s">
        <v>6232</v>
      </c>
      <c r="P1201" t="s">
        <v>3766</v>
      </c>
      <c r="Q1201" t="s">
        <v>6232</v>
      </c>
      <c r="R1201" t="s">
        <v>1073</v>
      </c>
      <c r="BI1201" s="52" t="str">
        <f>HYPERLINK("#자재조서!A304","MV-4300-700550 →")</f>
        <v>MV-4300-700550 →</v>
      </c>
    </row>
    <row r="1202" spans="1:61" ht="18.399999999999999" customHeight="1">
      <c r="A1202" s="11" t="s">
        <v>2395</v>
      </c>
      <c r="B1202" s="2" t="s">
        <v>660</v>
      </c>
      <c r="C1202" s="2">
        <v>1</v>
      </c>
      <c r="D1202" s="2" t="s">
        <v>1055</v>
      </c>
      <c r="E1202" s="29">
        <f>자재조서!E305</f>
        <v>6312630</v>
      </c>
      <c r="F1202" s="29">
        <f t="shared" si="136"/>
        <v>6312630</v>
      </c>
      <c r="G1202" s="29">
        <v>0</v>
      </c>
      <c r="H1202" s="29"/>
      <c r="I1202" s="29">
        <v>0</v>
      </c>
      <c r="J1202" s="29"/>
      <c r="K1202" s="29">
        <f t="shared" si="135"/>
        <v>6312630</v>
      </c>
      <c r="L1202" s="29">
        <f t="shared" si="134"/>
        <v>6312630</v>
      </c>
      <c r="M1202" s="20" t="s">
        <v>6232</v>
      </c>
      <c r="N1202" t="s">
        <v>6232</v>
      </c>
      <c r="P1202" t="s">
        <v>2122</v>
      </c>
      <c r="Q1202" t="s">
        <v>6232</v>
      </c>
      <c r="R1202" t="s">
        <v>1169</v>
      </c>
      <c r="BI1202" s="52" t="str">
        <f>HYPERLINK("#자재조서!A305","MV-4300-700600 →")</f>
        <v>MV-4300-700600 →</v>
      </c>
    </row>
    <row r="1203" spans="1:61" ht="18.399999999999999" customHeight="1">
      <c r="A1203" s="11" t="s">
        <v>2395</v>
      </c>
      <c r="B1203" s="2" t="s">
        <v>5837</v>
      </c>
      <c r="C1203" s="2">
        <v>1</v>
      </c>
      <c r="D1203" s="2" t="s">
        <v>1055</v>
      </c>
      <c r="E1203" s="29">
        <f>자재조서!E306</f>
        <v>6604270</v>
      </c>
      <c r="F1203" s="29">
        <f t="shared" si="136"/>
        <v>6604270</v>
      </c>
      <c r="G1203" s="29">
        <v>0</v>
      </c>
      <c r="H1203" s="29"/>
      <c r="I1203" s="29">
        <v>0</v>
      </c>
      <c r="J1203" s="29"/>
      <c r="K1203" s="29">
        <f t="shared" si="135"/>
        <v>6604270</v>
      </c>
      <c r="L1203" s="29">
        <f t="shared" si="134"/>
        <v>6604270</v>
      </c>
      <c r="M1203" s="20" t="s">
        <v>6232</v>
      </c>
      <c r="N1203" t="s">
        <v>6232</v>
      </c>
      <c r="P1203" t="s">
        <v>619</v>
      </c>
      <c r="Q1203" t="s">
        <v>6232</v>
      </c>
      <c r="R1203" t="s">
        <v>2805</v>
      </c>
      <c r="BI1203" s="52" t="str">
        <f>HYPERLINK("#자재조서!A306","MV-4300-700650 →")</f>
        <v>MV-4300-700650 →</v>
      </c>
    </row>
    <row r="1204" spans="1:61" ht="18.399999999999999" customHeight="1">
      <c r="A1204" s="11" t="s">
        <v>2395</v>
      </c>
      <c r="B1204" s="2" t="s">
        <v>3031</v>
      </c>
      <c r="C1204" s="2">
        <v>1</v>
      </c>
      <c r="D1204" s="2" t="s">
        <v>1055</v>
      </c>
      <c r="E1204" s="29">
        <f>자재조서!E307</f>
        <v>6944850</v>
      </c>
      <c r="F1204" s="29">
        <f t="shared" si="136"/>
        <v>6944850</v>
      </c>
      <c r="G1204" s="29">
        <v>0</v>
      </c>
      <c r="H1204" s="29"/>
      <c r="I1204" s="29">
        <v>0</v>
      </c>
      <c r="J1204" s="29"/>
      <c r="K1204" s="29">
        <f t="shared" si="135"/>
        <v>6944850</v>
      </c>
      <c r="L1204" s="29">
        <f t="shared" si="134"/>
        <v>6944850</v>
      </c>
      <c r="M1204" s="20" t="s">
        <v>6232</v>
      </c>
      <c r="N1204" t="s">
        <v>6232</v>
      </c>
      <c r="P1204" t="s">
        <v>5402</v>
      </c>
      <c r="Q1204" t="s">
        <v>6232</v>
      </c>
      <c r="R1204" t="s">
        <v>144</v>
      </c>
      <c r="BI1204" s="52" t="str">
        <f>HYPERLINK("#자재조서!A307","MV-4300-700700 →")</f>
        <v>MV-4300-700700 →</v>
      </c>
    </row>
    <row r="1205" spans="1:61" ht="18.399999999999999" customHeight="1">
      <c r="A1205" s="11" t="s">
        <v>2395</v>
      </c>
      <c r="B1205" s="2" t="s">
        <v>3440</v>
      </c>
      <c r="C1205" s="2">
        <v>1</v>
      </c>
      <c r="D1205" s="2" t="s">
        <v>1055</v>
      </c>
      <c r="E1205" s="29">
        <f>자재조서!E308</f>
        <v>5397710</v>
      </c>
      <c r="F1205" s="29">
        <f t="shared" si="136"/>
        <v>5397710</v>
      </c>
      <c r="G1205" s="29">
        <v>0</v>
      </c>
      <c r="H1205" s="29"/>
      <c r="I1205" s="29">
        <v>0</v>
      </c>
      <c r="J1205" s="29"/>
      <c r="K1205" s="29">
        <f t="shared" si="135"/>
        <v>5397710</v>
      </c>
      <c r="L1205" s="29">
        <f t="shared" si="134"/>
        <v>5397710</v>
      </c>
      <c r="M1205" s="20" t="s">
        <v>6232</v>
      </c>
      <c r="N1205" t="s">
        <v>6232</v>
      </c>
      <c r="P1205" t="s">
        <v>3861</v>
      </c>
      <c r="Q1205" t="s">
        <v>6232</v>
      </c>
      <c r="R1205" t="s">
        <v>4142</v>
      </c>
      <c r="BI1205" s="52" t="str">
        <f>HYPERLINK("#자재조서!A308","MV-4300-750300 →")</f>
        <v>MV-4300-750300 →</v>
      </c>
    </row>
    <row r="1206" spans="1:61" ht="18.399999999999999" customHeight="1">
      <c r="A1206" s="11" t="s">
        <v>2395</v>
      </c>
      <c r="B1206" s="2" t="s">
        <v>2452</v>
      </c>
      <c r="C1206" s="2">
        <v>1</v>
      </c>
      <c r="D1206" s="2" t="s">
        <v>1055</v>
      </c>
      <c r="E1206" s="29">
        <f>자재조서!E309</f>
        <v>5676100</v>
      </c>
      <c r="F1206" s="29">
        <f t="shared" si="136"/>
        <v>5676100</v>
      </c>
      <c r="G1206" s="29">
        <v>0</v>
      </c>
      <c r="H1206" s="29"/>
      <c r="I1206" s="29">
        <v>0</v>
      </c>
      <c r="J1206" s="29"/>
      <c r="K1206" s="29">
        <f t="shared" si="135"/>
        <v>5676100</v>
      </c>
      <c r="L1206" s="29">
        <f t="shared" si="134"/>
        <v>5676100</v>
      </c>
      <c r="M1206" s="20" t="s">
        <v>6232</v>
      </c>
      <c r="N1206" t="s">
        <v>6232</v>
      </c>
      <c r="P1206" t="s">
        <v>2226</v>
      </c>
      <c r="Q1206" t="s">
        <v>6232</v>
      </c>
      <c r="R1206" t="s">
        <v>5815</v>
      </c>
      <c r="BI1206" s="52" t="str">
        <f>HYPERLINK("#자재조서!A309","MV-4300-750350 →")</f>
        <v>MV-4300-750350 →</v>
      </c>
    </row>
    <row r="1207" spans="1:61" ht="18.399999999999999" customHeight="1">
      <c r="A1207" s="11" t="s">
        <v>2395</v>
      </c>
      <c r="B1207" s="2" t="s">
        <v>1323</v>
      </c>
      <c r="C1207" s="2">
        <v>1</v>
      </c>
      <c r="D1207" s="2" t="s">
        <v>1055</v>
      </c>
      <c r="E1207" s="29">
        <f>자재조서!E310</f>
        <v>5449710</v>
      </c>
      <c r="F1207" s="29">
        <f t="shared" si="136"/>
        <v>5449710</v>
      </c>
      <c r="G1207" s="29">
        <v>0</v>
      </c>
      <c r="H1207" s="29"/>
      <c r="I1207" s="29">
        <v>0</v>
      </c>
      <c r="J1207" s="29"/>
      <c r="K1207" s="29">
        <f t="shared" si="135"/>
        <v>5449710</v>
      </c>
      <c r="L1207" s="29">
        <f t="shared" si="134"/>
        <v>5449710</v>
      </c>
      <c r="M1207" s="20" t="s">
        <v>6232</v>
      </c>
      <c r="N1207" t="s">
        <v>6232</v>
      </c>
      <c r="P1207" t="s">
        <v>721</v>
      </c>
      <c r="Q1207" t="s">
        <v>6232</v>
      </c>
      <c r="R1207" t="s">
        <v>1123</v>
      </c>
      <c r="BI1207" s="52" t="str">
        <f>HYPERLINK("#자재조서!A310","MV-4300-750400 →")</f>
        <v>MV-4300-750400 →</v>
      </c>
    </row>
    <row r="1208" spans="1:61" ht="18.399999999999999" customHeight="1">
      <c r="A1208" s="11" t="s">
        <v>2395</v>
      </c>
      <c r="B1208" s="2" t="s">
        <v>5344</v>
      </c>
      <c r="C1208" s="2">
        <v>1</v>
      </c>
      <c r="D1208" s="2" t="s">
        <v>1055</v>
      </c>
      <c r="E1208" s="29">
        <f>자재조서!E311</f>
        <v>5721980</v>
      </c>
      <c r="F1208" s="29">
        <f t="shared" si="136"/>
        <v>5721980</v>
      </c>
      <c r="G1208" s="29">
        <v>0</v>
      </c>
      <c r="H1208" s="29"/>
      <c r="I1208" s="29">
        <v>0</v>
      </c>
      <c r="J1208" s="29"/>
      <c r="K1208" s="29">
        <f t="shared" si="135"/>
        <v>5721980</v>
      </c>
      <c r="L1208" s="29">
        <f t="shared" si="134"/>
        <v>5721980</v>
      </c>
      <c r="M1208" s="20" t="s">
        <v>6232</v>
      </c>
      <c r="N1208" t="s">
        <v>6232</v>
      </c>
      <c r="P1208" t="s">
        <v>5110</v>
      </c>
      <c r="Q1208" t="s">
        <v>6232</v>
      </c>
      <c r="R1208" t="s">
        <v>2575</v>
      </c>
      <c r="BI1208" s="52" t="str">
        <f>HYPERLINK("#자재조서!A311","MV-4300-750450 →")</f>
        <v>MV-4300-750450 →</v>
      </c>
    </row>
    <row r="1209" spans="1:61" ht="18.399999999999999" customHeight="1">
      <c r="A1209" s="11" t="s">
        <v>2395</v>
      </c>
      <c r="B1209" s="2" t="s">
        <v>1977</v>
      </c>
      <c r="C1209" s="2">
        <v>1</v>
      </c>
      <c r="D1209" s="2" t="s">
        <v>1055</v>
      </c>
      <c r="E1209" s="29">
        <f>자재조서!E312</f>
        <v>6036210</v>
      </c>
      <c r="F1209" s="29">
        <f t="shared" si="136"/>
        <v>6036210</v>
      </c>
      <c r="G1209" s="29">
        <v>0</v>
      </c>
      <c r="H1209" s="29"/>
      <c r="I1209" s="29">
        <v>0</v>
      </c>
      <c r="J1209" s="29"/>
      <c r="K1209" s="29">
        <f t="shared" si="135"/>
        <v>6036210</v>
      </c>
      <c r="L1209" s="29">
        <f t="shared" si="134"/>
        <v>6036210</v>
      </c>
      <c r="M1209" s="20" t="s">
        <v>6232</v>
      </c>
      <c r="N1209" t="s">
        <v>6232</v>
      </c>
      <c r="P1209" t="s">
        <v>3577</v>
      </c>
      <c r="Q1209" t="s">
        <v>6232</v>
      </c>
      <c r="R1209" t="s">
        <v>594</v>
      </c>
      <c r="BI1209" s="52" t="str">
        <f>HYPERLINK("#자재조서!A312","MV-4300-750500 →")</f>
        <v>MV-4300-750500 →</v>
      </c>
    </row>
    <row r="1210" spans="1:61" ht="18.399999999999999" customHeight="1">
      <c r="A1210" s="11" t="s">
        <v>2395</v>
      </c>
      <c r="B1210" s="2" t="s">
        <v>4479</v>
      </c>
      <c r="C1210" s="2">
        <v>1</v>
      </c>
      <c r="D1210" s="2" t="s">
        <v>1055</v>
      </c>
      <c r="E1210" s="29">
        <f>자재조서!E313</f>
        <v>6369280</v>
      </c>
      <c r="F1210" s="29">
        <f t="shared" ref="F1210:F1214" si="137">TRUNC(E1210*C1210,0)</f>
        <v>6369280</v>
      </c>
      <c r="G1210" s="29">
        <v>0</v>
      </c>
      <c r="H1210" s="29"/>
      <c r="I1210" s="29">
        <v>0</v>
      </c>
      <c r="J1210" s="29"/>
      <c r="K1210" s="29">
        <f t="shared" si="135"/>
        <v>6369280</v>
      </c>
      <c r="L1210" s="29">
        <f t="shared" si="134"/>
        <v>6369280</v>
      </c>
      <c r="M1210" s="20" t="s">
        <v>6232</v>
      </c>
      <c r="N1210" t="s">
        <v>6232</v>
      </c>
      <c r="P1210" t="s">
        <v>3166</v>
      </c>
      <c r="Q1210" t="s">
        <v>6232</v>
      </c>
      <c r="R1210" t="s">
        <v>2259</v>
      </c>
      <c r="BI1210" s="52" t="str">
        <f>HYPERLINK("#자재조서!A313","MV-4300-750550 →")</f>
        <v>MV-4300-750550 →</v>
      </c>
    </row>
    <row r="1211" spans="1:61" ht="18.399999999999999" customHeight="1">
      <c r="A1211" s="11" t="s">
        <v>2395</v>
      </c>
      <c r="B1211" s="2" t="s">
        <v>4548</v>
      </c>
      <c r="C1211" s="2">
        <v>1</v>
      </c>
      <c r="D1211" s="2" t="s">
        <v>1055</v>
      </c>
      <c r="E1211" s="29">
        <f>자재조서!E314</f>
        <v>6590200</v>
      </c>
      <c r="F1211" s="29">
        <f t="shared" si="137"/>
        <v>6590200</v>
      </c>
      <c r="G1211" s="29">
        <v>0</v>
      </c>
      <c r="H1211" s="29"/>
      <c r="I1211" s="29">
        <v>0</v>
      </c>
      <c r="J1211" s="29"/>
      <c r="K1211" s="29">
        <f t="shared" si="135"/>
        <v>6590200</v>
      </c>
      <c r="L1211" s="29">
        <f t="shared" si="134"/>
        <v>6590200</v>
      </c>
      <c r="M1211" s="20" t="s">
        <v>6232</v>
      </c>
      <c r="N1211" t="s">
        <v>6232</v>
      </c>
      <c r="P1211" t="s">
        <v>4725</v>
      </c>
      <c r="Q1211" t="s">
        <v>6232</v>
      </c>
      <c r="R1211" t="s">
        <v>1555</v>
      </c>
      <c r="BI1211" s="52" t="str">
        <f>HYPERLINK("#자재조서!A314","MV-4300-750600 →")</f>
        <v>MV-4300-750600 →</v>
      </c>
    </row>
    <row r="1212" spans="1:61" ht="18.399999999999999" customHeight="1">
      <c r="A1212" s="11" t="s">
        <v>2395</v>
      </c>
      <c r="B1212" s="2" t="s">
        <v>2102</v>
      </c>
      <c r="C1212" s="2">
        <v>1</v>
      </c>
      <c r="D1212" s="2" t="s">
        <v>1055</v>
      </c>
      <c r="E1212" s="29">
        <f>자재조서!E315</f>
        <v>6878410</v>
      </c>
      <c r="F1212" s="29">
        <f t="shared" si="137"/>
        <v>6878410</v>
      </c>
      <c r="G1212" s="29">
        <v>0</v>
      </c>
      <c r="H1212" s="29"/>
      <c r="I1212" s="29">
        <v>0</v>
      </c>
      <c r="J1212" s="29"/>
      <c r="K1212" s="29">
        <f t="shared" si="135"/>
        <v>6878410</v>
      </c>
      <c r="L1212" s="29">
        <f t="shared" si="134"/>
        <v>6878410</v>
      </c>
      <c r="M1212" s="20" t="s">
        <v>6232</v>
      </c>
      <c r="N1212" t="s">
        <v>6232</v>
      </c>
      <c r="P1212" t="s">
        <v>43</v>
      </c>
      <c r="Q1212" t="s">
        <v>6232</v>
      </c>
      <c r="R1212" t="s">
        <v>92</v>
      </c>
      <c r="BI1212" s="52" t="str">
        <f>HYPERLINK("#자재조서!A315","MV-4300-750650 →")</f>
        <v>MV-4300-750650 →</v>
      </c>
    </row>
    <row r="1213" spans="1:61" ht="18.399999999999999" customHeight="1">
      <c r="A1213" s="11" t="s">
        <v>2395</v>
      </c>
      <c r="B1213" s="2" t="s">
        <v>5261</v>
      </c>
      <c r="C1213" s="2">
        <v>1</v>
      </c>
      <c r="D1213" s="2" t="s">
        <v>1055</v>
      </c>
      <c r="E1213" s="29">
        <f>자재조서!E316</f>
        <v>7179750</v>
      </c>
      <c r="F1213" s="29">
        <f t="shared" si="137"/>
        <v>7179750</v>
      </c>
      <c r="G1213" s="29">
        <v>0</v>
      </c>
      <c r="H1213" s="29"/>
      <c r="I1213" s="29">
        <v>0</v>
      </c>
      <c r="J1213" s="29"/>
      <c r="K1213" s="29">
        <f t="shared" si="135"/>
        <v>7179750</v>
      </c>
      <c r="L1213" s="29">
        <f t="shared" si="134"/>
        <v>7179750</v>
      </c>
      <c r="M1213" s="20" t="s">
        <v>6232</v>
      </c>
      <c r="N1213" t="s">
        <v>6232</v>
      </c>
      <c r="P1213" t="s">
        <v>1532</v>
      </c>
      <c r="Q1213" t="s">
        <v>6232</v>
      </c>
      <c r="R1213" t="s">
        <v>2860</v>
      </c>
      <c r="BI1213" s="52" t="str">
        <f>HYPERLINK("#자재조서!A316","MV-4300-750700 →")</f>
        <v>MV-4300-750700 →</v>
      </c>
    </row>
    <row r="1214" spans="1:61" ht="18.399999999999999" customHeight="1">
      <c r="A1214" s="11" t="s">
        <v>2395</v>
      </c>
      <c r="B1214" s="2" t="s">
        <v>1225</v>
      </c>
      <c r="C1214" s="2">
        <v>1</v>
      </c>
      <c r="D1214" s="2" t="s">
        <v>1055</v>
      </c>
      <c r="E1214" s="29">
        <f>자재조서!E317</f>
        <v>7564990</v>
      </c>
      <c r="F1214" s="29">
        <f t="shared" si="137"/>
        <v>7564990</v>
      </c>
      <c r="G1214" s="29">
        <v>0</v>
      </c>
      <c r="H1214" s="29"/>
      <c r="I1214" s="29">
        <v>0</v>
      </c>
      <c r="J1214" s="29"/>
      <c r="K1214" s="29">
        <f t="shared" si="135"/>
        <v>7564990</v>
      </c>
      <c r="L1214" s="29">
        <f t="shared" si="134"/>
        <v>7564990</v>
      </c>
      <c r="M1214" s="20" t="s">
        <v>6232</v>
      </c>
      <c r="N1214" t="s">
        <v>6232</v>
      </c>
      <c r="P1214" t="s">
        <v>3252</v>
      </c>
      <c r="Q1214" t="s">
        <v>6232</v>
      </c>
      <c r="R1214" t="s">
        <v>1227</v>
      </c>
      <c r="BI1214" s="52" t="str">
        <f>HYPERLINK("#자재조서!A317","MV-4300-750750 →")</f>
        <v>MV-4300-750750 →</v>
      </c>
    </row>
    <row r="1215" spans="1:61" ht="18.399999999999999" customHeight="1">
      <c r="A1215" s="11" t="s">
        <v>1544</v>
      </c>
      <c r="B1215" s="2" t="s">
        <v>6232</v>
      </c>
      <c r="C1215" s="2"/>
      <c r="D1215" s="2" t="s">
        <v>6232</v>
      </c>
      <c r="E1215" s="1"/>
      <c r="F1215" s="29">
        <f>TRUNC(SUM(AF1215:AF1221),0)</f>
        <v>423003140</v>
      </c>
      <c r="G1215" s="1"/>
      <c r="H1215" s="29">
        <f>TRUNC(SUM(AG1215:AG1221),0)</f>
        <v>0</v>
      </c>
      <c r="I1215" s="1"/>
      <c r="J1215" s="29">
        <f>TRUNC(SUM(AH1215:AH1221),0)</f>
        <v>0</v>
      </c>
      <c r="K1215" s="29">
        <f t="shared" si="135"/>
        <v>0</v>
      </c>
      <c r="L1215" s="29">
        <f t="shared" si="134"/>
        <v>423003140</v>
      </c>
      <c r="M1215" s="20" t="s">
        <v>6232</v>
      </c>
      <c r="N1215" t="s">
        <v>6232</v>
      </c>
      <c r="P1215" t="s">
        <v>4810</v>
      </c>
      <c r="Q1215" t="s">
        <v>6232</v>
      </c>
      <c r="R1215" t="s">
        <v>6232</v>
      </c>
      <c r="AF1215" s="29">
        <f>F1214+F1213+F1212+F1211+F1210+F1209+F1208+F1207+F1206+F1205+F1204+F1203+F1202+F1201+F1200+F1199+F1198+F1197+F1196+F1195+F1194+F1193+F1192+F1191+F1190</f>
        <v>148880770</v>
      </c>
      <c r="AG1215" s="29">
        <f>H1214+H1213+H1212+H1211+H1210+H1209+H1208+H1207+H1206+H1205+H1204+H1203+H1202+H1201+H1200+H1199+H1198+H1197+H1196+H1195+H1194+H1193+H1192+H1191+H1190</f>
        <v>0</v>
      </c>
      <c r="AH1215" s="29">
        <f>J1214+J1213+J1212+J1211+J1210+J1209+J1208+J1207+J1206+J1205+J1204+J1203+J1202+J1201+J1200+J1199+J1198+J1197+J1196+J1195+J1194+J1193+J1192+J1191+J1190</f>
        <v>0</v>
      </c>
    </row>
    <row r="1216" spans="1:61" ht="18.399999999999999" customHeight="1">
      <c r="A1216" s="11" t="s">
        <v>2495</v>
      </c>
      <c r="B1216" s="2" t="s">
        <v>6232</v>
      </c>
      <c r="C1216" s="2"/>
      <c r="D1216" s="2" t="s">
        <v>6232</v>
      </c>
      <c r="E1216" s="1"/>
      <c r="F1216" s="29">
        <v>0</v>
      </c>
      <c r="G1216" s="1"/>
      <c r="H1216" s="29">
        <v>0</v>
      </c>
      <c r="I1216" s="1"/>
      <c r="J1216" s="29">
        <v>0</v>
      </c>
      <c r="K1216" s="29">
        <f t="shared" si="135"/>
        <v>0</v>
      </c>
      <c r="L1216" s="29">
        <f t="shared" si="134"/>
        <v>0</v>
      </c>
      <c r="M1216" s="20" t="s">
        <v>6232</v>
      </c>
      <c r="N1216" t="s">
        <v>6232</v>
      </c>
      <c r="P1216" t="s">
        <v>118</v>
      </c>
      <c r="Q1216" t="s">
        <v>6232</v>
      </c>
      <c r="R1216" t="s">
        <v>6232</v>
      </c>
      <c r="AF1216" s="29">
        <f>F1189+F1188+F1187+F1186+F1185+F1184+F1183+F1182+F1181+F1180+F1179+F1178+F1177+F1176+F1175+F1174+F1173+F1172+F1171+F1170+F1169+F1168+F1167+F1166+F1165</f>
        <v>106407540</v>
      </c>
      <c r="AG1216" s="29">
        <f>H1189+H1188+H1187+H1186+H1185+H1184+H1183+H1182+H1181+H1180+H1179+H1178+H1177+H1176+H1175+H1174+H1173+H1172+H1171+H1170+H1169+H1168+H1167+H1166+H1165</f>
        <v>0</v>
      </c>
      <c r="AH1216" s="29">
        <f>J1189+J1188+J1187+J1186+J1185+J1184+J1183+J1182+J1181+J1180+J1179+J1178+J1177+J1176+J1175+J1174+J1173+J1172+J1171+J1170+J1169+J1168+J1167+J1166+J1165</f>
        <v>0</v>
      </c>
    </row>
    <row r="1217" spans="1:61" ht="18.399999999999999" customHeight="1">
      <c r="A1217" s="11" t="s">
        <v>779</v>
      </c>
      <c r="B1217" s="2" t="s">
        <v>6232</v>
      </c>
      <c r="C1217" s="2"/>
      <c r="D1217" s="2" t="s">
        <v>6232</v>
      </c>
      <c r="E1217" s="1"/>
      <c r="F1217" s="29">
        <v>0</v>
      </c>
      <c r="G1217" s="1"/>
      <c r="H1217" s="29">
        <v>0</v>
      </c>
      <c r="I1217" s="1"/>
      <c r="J1217" s="29">
        <v>0</v>
      </c>
      <c r="K1217" s="29">
        <f t="shared" si="135"/>
        <v>0</v>
      </c>
      <c r="L1217" s="29">
        <f t="shared" si="134"/>
        <v>0</v>
      </c>
      <c r="M1217" s="20" t="s">
        <v>6232</v>
      </c>
      <c r="N1217" t="s">
        <v>6232</v>
      </c>
      <c r="P1217" t="s">
        <v>1623</v>
      </c>
      <c r="Q1217" t="s">
        <v>6232</v>
      </c>
      <c r="R1217" t="s">
        <v>6232</v>
      </c>
      <c r="AF1217" s="29">
        <f>F1164+F1163+F1162+F1161+F1160+F1159+F1158+F1157+F1156+F1155+F1154+F1153+F1152+F1151+F1150+F1149+F1148+F1147+F1146+F1145+F1144+F1143+F1142+F1141+F1140</f>
        <v>71953000</v>
      </c>
      <c r="AG1217" s="29">
        <f>H1164+H1163+H1162+H1161+H1160+H1159+H1158+H1157+H1156+H1155+H1154+H1153+H1152+H1151+H1150+H1149+H1148+H1147+H1146+H1145+H1144+H1143+H1142+H1141+H1140</f>
        <v>0</v>
      </c>
      <c r="AH1217" s="29">
        <f>J1164+J1163+J1162+J1161+J1160+J1159+J1158+J1157+J1156+J1155+J1154+J1153+J1152+J1151+J1150+J1149+J1148+J1147+J1146+J1145+J1144+J1143+J1142+J1141+J1140</f>
        <v>0</v>
      </c>
    </row>
    <row r="1218" spans="1:61" ht="18.399999999999999" customHeight="1">
      <c r="A1218" s="11" t="s">
        <v>779</v>
      </c>
      <c r="B1218" s="2" t="s">
        <v>99</v>
      </c>
      <c r="C1218" s="2">
        <v>1</v>
      </c>
      <c r="D1218" s="2" t="s">
        <v>1055</v>
      </c>
      <c r="E1218" s="29">
        <f>자재조서!E318</f>
        <v>383699</v>
      </c>
      <c r="F1218" s="29">
        <f t="shared" ref="F1218:F1249" si="138">TRUNC(E1218*C1218,0)</f>
        <v>383699</v>
      </c>
      <c r="G1218" s="29">
        <v>0</v>
      </c>
      <c r="H1218" s="29"/>
      <c r="I1218" s="29">
        <v>0</v>
      </c>
      <c r="J1218" s="29"/>
      <c r="K1218" s="29">
        <f t="shared" si="135"/>
        <v>383699</v>
      </c>
      <c r="L1218" s="29">
        <f t="shared" si="134"/>
        <v>383699</v>
      </c>
      <c r="M1218" s="20" t="s">
        <v>6232</v>
      </c>
      <c r="N1218" t="s">
        <v>6232</v>
      </c>
      <c r="P1218" t="s">
        <v>3367</v>
      </c>
      <c r="Q1218" t="s">
        <v>6232</v>
      </c>
      <c r="R1218" t="s">
        <v>3886</v>
      </c>
      <c r="AF1218" s="29">
        <f>F1139+F1138+F1137+F1136+F1135+F1134+F1133+F1132+F1131+F1130+F1129+F1128+F1127+F1126+F1125+F1124+F1123+F1122+F1121+F1120+F1119+F1118+F1117+F1116+F1115</f>
        <v>47810220</v>
      </c>
      <c r="AG1218" s="29">
        <f>H1139+H1138+H1137+H1136+H1135+H1134+H1133+H1132+H1131+H1130+H1129+H1128+H1127+H1126+H1125+H1124+H1123+H1122+H1121+H1120+H1119+H1118+H1117+H1116+H1115</f>
        <v>0</v>
      </c>
      <c r="AH1218" s="29">
        <f>J1139+J1138+J1137+J1136+J1135+J1134+J1133+J1132+J1131+J1130+J1129+J1128+J1127+J1126+J1125+J1124+J1123+J1122+J1121+J1120+J1119+J1118+J1117+J1116+J1115</f>
        <v>0</v>
      </c>
      <c r="BI1218" s="52" t="str">
        <f>HYPERLINK("#자재조서!A318","MV-4400-020020 →")</f>
        <v>MV-4400-020020 →</v>
      </c>
    </row>
    <row r="1219" spans="1:61" ht="18.399999999999999" customHeight="1">
      <c r="A1219" s="11" t="s">
        <v>779</v>
      </c>
      <c r="B1219" s="2" t="s">
        <v>2786</v>
      </c>
      <c r="C1219" s="2">
        <v>1</v>
      </c>
      <c r="D1219" s="2" t="s">
        <v>1055</v>
      </c>
      <c r="E1219" s="29">
        <f>자재조서!E319</f>
        <v>391213</v>
      </c>
      <c r="F1219" s="29">
        <f t="shared" si="138"/>
        <v>391213</v>
      </c>
      <c r="G1219" s="29">
        <v>0</v>
      </c>
      <c r="H1219" s="29"/>
      <c r="I1219" s="29">
        <v>0</v>
      </c>
      <c r="J1219" s="29"/>
      <c r="K1219" s="29">
        <f t="shared" si="135"/>
        <v>391213</v>
      </c>
      <c r="L1219" s="29">
        <f t="shared" si="134"/>
        <v>391213</v>
      </c>
      <c r="M1219" s="20" t="s">
        <v>6232</v>
      </c>
      <c r="N1219" t="s">
        <v>6232</v>
      </c>
      <c r="P1219" t="s">
        <v>4911</v>
      </c>
      <c r="Q1219" t="s">
        <v>6232</v>
      </c>
      <c r="R1219" t="s">
        <v>3530</v>
      </c>
      <c r="AF1219" s="29">
        <f>F1114+F1113+F1112+F1111+F1110+F1109+F1108+F1107+F1106+F1105+F1104+F1103+F1102+F1101+F1100+F1099+F1098+F1097+F1096+F1095+F1094+F1093+F1092+F1091+F1090</f>
        <v>25637350</v>
      </c>
      <c r="AG1219" s="29">
        <f>H1114+H1113+H1112+H1111+H1110+H1109+H1108+H1107+H1106+H1105+H1104+H1103+H1102+H1101+H1100+H1099+H1098+H1097+H1096+H1095+H1094+H1093+H1092+H1091+H1090</f>
        <v>0</v>
      </c>
      <c r="AH1219" s="29">
        <f>J1114+J1113+J1112+J1111+J1110+J1109+J1108+J1107+J1106+J1105+J1104+J1103+J1102+J1101+J1100+J1099+J1098+J1097+J1096+J1095+J1094+J1093+J1092+J1091+J1090</f>
        <v>0</v>
      </c>
      <c r="BI1219" s="52" t="str">
        <f>HYPERLINK("#자재조서!A319","MV-4400-025020 →")</f>
        <v>MV-4400-025020 →</v>
      </c>
    </row>
    <row r="1220" spans="1:61" ht="18.399999999999999" customHeight="1">
      <c r="A1220" s="11" t="s">
        <v>779</v>
      </c>
      <c r="B1220" s="2" t="s">
        <v>1180</v>
      </c>
      <c r="C1220" s="2">
        <v>1</v>
      </c>
      <c r="D1220" s="2" t="s">
        <v>1055</v>
      </c>
      <c r="E1220" s="29">
        <f>자재조서!E320</f>
        <v>400859</v>
      </c>
      <c r="F1220" s="29">
        <f t="shared" si="138"/>
        <v>400859</v>
      </c>
      <c r="G1220" s="29">
        <v>0</v>
      </c>
      <c r="H1220" s="29"/>
      <c r="I1220" s="29">
        <v>0</v>
      </c>
      <c r="J1220" s="29"/>
      <c r="K1220" s="29">
        <f t="shared" si="135"/>
        <v>400859</v>
      </c>
      <c r="L1220" s="29">
        <f t="shared" si="134"/>
        <v>400859</v>
      </c>
      <c r="M1220" s="20" t="s">
        <v>6232</v>
      </c>
      <c r="N1220" t="s">
        <v>6232</v>
      </c>
      <c r="P1220" t="s">
        <v>4374</v>
      </c>
      <c r="Q1220" t="s">
        <v>6232</v>
      </c>
      <c r="R1220" t="s">
        <v>708</v>
      </c>
      <c r="AF1220" s="29">
        <f>F1089+F1088+F1087+F1086+F1085+F1084+F1083+F1082+F1081+F1080+F1079+F1078+F1077+F1076+F1075+F1074+F1073+F1072+F1071+F1070+F1069+F1068+F1067+F1066+F1065</f>
        <v>15907860</v>
      </c>
      <c r="AG1220" s="29">
        <f>H1089+H1088+H1087+H1086+H1085+H1084+H1083+H1082+H1081+H1080+H1079+H1078+H1077+H1076+H1075+H1074+H1073+H1072+H1071+H1070+H1069+H1068+H1067+H1066+H1065</f>
        <v>0</v>
      </c>
      <c r="AH1220" s="29">
        <f>J1089+J1088+J1087+J1086+J1085+J1084+J1083+J1082+J1081+J1080+J1079+J1078+J1077+J1076+J1075+J1074+J1073+J1072+J1071+J1070+J1069+J1068+J1067+J1066+J1065</f>
        <v>0</v>
      </c>
      <c r="BI1220" s="52" t="str">
        <f>HYPERLINK("#자재조서!A320","MV-4400-025025 →")</f>
        <v>MV-4400-025025 →</v>
      </c>
    </row>
    <row r="1221" spans="1:61" ht="18.399999999999999" customHeight="1">
      <c r="A1221" s="11" t="s">
        <v>779</v>
      </c>
      <c r="B1221" s="2" t="s">
        <v>4681</v>
      </c>
      <c r="C1221" s="2">
        <v>1</v>
      </c>
      <c r="D1221" s="2" t="s">
        <v>1055</v>
      </c>
      <c r="E1221" s="29">
        <f>자재조서!E321</f>
        <v>403687</v>
      </c>
      <c r="F1221" s="29">
        <f t="shared" si="138"/>
        <v>403687</v>
      </c>
      <c r="G1221" s="29">
        <v>0</v>
      </c>
      <c r="H1221" s="29"/>
      <c r="I1221" s="29">
        <v>0</v>
      </c>
      <c r="J1221" s="29"/>
      <c r="K1221" s="29">
        <f t="shared" si="135"/>
        <v>403687</v>
      </c>
      <c r="L1221" s="29">
        <f t="shared" si="134"/>
        <v>403687</v>
      </c>
      <c r="M1221" s="20" t="s">
        <v>6232</v>
      </c>
      <c r="N1221" t="s">
        <v>6232</v>
      </c>
      <c r="P1221" t="s">
        <v>5954</v>
      </c>
      <c r="Q1221" t="s">
        <v>6232</v>
      </c>
      <c r="R1221" t="s">
        <v>3773</v>
      </c>
      <c r="AF1221" s="29">
        <f>F1064+F1063+F1062+F1061+F1060+F1059+F1058+F1057+F1056+F1055+F1054+F1053+F1052+F1051+F1050</f>
        <v>6406400</v>
      </c>
      <c r="AG1221" s="29">
        <f>H1064+H1063+H1062+H1061+H1060+H1059+H1058+H1057+H1056+H1055+H1054+H1053+H1052+H1051+H1050</f>
        <v>0</v>
      </c>
      <c r="AH1221" s="29">
        <f>J1064+J1063+J1062+J1061+J1060+J1059+J1058+J1057+J1056+J1055+J1054+J1053+J1052+J1051+J1050</f>
        <v>0</v>
      </c>
      <c r="BI1221" s="52" t="str">
        <f>HYPERLINK("#자재조서!A321","MV-4400-032020 →")</f>
        <v>MV-4400-032020 →</v>
      </c>
    </row>
    <row r="1222" spans="1:61" ht="18.399999999999999" customHeight="1">
      <c r="A1222" s="11" t="s">
        <v>779</v>
      </c>
      <c r="B1222" s="2" t="s">
        <v>3195</v>
      </c>
      <c r="C1222" s="2">
        <v>1</v>
      </c>
      <c r="D1222" s="2" t="s">
        <v>1055</v>
      </c>
      <c r="E1222" s="29">
        <f>자재조서!E322</f>
        <v>413332</v>
      </c>
      <c r="F1222" s="29">
        <f t="shared" si="138"/>
        <v>413332</v>
      </c>
      <c r="G1222" s="29">
        <v>0</v>
      </c>
      <c r="H1222" s="29"/>
      <c r="I1222" s="29">
        <v>0</v>
      </c>
      <c r="J1222" s="29"/>
      <c r="K1222" s="29">
        <f t="shared" si="135"/>
        <v>413332</v>
      </c>
      <c r="L1222" s="29">
        <f t="shared" si="134"/>
        <v>413332</v>
      </c>
      <c r="M1222" s="20" t="s">
        <v>6232</v>
      </c>
      <c r="N1222" t="s">
        <v>6232</v>
      </c>
      <c r="P1222" t="s">
        <v>1301</v>
      </c>
      <c r="Q1222" t="s">
        <v>6232</v>
      </c>
      <c r="R1222" t="s">
        <v>488</v>
      </c>
      <c r="BI1222" s="52" t="str">
        <f>HYPERLINK("#자재조서!A322","MV-4400-032025 →")</f>
        <v>MV-4400-032025 →</v>
      </c>
    </row>
    <row r="1223" spans="1:61" ht="18.399999999999999" customHeight="1">
      <c r="A1223" s="11" t="s">
        <v>779</v>
      </c>
      <c r="B1223" s="2" t="s">
        <v>2788</v>
      </c>
      <c r="C1223" s="2">
        <v>1</v>
      </c>
      <c r="D1223" s="2" t="s">
        <v>1055</v>
      </c>
      <c r="E1223" s="29">
        <f>자재조서!E323</f>
        <v>429078</v>
      </c>
      <c r="F1223" s="29">
        <f t="shared" si="138"/>
        <v>429078</v>
      </c>
      <c r="G1223" s="29">
        <v>0</v>
      </c>
      <c r="H1223" s="29"/>
      <c r="I1223" s="29">
        <v>0</v>
      </c>
      <c r="J1223" s="29"/>
      <c r="K1223" s="29">
        <f t="shared" si="135"/>
        <v>429078</v>
      </c>
      <c r="L1223" s="29">
        <f t="shared" si="134"/>
        <v>429078</v>
      </c>
      <c r="M1223" s="20" t="s">
        <v>6232</v>
      </c>
      <c r="N1223" t="s">
        <v>6232</v>
      </c>
      <c r="P1223" t="s">
        <v>2884</v>
      </c>
      <c r="Q1223" t="s">
        <v>6232</v>
      </c>
      <c r="R1223" t="s">
        <v>5989</v>
      </c>
      <c r="BI1223" s="52" t="str">
        <f>HYPERLINK("#자재조서!A323","MV-4400-032032 →")</f>
        <v>MV-4400-032032 →</v>
      </c>
    </row>
    <row r="1224" spans="1:61" ht="18.399999999999999" customHeight="1">
      <c r="A1224" s="11" t="s">
        <v>779</v>
      </c>
      <c r="B1224" s="2" t="s">
        <v>621</v>
      </c>
      <c r="C1224" s="2">
        <v>1</v>
      </c>
      <c r="D1224" s="2" t="s">
        <v>1055</v>
      </c>
      <c r="E1224" s="29">
        <f>자재조서!E324</f>
        <v>415039</v>
      </c>
      <c r="F1224" s="29">
        <f t="shared" si="138"/>
        <v>415039</v>
      </c>
      <c r="G1224" s="29">
        <v>0</v>
      </c>
      <c r="H1224" s="29"/>
      <c r="I1224" s="29">
        <v>0</v>
      </c>
      <c r="J1224" s="29"/>
      <c r="K1224" s="29">
        <f t="shared" si="135"/>
        <v>415039</v>
      </c>
      <c r="L1224" s="29">
        <f t="shared" si="134"/>
        <v>415039</v>
      </c>
      <c r="M1224" s="20" t="s">
        <v>6232</v>
      </c>
      <c r="N1224" t="s">
        <v>6232</v>
      </c>
      <c r="P1224" t="s">
        <v>4285</v>
      </c>
      <c r="Q1224" t="s">
        <v>6232</v>
      </c>
      <c r="R1224" t="s">
        <v>14</v>
      </c>
      <c r="BI1224" s="52" t="str">
        <f>HYPERLINK("#자재조서!A324","MV-4400-040020 →")</f>
        <v>MV-4400-040020 →</v>
      </c>
    </row>
    <row r="1225" spans="1:61" ht="18.399999999999999" customHeight="1">
      <c r="A1225" s="11" t="s">
        <v>779</v>
      </c>
      <c r="B1225" s="2" t="s">
        <v>2223</v>
      </c>
      <c r="C1225" s="2">
        <v>1</v>
      </c>
      <c r="D1225" s="2" t="s">
        <v>1055</v>
      </c>
      <c r="E1225" s="29">
        <f>자재조서!E325</f>
        <v>424998</v>
      </c>
      <c r="F1225" s="29">
        <f t="shared" si="138"/>
        <v>424998</v>
      </c>
      <c r="G1225" s="29">
        <v>0</v>
      </c>
      <c r="H1225" s="29"/>
      <c r="I1225" s="29">
        <v>0</v>
      </c>
      <c r="J1225" s="29"/>
      <c r="K1225" s="29">
        <f t="shared" si="135"/>
        <v>424998</v>
      </c>
      <c r="L1225" s="29">
        <f t="shared" ref="L1225:L1288" si="139">F1225+H1225+J1225</f>
        <v>424998</v>
      </c>
      <c r="M1225" s="20" t="s">
        <v>6232</v>
      </c>
      <c r="N1225" t="s">
        <v>6232</v>
      </c>
      <c r="P1225" t="s">
        <v>5851</v>
      </c>
      <c r="Q1225" t="s">
        <v>6232</v>
      </c>
      <c r="R1225" t="s">
        <v>3460</v>
      </c>
      <c r="BI1225" s="52" t="str">
        <f>HYPERLINK("#자재조서!A325","MV-4400-040025 →")</f>
        <v>MV-4400-040025 →</v>
      </c>
    </row>
    <row r="1226" spans="1:61" ht="18.399999999999999" customHeight="1">
      <c r="A1226" s="11" t="s">
        <v>779</v>
      </c>
      <c r="B1226" s="2" t="s">
        <v>4190</v>
      </c>
      <c r="C1226" s="2">
        <v>1</v>
      </c>
      <c r="D1226" s="2" t="s">
        <v>1055</v>
      </c>
      <c r="E1226" s="29">
        <f>자재조서!E326</f>
        <v>440643</v>
      </c>
      <c r="F1226" s="29">
        <f t="shared" si="138"/>
        <v>440643</v>
      </c>
      <c r="G1226" s="29">
        <v>0</v>
      </c>
      <c r="H1226" s="29"/>
      <c r="I1226" s="29">
        <v>0</v>
      </c>
      <c r="J1226" s="29"/>
      <c r="K1226" s="29">
        <f t="shared" ref="K1226:K1289" si="140">E1226+G1226+I1226</f>
        <v>440643</v>
      </c>
      <c r="L1226" s="29">
        <f t="shared" si="139"/>
        <v>440643</v>
      </c>
      <c r="M1226" s="20" t="s">
        <v>6232</v>
      </c>
      <c r="N1226" t="s">
        <v>6232</v>
      </c>
      <c r="P1226" t="s">
        <v>1192</v>
      </c>
      <c r="Q1226" t="s">
        <v>6232</v>
      </c>
      <c r="R1226" t="s">
        <v>2649</v>
      </c>
      <c r="BI1226" s="52" t="str">
        <f>HYPERLINK("#자재조서!A326","MV-4400-040032 →")</f>
        <v>MV-4400-040032 →</v>
      </c>
    </row>
    <row r="1227" spans="1:61" ht="18.399999999999999" customHeight="1">
      <c r="A1227" s="11" t="s">
        <v>779</v>
      </c>
      <c r="B1227" s="2" t="s">
        <v>4159</v>
      </c>
      <c r="C1227" s="2">
        <v>1</v>
      </c>
      <c r="D1227" s="2" t="s">
        <v>1055</v>
      </c>
      <c r="E1227" s="29">
        <f>자재조서!E327</f>
        <v>450200</v>
      </c>
      <c r="F1227" s="29">
        <f t="shared" si="138"/>
        <v>450200</v>
      </c>
      <c r="G1227" s="29">
        <v>0</v>
      </c>
      <c r="H1227" s="29"/>
      <c r="I1227" s="29">
        <v>0</v>
      </c>
      <c r="J1227" s="29"/>
      <c r="K1227" s="29">
        <f t="shared" si="140"/>
        <v>450200</v>
      </c>
      <c r="L1227" s="29">
        <f t="shared" si="139"/>
        <v>450200</v>
      </c>
      <c r="M1227" s="20" t="s">
        <v>6232</v>
      </c>
      <c r="N1227" t="s">
        <v>6232</v>
      </c>
      <c r="P1227" t="s">
        <v>2764</v>
      </c>
      <c r="Q1227" t="s">
        <v>6232</v>
      </c>
      <c r="R1227" t="s">
        <v>3230</v>
      </c>
      <c r="BI1227" s="52" t="str">
        <f>HYPERLINK("#자재조서!A327","MV-4400-040040 →")</f>
        <v>MV-4400-040040 →</v>
      </c>
    </row>
    <row r="1228" spans="1:61" ht="18.399999999999999" customHeight="1">
      <c r="A1228" s="11" t="s">
        <v>779</v>
      </c>
      <c r="B1228" s="2" t="s">
        <v>4555</v>
      </c>
      <c r="C1228" s="2">
        <v>1</v>
      </c>
      <c r="D1228" s="2" t="s">
        <v>1055</v>
      </c>
      <c r="E1228" s="29">
        <f>자재조서!E328</f>
        <v>435441</v>
      </c>
      <c r="F1228" s="29">
        <f t="shared" si="138"/>
        <v>435441</v>
      </c>
      <c r="G1228" s="29">
        <v>0</v>
      </c>
      <c r="H1228" s="29"/>
      <c r="I1228" s="29">
        <v>0</v>
      </c>
      <c r="J1228" s="29"/>
      <c r="K1228" s="29">
        <f t="shared" si="140"/>
        <v>435441</v>
      </c>
      <c r="L1228" s="29">
        <f t="shared" si="139"/>
        <v>435441</v>
      </c>
      <c r="M1228" s="20" t="s">
        <v>6232</v>
      </c>
      <c r="N1228" t="s">
        <v>6232</v>
      </c>
      <c r="P1228" t="s">
        <v>4539</v>
      </c>
      <c r="Q1228" t="s">
        <v>6232</v>
      </c>
      <c r="R1228" t="s">
        <v>4292</v>
      </c>
      <c r="BI1228" s="52" t="str">
        <f>HYPERLINK("#자재조서!A328","MV-4400-050020 →")</f>
        <v>MV-4400-050020 →</v>
      </c>
    </row>
    <row r="1229" spans="1:61" ht="18.399999999999999" customHeight="1">
      <c r="A1229" s="11" t="s">
        <v>779</v>
      </c>
      <c r="B1229" s="2" t="s">
        <v>217</v>
      </c>
      <c r="C1229" s="2">
        <v>1</v>
      </c>
      <c r="D1229" s="2" t="s">
        <v>1055</v>
      </c>
      <c r="E1229" s="29">
        <f>자재조서!E329</f>
        <v>460742</v>
      </c>
      <c r="F1229" s="29">
        <f t="shared" si="138"/>
        <v>460742</v>
      </c>
      <c r="G1229" s="29">
        <v>0</v>
      </c>
      <c r="H1229" s="29"/>
      <c r="I1229" s="29">
        <v>0</v>
      </c>
      <c r="J1229" s="29"/>
      <c r="K1229" s="29">
        <f t="shared" si="140"/>
        <v>460742</v>
      </c>
      <c r="L1229" s="29">
        <f t="shared" si="139"/>
        <v>460742</v>
      </c>
      <c r="M1229" s="20" t="s">
        <v>6232</v>
      </c>
      <c r="N1229" t="s">
        <v>6232</v>
      </c>
      <c r="P1229" t="s">
        <v>6156</v>
      </c>
      <c r="Q1229" t="s">
        <v>6232</v>
      </c>
      <c r="R1229" t="s">
        <v>5384</v>
      </c>
      <c r="BI1229" s="52" t="str">
        <f>HYPERLINK("#자재조서!A329","MV-4400-050032 →")</f>
        <v>MV-4400-050032 →</v>
      </c>
    </row>
    <row r="1230" spans="1:61" ht="18.399999999999999" customHeight="1">
      <c r="A1230" s="11" t="s">
        <v>779</v>
      </c>
      <c r="B1230" s="2" t="s">
        <v>331</v>
      </c>
      <c r="C1230" s="2">
        <v>1</v>
      </c>
      <c r="D1230" s="2" t="s">
        <v>1055</v>
      </c>
      <c r="E1230" s="29">
        <f>자재조서!E330</f>
        <v>475266</v>
      </c>
      <c r="F1230" s="29">
        <f t="shared" si="138"/>
        <v>475266</v>
      </c>
      <c r="G1230" s="29">
        <v>0</v>
      </c>
      <c r="H1230" s="29"/>
      <c r="I1230" s="29">
        <v>0</v>
      </c>
      <c r="J1230" s="29"/>
      <c r="K1230" s="29">
        <f t="shared" si="140"/>
        <v>475266</v>
      </c>
      <c r="L1230" s="29">
        <f t="shared" si="139"/>
        <v>475266</v>
      </c>
      <c r="M1230" s="20" t="s">
        <v>6232</v>
      </c>
      <c r="N1230" t="s">
        <v>6232</v>
      </c>
      <c r="P1230" t="s">
        <v>1179</v>
      </c>
      <c r="Q1230" t="s">
        <v>6232</v>
      </c>
      <c r="R1230" t="s">
        <v>1287</v>
      </c>
      <c r="BI1230" s="52" t="str">
        <f>HYPERLINK("#자재조서!A330","MV-4400-050040 →")</f>
        <v>MV-4400-050040 →</v>
      </c>
    </row>
    <row r="1231" spans="1:61" ht="18.399999999999999" customHeight="1">
      <c r="A1231" s="11" t="s">
        <v>779</v>
      </c>
      <c r="B1231" s="2" t="s">
        <v>1373</v>
      </c>
      <c r="C1231" s="2">
        <v>1</v>
      </c>
      <c r="D1231" s="2" t="s">
        <v>1055</v>
      </c>
      <c r="E1231" s="29">
        <f>자재조서!E331</f>
        <v>498445</v>
      </c>
      <c r="F1231" s="29">
        <f t="shared" si="138"/>
        <v>498445</v>
      </c>
      <c r="G1231" s="29">
        <v>0</v>
      </c>
      <c r="H1231" s="29"/>
      <c r="I1231" s="29">
        <v>0</v>
      </c>
      <c r="J1231" s="29"/>
      <c r="K1231" s="29">
        <f t="shared" si="140"/>
        <v>498445</v>
      </c>
      <c r="L1231" s="29">
        <f t="shared" si="139"/>
        <v>498445</v>
      </c>
      <c r="M1231" s="20" t="s">
        <v>6232</v>
      </c>
      <c r="N1231" t="s">
        <v>6232</v>
      </c>
      <c r="P1231" t="s">
        <v>2710</v>
      </c>
      <c r="Q1231" t="s">
        <v>6232</v>
      </c>
      <c r="R1231" t="s">
        <v>2869</v>
      </c>
      <c r="BI1231" s="52" t="str">
        <f>HYPERLINK("#자재조서!A331","MV-4400-050050 →")</f>
        <v>MV-4400-050050 →</v>
      </c>
    </row>
    <row r="1232" spans="1:61" ht="18.399999999999999" customHeight="1">
      <c r="A1232" s="11" t="s">
        <v>779</v>
      </c>
      <c r="B1232" s="2" t="s">
        <v>2370</v>
      </c>
      <c r="C1232" s="2">
        <v>1</v>
      </c>
      <c r="D1232" s="2" t="s">
        <v>1055</v>
      </c>
      <c r="E1232" s="29">
        <f>자재조서!E332</f>
        <v>521716</v>
      </c>
      <c r="F1232" s="29">
        <f t="shared" si="138"/>
        <v>521716</v>
      </c>
      <c r="G1232" s="29">
        <v>0</v>
      </c>
      <c r="H1232" s="29"/>
      <c r="I1232" s="29">
        <v>0</v>
      </c>
      <c r="J1232" s="29"/>
      <c r="K1232" s="29">
        <f t="shared" si="140"/>
        <v>521716</v>
      </c>
      <c r="L1232" s="29">
        <f t="shared" si="139"/>
        <v>521716</v>
      </c>
      <c r="M1232" s="20" t="s">
        <v>6232</v>
      </c>
      <c r="N1232" t="s">
        <v>6232</v>
      </c>
      <c r="P1232" t="s">
        <v>4362</v>
      </c>
      <c r="Q1232" t="s">
        <v>6232</v>
      </c>
      <c r="R1232" t="s">
        <v>1960</v>
      </c>
      <c r="BI1232" s="52" t="str">
        <f>HYPERLINK("#자재조서!A332","MV-4400-065020 →")</f>
        <v>MV-4400-065020 →</v>
      </c>
    </row>
    <row r="1233" spans="1:61" ht="18.399999999999999" customHeight="1">
      <c r="A1233" s="11" t="s">
        <v>779</v>
      </c>
      <c r="B1233" s="2" t="s">
        <v>955</v>
      </c>
      <c r="C1233" s="2">
        <v>1</v>
      </c>
      <c r="D1233" s="2" t="s">
        <v>1055</v>
      </c>
      <c r="E1233" s="29">
        <f>자재조서!E333</f>
        <v>536290</v>
      </c>
      <c r="F1233" s="29">
        <f t="shared" si="138"/>
        <v>536290</v>
      </c>
      <c r="G1233" s="29">
        <v>0</v>
      </c>
      <c r="H1233" s="29"/>
      <c r="I1233" s="29">
        <v>0</v>
      </c>
      <c r="J1233" s="29"/>
      <c r="K1233" s="29">
        <f t="shared" si="140"/>
        <v>536290</v>
      </c>
      <c r="L1233" s="29">
        <f t="shared" si="139"/>
        <v>536290</v>
      </c>
      <c r="M1233" s="20" t="s">
        <v>6232</v>
      </c>
      <c r="N1233" t="s">
        <v>6232</v>
      </c>
      <c r="P1233" t="s">
        <v>5895</v>
      </c>
      <c r="Q1233" t="s">
        <v>6232</v>
      </c>
      <c r="R1233" t="s">
        <v>5378</v>
      </c>
      <c r="BI1233" s="52" t="str">
        <f>HYPERLINK("#자재조서!A333","MV-4400-065025 →")</f>
        <v>MV-4400-065025 →</v>
      </c>
    </row>
    <row r="1234" spans="1:61" ht="18.399999999999999" customHeight="1">
      <c r="A1234" s="11" t="s">
        <v>779</v>
      </c>
      <c r="B1234" s="2" t="s">
        <v>5226</v>
      </c>
      <c r="C1234" s="2">
        <v>1</v>
      </c>
      <c r="D1234" s="2" t="s">
        <v>1055</v>
      </c>
      <c r="E1234" s="29">
        <f>자재조서!E334</f>
        <v>558762</v>
      </c>
      <c r="F1234" s="29">
        <f t="shared" si="138"/>
        <v>558762</v>
      </c>
      <c r="G1234" s="29">
        <v>0</v>
      </c>
      <c r="H1234" s="29"/>
      <c r="I1234" s="29">
        <v>0</v>
      </c>
      <c r="J1234" s="29"/>
      <c r="K1234" s="29">
        <f t="shared" si="140"/>
        <v>558762</v>
      </c>
      <c r="L1234" s="29">
        <f t="shared" si="139"/>
        <v>558762</v>
      </c>
      <c r="M1234" s="20" t="s">
        <v>6232</v>
      </c>
      <c r="N1234" t="s">
        <v>6232</v>
      </c>
      <c r="P1234" t="s">
        <v>1276</v>
      </c>
      <c r="Q1234" t="s">
        <v>6232</v>
      </c>
      <c r="R1234" t="s">
        <v>1508</v>
      </c>
      <c r="BI1234" s="52" t="str">
        <f>HYPERLINK("#자재조서!A334","MV-4400-065032 →")</f>
        <v>MV-4400-065032 →</v>
      </c>
    </row>
    <row r="1235" spans="1:61" ht="18.399999999999999" customHeight="1">
      <c r="A1235" s="11" t="s">
        <v>779</v>
      </c>
      <c r="B1235" s="2" t="s">
        <v>5035</v>
      </c>
      <c r="C1235" s="2">
        <v>1</v>
      </c>
      <c r="D1235" s="2" t="s">
        <v>1055</v>
      </c>
      <c r="E1235" s="29">
        <f>자재조서!E335</f>
        <v>516767</v>
      </c>
      <c r="F1235" s="29">
        <f t="shared" si="138"/>
        <v>516767</v>
      </c>
      <c r="G1235" s="29">
        <v>0</v>
      </c>
      <c r="H1235" s="29"/>
      <c r="I1235" s="29">
        <v>0</v>
      </c>
      <c r="J1235" s="29"/>
      <c r="K1235" s="29">
        <f t="shared" si="140"/>
        <v>516767</v>
      </c>
      <c r="L1235" s="29">
        <f t="shared" si="139"/>
        <v>516767</v>
      </c>
      <c r="M1235" s="20" t="s">
        <v>6232</v>
      </c>
      <c r="N1235" t="s">
        <v>6232</v>
      </c>
      <c r="P1235" t="s">
        <v>2789</v>
      </c>
      <c r="Q1235" t="s">
        <v>6232</v>
      </c>
      <c r="R1235" t="s">
        <v>5150</v>
      </c>
      <c r="BI1235" s="52" t="str">
        <f>HYPERLINK("#자재조서!A335","MV-4400-065040 →")</f>
        <v>MV-4400-065040 →</v>
      </c>
    </row>
    <row r="1236" spans="1:61" ht="18.399999999999999" customHeight="1">
      <c r="A1236" s="11" t="s">
        <v>779</v>
      </c>
      <c r="B1236" s="2" t="s">
        <v>5626</v>
      </c>
      <c r="C1236" s="2">
        <v>1</v>
      </c>
      <c r="D1236" s="2" t="s">
        <v>1055</v>
      </c>
      <c r="E1236" s="29">
        <f>자재조서!E336</f>
        <v>539754</v>
      </c>
      <c r="F1236" s="29">
        <f t="shared" si="138"/>
        <v>539754</v>
      </c>
      <c r="G1236" s="29">
        <v>0</v>
      </c>
      <c r="H1236" s="29"/>
      <c r="I1236" s="29">
        <v>0</v>
      </c>
      <c r="J1236" s="29"/>
      <c r="K1236" s="29">
        <f t="shared" si="140"/>
        <v>539754</v>
      </c>
      <c r="L1236" s="29">
        <f t="shared" si="139"/>
        <v>539754</v>
      </c>
      <c r="M1236" s="20" t="s">
        <v>6232</v>
      </c>
      <c r="N1236" t="s">
        <v>6232</v>
      </c>
      <c r="P1236" t="s">
        <v>4426</v>
      </c>
      <c r="Q1236" t="s">
        <v>6232</v>
      </c>
      <c r="R1236" t="s">
        <v>3627</v>
      </c>
      <c r="BI1236" s="52" t="str">
        <f>HYPERLINK("#자재조서!A336","MV-4400-065050 →")</f>
        <v>MV-4400-065050 →</v>
      </c>
    </row>
    <row r="1237" spans="1:61" ht="18.399999999999999" customHeight="1">
      <c r="A1237" s="11" t="s">
        <v>779</v>
      </c>
      <c r="B1237" s="2" t="s">
        <v>6106</v>
      </c>
      <c r="C1237" s="2">
        <v>1</v>
      </c>
      <c r="D1237" s="2" t="s">
        <v>1055</v>
      </c>
      <c r="E1237" s="29">
        <f>자재조서!E337</f>
        <v>600203</v>
      </c>
      <c r="F1237" s="29">
        <f t="shared" si="138"/>
        <v>600203</v>
      </c>
      <c r="G1237" s="29">
        <v>0</v>
      </c>
      <c r="H1237" s="29"/>
      <c r="I1237" s="29">
        <v>0</v>
      </c>
      <c r="J1237" s="29"/>
      <c r="K1237" s="29">
        <f t="shared" si="140"/>
        <v>600203</v>
      </c>
      <c r="L1237" s="29">
        <f t="shared" si="139"/>
        <v>600203</v>
      </c>
      <c r="M1237" s="20" t="s">
        <v>6232</v>
      </c>
      <c r="N1237" t="s">
        <v>6232</v>
      </c>
      <c r="P1237" t="s">
        <v>5969</v>
      </c>
      <c r="Q1237" t="s">
        <v>6232</v>
      </c>
      <c r="R1237" t="s">
        <v>5256</v>
      </c>
      <c r="BI1237" s="52" t="str">
        <f>HYPERLINK("#자재조서!A337","MV-4400-065065 →")</f>
        <v>MV-4400-065065 →</v>
      </c>
    </row>
    <row r="1238" spans="1:61" ht="18.399999999999999" customHeight="1">
      <c r="A1238" s="11" t="s">
        <v>779</v>
      </c>
      <c r="B1238" s="2" t="s">
        <v>2373</v>
      </c>
      <c r="C1238" s="2">
        <v>1</v>
      </c>
      <c r="D1238" s="2" t="s">
        <v>1055</v>
      </c>
      <c r="E1238" s="29">
        <f>자재조서!E338</f>
        <v>544370</v>
      </c>
      <c r="F1238" s="29">
        <f t="shared" si="138"/>
        <v>544370</v>
      </c>
      <c r="G1238" s="29">
        <v>0</v>
      </c>
      <c r="H1238" s="29"/>
      <c r="I1238" s="29">
        <v>0</v>
      </c>
      <c r="J1238" s="29"/>
      <c r="K1238" s="29">
        <f t="shared" si="140"/>
        <v>544370</v>
      </c>
      <c r="L1238" s="29">
        <f t="shared" si="139"/>
        <v>544370</v>
      </c>
      <c r="M1238" s="20" t="s">
        <v>6232</v>
      </c>
      <c r="N1238" t="s">
        <v>6232</v>
      </c>
      <c r="P1238" t="s">
        <v>1366</v>
      </c>
      <c r="Q1238" t="s">
        <v>6232</v>
      </c>
      <c r="R1238" t="s">
        <v>34</v>
      </c>
      <c r="BI1238" s="52" t="str">
        <f>HYPERLINK("#자재조서!A338","MV-4400-080020 →")</f>
        <v>MV-4400-080020 →</v>
      </c>
    </row>
    <row r="1239" spans="1:61" ht="18.399999999999999" customHeight="1">
      <c r="A1239" s="11" t="s">
        <v>779</v>
      </c>
      <c r="B1239" s="2" t="s">
        <v>953</v>
      </c>
      <c r="C1239" s="2">
        <v>1</v>
      </c>
      <c r="D1239" s="2" t="s">
        <v>1055</v>
      </c>
      <c r="E1239" s="29">
        <f>자재조서!E339</f>
        <v>558944</v>
      </c>
      <c r="F1239" s="29">
        <f t="shared" si="138"/>
        <v>558944</v>
      </c>
      <c r="G1239" s="29">
        <v>0</v>
      </c>
      <c r="H1239" s="29"/>
      <c r="I1239" s="29">
        <v>0</v>
      </c>
      <c r="J1239" s="29"/>
      <c r="K1239" s="29">
        <f t="shared" si="140"/>
        <v>558944</v>
      </c>
      <c r="L1239" s="29">
        <f t="shared" si="139"/>
        <v>558944</v>
      </c>
      <c r="M1239" s="20" t="s">
        <v>6232</v>
      </c>
      <c r="N1239" t="s">
        <v>6232</v>
      </c>
      <c r="P1239" t="s">
        <v>2886</v>
      </c>
      <c r="Q1239" t="s">
        <v>6232</v>
      </c>
      <c r="R1239" t="s">
        <v>3434</v>
      </c>
      <c r="BI1239" s="52" t="str">
        <f>HYPERLINK("#자재조서!A339","MV-4400-080025 →")</f>
        <v>MV-4400-080025 →</v>
      </c>
    </row>
    <row r="1240" spans="1:61" ht="18.399999999999999" customHeight="1">
      <c r="A1240" s="11" t="s">
        <v>779</v>
      </c>
      <c r="B1240" s="2" t="s">
        <v>5228</v>
      </c>
      <c r="C1240" s="2">
        <v>1</v>
      </c>
      <c r="D1240" s="2" t="s">
        <v>1055</v>
      </c>
      <c r="E1240" s="29">
        <f>자재조서!E340</f>
        <v>581396</v>
      </c>
      <c r="F1240" s="29">
        <f t="shared" si="138"/>
        <v>581396</v>
      </c>
      <c r="G1240" s="29">
        <v>0</v>
      </c>
      <c r="H1240" s="29"/>
      <c r="I1240" s="29">
        <v>0</v>
      </c>
      <c r="J1240" s="29"/>
      <c r="K1240" s="29">
        <f t="shared" si="140"/>
        <v>581396</v>
      </c>
      <c r="L1240" s="29">
        <f t="shared" si="139"/>
        <v>581396</v>
      </c>
      <c r="M1240" s="20" t="s">
        <v>6232</v>
      </c>
      <c r="N1240" t="s">
        <v>6232</v>
      </c>
      <c r="P1240" t="s">
        <v>153</v>
      </c>
      <c r="Q1240" t="s">
        <v>6232</v>
      </c>
      <c r="R1240" t="s">
        <v>2620</v>
      </c>
      <c r="BI1240" s="52" t="str">
        <f>HYPERLINK("#자재조서!A340","MV-4400-080032 →")</f>
        <v>MV-4400-080032 →</v>
      </c>
    </row>
    <row r="1241" spans="1:61" ht="18.399999999999999" customHeight="1">
      <c r="A1241" s="11" t="s">
        <v>779</v>
      </c>
      <c r="B1241" s="2" t="s">
        <v>5052</v>
      </c>
      <c r="C1241" s="2">
        <v>1</v>
      </c>
      <c r="D1241" s="2" t="s">
        <v>1055</v>
      </c>
      <c r="E1241" s="29">
        <f>자재조서!E341</f>
        <v>603859</v>
      </c>
      <c r="F1241" s="29">
        <f t="shared" si="138"/>
        <v>603859</v>
      </c>
      <c r="G1241" s="29">
        <v>0</v>
      </c>
      <c r="H1241" s="29"/>
      <c r="I1241" s="29">
        <v>0</v>
      </c>
      <c r="J1241" s="29"/>
      <c r="K1241" s="29">
        <f t="shared" si="140"/>
        <v>603859</v>
      </c>
      <c r="L1241" s="29">
        <f t="shared" si="139"/>
        <v>603859</v>
      </c>
      <c r="M1241" s="20" t="s">
        <v>6232</v>
      </c>
      <c r="N1241" t="s">
        <v>6232</v>
      </c>
      <c r="P1241" t="s">
        <v>1708</v>
      </c>
      <c r="Q1241" t="s">
        <v>6232</v>
      </c>
      <c r="R1241" t="s">
        <v>3267</v>
      </c>
      <c r="BI1241" s="52" t="str">
        <f>HYPERLINK("#자재조서!A341","MV-4400-080040 →")</f>
        <v>MV-4400-080040 →</v>
      </c>
    </row>
    <row r="1242" spans="1:61" ht="18.399999999999999" customHeight="1">
      <c r="A1242" s="11" t="s">
        <v>779</v>
      </c>
      <c r="B1242" s="2" t="s">
        <v>5632</v>
      </c>
      <c r="C1242" s="2">
        <v>1</v>
      </c>
      <c r="D1242" s="2" t="s">
        <v>1055</v>
      </c>
      <c r="E1242" s="29">
        <f>자재조서!E342</f>
        <v>562388</v>
      </c>
      <c r="F1242" s="29">
        <f t="shared" si="138"/>
        <v>562388</v>
      </c>
      <c r="G1242" s="29">
        <v>0</v>
      </c>
      <c r="H1242" s="29"/>
      <c r="I1242" s="29">
        <v>0</v>
      </c>
      <c r="J1242" s="29"/>
      <c r="K1242" s="29">
        <f t="shared" si="140"/>
        <v>562388</v>
      </c>
      <c r="L1242" s="29">
        <f t="shared" si="139"/>
        <v>562388</v>
      </c>
      <c r="M1242" s="20" t="s">
        <v>6232</v>
      </c>
      <c r="N1242" t="s">
        <v>6232</v>
      </c>
      <c r="P1242" t="s">
        <v>3192</v>
      </c>
      <c r="Q1242" t="s">
        <v>6232</v>
      </c>
      <c r="R1242" t="s">
        <v>4823</v>
      </c>
      <c r="BI1242" s="52" t="str">
        <f>HYPERLINK("#자재조서!A342","MV-4400-080050 →")</f>
        <v>MV-4400-080050 →</v>
      </c>
    </row>
    <row r="1243" spans="1:61" ht="18.399999999999999" customHeight="1">
      <c r="A1243" s="11" t="s">
        <v>779</v>
      </c>
      <c r="B1243" s="2" t="s">
        <v>6130</v>
      </c>
      <c r="C1243" s="2">
        <v>1</v>
      </c>
      <c r="D1243" s="2" t="s">
        <v>1055</v>
      </c>
      <c r="E1243" s="29">
        <f>자재조서!E343</f>
        <v>622584</v>
      </c>
      <c r="F1243" s="29">
        <f t="shared" si="138"/>
        <v>622584</v>
      </c>
      <c r="G1243" s="29">
        <v>0</v>
      </c>
      <c r="H1243" s="29"/>
      <c r="I1243" s="29">
        <v>0</v>
      </c>
      <c r="J1243" s="29"/>
      <c r="K1243" s="29">
        <f t="shared" si="140"/>
        <v>622584</v>
      </c>
      <c r="L1243" s="29">
        <f t="shared" si="139"/>
        <v>622584</v>
      </c>
      <c r="M1243" s="20" t="s">
        <v>6232</v>
      </c>
      <c r="N1243" t="s">
        <v>6232</v>
      </c>
      <c r="P1243" t="s">
        <v>4792</v>
      </c>
      <c r="Q1243" t="s">
        <v>6232</v>
      </c>
      <c r="R1243" t="s">
        <v>3343</v>
      </c>
      <c r="BI1243" s="52" t="str">
        <f>HYPERLINK("#자재조서!A343","MV-4400-080065 →")</f>
        <v>MV-4400-080065 →</v>
      </c>
    </row>
    <row r="1244" spans="1:61" ht="18.399999999999999" customHeight="1">
      <c r="A1244" s="11" t="s">
        <v>779</v>
      </c>
      <c r="B1244" s="2" t="s">
        <v>4367</v>
      </c>
      <c r="C1244" s="2">
        <v>1</v>
      </c>
      <c r="D1244" s="2" t="s">
        <v>1055</v>
      </c>
      <c r="E1244" s="29">
        <f>자재조서!E344</f>
        <v>657803</v>
      </c>
      <c r="F1244" s="29">
        <f t="shared" si="138"/>
        <v>657803</v>
      </c>
      <c r="G1244" s="29">
        <v>0</v>
      </c>
      <c r="H1244" s="29"/>
      <c r="I1244" s="29">
        <v>0</v>
      </c>
      <c r="J1244" s="29"/>
      <c r="K1244" s="29">
        <f t="shared" si="140"/>
        <v>657803</v>
      </c>
      <c r="L1244" s="29">
        <f t="shared" si="139"/>
        <v>657803</v>
      </c>
      <c r="M1244" s="20" t="s">
        <v>6232</v>
      </c>
      <c r="N1244" t="s">
        <v>6232</v>
      </c>
      <c r="P1244" t="s">
        <v>51</v>
      </c>
      <c r="Q1244" t="s">
        <v>6232</v>
      </c>
      <c r="R1244" t="s">
        <v>3372</v>
      </c>
      <c r="BI1244" s="52" t="str">
        <f>HYPERLINK("#자재조서!A344","MV-4400-080080 →")</f>
        <v>MV-4400-080080 →</v>
      </c>
    </row>
    <row r="1245" spans="1:61" ht="18.399999999999999" customHeight="1">
      <c r="A1245" s="11" t="s">
        <v>779</v>
      </c>
      <c r="B1245" s="2" t="s">
        <v>1265</v>
      </c>
      <c r="C1245" s="2">
        <v>1</v>
      </c>
      <c r="D1245" s="2" t="s">
        <v>1055</v>
      </c>
      <c r="E1245" s="29">
        <f>자재조서!E345</f>
        <v>649784</v>
      </c>
      <c r="F1245" s="29">
        <f t="shared" si="138"/>
        <v>649784</v>
      </c>
      <c r="G1245" s="29">
        <v>0</v>
      </c>
      <c r="H1245" s="29"/>
      <c r="I1245" s="29">
        <v>0</v>
      </c>
      <c r="J1245" s="29"/>
      <c r="K1245" s="29">
        <f t="shared" si="140"/>
        <v>649784</v>
      </c>
      <c r="L1245" s="29">
        <f t="shared" si="139"/>
        <v>649784</v>
      </c>
      <c r="M1245" s="20" t="s">
        <v>6232</v>
      </c>
      <c r="N1245" t="s">
        <v>6232</v>
      </c>
      <c r="P1245" t="s">
        <v>1605</v>
      </c>
      <c r="Q1245" t="s">
        <v>6232</v>
      </c>
      <c r="R1245" t="s">
        <v>2467</v>
      </c>
      <c r="BI1245" s="52" t="str">
        <f>HYPERLINK("#자재조서!A345","MV-4400-100020 →")</f>
        <v>MV-4400-100020 →</v>
      </c>
    </row>
    <row r="1246" spans="1:61" ht="18.399999999999999" customHeight="1">
      <c r="A1246" s="11" t="s">
        <v>779</v>
      </c>
      <c r="B1246" s="2" t="s">
        <v>2723</v>
      </c>
      <c r="C1246" s="2">
        <v>1</v>
      </c>
      <c r="D1246" s="2" t="s">
        <v>1055</v>
      </c>
      <c r="E1246" s="29">
        <f>자재조서!E346</f>
        <v>664540</v>
      </c>
      <c r="F1246" s="29">
        <f t="shared" si="138"/>
        <v>664540</v>
      </c>
      <c r="G1246" s="29">
        <v>0</v>
      </c>
      <c r="H1246" s="29"/>
      <c r="I1246" s="29">
        <v>0</v>
      </c>
      <c r="J1246" s="29"/>
      <c r="K1246" s="29">
        <f t="shared" si="140"/>
        <v>664540</v>
      </c>
      <c r="L1246" s="29">
        <f t="shared" si="139"/>
        <v>664540</v>
      </c>
      <c r="M1246" s="20" t="s">
        <v>6232</v>
      </c>
      <c r="N1246" t="s">
        <v>6232</v>
      </c>
      <c r="P1246" t="s">
        <v>3082</v>
      </c>
      <c r="Q1246" t="s">
        <v>6232</v>
      </c>
      <c r="R1246" t="s">
        <v>5688</v>
      </c>
      <c r="BI1246" s="52" t="str">
        <f>HYPERLINK("#자재조서!A346","MV-4400-100025 →")</f>
        <v>MV-4400-100025 →</v>
      </c>
    </row>
    <row r="1247" spans="1:61" ht="18.399999999999999" customHeight="1">
      <c r="A1247" s="11" t="s">
        <v>779</v>
      </c>
      <c r="B1247" s="2" t="s">
        <v>3116</v>
      </c>
      <c r="C1247" s="2">
        <v>1</v>
      </c>
      <c r="D1247" s="2" t="s">
        <v>1055</v>
      </c>
      <c r="E1247" s="29">
        <f>자재조서!E347</f>
        <v>687669</v>
      </c>
      <c r="F1247" s="29">
        <f t="shared" si="138"/>
        <v>687669</v>
      </c>
      <c r="G1247" s="29">
        <v>0</v>
      </c>
      <c r="H1247" s="29"/>
      <c r="I1247" s="29">
        <v>0</v>
      </c>
      <c r="J1247" s="29"/>
      <c r="K1247" s="29">
        <f t="shared" si="140"/>
        <v>687669</v>
      </c>
      <c r="L1247" s="29">
        <f t="shared" si="139"/>
        <v>687669</v>
      </c>
      <c r="M1247" s="20" t="s">
        <v>6232</v>
      </c>
      <c r="N1247" t="s">
        <v>6232</v>
      </c>
      <c r="P1247" t="s">
        <v>4682</v>
      </c>
      <c r="Q1247" t="s">
        <v>6232</v>
      </c>
      <c r="R1247" t="s">
        <v>190</v>
      </c>
      <c r="BI1247" s="52" t="str">
        <f>HYPERLINK("#자재조서!A347","MV-4400-100032 →")</f>
        <v>MV-4400-100032 →</v>
      </c>
    </row>
    <row r="1248" spans="1:61" ht="18.399999999999999" customHeight="1">
      <c r="A1248" s="11" t="s">
        <v>779</v>
      </c>
      <c r="B1248" s="2" t="s">
        <v>3246</v>
      </c>
      <c r="C1248" s="2">
        <v>1</v>
      </c>
      <c r="D1248" s="2" t="s">
        <v>1055</v>
      </c>
      <c r="E1248" s="29">
        <f>자재조서!E348</f>
        <v>709040</v>
      </c>
      <c r="F1248" s="29">
        <f t="shared" si="138"/>
        <v>709040</v>
      </c>
      <c r="G1248" s="29">
        <v>0</v>
      </c>
      <c r="H1248" s="29"/>
      <c r="I1248" s="29">
        <v>0</v>
      </c>
      <c r="J1248" s="29"/>
      <c r="K1248" s="29">
        <f t="shared" si="140"/>
        <v>709040</v>
      </c>
      <c r="L1248" s="29">
        <f t="shared" si="139"/>
        <v>709040</v>
      </c>
      <c r="M1248" s="20" t="s">
        <v>6232</v>
      </c>
      <c r="N1248" t="s">
        <v>6232</v>
      </c>
      <c r="P1248" t="s">
        <v>315</v>
      </c>
      <c r="Q1248" t="s">
        <v>6232</v>
      </c>
      <c r="R1248" t="s">
        <v>5519</v>
      </c>
      <c r="BI1248" s="52" t="str">
        <f>HYPERLINK("#자재조서!A348","MV-4400-100040 →")</f>
        <v>MV-4400-100040 →</v>
      </c>
    </row>
    <row r="1249" spans="1:61" ht="18.399999999999999" customHeight="1">
      <c r="A1249" s="11" t="s">
        <v>779</v>
      </c>
      <c r="B1249" s="2" t="s">
        <v>4326</v>
      </c>
      <c r="C1249" s="2">
        <v>1</v>
      </c>
      <c r="D1249" s="2" t="s">
        <v>1055</v>
      </c>
      <c r="E1249" s="29">
        <f>자재조서!E349</f>
        <v>741896</v>
      </c>
      <c r="F1249" s="29">
        <f t="shared" si="138"/>
        <v>741896</v>
      </c>
      <c r="G1249" s="29">
        <v>0</v>
      </c>
      <c r="H1249" s="29"/>
      <c r="I1249" s="29">
        <v>0</v>
      </c>
      <c r="J1249" s="29"/>
      <c r="K1249" s="29">
        <f t="shared" si="140"/>
        <v>741896</v>
      </c>
      <c r="L1249" s="29">
        <f t="shared" si="139"/>
        <v>741896</v>
      </c>
      <c r="M1249" s="20" t="s">
        <v>6232</v>
      </c>
      <c r="N1249" t="s">
        <v>6232</v>
      </c>
      <c r="P1249" t="s">
        <v>1896</v>
      </c>
      <c r="Q1249" t="s">
        <v>6232</v>
      </c>
      <c r="R1249" t="s">
        <v>3938</v>
      </c>
      <c r="BI1249" s="52" t="str">
        <f>HYPERLINK("#자재조서!A349","MV-4400-100050 →")</f>
        <v>MV-4400-100050 →</v>
      </c>
    </row>
    <row r="1250" spans="1:61" ht="18.399999999999999" customHeight="1">
      <c r="A1250" s="11" t="s">
        <v>779</v>
      </c>
      <c r="B1250" s="2" t="s">
        <v>4217</v>
      </c>
      <c r="C1250" s="2">
        <v>1</v>
      </c>
      <c r="D1250" s="2" t="s">
        <v>1055</v>
      </c>
      <c r="E1250" s="29">
        <f>자재조서!E350</f>
        <v>727655</v>
      </c>
      <c r="F1250" s="29">
        <f t="shared" ref="F1250:F1281" si="141">TRUNC(E1250*C1250,0)</f>
        <v>727655</v>
      </c>
      <c r="G1250" s="29">
        <v>0</v>
      </c>
      <c r="H1250" s="29"/>
      <c r="I1250" s="29">
        <v>0</v>
      </c>
      <c r="J1250" s="29"/>
      <c r="K1250" s="29">
        <f t="shared" si="140"/>
        <v>727655</v>
      </c>
      <c r="L1250" s="29">
        <f t="shared" si="139"/>
        <v>727655</v>
      </c>
      <c r="M1250" s="20" t="s">
        <v>6232</v>
      </c>
      <c r="N1250" t="s">
        <v>6232</v>
      </c>
      <c r="P1250" t="s">
        <v>2294</v>
      </c>
      <c r="Q1250" t="s">
        <v>6232</v>
      </c>
      <c r="R1250" t="s">
        <v>5796</v>
      </c>
      <c r="BI1250" s="52" t="str">
        <f>HYPERLINK("#자재조서!A350","MV-4400-100065 →")</f>
        <v>MV-4400-100065 →</v>
      </c>
    </row>
    <row r="1251" spans="1:61" ht="18.399999999999999" customHeight="1">
      <c r="A1251" s="11" t="s">
        <v>779</v>
      </c>
      <c r="B1251" s="2" t="s">
        <v>5482</v>
      </c>
      <c r="C1251" s="2">
        <v>1</v>
      </c>
      <c r="D1251" s="2" t="s">
        <v>1055</v>
      </c>
      <c r="E1251" s="29">
        <f>자재조서!E351</f>
        <v>769590</v>
      </c>
      <c r="F1251" s="29">
        <f t="shared" si="141"/>
        <v>769590</v>
      </c>
      <c r="G1251" s="29">
        <v>0</v>
      </c>
      <c r="H1251" s="29"/>
      <c r="I1251" s="29">
        <v>0</v>
      </c>
      <c r="J1251" s="29"/>
      <c r="K1251" s="29">
        <f t="shared" si="140"/>
        <v>769590</v>
      </c>
      <c r="L1251" s="29">
        <f t="shared" si="139"/>
        <v>769590</v>
      </c>
      <c r="M1251" s="20" t="s">
        <v>6232</v>
      </c>
      <c r="N1251" t="s">
        <v>6232</v>
      </c>
      <c r="P1251" t="s">
        <v>732</v>
      </c>
      <c r="Q1251" t="s">
        <v>6232</v>
      </c>
      <c r="R1251" t="s">
        <v>5808</v>
      </c>
      <c r="BI1251" s="52" t="str">
        <f>HYPERLINK("#자재조서!A351","MV-4400-100080 →")</f>
        <v>MV-4400-100080 →</v>
      </c>
    </row>
    <row r="1252" spans="1:61" ht="18.399999999999999" customHeight="1">
      <c r="A1252" s="11" t="s">
        <v>779</v>
      </c>
      <c r="B1252" s="2" t="s">
        <v>893</v>
      </c>
      <c r="C1252" s="2">
        <v>1</v>
      </c>
      <c r="D1252" s="2" t="s">
        <v>1055</v>
      </c>
      <c r="E1252" s="29">
        <f>자재조서!E352</f>
        <v>820787</v>
      </c>
      <c r="F1252" s="29">
        <f t="shared" si="141"/>
        <v>820787</v>
      </c>
      <c r="G1252" s="29">
        <v>0</v>
      </c>
      <c r="H1252" s="29"/>
      <c r="I1252" s="29">
        <v>0</v>
      </c>
      <c r="J1252" s="29"/>
      <c r="K1252" s="29">
        <f t="shared" si="140"/>
        <v>820787</v>
      </c>
      <c r="L1252" s="29">
        <f t="shared" si="139"/>
        <v>820787</v>
      </c>
      <c r="M1252" s="20" t="s">
        <v>6232</v>
      </c>
      <c r="N1252" t="s">
        <v>6232</v>
      </c>
      <c r="P1252" t="s">
        <v>5362</v>
      </c>
      <c r="Q1252" t="s">
        <v>6232</v>
      </c>
      <c r="R1252" t="s">
        <v>5060</v>
      </c>
      <c r="BI1252" s="52" t="str">
        <f>HYPERLINK("#자재조서!A352","MV-4400-100100 →")</f>
        <v>MV-4400-100100 →</v>
      </c>
    </row>
    <row r="1253" spans="1:61" ht="18.399999999999999" customHeight="1">
      <c r="A1253" s="11" t="s">
        <v>779</v>
      </c>
      <c r="B1253" s="2" t="s">
        <v>1905</v>
      </c>
      <c r="C1253" s="2">
        <v>1</v>
      </c>
      <c r="D1253" s="2" t="s">
        <v>1055</v>
      </c>
      <c r="E1253" s="29">
        <f>자재조서!E353</f>
        <v>695910</v>
      </c>
      <c r="F1253" s="29">
        <f t="shared" si="141"/>
        <v>695910</v>
      </c>
      <c r="G1253" s="29">
        <v>0</v>
      </c>
      <c r="H1253" s="29"/>
      <c r="I1253" s="29">
        <v>0</v>
      </c>
      <c r="J1253" s="29"/>
      <c r="K1253" s="29">
        <f t="shared" si="140"/>
        <v>695910</v>
      </c>
      <c r="L1253" s="29">
        <f t="shared" si="139"/>
        <v>695910</v>
      </c>
      <c r="M1253" s="20" t="s">
        <v>6232</v>
      </c>
      <c r="N1253" t="s">
        <v>6232</v>
      </c>
      <c r="P1253" t="s">
        <v>3786</v>
      </c>
      <c r="Q1253" t="s">
        <v>6232</v>
      </c>
      <c r="R1253" t="s">
        <v>1318</v>
      </c>
      <c r="BI1253" s="52" t="str">
        <f>HYPERLINK("#자재조서!A353","MV-4400-125020 →")</f>
        <v>MV-4400-125020 →</v>
      </c>
    </row>
    <row r="1254" spans="1:61" ht="18.399999999999999" customHeight="1">
      <c r="A1254" s="11" t="s">
        <v>779</v>
      </c>
      <c r="B1254" s="2" t="s">
        <v>224</v>
      </c>
      <c r="C1254" s="2">
        <v>1</v>
      </c>
      <c r="D1254" s="2" t="s">
        <v>1055</v>
      </c>
      <c r="E1254" s="29">
        <f>자재조서!E354</f>
        <v>710586</v>
      </c>
      <c r="F1254" s="29">
        <f t="shared" si="141"/>
        <v>710586</v>
      </c>
      <c r="G1254" s="29">
        <v>0</v>
      </c>
      <c r="H1254" s="29"/>
      <c r="I1254" s="29">
        <v>0</v>
      </c>
      <c r="J1254" s="29"/>
      <c r="K1254" s="29">
        <f t="shared" si="140"/>
        <v>710586</v>
      </c>
      <c r="L1254" s="29">
        <f t="shared" si="139"/>
        <v>710586</v>
      </c>
      <c r="M1254" s="20" t="s">
        <v>6232</v>
      </c>
      <c r="N1254" t="s">
        <v>6232</v>
      </c>
      <c r="P1254" t="s">
        <v>2199</v>
      </c>
      <c r="Q1254" t="s">
        <v>6232</v>
      </c>
      <c r="R1254" t="s">
        <v>4463</v>
      </c>
      <c r="BI1254" s="52" t="str">
        <f>HYPERLINK("#자재조서!A354","MV-4400-125025 →")</f>
        <v>MV-4400-125025 →</v>
      </c>
    </row>
    <row r="1255" spans="1:61" ht="18.399999999999999" customHeight="1">
      <c r="A1255" s="11" t="s">
        <v>779</v>
      </c>
      <c r="B1255" s="2" t="s">
        <v>6094</v>
      </c>
      <c r="C1255" s="2">
        <v>1</v>
      </c>
      <c r="D1255" s="2" t="s">
        <v>1055</v>
      </c>
      <c r="E1255" s="29">
        <f>자재조서!E355</f>
        <v>733129</v>
      </c>
      <c r="F1255" s="29">
        <f t="shared" si="141"/>
        <v>733129</v>
      </c>
      <c r="G1255" s="29">
        <v>0</v>
      </c>
      <c r="H1255" s="29"/>
      <c r="I1255" s="29">
        <v>0</v>
      </c>
      <c r="J1255" s="29"/>
      <c r="K1255" s="29">
        <f t="shared" si="140"/>
        <v>733129</v>
      </c>
      <c r="L1255" s="29">
        <f t="shared" si="139"/>
        <v>733129</v>
      </c>
      <c r="M1255" s="20" t="s">
        <v>6232</v>
      </c>
      <c r="N1255" t="s">
        <v>6232</v>
      </c>
      <c r="P1255" t="s">
        <v>647</v>
      </c>
      <c r="Q1255" t="s">
        <v>6232</v>
      </c>
      <c r="R1255" t="s">
        <v>2164</v>
      </c>
      <c r="BI1255" s="52" t="str">
        <f>HYPERLINK("#자재조서!A355","MV-4400-125032 →")</f>
        <v>MV-4400-125032 →</v>
      </c>
    </row>
    <row r="1256" spans="1:61" ht="18.399999999999999" customHeight="1">
      <c r="A1256" s="11" t="s">
        <v>779</v>
      </c>
      <c r="B1256" s="2" t="s">
        <v>6167</v>
      </c>
      <c r="C1256" s="2">
        <v>1</v>
      </c>
      <c r="D1256" s="2" t="s">
        <v>1055</v>
      </c>
      <c r="E1256" s="29">
        <f>자재조서!E356</f>
        <v>755692</v>
      </c>
      <c r="F1256" s="29">
        <f t="shared" si="141"/>
        <v>755692</v>
      </c>
      <c r="G1256" s="29">
        <v>0</v>
      </c>
      <c r="H1256" s="29"/>
      <c r="I1256" s="29">
        <v>0</v>
      </c>
      <c r="J1256" s="29"/>
      <c r="K1256" s="29">
        <f t="shared" si="140"/>
        <v>755692</v>
      </c>
      <c r="L1256" s="29">
        <f t="shared" si="139"/>
        <v>755692</v>
      </c>
      <c r="M1256" s="20" t="s">
        <v>6232</v>
      </c>
      <c r="N1256" t="s">
        <v>6232</v>
      </c>
      <c r="P1256" t="s">
        <v>5287</v>
      </c>
      <c r="Q1256" t="s">
        <v>6232</v>
      </c>
      <c r="R1256" t="s">
        <v>4328</v>
      </c>
      <c r="BI1256" s="52" t="str">
        <f>HYPERLINK("#자재조서!A356","MV-4400-125040 →")</f>
        <v>MV-4400-125040 →</v>
      </c>
    </row>
    <row r="1257" spans="1:61" ht="18.399999999999999" customHeight="1">
      <c r="A1257" s="11" t="s">
        <v>779</v>
      </c>
      <c r="B1257" s="2" t="s">
        <v>4922</v>
      </c>
      <c r="C1257" s="2">
        <v>1</v>
      </c>
      <c r="D1257" s="2" t="s">
        <v>1055</v>
      </c>
      <c r="E1257" s="29">
        <f>자재조서!E357</f>
        <v>787881</v>
      </c>
      <c r="F1257" s="29">
        <f t="shared" si="141"/>
        <v>787881</v>
      </c>
      <c r="G1257" s="29">
        <v>0</v>
      </c>
      <c r="H1257" s="29"/>
      <c r="I1257" s="29">
        <v>0</v>
      </c>
      <c r="J1257" s="29"/>
      <c r="K1257" s="29">
        <f t="shared" si="140"/>
        <v>787881</v>
      </c>
      <c r="L1257" s="29">
        <f t="shared" si="139"/>
        <v>787881</v>
      </c>
      <c r="M1257" s="20" t="s">
        <v>6232</v>
      </c>
      <c r="N1257" t="s">
        <v>6232</v>
      </c>
      <c r="P1257" t="s">
        <v>3719</v>
      </c>
      <c r="Q1257" t="s">
        <v>6232</v>
      </c>
      <c r="R1257" t="s">
        <v>5839</v>
      </c>
      <c r="BI1257" s="52" t="str">
        <f>HYPERLINK("#자재조서!A357","MV-4400-125050 →")</f>
        <v>MV-4400-125050 →</v>
      </c>
    </row>
    <row r="1258" spans="1:61" ht="18.399999999999999" customHeight="1">
      <c r="A1258" s="11" t="s">
        <v>779</v>
      </c>
      <c r="B1258" s="2" t="s">
        <v>5201</v>
      </c>
      <c r="C1258" s="2">
        <v>1</v>
      </c>
      <c r="D1258" s="2" t="s">
        <v>1055</v>
      </c>
      <c r="E1258" s="29">
        <f>자재조서!E358</f>
        <v>773620</v>
      </c>
      <c r="F1258" s="29">
        <f t="shared" si="141"/>
        <v>773620</v>
      </c>
      <c r="G1258" s="29">
        <v>0</v>
      </c>
      <c r="H1258" s="29"/>
      <c r="I1258" s="29">
        <v>0</v>
      </c>
      <c r="J1258" s="29"/>
      <c r="K1258" s="29">
        <f t="shared" si="140"/>
        <v>773620</v>
      </c>
      <c r="L1258" s="29">
        <f t="shared" si="139"/>
        <v>773620</v>
      </c>
      <c r="M1258" s="20" t="s">
        <v>6232</v>
      </c>
      <c r="N1258" t="s">
        <v>6232</v>
      </c>
      <c r="P1258" t="s">
        <v>2112</v>
      </c>
      <c r="Q1258" t="s">
        <v>6232</v>
      </c>
      <c r="R1258" t="s">
        <v>4550</v>
      </c>
      <c r="BI1258" s="52" t="str">
        <f>HYPERLINK("#자재조서!A358","MV-4400-125065 →")</f>
        <v>MV-4400-125065 →</v>
      </c>
    </row>
    <row r="1259" spans="1:61" ht="18.399999999999999" customHeight="1">
      <c r="A1259" s="11" t="s">
        <v>779</v>
      </c>
      <c r="B1259" s="2" t="s">
        <v>3730</v>
      </c>
      <c r="C1259" s="2">
        <v>1</v>
      </c>
      <c r="D1259" s="2" t="s">
        <v>1055</v>
      </c>
      <c r="E1259" s="29">
        <f>자재조서!E359</f>
        <v>816726</v>
      </c>
      <c r="F1259" s="29">
        <f t="shared" si="141"/>
        <v>816726</v>
      </c>
      <c r="G1259" s="29">
        <v>0</v>
      </c>
      <c r="H1259" s="29"/>
      <c r="I1259" s="29">
        <v>0</v>
      </c>
      <c r="J1259" s="29"/>
      <c r="K1259" s="29">
        <f t="shared" si="140"/>
        <v>816726</v>
      </c>
      <c r="L1259" s="29">
        <f t="shared" si="139"/>
        <v>816726</v>
      </c>
      <c r="M1259" s="20" t="s">
        <v>6232</v>
      </c>
      <c r="N1259" t="s">
        <v>6232</v>
      </c>
      <c r="P1259" t="s">
        <v>562</v>
      </c>
      <c r="Q1259" t="s">
        <v>6232</v>
      </c>
      <c r="R1259" t="s">
        <v>4577</v>
      </c>
      <c r="BI1259" s="52" t="str">
        <f>HYPERLINK("#자재조서!A359","MV-4400-125080 →")</f>
        <v>MV-4400-125080 →</v>
      </c>
    </row>
    <row r="1260" spans="1:61" ht="18.399999999999999" customHeight="1">
      <c r="A1260" s="11" t="s">
        <v>779</v>
      </c>
      <c r="B1260" s="2" t="s">
        <v>4630</v>
      </c>
      <c r="C1260" s="2">
        <v>1</v>
      </c>
      <c r="D1260" s="2" t="s">
        <v>1055</v>
      </c>
      <c r="E1260" s="29">
        <f>자재조서!E360</f>
        <v>867348</v>
      </c>
      <c r="F1260" s="29">
        <f t="shared" si="141"/>
        <v>867348</v>
      </c>
      <c r="G1260" s="29">
        <v>0</v>
      </c>
      <c r="H1260" s="29"/>
      <c r="I1260" s="29">
        <v>0</v>
      </c>
      <c r="J1260" s="29"/>
      <c r="K1260" s="29">
        <f t="shared" si="140"/>
        <v>867348</v>
      </c>
      <c r="L1260" s="29">
        <f t="shared" si="139"/>
        <v>867348</v>
      </c>
      <c r="M1260" s="20" t="s">
        <v>6232</v>
      </c>
      <c r="N1260" t="s">
        <v>6232</v>
      </c>
      <c r="P1260" t="s">
        <v>2511</v>
      </c>
      <c r="Q1260" t="s">
        <v>6232</v>
      </c>
      <c r="R1260" t="s">
        <v>3130</v>
      </c>
      <c r="BI1260" s="52" t="str">
        <f>HYPERLINK("#자재조서!A360","MV-4400-125100 →")</f>
        <v>MV-4400-125100 →</v>
      </c>
    </row>
    <row r="1261" spans="1:61" ht="18.399999999999999" customHeight="1">
      <c r="A1261" s="11" t="s">
        <v>779</v>
      </c>
      <c r="B1261" s="2" t="s">
        <v>3606</v>
      </c>
      <c r="C1261" s="2">
        <v>1</v>
      </c>
      <c r="D1261" s="2" t="s">
        <v>1055</v>
      </c>
      <c r="E1261" s="29">
        <f>자재조서!E361</f>
        <v>911262</v>
      </c>
      <c r="F1261" s="29">
        <f t="shared" si="141"/>
        <v>911262</v>
      </c>
      <c r="G1261" s="29">
        <v>0</v>
      </c>
      <c r="H1261" s="29"/>
      <c r="I1261" s="29">
        <v>0</v>
      </c>
      <c r="J1261" s="29"/>
      <c r="K1261" s="29">
        <f t="shared" si="140"/>
        <v>911262</v>
      </c>
      <c r="L1261" s="29">
        <f t="shared" si="139"/>
        <v>911262</v>
      </c>
      <c r="M1261" s="20" t="s">
        <v>6232</v>
      </c>
      <c r="N1261" t="s">
        <v>6232</v>
      </c>
      <c r="P1261" t="s">
        <v>988</v>
      </c>
      <c r="Q1261" t="s">
        <v>6232</v>
      </c>
      <c r="R1261" t="s">
        <v>3469</v>
      </c>
      <c r="BI1261" s="52" t="str">
        <f>HYPERLINK("#자재조서!A361","MV-4400-125125 →")</f>
        <v>MV-4400-125125 →</v>
      </c>
    </row>
    <row r="1262" spans="1:61" ht="18.399999999999999" customHeight="1">
      <c r="A1262" s="11" t="s">
        <v>779</v>
      </c>
      <c r="B1262" s="2" t="s">
        <v>3260</v>
      </c>
      <c r="C1262" s="2">
        <v>1</v>
      </c>
      <c r="D1262" s="2" t="s">
        <v>1055</v>
      </c>
      <c r="E1262" s="29">
        <f>자재조서!E362</f>
        <v>762833</v>
      </c>
      <c r="F1262" s="29">
        <f t="shared" si="141"/>
        <v>762833</v>
      </c>
      <c r="G1262" s="29">
        <v>0</v>
      </c>
      <c r="H1262" s="29"/>
      <c r="I1262" s="29">
        <v>0</v>
      </c>
      <c r="J1262" s="29"/>
      <c r="K1262" s="29">
        <f t="shared" si="140"/>
        <v>762833</v>
      </c>
      <c r="L1262" s="29">
        <f t="shared" si="139"/>
        <v>762833</v>
      </c>
      <c r="M1262" s="20" t="s">
        <v>6232</v>
      </c>
      <c r="N1262" t="s">
        <v>6232</v>
      </c>
      <c r="P1262" t="s">
        <v>5691</v>
      </c>
      <c r="Q1262" t="s">
        <v>6232</v>
      </c>
      <c r="R1262" t="s">
        <v>523</v>
      </c>
      <c r="BI1262" s="52" t="str">
        <f>HYPERLINK("#자재조서!A362","MV-4400-150020 →")</f>
        <v>MV-4400-150020 →</v>
      </c>
    </row>
    <row r="1263" spans="1:61" ht="18.399999999999999" customHeight="1">
      <c r="A1263" s="11" t="s">
        <v>779</v>
      </c>
      <c r="B1263" s="2" t="s">
        <v>4720</v>
      </c>
      <c r="C1263" s="2">
        <v>1</v>
      </c>
      <c r="D1263" s="2" t="s">
        <v>1055</v>
      </c>
      <c r="E1263" s="29">
        <f>자재조서!E363</f>
        <v>777740</v>
      </c>
      <c r="F1263" s="29">
        <f t="shared" si="141"/>
        <v>777740</v>
      </c>
      <c r="G1263" s="29">
        <v>0</v>
      </c>
      <c r="H1263" s="29"/>
      <c r="I1263" s="29">
        <v>0</v>
      </c>
      <c r="J1263" s="29"/>
      <c r="K1263" s="29">
        <f t="shared" si="140"/>
        <v>777740</v>
      </c>
      <c r="L1263" s="29">
        <f t="shared" si="139"/>
        <v>777740</v>
      </c>
      <c r="M1263" s="20" t="s">
        <v>6232</v>
      </c>
      <c r="N1263" t="s">
        <v>6232</v>
      </c>
      <c r="P1263" t="s">
        <v>4162</v>
      </c>
      <c r="Q1263" t="s">
        <v>6232</v>
      </c>
      <c r="R1263" t="s">
        <v>3750</v>
      </c>
      <c r="BI1263" s="52" t="str">
        <f>HYPERLINK("#자재조서!A363","MV-4400-150025 →")</f>
        <v>MV-4400-150025 →</v>
      </c>
    </row>
    <row r="1264" spans="1:61" ht="18.399999999999999" customHeight="1">
      <c r="A1264" s="11" t="s">
        <v>779</v>
      </c>
      <c r="B1264" s="2" t="s">
        <v>1199</v>
      </c>
      <c r="C1264" s="2">
        <v>1</v>
      </c>
      <c r="D1264" s="2" t="s">
        <v>1055</v>
      </c>
      <c r="E1264" s="29">
        <f>자재조서!E364</f>
        <v>800849</v>
      </c>
      <c r="F1264" s="29">
        <f t="shared" si="141"/>
        <v>800849</v>
      </c>
      <c r="G1264" s="29">
        <v>0</v>
      </c>
      <c r="H1264" s="29"/>
      <c r="I1264" s="29">
        <v>0</v>
      </c>
      <c r="J1264" s="29"/>
      <c r="K1264" s="29">
        <f t="shared" si="140"/>
        <v>800849</v>
      </c>
      <c r="L1264" s="29">
        <f t="shared" si="139"/>
        <v>800849</v>
      </c>
      <c r="M1264" s="20" t="s">
        <v>6232</v>
      </c>
      <c r="N1264" t="s">
        <v>6232</v>
      </c>
      <c r="P1264" t="s">
        <v>2629</v>
      </c>
      <c r="Q1264" t="s">
        <v>6232</v>
      </c>
      <c r="R1264" t="s">
        <v>2889</v>
      </c>
      <c r="BI1264" s="52" t="str">
        <f>HYPERLINK("#자재조서!A364","MV-4400-150032 →")</f>
        <v>MV-4400-150032 →</v>
      </c>
    </row>
    <row r="1265" spans="1:61" ht="18.399999999999999" customHeight="1">
      <c r="A1265" s="11" t="s">
        <v>779</v>
      </c>
      <c r="B1265" s="2" t="s">
        <v>1272</v>
      </c>
      <c r="C1265" s="2">
        <v>1</v>
      </c>
      <c r="D1265" s="2" t="s">
        <v>1055</v>
      </c>
      <c r="E1265" s="29">
        <f>자재조서!E365</f>
        <v>822988</v>
      </c>
      <c r="F1265" s="29">
        <f t="shared" si="141"/>
        <v>822988</v>
      </c>
      <c r="G1265" s="29">
        <v>0</v>
      </c>
      <c r="H1265" s="29"/>
      <c r="I1265" s="29">
        <v>0</v>
      </c>
      <c r="J1265" s="29"/>
      <c r="K1265" s="29">
        <f t="shared" si="140"/>
        <v>822988</v>
      </c>
      <c r="L1265" s="29">
        <f t="shared" si="139"/>
        <v>822988</v>
      </c>
      <c r="M1265" s="20" t="s">
        <v>6232</v>
      </c>
      <c r="N1265" t="s">
        <v>6232</v>
      </c>
      <c r="P1265" t="s">
        <v>1082</v>
      </c>
      <c r="Q1265" t="s">
        <v>6232</v>
      </c>
      <c r="R1265" t="s">
        <v>3579</v>
      </c>
      <c r="BI1265" s="52" t="str">
        <f>HYPERLINK("#자재조서!A365","MV-4400-150040 →")</f>
        <v>MV-4400-150040 →</v>
      </c>
    </row>
    <row r="1266" spans="1:61" ht="18.399999999999999" customHeight="1">
      <c r="A1266" s="11" t="s">
        <v>779</v>
      </c>
      <c r="B1266" s="2" t="s">
        <v>54</v>
      </c>
      <c r="C1266" s="2">
        <v>1</v>
      </c>
      <c r="D1266" s="2" t="s">
        <v>1055</v>
      </c>
      <c r="E1266" s="29">
        <f>자재조서!E366</f>
        <v>857258</v>
      </c>
      <c r="F1266" s="29">
        <f t="shared" si="141"/>
        <v>857258</v>
      </c>
      <c r="G1266" s="29">
        <v>0</v>
      </c>
      <c r="H1266" s="29"/>
      <c r="I1266" s="29">
        <v>0</v>
      </c>
      <c r="J1266" s="29"/>
      <c r="K1266" s="29">
        <f t="shared" si="140"/>
        <v>857258</v>
      </c>
      <c r="L1266" s="29">
        <f t="shared" si="139"/>
        <v>857258</v>
      </c>
      <c r="M1266" s="20" t="s">
        <v>6232</v>
      </c>
      <c r="N1266" t="s">
        <v>6232</v>
      </c>
      <c r="P1266" t="s">
        <v>5794</v>
      </c>
      <c r="Q1266" t="s">
        <v>6232</v>
      </c>
      <c r="R1266" t="s">
        <v>5109</v>
      </c>
      <c r="BI1266" s="52" t="str">
        <f>HYPERLINK("#자재조서!A366","MV-4400-150050 →")</f>
        <v>MV-4400-150050 →</v>
      </c>
    </row>
    <row r="1267" spans="1:61" ht="18.399999999999999" customHeight="1">
      <c r="A1267" s="11" t="s">
        <v>779</v>
      </c>
      <c r="B1267" s="2" t="s">
        <v>724</v>
      </c>
      <c r="C1267" s="2">
        <v>1</v>
      </c>
      <c r="D1267" s="2" t="s">
        <v>1055</v>
      </c>
      <c r="E1267" s="29">
        <f>자재조서!E367</f>
        <v>944643</v>
      </c>
      <c r="F1267" s="29">
        <f t="shared" si="141"/>
        <v>944643</v>
      </c>
      <c r="G1267" s="29">
        <v>0</v>
      </c>
      <c r="H1267" s="29"/>
      <c r="I1267" s="29">
        <v>0</v>
      </c>
      <c r="J1267" s="29"/>
      <c r="K1267" s="29">
        <f t="shared" si="140"/>
        <v>944643</v>
      </c>
      <c r="L1267" s="29">
        <f t="shared" si="139"/>
        <v>944643</v>
      </c>
      <c r="M1267" s="20" t="s">
        <v>6232</v>
      </c>
      <c r="N1267" t="s">
        <v>6232</v>
      </c>
      <c r="P1267" t="s">
        <v>4263</v>
      </c>
      <c r="Q1267" t="s">
        <v>6232</v>
      </c>
      <c r="R1267" t="s">
        <v>3828</v>
      </c>
      <c r="BI1267" s="52" t="str">
        <f>HYPERLINK("#자재조서!A367","MV-4400-150065 →")</f>
        <v>MV-4400-150065 →</v>
      </c>
    </row>
    <row r="1268" spans="1:61" ht="18.399999999999999" customHeight="1">
      <c r="A1268" s="11" t="s">
        <v>779</v>
      </c>
      <c r="B1268" s="2" t="s">
        <v>1949</v>
      </c>
      <c r="C1268" s="2">
        <v>1</v>
      </c>
      <c r="D1268" s="2" t="s">
        <v>1055</v>
      </c>
      <c r="E1268" s="29">
        <f>자재조서!E368</f>
        <v>892840</v>
      </c>
      <c r="F1268" s="29">
        <f t="shared" si="141"/>
        <v>892840</v>
      </c>
      <c r="G1268" s="29">
        <v>0</v>
      </c>
      <c r="H1268" s="29"/>
      <c r="I1268" s="29">
        <v>0</v>
      </c>
      <c r="J1268" s="29"/>
      <c r="K1268" s="29">
        <f t="shared" si="140"/>
        <v>892840</v>
      </c>
      <c r="L1268" s="29">
        <f t="shared" si="139"/>
        <v>892840</v>
      </c>
      <c r="M1268" s="20" t="s">
        <v>6232</v>
      </c>
      <c r="N1268" t="s">
        <v>6232</v>
      </c>
      <c r="P1268" t="s">
        <v>2325</v>
      </c>
      <c r="Q1268" t="s">
        <v>6232</v>
      </c>
      <c r="R1268" t="s">
        <v>3862</v>
      </c>
      <c r="BI1268" s="52" t="str">
        <f>HYPERLINK("#자재조서!A368","MV-4400-150080 →")</f>
        <v>MV-4400-150080 →</v>
      </c>
    </row>
    <row r="1269" spans="1:61" ht="18.399999999999999" customHeight="1">
      <c r="A1269" s="11" t="s">
        <v>779</v>
      </c>
      <c r="B1269" s="2" t="s">
        <v>3133</v>
      </c>
      <c r="C1269" s="2">
        <v>1</v>
      </c>
      <c r="D1269" s="2" t="s">
        <v>1055</v>
      </c>
      <c r="E1269" s="29">
        <f>자재조서!E369</f>
        <v>946057</v>
      </c>
      <c r="F1269" s="29">
        <f t="shared" si="141"/>
        <v>946057</v>
      </c>
      <c r="G1269" s="29">
        <v>0</v>
      </c>
      <c r="H1269" s="29"/>
      <c r="I1269" s="29">
        <v>0</v>
      </c>
      <c r="J1269" s="29"/>
      <c r="K1269" s="29">
        <f t="shared" si="140"/>
        <v>946057</v>
      </c>
      <c r="L1269" s="29">
        <f t="shared" si="139"/>
        <v>946057</v>
      </c>
      <c r="M1269" s="20" t="s">
        <v>6232</v>
      </c>
      <c r="N1269" t="s">
        <v>6232</v>
      </c>
      <c r="P1269" t="s">
        <v>800</v>
      </c>
      <c r="Q1269" t="s">
        <v>6232</v>
      </c>
      <c r="R1269" t="s">
        <v>3885</v>
      </c>
      <c r="BI1269" s="52" t="str">
        <f>HYPERLINK("#자재조서!A369","MV-4400-150100 →")</f>
        <v>MV-4400-150100 →</v>
      </c>
    </row>
    <row r="1270" spans="1:61" ht="18.399999999999999" customHeight="1">
      <c r="A1270" s="11" t="s">
        <v>779</v>
      </c>
      <c r="B1270" s="2" t="s">
        <v>4107</v>
      </c>
      <c r="C1270" s="2">
        <v>1</v>
      </c>
      <c r="D1270" s="2" t="s">
        <v>1055</v>
      </c>
      <c r="E1270" s="29">
        <f>자재조서!E370</f>
        <v>990244</v>
      </c>
      <c r="F1270" s="29">
        <f t="shared" si="141"/>
        <v>990244</v>
      </c>
      <c r="G1270" s="29">
        <v>0</v>
      </c>
      <c r="H1270" s="29"/>
      <c r="I1270" s="29">
        <v>0</v>
      </c>
      <c r="J1270" s="29"/>
      <c r="K1270" s="29">
        <f t="shared" si="140"/>
        <v>990244</v>
      </c>
      <c r="L1270" s="29">
        <f t="shared" si="139"/>
        <v>990244</v>
      </c>
      <c r="M1270" s="20" t="s">
        <v>6232</v>
      </c>
      <c r="N1270" t="s">
        <v>6232</v>
      </c>
      <c r="P1270" t="s">
        <v>2044</v>
      </c>
      <c r="Q1270" t="s">
        <v>6232</v>
      </c>
      <c r="R1270" t="s">
        <v>4224</v>
      </c>
      <c r="BI1270" s="52" t="str">
        <f>HYPERLINK("#자재조서!A370","MV-4400-150125 →")</f>
        <v>MV-4400-150125 →</v>
      </c>
    </row>
    <row r="1271" spans="1:61" ht="18.399999999999999" customHeight="1">
      <c r="A1271" s="11" t="s">
        <v>779</v>
      </c>
      <c r="B1271" s="2" t="s">
        <v>2547</v>
      </c>
      <c r="C1271" s="2">
        <v>1</v>
      </c>
      <c r="D1271" s="2" t="s">
        <v>1055</v>
      </c>
      <c r="E1271" s="29">
        <f>자재조서!E371</f>
        <v>1061429</v>
      </c>
      <c r="F1271" s="29">
        <f t="shared" si="141"/>
        <v>1061429</v>
      </c>
      <c r="G1271" s="29">
        <v>0</v>
      </c>
      <c r="H1271" s="29"/>
      <c r="I1271" s="29">
        <v>0</v>
      </c>
      <c r="J1271" s="29"/>
      <c r="K1271" s="29">
        <f t="shared" si="140"/>
        <v>1061429</v>
      </c>
      <c r="L1271" s="29">
        <f t="shared" si="139"/>
        <v>1061429</v>
      </c>
      <c r="M1271" s="20" t="s">
        <v>6232</v>
      </c>
      <c r="N1271" t="s">
        <v>6232</v>
      </c>
      <c r="P1271" t="s">
        <v>490</v>
      </c>
      <c r="Q1271" t="s">
        <v>6232</v>
      </c>
      <c r="R1271" t="s">
        <v>5574</v>
      </c>
      <c r="BI1271" s="52" t="str">
        <f>HYPERLINK("#자재조서!A371","MV-4400-150150 →")</f>
        <v>MV-4400-150150 →</v>
      </c>
    </row>
    <row r="1272" spans="1:61" ht="18.399999999999999" customHeight="1">
      <c r="A1272" s="11" t="s">
        <v>779</v>
      </c>
      <c r="B1272" s="2" t="s">
        <v>5734</v>
      </c>
      <c r="C1272" s="2">
        <v>1</v>
      </c>
      <c r="D1272" s="2" t="s">
        <v>1055</v>
      </c>
      <c r="E1272" s="29">
        <f>자재조서!E372</f>
        <v>882053</v>
      </c>
      <c r="F1272" s="29">
        <f t="shared" si="141"/>
        <v>882053</v>
      </c>
      <c r="G1272" s="29">
        <v>0</v>
      </c>
      <c r="H1272" s="29"/>
      <c r="I1272" s="29">
        <v>0</v>
      </c>
      <c r="J1272" s="29"/>
      <c r="K1272" s="29">
        <f t="shared" si="140"/>
        <v>882053</v>
      </c>
      <c r="L1272" s="29">
        <f t="shared" si="139"/>
        <v>882053</v>
      </c>
      <c r="M1272" s="20" t="s">
        <v>6232</v>
      </c>
      <c r="N1272" t="s">
        <v>6232</v>
      </c>
      <c r="P1272" t="s">
        <v>5220</v>
      </c>
      <c r="Q1272" t="s">
        <v>6232</v>
      </c>
      <c r="R1272" t="s">
        <v>1624</v>
      </c>
      <c r="BI1272" s="52" t="str">
        <f>HYPERLINK("#자재조서!A372","MV-4400-200025 →")</f>
        <v>MV-4400-200025 →</v>
      </c>
    </row>
    <row r="1273" spans="1:61" ht="18.399999999999999" customHeight="1">
      <c r="A1273" s="11" t="s">
        <v>779</v>
      </c>
      <c r="B1273" s="2" t="s">
        <v>688</v>
      </c>
      <c r="C1273" s="2">
        <v>1</v>
      </c>
      <c r="D1273" s="2" t="s">
        <v>1055</v>
      </c>
      <c r="E1273" s="29">
        <f>자재조서!E373</f>
        <v>905142</v>
      </c>
      <c r="F1273" s="29">
        <f t="shared" si="141"/>
        <v>905142</v>
      </c>
      <c r="G1273" s="29">
        <v>0</v>
      </c>
      <c r="H1273" s="29"/>
      <c r="I1273" s="29">
        <v>0</v>
      </c>
      <c r="J1273" s="29"/>
      <c r="K1273" s="29">
        <f t="shared" si="140"/>
        <v>905142</v>
      </c>
      <c r="L1273" s="29">
        <f t="shared" si="139"/>
        <v>905142</v>
      </c>
      <c r="M1273" s="20" t="s">
        <v>6232</v>
      </c>
      <c r="N1273" t="s">
        <v>6232</v>
      </c>
      <c r="P1273" t="s">
        <v>3640</v>
      </c>
      <c r="Q1273" t="s">
        <v>6232</v>
      </c>
      <c r="R1273" t="s">
        <v>4060</v>
      </c>
      <c r="BI1273" s="52" t="str">
        <f>HYPERLINK("#자재조서!A373","MV-4400-200032 →")</f>
        <v>MV-4400-200032 →</v>
      </c>
    </row>
    <row r="1274" spans="1:61" ht="18.399999999999999" customHeight="1">
      <c r="A1274" s="11" t="s">
        <v>779</v>
      </c>
      <c r="B1274" s="2" t="s">
        <v>661</v>
      </c>
      <c r="C1274" s="2">
        <v>1</v>
      </c>
      <c r="D1274" s="2" t="s">
        <v>1055</v>
      </c>
      <c r="E1274" s="29">
        <f>자재조서!E374</f>
        <v>927887</v>
      </c>
      <c r="F1274" s="29">
        <f t="shared" si="141"/>
        <v>927887</v>
      </c>
      <c r="G1274" s="29">
        <v>0</v>
      </c>
      <c r="H1274" s="29"/>
      <c r="I1274" s="29">
        <v>0</v>
      </c>
      <c r="J1274" s="29"/>
      <c r="K1274" s="29">
        <f t="shared" si="140"/>
        <v>927887</v>
      </c>
      <c r="L1274" s="29">
        <f t="shared" si="139"/>
        <v>927887</v>
      </c>
      <c r="M1274" s="20" t="s">
        <v>6232</v>
      </c>
      <c r="N1274" t="s">
        <v>6232</v>
      </c>
      <c r="P1274" t="s">
        <v>1941</v>
      </c>
      <c r="Q1274" t="s">
        <v>6232</v>
      </c>
      <c r="R1274" t="s">
        <v>1837</v>
      </c>
      <c r="BI1274" s="52" t="str">
        <f>HYPERLINK("#자재조서!A374","MV-4400-200040 →")</f>
        <v>MV-4400-200040 →</v>
      </c>
    </row>
    <row r="1275" spans="1:61" ht="18.399999999999999" customHeight="1">
      <c r="A1275" s="11" t="s">
        <v>779</v>
      </c>
      <c r="B1275" s="2" t="s">
        <v>1064</v>
      </c>
      <c r="C1275" s="2">
        <v>1</v>
      </c>
      <c r="D1275" s="2" t="s">
        <v>1055</v>
      </c>
      <c r="E1275" s="29">
        <f>자재조서!E375</f>
        <v>961550</v>
      </c>
      <c r="F1275" s="29">
        <f t="shared" si="141"/>
        <v>961550</v>
      </c>
      <c r="G1275" s="29">
        <v>0</v>
      </c>
      <c r="H1275" s="29"/>
      <c r="I1275" s="29">
        <v>0</v>
      </c>
      <c r="J1275" s="29"/>
      <c r="K1275" s="29">
        <f t="shared" si="140"/>
        <v>961550</v>
      </c>
      <c r="L1275" s="29">
        <f t="shared" si="139"/>
        <v>961550</v>
      </c>
      <c r="M1275" s="20" t="s">
        <v>6232</v>
      </c>
      <c r="N1275" t="s">
        <v>6232</v>
      </c>
      <c r="P1275" t="s">
        <v>393</v>
      </c>
      <c r="Q1275" t="s">
        <v>6232</v>
      </c>
      <c r="R1275" t="s">
        <v>263</v>
      </c>
      <c r="BI1275" s="52" t="str">
        <f>HYPERLINK("#자재조서!A375","MV-4400-200050 →")</f>
        <v>MV-4400-200050 →</v>
      </c>
    </row>
    <row r="1276" spans="1:61" ht="18.399999999999999" customHeight="1">
      <c r="A1276" s="11" t="s">
        <v>779</v>
      </c>
      <c r="B1276" s="2" t="s">
        <v>1154</v>
      </c>
      <c r="C1276" s="2">
        <v>1</v>
      </c>
      <c r="D1276" s="2" t="s">
        <v>1055</v>
      </c>
      <c r="E1276" s="29">
        <f>자재조서!E376</f>
        <v>1050390</v>
      </c>
      <c r="F1276" s="29">
        <f t="shared" si="141"/>
        <v>1050390</v>
      </c>
      <c r="G1276" s="29">
        <v>0</v>
      </c>
      <c r="H1276" s="29"/>
      <c r="I1276" s="29">
        <v>0</v>
      </c>
      <c r="J1276" s="29"/>
      <c r="K1276" s="29">
        <f t="shared" si="140"/>
        <v>1050390</v>
      </c>
      <c r="L1276" s="29">
        <f t="shared" si="139"/>
        <v>1050390</v>
      </c>
      <c r="M1276" s="20" t="s">
        <v>6232</v>
      </c>
      <c r="N1276" t="s">
        <v>6232</v>
      </c>
      <c r="P1276" t="s">
        <v>5132</v>
      </c>
      <c r="Q1276" t="s">
        <v>6232</v>
      </c>
      <c r="R1276" t="s">
        <v>1536</v>
      </c>
      <c r="BI1276" s="52" t="str">
        <f>HYPERLINK("#자재조서!A376","MV-4400-200065 →")</f>
        <v>MV-4400-200065 →</v>
      </c>
    </row>
    <row r="1277" spans="1:61" ht="18.399999999999999" customHeight="1">
      <c r="A1277" s="11" t="s">
        <v>779</v>
      </c>
      <c r="B1277" s="2" t="s">
        <v>3064</v>
      </c>
      <c r="C1277" s="2">
        <v>1</v>
      </c>
      <c r="D1277" s="2" t="s">
        <v>1055</v>
      </c>
      <c r="E1277" s="29">
        <f>자재조서!E377</f>
        <v>1120676</v>
      </c>
      <c r="F1277" s="29">
        <f t="shared" si="141"/>
        <v>1120676</v>
      </c>
      <c r="G1277" s="29">
        <v>0</v>
      </c>
      <c r="H1277" s="29"/>
      <c r="I1277" s="29">
        <v>0</v>
      </c>
      <c r="J1277" s="29"/>
      <c r="K1277" s="29">
        <f t="shared" si="140"/>
        <v>1120676</v>
      </c>
      <c r="L1277" s="29">
        <f t="shared" si="139"/>
        <v>1120676</v>
      </c>
      <c r="M1277" s="20" t="s">
        <v>6232</v>
      </c>
      <c r="N1277" t="s">
        <v>6232</v>
      </c>
      <c r="P1277" t="s">
        <v>3535</v>
      </c>
      <c r="Q1277" t="s">
        <v>6232</v>
      </c>
      <c r="R1277" t="s">
        <v>1551</v>
      </c>
      <c r="BI1277" s="52" t="str">
        <f>HYPERLINK("#자재조서!A377","MV-4400-200080 →")</f>
        <v>MV-4400-200080 →</v>
      </c>
    </row>
    <row r="1278" spans="1:61" ht="18.399999999999999" customHeight="1">
      <c r="A1278" s="11" t="s">
        <v>779</v>
      </c>
      <c r="B1278" s="2" t="s">
        <v>4811</v>
      </c>
      <c r="C1278" s="2">
        <v>1</v>
      </c>
      <c r="D1278" s="2" t="s">
        <v>1055</v>
      </c>
      <c r="E1278" s="29">
        <f>자재조서!E378</f>
        <v>1191305</v>
      </c>
      <c r="F1278" s="29">
        <f t="shared" si="141"/>
        <v>1191305</v>
      </c>
      <c r="G1278" s="29">
        <v>0</v>
      </c>
      <c r="H1278" s="29"/>
      <c r="I1278" s="29">
        <v>0</v>
      </c>
      <c r="J1278" s="29"/>
      <c r="K1278" s="29">
        <f t="shared" si="140"/>
        <v>1191305</v>
      </c>
      <c r="L1278" s="29">
        <f t="shared" si="139"/>
        <v>1191305</v>
      </c>
      <c r="M1278" s="20" t="s">
        <v>6232</v>
      </c>
      <c r="N1278" t="s">
        <v>6232</v>
      </c>
      <c r="P1278" t="s">
        <v>2258</v>
      </c>
      <c r="Q1278" t="s">
        <v>6232</v>
      </c>
      <c r="R1278" t="s">
        <v>3044</v>
      </c>
      <c r="BI1278" s="52" t="str">
        <f>HYPERLINK("#자재조서!A378","MV-4400-200100 →")</f>
        <v>MV-4400-200100 →</v>
      </c>
    </row>
    <row r="1279" spans="1:61" ht="18.399999999999999" customHeight="1">
      <c r="A1279" s="11" t="s">
        <v>779</v>
      </c>
      <c r="B1279" s="2" t="s">
        <v>5768</v>
      </c>
      <c r="C1279" s="2">
        <v>1</v>
      </c>
      <c r="D1279" s="2" t="s">
        <v>1055</v>
      </c>
      <c r="E1279" s="29">
        <f>자재조서!E379</f>
        <v>1098910</v>
      </c>
      <c r="F1279" s="29">
        <f t="shared" si="141"/>
        <v>1098910</v>
      </c>
      <c r="G1279" s="29">
        <v>0</v>
      </c>
      <c r="H1279" s="29"/>
      <c r="I1279" s="29">
        <v>0</v>
      </c>
      <c r="J1279" s="29"/>
      <c r="K1279" s="29">
        <f t="shared" si="140"/>
        <v>1098910</v>
      </c>
      <c r="L1279" s="29">
        <f t="shared" si="139"/>
        <v>1098910</v>
      </c>
      <c r="M1279" s="20" t="s">
        <v>6232</v>
      </c>
      <c r="N1279" t="s">
        <v>6232</v>
      </c>
      <c r="P1279" t="s">
        <v>696</v>
      </c>
      <c r="Q1279" t="s">
        <v>6232</v>
      </c>
      <c r="R1279" t="s">
        <v>2762</v>
      </c>
      <c r="BI1279" s="52" t="str">
        <f>HYPERLINK("#자재조서!A379","MV-4400-200125 →")</f>
        <v>MV-4400-200125 →</v>
      </c>
    </row>
    <row r="1280" spans="1:61" ht="18.399999999999999" customHeight="1">
      <c r="A1280" s="11" t="s">
        <v>779</v>
      </c>
      <c r="B1280" s="2" t="s">
        <v>1075</v>
      </c>
      <c r="C1280" s="2">
        <v>1</v>
      </c>
      <c r="D1280" s="2" t="s">
        <v>1055</v>
      </c>
      <c r="E1280" s="29">
        <f>자재조서!E380</f>
        <v>1169014</v>
      </c>
      <c r="F1280" s="29">
        <f t="shared" si="141"/>
        <v>1169014</v>
      </c>
      <c r="G1280" s="29">
        <v>0</v>
      </c>
      <c r="H1280" s="29"/>
      <c r="I1280" s="29">
        <v>0</v>
      </c>
      <c r="J1280" s="29"/>
      <c r="K1280" s="29">
        <f t="shared" si="140"/>
        <v>1169014</v>
      </c>
      <c r="L1280" s="29">
        <f t="shared" si="139"/>
        <v>1169014</v>
      </c>
      <c r="M1280" s="20" t="s">
        <v>6232</v>
      </c>
      <c r="N1280" t="s">
        <v>6232</v>
      </c>
      <c r="P1280" t="s">
        <v>2367</v>
      </c>
      <c r="Q1280" t="s">
        <v>6232</v>
      </c>
      <c r="R1280" t="s">
        <v>1424</v>
      </c>
      <c r="BI1280" s="52" t="str">
        <f>HYPERLINK("#자재조서!A380","MV-4400-200150 →")</f>
        <v>MV-4400-200150 →</v>
      </c>
    </row>
    <row r="1281" spans="1:61" ht="18.399999999999999" customHeight="1">
      <c r="A1281" s="11" t="s">
        <v>779</v>
      </c>
      <c r="B1281" s="2" t="s">
        <v>983</v>
      </c>
      <c r="C1281" s="2">
        <v>1</v>
      </c>
      <c r="D1281" s="2" t="s">
        <v>1055</v>
      </c>
      <c r="E1281" s="29">
        <f>자재조서!E381</f>
        <v>1289215</v>
      </c>
      <c r="F1281" s="29">
        <f t="shared" si="141"/>
        <v>1289215</v>
      </c>
      <c r="G1281" s="29">
        <v>0</v>
      </c>
      <c r="H1281" s="29"/>
      <c r="I1281" s="29">
        <v>0</v>
      </c>
      <c r="J1281" s="29"/>
      <c r="K1281" s="29">
        <f t="shared" si="140"/>
        <v>1289215</v>
      </c>
      <c r="L1281" s="29">
        <f t="shared" si="139"/>
        <v>1289215</v>
      </c>
      <c r="M1281" s="20" t="s">
        <v>6232</v>
      </c>
      <c r="N1281" t="s">
        <v>6232</v>
      </c>
      <c r="P1281" t="s">
        <v>844</v>
      </c>
      <c r="Q1281" t="s">
        <v>6232</v>
      </c>
      <c r="R1281" t="s">
        <v>948</v>
      </c>
      <c r="BI1281" s="52" t="str">
        <f>HYPERLINK("#자재조서!A381","MV-4400-200200 →")</f>
        <v>MV-4400-200200 →</v>
      </c>
    </row>
    <row r="1282" spans="1:61" ht="18.399999999999999" customHeight="1">
      <c r="A1282" s="11" t="s">
        <v>779</v>
      </c>
      <c r="B1282" s="2" t="s">
        <v>4255</v>
      </c>
      <c r="C1282" s="2">
        <v>1</v>
      </c>
      <c r="D1282" s="2" t="s">
        <v>1055</v>
      </c>
      <c r="E1282" s="29">
        <f>자재조서!E382</f>
        <v>1227019</v>
      </c>
      <c r="F1282" s="29">
        <f t="shared" ref="F1282:F1313" si="142">TRUNC(E1282*C1282,0)</f>
        <v>1227019</v>
      </c>
      <c r="G1282" s="29">
        <v>0</v>
      </c>
      <c r="H1282" s="29"/>
      <c r="I1282" s="29">
        <v>0</v>
      </c>
      <c r="J1282" s="29"/>
      <c r="K1282" s="29">
        <f t="shared" si="140"/>
        <v>1227019</v>
      </c>
      <c r="L1282" s="29">
        <f t="shared" si="139"/>
        <v>1227019</v>
      </c>
      <c r="M1282" s="20" t="s">
        <v>6232</v>
      </c>
      <c r="N1282" t="s">
        <v>6232</v>
      </c>
      <c r="P1282" t="s">
        <v>5438</v>
      </c>
      <c r="Q1282" t="s">
        <v>6232</v>
      </c>
      <c r="R1282" t="s">
        <v>5192</v>
      </c>
      <c r="BI1282" s="52" t="str">
        <f>HYPERLINK("#자재조서!A382","MV-4400-250032 →")</f>
        <v>MV-4400-250032 →</v>
      </c>
    </row>
    <row r="1283" spans="1:61" ht="18.399999999999999" customHeight="1">
      <c r="A1283" s="11" t="s">
        <v>779</v>
      </c>
      <c r="B1283" s="2" t="s">
        <v>4088</v>
      </c>
      <c r="C1283" s="2">
        <v>1</v>
      </c>
      <c r="D1283" s="2" t="s">
        <v>1055</v>
      </c>
      <c r="E1283" s="29">
        <f>자재조서!E383</f>
        <v>1234560</v>
      </c>
      <c r="F1283" s="29">
        <f t="shared" si="142"/>
        <v>1234560</v>
      </c>
      <c r="G1283" s="29">
        <v>0</v>
      </c>
      <c r="H1283" s="29"/>
      <c r="I1283" s="29">
        <v>0</v>
      </c>
      <c r="J1283" s="29"/>
      <c r="K1283" s="29">
        <f t="shared" si="140"/>
        <v>1234560</v>
      </c>
      <c r="L1283" s="29">
        <f t="shared" si="139"/>
        <v>1234560</v>
      </c>
      <c r="M1283" s="20" t="s">
        <v>6232</v>
      </c>
      <c r="N1283" t="s">
        <v>6232</v>
      </c>
      <c r="P1283" t="s">
        <v>3916</v>
      </c>
      <c r="Q1283" t="s">
        <v>6232</v>
      </c>
      <c r="R1283" t="s">
        <v>1470</v>
      </c>
      <c r="BI1283" s="52" t="str">
        <f>HYPERLINK("#자재조서!A383","MV-4400-250040 →")</f>
        <v>MV-4400-250040 →</v>
      </c>
    </row>
    <row r="1284" spans="1:61" ht="18.399999999999999" customHeight="1">
      <c r="A1284" s="11" t="s">
        <v>779</v>
      </c>
      <c r="B1284" s="2" t="s">
        <v>3853</v>
      </c>
      <c r="C1284" s="2">
        <v>1</v>
      </c>
      <c r="D1284" s="2" t="s">
        <v>1055</v>
      </c>
      <c r="E1284" s="29">
        <f>자재조서!E384</f>
        <v>1255880</v>
      </c>
      <c r="F1284" s="29">
        <f t="shared" si="142"/>
        <v>1255880</v>
      </c>
      <c r="G1284" s="29">
        <v>0</v>
      </c>
      <c r="H1284" s="29"/>
      <c r="I1284" s="29">
        <v>0</v>
      </c>
      <c r="J1284" s="29"/>
      <c r="K1284" s="29">
        <f t="shared" si="140"/>
        <v>1255880</v>
      </c>
      <c r="L1284" s="29">
        <f t="shared" si="139"/>
        <v>1255880</v>
      </c>
      <c r="M1284" s="20" t="s">
        <v>6232</v>
      </c>
      <c r="N1284" t="s">
        <v>6232</v>
      </c>
      <c r="P1284" t="s">
        <v>2486</v>
      </c>
      <c r="Q1284" t="s">
        <v>6232</v>
      </c>
      <c r="R1284" t="s">
        <v>2988</v>
      </c>
      <c r="BI1284" s="52" t="str">
        <f>HYPERLINK("#자재조서!A384","MV-4400-250050 →")</f>
        <v>MV-4400-250050 →</v>
      </c>
    </row>
    <row r="1285" spans="1:61" ht="18.399999999999999" customHeight="1">
      <c r="A1285" s="11" t="s">
        <v>779</v>
      </c>
      <c r="B1285" s="2" t="s">
        <v>3153</v>
      </c>
      <c r="C1285" s="2">
        <v>1</v>
      </c>
      <c r="D1285" s="2" t="s">
        <v>1055</v>
      </c>
      <c r="E1285" s="29">
        <f>자재조서!E385</f>
        <v>1373186</v>
      </c>
      <c r="F1285" s="29">
        <f t="shared" si="142"/>
        <v>1373186</v>
      </c>
      <c r="G1285" s="29">
        <v>0</v>
      </c>
      <c r="H1285" s="29"/>
      <c r="I1285" s="29">
        <v>0</v>
      </c>
      <c r="J1285" s="29"/>
      <c r="K1285" s="29">
        <f t="shared" si="140"/>
        <v>1373186</v>
      </c>
      <c r="L1285" s="29">
        <f t="shared" si="139"/>
        <v>1373186</v>
      </c>
      <c r="M1285" s="20" t="s">
        <v>6232</v>
      </c>
      <c r="N1285" t="s">
        <v>6232</v>
      </c>
      <c r="P1285" t="s">
        <v>959</v>
      </c>
      <c r="Q1285" t="s">
        <v>6232</v>
      </c>
      <c r="R1285" t="s">
        <v>1150</v>
      </c>
      <c r="BI1285" s="52" t="str">
        <f>HYPERLINK("#자재조서!A385","MV-4400-250065 →")</f>
        <v>MV-4400-250065 →</v>
      </c>
    </row>
    <row r="1286" spans="1:61" ht="18.399999999999999" customHeight="1">
      <c r="A1286" s="11" t="s">
        <v>779</v>
      </c>
      <c r="B1286" s="2" t="s">
        <v>4950</v>
      </c>
      <c r="C1286" s="2">
        <v>1</v>
      </c>
      <c r="D1286" s="2" t="s">
        <v>1055</v>
      </c>
      <c r="E1286" s="29">
        <f>자재조서!E386</f>
        <v>1454794</v>
      </c>
      <c r="F1286" s="29">
        <f t="shared" si="142"/>
        <v>1454794</v>
      </c>
      <c r="G1286" s="29">
        <v>0</v>
      </c>
      <c r="H1286" s="29"/>
      <c r="I1286" s="29">
        <v>0</v>
      </c>
      <c r="J1286" s="29"/>
      <c r="K1286" s="29">
        <f t="shared" si="140"/>
        <v>1454794</v>
      </c>
      <c r="L1286" s="29">
        <f t="shared" si="139"/>
        <v>1454794</v>
      </c>
      <c r="M1286" s="20" t="s">
        <v>6232</v>
      </c>
      <c r="N1286" t="s">
        <v>6232</v>
      </c>
      <c r="P1286" t="s">
        <v>5549</v>
      </c>
      <c r="Q1286" t="s">
        <v>6232</v>
      </c>
      <c r="R1286" t="s">
        <v>1182</v>
      </c>
      <c r="BI1286" s="52" t="str">
        <f>HYPERLINK("#자재조서!A386","MV-4400-250080 →")</f>
        <v>MV-4400-250080 →</v>
      </c>
    </row>
    <row r="1287" spans="1:61" ht="18.399999999999999" customHeight="1">
      <c r="A1287" s="11" t="s">
        <v>779</v>
      </c>
      <c r="B1287" s="2" t="s">
        <v>2350</v>
      </c>
      <c r="C1287" s="2">
        <v>1</v>
      </c>
      <c r="D1287" s="2" t="s">
        <v>1055</v>
      </c>
      <c r="E1287" s="29">
        <f>자재조서!E387</f>
        <v>1531120</v>
      </c>
      <c r="F1287" s="29">
        <f t="shared" si="142"/>
        <v>1531120</v>
      </c>
      <c r="G1287" s="29">
        <v>0</v>
      </c>
      <c r="H1287" s="29"/>
      <c r="I1287" s="29">
        <v>0</v>
      </c>
      <c r="J1287" s="29"/>
      <c r="K1287" s="29">
        <f t="shared" si="140"/>
        <v>1531120</v>
      </c>
      <c r="L1287" s="29">
        <f t="shared" si="139"/>
        <v>1531120</v>
      </c>
      <c r="M1287" s="20" t="s">
        <v>6232</v>
      </c>
      <c r="N1287" t="s">
        <v>6232</v>
      </c>
      <c r="P1287" t="s">
        <v>4039</v>
      </c>
      <c r="Q1287" t="s">
        <v>6232</v>
      </c>
      <c r="R1287" t="s">
        <v>303</v>
      </c>
      <c r="BI1287" s="52" t="str">
        <f>HYPERLINK("#자재조서!A387","MV-4400-250100 →")</f>
        <v>MV-4400-250100 →</v>
      </c>
    </row>
    <row r="1288" spans="1:61" ht="18.399999999999999" customHeight="1">
      <c r="A1288" s="11" t="s">
        <v>779</v>
      </c>
      <c r="B1288" s="2" t="s">
        <v>1766</v>
      </c>
      <c r="C1288" s="2">
        <v>1</v>
      </c>
      <c r="D1288" s="2" t="s">
        <v>1055</v>
      </c>
      <c r="E1288" s="29">
        <f>자재조서!E388</f>
        <v>1601395</v>
      </c>
      <c r="F1288" s="29">
        <f t="shared" si="142"/>
        <v>1601395</v>
      </c>
      <c r="G1288" s="29">
        <v>0</v>
      </c>
      <c r="H1288" s="29"/>
      <c r="I1288" s="29">
        <v>0</v>
      </c>
      <c r="J1288" s="29"/>
      <c r="K1288" s="29">
        <f t="shared" si="140"/>
        <v>1601395</v>
      </c>
      <c r="L1288" s="29">
        <f t="shared" si="139"/>
        <v>1601395</v>
      </c>
      <c r="M1288" s="20" t="s">
        <v>6232</v>
      </c>
      <c r="N1288" t="s">
        <v>6232</v>
      </c>
      <c r="P1288" t="s">
        <v>2572</v>
      </c>
      <c r="Q1288" t="s">
        <v>6232</v>
      </c>
      <c r="R1288" t="s">
        <v>77</v>
      </c>
      <c r="BI1288" s="52" t="str">
        <f>HYPERLINK("#자재조서!A388","MV-4400-250125 →")</f>
        <v>MV-4400-250125 →</v>
      </c>
    </row>
    <row r="1289" spans="1:61" ht="18.399999999999999" customHeight="1">
      <c r="A1289" s="11" t="s">
        <v>779</v>
      </c>
      <c r="B1289" s="2" t="s">
        <v>3352</v>
      </c>
      <c r="C1289" s="2">
        <v>1</v>
      </c>
      <c r="D1289" s="2" t="s">
        <v>1055</v>
      </c>
      <c r="E1289" s="29">
        <f>자재조서!E389</f>
        <v>1515566</v>
      </c>
      <c r="F1289" s="29">
        <f t="shared" si="142"/>
        <v>1515566</v>
      </c>
      <c r="G1289" s="29">
        <v>0</v>
      </c>
      <c r="H1289" s="29"/>
      <c r="I1289" s="29">
        <v>0</v>
      </c>
      <c r="J1289" s="29"/>
      <c r="K1289" s="29">
        <f t="shared" si="140"/>
        <v>1515566</v>
      </c>
      <c r="L1289" s="29">
        <f t="shared" ref="L1289:L1352" si="143">F1289+H1289+J1289</f>
        <v>1515566</v>
      </c>
      <c r="M1289" s="20" t="s">
        <v>6232</v>
      </c>
      <c r="N1289" t="s">
        <v>6232</v>
      </c>
      <c r="P1289" t="s">
        <v>1041</v>
      </c>
      <c r="Q1289" t="s">
        <v>6232</v>
      </c>
      <c r="R1289" t="s">
        <v>1811</v>
      </c>
      <c r="BI1289" s="52" t="str">
        <f>HYPERLINK("#자재조서!A389","MV-4400-250150 →")</f>
        <v>MV-4400-250150 →</v>
      </c>
    </row>
    <row r="1290" spans="1:61" ht="18.399999999999999" customHeight="1">
      <c r="A1290" s="11" t="s">
        <v>779</v>
      </c>
      <c r="B1290" s="2" t="s">
        <v>3467</v>
      </c>
      <c r="C1290" s="2">
        <v>1</v>
      </c>
      <c r="D1290" s="2" t="s">
        <v>1055</v>
      </c>
      <c r="E1290" s="29">
        <f>자재조서!E390</f>
        <v>1638796</v>
      </c>
      <c r="F1290" s="29">
        <f t="shared" si="142"/>
        <v>1638796</v>
      </c>
      <c r="G1290" s="29">
        <v>0</v>
      </c>
      <c r="H1290" s="29"/>
      <c r="I1290" s="29">
        <v>0</v>
      </c>
      <c r="J1290" s="29"/>
      <c r="K1290" s="29">
        <f t="shared" ref="K1290:K1353" si="144">E1290+G1290+I1290</f>
        <v>1638796</v>
      </c>
      <c r="L1290" s="29">
        <f t="shared" si="143"/>
        <v>1638796</v>
      </c>
      <c r="M1290" s="20" t="s">
        <v>6232</v>
      </c>
      <c r="N1290" t="s">
        <v>6232</v>
      </c>
      <c r="P1290" t="s">
        <v>3288</v>
      </c>
      <c r="Q1290" t="s">
        <v>6232</v>
      </c>
      <c r="R1290" t="s">
        <v>2107</v>
      </c>
      <c r="BI1290" s="52" t="str">
        <f>HYPERLINK("#자재조서!A390","MV-4400-250200 →")</f>
        <v>MV-4400-250200 →</v>
      </c>
    </row>
    <row r="1291" spans="1:61" ht="18.399999999999999" customHeight="1">
      <c r="A1291" s="11" t="s">
        <v>779</v>
      </c>
      <c r="B1291" s="2" t="s">
        <v>2414</v>
      </c>
      <c r="C1291" s="2">
        <v>1</v>
      </c>
      <c r="D1291" s="2" t="s">
        <v>1055</v>
      </c>
      <c r="E1291" s="29">
        <f>자재조서!E391</f>
        <v>1813849</v>
      </c>
      <c r="F1291" s="29">
        <f t="shared" si="142"/>
        <v>1813849</v>
      </c>
      <c r="G1291" s="29">
        <v>0</v>
      </c>
      <c r="H1291" s="29"/>
      <c r="I1291" s="29">
        <v>0</v>
      </c>
      <c r="J1291" s="29"/>
      <c r="K1291" s="29">
        <f t="shared" si="144"/>
        <v>1813849</v>
      </c>
      <c r="L1291" s="29">
        <f t="shared" si="143"/>
        <v>1813849</v>
      </c>
      <c r="M1291" s="20" t="s">
        <v>6232</v>
      </c>
      <c r="N1291" t="s">
        <v>6232</v>
      </c>
      <c r="P1291" t="s">
        <v>4873</v>
      </c>
      <c r="Q1291" t="s">
        <v>6232</v>
      </c>
      <c r="R1291" t="s">
        <v>438</v>
      </c>
      <c r="BI1291" s="52" t="str">
        <f>HYPERLINK("#자재조서!A391","MV-4400-250250 →")</f>
        <v>MV-4400-250250 →</v>
      </c>
    </row>
    <row r="1292" spans="1:61" ht="18.399999999999999" customHeight="1">
      <c r="A1292" s="11" t="s">
        <v>779</v>
      </c>
      <c r="B1292" s="2" t="s">
        <v>4264</v>
      </c>
      <c r="C1292" s="2">
        <v>1</v>
      </c>
      <c r="D1292" s="2" t="s">
        <v>1055</v>
      </c>
      <c r="E1292" s="29">
        <f>자재조서!E392</f>
        <v>1393941</v>
      </c>
      <c r="F1292" s="29">
        <f t="shared" si="142"/>
        <v>1393941</v>
      </c>
      <c r="G1292" s="29">
        <v>0</v>
      </c>
      <c r="H1292" s="29"/>
      <c r="I1292" s="29">
        <v>0</v>
      </c>
      <c r="J1292" s="29"/>
      <c r="K1292" s="29">
        <f t="shared" si="144"/>
        <v>1393941</v>
      </c>
      <c r="L1292" s="29">
        <f t="shared" si="143"/>
        <v>1393941</v>
      </c>
      <c r="M1292" s="20" t="s">
        <v>6232</v>
      </c>
      <c r="N1292" t="s">
        <v>6232</v>
      </c>
      <c r="P1292" t="s">
        <v>223</v>
      </c>
      <c r="Q1292" t="s">
        <v>6232</v>
      </c>
      <c r="R1292" t="s">
        <v>5670</v>
      </c>
      <c r="BI1292" s="52" t="str">
        <f>HYPERLINK("#자재조서!A392","MV-4400-300040 →")</f>
        <v>MV-4400-300040 →</v>
      </c>
    </row>
    <row r="1293" spans="1:61" ht="18.399999999999999" customHeight="1">
      <c r="A1293" s="11" t="s">
        <v>779</v>
      </c>
      <c r="B1293" s="2" t="s">
        <v>3716</v>
      </c>
      <c r="C1293" s="2">
        <v>1</v>
      </c>
      <c r="D1293" s="2" t="s">
        <v>1055</v>
      </c>
      <c r="E1293" s="29">
        <f>자재조서!E393</f>
        <v>1428564</v>
      </c>
      <c r="F1293" s="29">
        <f t="shared" si="142"/>
        <v>1428564</v>
      </c>
      <c r="G1293" s="29">
        <v>0</v>
      </c>
      <c r="H1293" s="29"/>
      <c r="I1293" s="29">
        <v>0</v>
      </c>
      <c r="J1293" s="29"/>
      <c r="K1293" s="29">
        <f t="shared" si="144"/>
        <v>1428564</v>
      </c>
      <c r="L1293" s="29">
        <f t="shared" si="143"/>
        <v>1428564</v>
      </c>
      <c r="M1293" s="20" t="s">
        <v>6232</v>
      </c>
      <c r="N1293" t="s">
        <v>6232</v>
      </c>
      <c r="P1293" t="s">
        <v>1795</v>
      </c>
      <c r="Q1293" t="s">
        <v>6232</v>
      </c>
      <c r="R1293" t="s">
        <v>4120</v>
      </c>
      <c r="BI1293" s="52" t="str">
        <f>HYPERLINK("#자재조서!A393","MV-4400-300050 →")</f>
        <v>MV-4400-300050 →</v>
      </c>
    </row>
    <row r="1294" spans="1:61" ht="18.399999999999999" customHeight="1">
      <c r="A1294" s="11" t="s">
        <v>779</v>
      </c>
      <c r="B1294" s="2" t="s">
        <v>3189</v>
      </c>
      <c r="C1294" s="2">
        <v>1</v>
      </c>
      <c r="D1294" s="2" t="s">
        <v>1055</v>
      </c>
      <c r="E1294" s="29">
        <f>자재조서!E394</f>
        <v>1518929</v>
      </c>
      <c r="F1294" s="29">
        <f t="shared" si="142"/>
        <v>1518929</v>
      </c>
      <c r="G1294" s="29">
        <v>0</v>
      </c>
      <c r="H1294" s="29"/>
      <c r="I1294" s="29">
        <v>0</v>
      </c>
      <c r="J1294" s="29"/>
      <c r="K1294" s="29">
        <f t="shared" si="144"/>
        <v>1518929</v>
      </c>
      <c r="L1294" s="29">
        <f t="shared" si="143"/>
        <v>1518929</v>
      </c>
      <c r="M1294" s="20" t="s">
        <v>6232</v>
      </c>
      <c r="N1294" t="s">
        <v>6232</v>
      </c>
      <c r="P1294" t="s">
        <v>3396</v>
      </c>
      <c r="Q1294" t="s">
        <v>6232</v>
      </c>
      <c r="R1294" t="s">
        <v>5571</v>
      </c>
      <c r="BI1294" s="52" t="str">
        <f>HYPERLINK("#자재조서!A394","MV-4400-300065 →")</f>
        <v>MV-4400-300065 →</v>
      </c>
    </row>
    <row r="1295" spans="1:61" ht="18.399999999999999" customHeight="1">
      <c r="A1295" s="11" t="s">
        <v>779</v>
      </c>
      <c r="B1295" s="2" t="s">
        <v>4927</v>
      </c>
      <c r="C1295" s="2">
        <v>1</v>
      </c>
      <c r="D1295" s="2" t="s">
        <v>1055</v>
      </c>
      <c r="E1295" s="29">
        <f>자재조서!E395</f>
        <v>1607799</v>
      </c>
      <c r="F1295" s="29">
        <f t="shared" si="142"/>
        <v>1607799</v>
      </c>
      <c r="G1295" s="29">
        <v>0</v>
      </c>
      <c r="H1295" s="29"/>
      <c r="I1295" s="29">
        <v>0</v>
      </c>
      <c r="J1295" s="29"/>
      <c r="K1295" s="29">
        <f t="shared" si="144"/>
        <v>1607799</v>
      </c>
      <c r="L1295" s="29">
        <f t="shared" si="143"/>
        <v>1607799</v>
      </c>
      <c r="M1295" s="20" t="s">
        <v>6232</v>
      </c>
      <c r="N1295" t="s">
        <v>6232</v>
      </c>
      <c r="P1295" t="s">
        <v>4985</v>
      </c>
      <c r="Q1295" t="s">
        <v>6232</v>
      </c>
      <c r="R1295" t="s">
        <v>5552</v>
      </c>
      <c r="BI1295" s="52" t="str">
        <f>HYPERLINK("#자재조서!A395","MV-4400-300080 →")</f>
        <v>MV-4400-300080 →</v>
      </c>
    </row>
    <row r="1296" spans="1:61" ht="18.399999999999999" customHeight="1">
      <c r="A1296" s="11" t="s">
        <v>779</v>
      </c>
      <c r="B1296" s="2" t="s">
        <v>2127</v>
      </c>
      <c r="C1296" s="2">
        <v>1</v>
      </c>
      <c r="D1296" s="2" t="s">
        <v>1055</v>
      </c>
      <c r="E1296" s="29">
        <f>자재조서!E396</f>
        <v>1681993</v>
      </c>
      <c r="F1296" s="29">
        <f t="shared" si="142"/>
        <v>1681993</v>
      </c>
      <c r="G1296" s="29">
        <v>0</v>
      </c>
      <c r="H1296" s="29"/>
      <c r="I1296" s="29">
        <v>0</v>
      </c>
      <c r="J1296" s="29"/>
      <c r="K1296" s="29">
        <f t="shared" si="144"/>
        <v>1681993</v>
      </c>
      <c r="L1296" s="29">
        <f t="shared" si="143"/>
        <v>1681993</v>
      </c>
      <c r="M1296" s="20" t="s">
        <v>6232</v>
      </c>
      <c r="N1296" t="s">
        <v>6232</v>
      </c>
      <c r="P1296" t="s">
        <v>325</v>
      </c>
      <c r="Q1296" t="s">
        <v>6232</v>
      </c>
      <c r="R1296" t="s">
        <v>5326</v>
      </c>
      <c r="BI1296" s="52" t="str">
        <f>HYPERLINK("#자재조서!A396","MV-4400-300100 →")</f>
        <v>MV-4400-300100 →</v>
      </c>
    </row>
    <row r="1297" spans="1:61" ht="18.399999999999999" customHeight="1">
      <c r="A1297" s="11" t="s">
        <v>779</v>
      </c>
      <c r="B1297" s="2" t="s">
        <v>2767</v>
      </c>
      <c r="C1297" s="2">
        <v>1</v>
      </c>
      <c r="D1297" s="2" t="s">
        <v>1055</v>
      </c>
      <c r="E1297" s="29">
        <f>자재조서!E397</f>
        <v>1751855</v>
      </c>
      <c r="F1297" s="29">
        <f t="shared" si="142"/>
        <v>1751855</v>
      </c>
      <c r="G1297" s="29">
        <v>0</v>
      </c>
      <c r="H1297" s="29"/>
      <c r="I1297" s="29">
        <v>0</v>
      </c>
      <c r="J1297" s="29"/>
      <c r="K1297" s="29">
        <f t="shared" si="144"/>
        <v>1751855</v>
      </c>
      <c r="L1297" s="29">
        <f t="shared" si="143"/>
        <v>1751855</v>
      </c>
      <c r="M1297" s="20" t="s">
        <v>6232</v>
      </c>
      <c r="N1297" t="s">
        <v>6232</v>
      </c>
      <c r="P1297" t="s">
        <v>1906</v>
      </c>
      <c r="Q1297" t="s">
        <v>6232</v>
      </c>
      <c r="R1297" t="s">
        <v>5202</v>
      </c>
      <c r="BI1297" s="52" t="str">
        <f>HYPERLINK("#자재조서!A397","MV-4400-300125 →")</f>
        <v>MV-4400-300125 →</v>
      </c>
    </row>
    <row r="1298" spans="1:61" ht="18.399999999999999" customHeight="1">
      <c r="A1298" s="11" t="s">
        <v>779</v>
      </c>
      <c r="B1298" s="2" t="s">
        <v>4357</v>
      </c>
      <c r="C1298" s="2">
        <v>1</v>
      </c>
      <c r="D1298" s="2" t="s">
        <v>1055</v>
      </c>
      <c r="E1298" s="29">
        <f>자재조서!E398</f>
        <v>1851381</v>
      </c>
      <c r="F1298" s="29">
        <f t="shared" si="142"/>
        <v>1851381</v>
      </c>
      <c r="G1298" s="29">
        <v>0</v>
      </c>
      <c r="H1298" s="29"/>
      <c r="I1298" s="29">
        <v>0</v>
      </c>
      <c r="J1298" s="29"/>
      <c r="K1298" s="29">
        <f t="shared" si="144"/>
        <v>1851381</v>
      </c>
      <c r="L1298" s="29">
        <f t="shared" si="143"/>
        <v>1851381</v>
      </c>
      <c r="M1298" s="20" t="s">
        <v>6232</v>
      </c>
      <c r="N1298" t="s">
        <v>6232</v>
      </c>
      <c r="P1298" t="s">
        <v>3097</v>
      </c>
      <c r="Q1298" t="s">
        <v>6232</v>
      </c>
      <c r="R1298" t="s">
        <v>3837</v>
      </c>
      <c r="BI1298" s="52" t="str">
        <f>HYPERLINK("#자재조서!A398","MV-4400-300150 →")</f>
        <v>MV-4400-300150 →</v>
      </c>
    </row>
    <row r="1299" spans="1:61" ht="18.399999999999999" customHeight="1">
      <c r="A1299" s="11" t="s">
        <v>779</v>
      </c>
      <c r="B1299" s="2" t="s">
        <v>4423</v>
      </c>
      <c r="C1299" s="2">
        <v>1</v>
      </c>
      <c r="D1299" s="2" t="s">
        <v>1055</v>
      </c>
      <c r="E1299" s="29">
        <f>자재조서!E399</f>
        <v>1788134</v>
      </c>
      <c r="F1299" s="29">
        <f t="shared" si="142"/>
        <v>1788134</v>
      </c>
      <c r="G1299" s="29">
        <v>0</v>
      </c>
      <c r="H1299" s="29"/>
      <c r="I1299" s="29">
        <v>0</v>
      </c>
      <c r="J1299" s="29"/>
      <c r="K1299" s="29">
        <f t="shared" si="144"/>
        <v>1788134</v>
      </c>
      <c r="L1299" s="29">
        <f t="shared" si="143"/>
        <v>1788134</v>
      </c>
      <c r="M1299" s="20" t="s">
        <v>6232</v>
      </c>
      <c r="N1299" t="s">
        <v>6232</v>
      </c>
      <c r="P1299" t="s">
        <v>4700</v>
      </c>
      <c r="Q1299" t="s">
        <v>6232</v>
      </c>
      <c r="R1299" t="s">
        <v>3144</v>
      </c>
      <c r="BI1299" s="52" t="str">
        <f>HYPERLINK("#자재조서!A399","MV-4400-300200 →")</f>
        <v>MV-4400-300200 →</v>
      </c>
    </row>
    <row r="1300" spans="1:61" ht="18.399999999999999" customHeight="1">
      <c r="A1300" s="11" t="s">
        <v>779</v>
      </c>
      <c r="B1300" s="2" t="s">
        <v>2239</v>
      </c>
      <c r="C1300" s="2">
        <v>1</v>
      </c>
      <c r="D1300" s="2" t="s">
        <v>1055</v>
      </c>
      <c r="E1300" s="29">
        <f>자재조서!E400</f>
        <v>1959188</v>
      </c>
      <c r="F1300" s="29">
        <f t="shared" si="142"/>
        <v>1959188</v>
      </c>
      <c r="G1300" s="29">
        <v>0</v>
      </c>
      <c r="H1300" s="29"/>
      <c r="I1300" s="29">
        <v>0</v>
      </c>
      <c r="J1300" s="29"/>
      <c r="K1300" s="29">
        <f t="shared" si="144"/>
        <v>1959188</v>
      </c>
      <c r="L1300" s="29">
        <f t="shared" si="143"/>
        <v>1959188</v>
      </c>
      <c r="M1300" s="20" t="s">
        <v>6232</v>
      </c>
      <c r="N1300" t="s">
        <v>6232</v>
      </c>
      <c r="P1300" t="s">
        <v>4615</v>
      </c>
      <c r="Q1300" t="s">
        <v>6232</v>
      </c>
      <c r="R1300" t="s">
        <v>4826</v>
      </c>
      <c r="BI1300" s="52" t="str">
        <f>HYPERLINK("#자재조서!A400","MV-4400-300250 →")</f>
        <v>MV-4400-300250 →</v>
      </c>
    </row>
    <row r="1301" spans="1:61" ht="18.399999999999999" customHeight="1">
      <c r="A1301" s="11" t="s">
        <v>779</v>
      </c>
      <c r="B1301" s="2" t="s">
        <v>5123</v>
      </c>
      <c r="C1301" s="2">
        <v>1</v>
      </c>
      <c r="D1301" s="2" t="s">
        <v>1055</v>
      </c>
      <c r="E1301" s="29">
        <f>자재조서!E401</f>
        <v>2172763</v>
      </c>
      <c r="F1301" s="29">
        <f t="shared" si="142"/>
        <v>2172763</v>
      </c>
      <c r="G1301" s="29">
        <v>0</v>
      </c>
      <c r="H1301" s="29"/>
      <c r="I1301" s="29">
        <v>0</v>
      </c>
      <c r="J1301" s="29"/>
      <c r="K1301" s="29">
        <f t="shared" si="144"/>
        <v>2172763</v>
      </c>
      <c r="L1301" s="29">
        <f t="shared" si="143"/>
        <v>2172763</v>
      </c>
      <c r="M1301" s="20" t="s">
        <v>6232</v>
      </c>
      <c r="N1301" t="s">
        <v>6232</v>
      </c>
      <c r="P1301" t="s">
        <v>6189</v>
      </c>
      <c r="Q1301" t="s">
        <v>6232</v>
      </c>
      <c r="R1301" t="s">
        <v>4387</v>
      </c>
      <c r="BI1301" s="52" t="str">
        <f>HYPERLINK("#자재조서!A401","MV-4400-300300 →")</f>
        <v>MV-4400-300300 →</v>
      </c>
    </row>
    <row r="1302" spans="1:61" ht="18.399999999999999" customHeight="1">
      <c r="A1302" s="11" t="s">
        <v>779</v>
      </c>
      <c r="B1302" s="2" t="s">
        <v>1037</v>
      </c>
      <c r="C1302" s="2">
        <v>1</v>
      </c>
      <c r="D1302" s="2" t="s">
        <v>1055</v>
      </c>
      <c r="E1302" s="29">
        <f>자재조서!E402</f>
        <v>1601153</v>
      </c>
      <c r="F1302" s="29">
        <f t="shared" si="142"/>
        <v>1601153</v>
      </c>
      <c r="G1302" s="29">
        <v>0</v>
      </c>
      <c r="H1302" s="29"/>
      <c r="I1302" s="29">
        <v>0</v>
      </c>
      <c r="J1302" s="29"/>
      <c r="K1302" s="29">
        <f t="shared" si="144"/>
        <v>1601153</v>
      </c>
      <c r="L1302" s="29">
        <f t="shared" si="143"/>
        <v>1601153</v>
      </c>
      <c r="M1302" s="20" t="s">
        <v>6232</v>
      </c>
      <c r="N1302" t="s">
        <v>6232</v>
      </c>
      <c r="P1302" t="s">
        <v>1463</v>
      </c>
      <c r="Q1302" t="s">
        <v>6232</v>
      </c>
      <c r="R1302" t="s">
        <v>5267</v>
      </c>
      <c r="BI1302" s="52" t="str">
        <f>HYPERLINK("#자재조서!A402","MV-4400-350050 →")</f>
        <v>MV-4400-350050 →</v>
      </c>
    </row>
    <row r="1303" spans="1:61" ht="18.399999999999999" customHeight="1">
      <c r="A1303" s="11" t="s">
        <v>779</v>
      </c>
      <c r="B1303" s="2" t="s">
        <v>1312</v>
      </c>
      <c r="C1303" s="2">
        <v>1</v>
      </c>
      <c r="D1303" s="2" t="s">
        <v>1055</v>
      </c>
      <c r="E1303" s="29">
        <f>자재조서!E403</f>
        <v>1689104</v>
      </c>
      <c r="F1303" s="29">
        <f t="shared" si="142"/>
        <v>1689104</v>
      </c>
      <c r="G1303" s="29">
        <v>0</v>
      </c>
      <c r="H1303" s="29"/>
      <c r="I1303" s="29">
        <v>0</v>
      </c>
      <c r="J1303" s="29"/>
      <c r="K1303" s="29">
        <f t="shared" si="144"/>
        <v>1689104</v>
      </c>
      <c r="L1303" s="29">
        <f t="shared" si="143"/>
        <v>1689104</v>
      </c>
      <c r="M1303" s="20" t="s">
        <v>6232</v>
      </c>
      <c r="N1303" t="s">
        <v>6232</v>
      </c>
      <c r="P1303" t="s">
        <v>2973</v>
      </c>
      <c r="Q1303" t="s">
        <v>6232</v>
      </c>
      <c r="R1303" t="s">
        <v>3631</v>
      </c>
      <c r="BI1303" s="52" t="str">
        <f>HYPERLINK("#자재조서!A403","MV-4400-350065 →")</f>
        <v>MV-4400-350065 →</v>
      </c>
    </row>
    <row r="1304" spans="1:61" ht="18.399999999999999" customHeight="1">
      <c r="A1304" s="11" t="s">
        <v>779</v>
      </c>
      <c r="B1304" s="2" t="s">
        <v>2905</v>
      </c>
      <c r="C1304" s="2">
        <v>1</v>
      </c>
      <c r="D1304" s="2" t="s">
        <v>1055</v>
      </c>
      <c r="E1304" s="29">
        <f>자재조서!E404</f>
        <v>1787286</v>
      </c>
      <c r="F1304" s="29">
        <f t="shared" si="142"/>
        <v>1787286</v>
      </c>
      <c r="G1304" s="29">
        <v>0</v>
      </c>
      <c r="H1304" s="29"/>
      <c r="I1304" s="29">
        <v>0</v>
      </c>
      <c r="J1304" s="29"/>
      <c r="K1304" s="29">
        <f t="shared" si="144"/>
        <v>1787286</v>
      </c>
      <c r="L1304" s="29">
        <f t="shared" si="143"/>
        <v>1787286</v>
      </c>
      <c r="M1304" s="20" t="s">
        <v>6232</v>
      </c>
      <c r="N1304" t="s">
        <v>6232</v>
      </c>
      <c r="P1304" t="s">
        <v>4529</v>
      </c>
      <c r="Q1304" t="s">
        <v>6232</v>
      </c>
      <c r="R1304" t="s">
        <v>3589</v>
      </c>
      <c r="BI1304" s="52" t="str">
        <f>HYPERLINK("#자재조서!A404","MV-4400-350080 →")</f>
        <v>MV-4400-350080 →</v>
      </c>
    </row>
    <row r="1305" spans="1:61" ht="18.399999999999999" customHeight="1">
      <c r="A1305" s="11" t="s">
        <v>779</v>
      </c>
      <c r="B1305" s="2" t="s">
        <v>6218</v>
      </c>
      <c r="C1305" s="2">
        <v>1</v>
      </c>
      <c r="D1305" s="2" t="s">
        <v>1055</v>
      </c>
      <c r="E1305" s="29">
        <f>자재조서!E405</f>
        <v>1861147</v>
      </c>
      <c r="F1305" s="29">
        <f t="shared" si="142"/>
        <v>1861147</v>
      </c>
      <c r="G1305" s="29">
        <v>0</v>
      </c>
      <c r="H1305" s="29"/>
      <c r="I1305" s="29">
        <v>0</v>
      </c>
      <c r="J1305" s="29"/>
      <c r="K1305" s="29">
        <f t="shared" si="144"/>
        <v>1861147</v>
      </c>
      <c r="L1305" s="29">
        <f t="shared" si="143"/>
        <v>1861147</v>
      </c>
      <c r="M1305" s="20" t="s">
        <v>6232</v>
      </c>
      <c r="N1305" t="s">
        <v>6232</v>
      </c>
      <c r="P1305" t="s">
        <v>6098</v>
      </c>
      <c r="Q1305" t="s">
        <v>6232</v>
      </c>
      <c r="R1305" t="s">
        <v>4171</v>
      </c>
      <c r="BI1305" s="52" t="str">
        <f>HYPERLINK("#자재조서!A405","MV-4400-350100 →")</f>
        <v>MV-4400-350100 →</v>
      </c>
    </row>
    <row r="1306" spans="1:61" ht="18.399999999999999" customHeight="1">
      <c r="A1306" s="11" t="s">
        <v>779</v>
      </c>
      <c r="B1306" s="2" t="s">
        <v>5141</v>
      </c>
      <c r="C1306" s="2">
        <v>1</v>
      </c>
      <c r="D1306" s="2" t="s">
        <v>1055</v>
      </c>
      <c r="E1306" s="29">
        <f>자재조서!E406</f>
        <v>1930938</v>
      </c>
      <c r="F1306" s="29">
        <f t="shared" si="142"/>
        <v>1930938</v>
      </c>
      <c r="G1306" s="29">
        <v>0</v>
      </c>
      <c r="H1306" s="29"/>
      <c r="I1306" s="29">
        <v>0</v>
      </c>
      <c r="J1306" s="29"/>
      <c r="K1306" s="29">
        <f t="shared" si="144"/>
        <v>1930938</v>
      </c>
      <c r="L1306" s="29">
        <f t="shared" si="143"/>
        <v>1930938</v>
      </c>
      <c r="M1306" s="20" t="s">
        <v>6232</v>
      </c>
      <c r="N1306" t="s">
        <v>6232</v>
      </c>
      <c r="P1306" t="s">
        <v>1381</v>
      </c>
      <c r="Q1306" t="s">
        <v>6232</v>
      </c>
      <c r="R1306" t="s">
        <v>4051</v>
      </c>
      <c r="BI1306" s="52" t="str">
        <f>HYPERLINK("#자재조서!A406","MV-4400-350125 →")</f>
        <v>MV-4400-350125 →</v>
      </c>
    </row>
    <row r="1307" spans="1:61" ht="18.399999999999999" customHeight="1">
      <c r="A1307" s="11" t="s">
        <v>779</v>
      </c>
      <c r="B1307" s="2" t="s">
        <v>499</v>
      </c>
      <c r="C1307" s="2">
        <v>1</v>
      </c>
      <c r="D1307" s="2" t="s">
        <v>1055</v>
      </c>
      <c r="E1307" s="29">
        <f>자재조서!E407</f>
        <v>2030110</v>
      </c>
      <c r="F1307" s="29">
        <f t="shared" si="142"/>
        <v>2030110</v>
      </c>
      <c r="G1307" s="29">
        <v>0</v>
      </c>
      <c r="H1307" s="29"/>
      <c r="I1307" s="29">
        <v>0</v>
      </c>
      <c r="J1307" s="29"/>
      <c r="K1307" s="29">
        <f t="shared" si="144"/>
        <v>2030110</v>
      </c>
      <c r="L1307" s="29">
        <f t="shared" si="143"/>
        <v>2030110</v>
      </c>
      <c r="M1307" s="20" t="s">
        <v>6232</v>
      </c>
      <c r="N1307" t="s">
        <v>6232</v>
      </c>
      <c r="P1307" t="s">
        <v>2899</v>
      </c>
      <c r="Q1307" t="s">
        <v>6232</v>
      </c>
      <c r="R1307" t="s">
        <v>5781</v>
      </c>
      <c r="BI1307" s="52" t="str">
        <f>HYPERLINK("#자재조서!A407","MV-4400-350150 →")</f>
        <v>MV-4400-350150 →</v>
      </c>
    </row>
    <row r="1308" spans="1:61" ht="18.399999999999999" customHeight="1">
      <c r="A1308" s="11" t="s">
        <v>779</v>
      </c>
      <c r="B1308" s="2" t="s">
        <v>425</v>
      </c>
      <c r="C1308" s="2">
        <v>1</v>
      </c>
      <c r="D1308" s="2" t="s">
        <v>1055</v>
      </c>
      <c r="E1308" s="29">
        <f>자재조서!E408</f>
        <v>1966500</v>
      </c>
      <c r="F1308" s="29">
        <f t="shared" si="142"/>
        <v>1966500</v>
      </c>
      <c r="G1308" s="29">
        <v>0</v>
      </c>
      <c r="H1308" s="29"/>
      <c r="I1308" s="29">
        <v>0</v>
      </c>
      <c r="J1308" s="29"/>
      <c r="K1308" s="29">
        <f t="shared" si="144"/>
        <v>1966500</v>
      </c>
      <c r="L1308" s="29">
        <f t="shared" si="143"/>
        <v>1966500</v>
      </c>
      <c r="M1308" s="20" t="s">
        <v>6232</v>
      </c>
      <c r="N1308" t="s">
        <v>6232</v>
      </c>
      <c r="P1308" t="s">
        <v>4434</v>
      </c>
      <c r="Q1308" t="s">
        <v>6232</v>
      </c>
      <c r="R1308" t="s">
        <v>5883</v>
      </c>
      <c r="BI1308" s="52" t="str">
        <f>HYPERLINK("#자재조서!A408","MV-4400-350200 →")</f>
        <v>MV-4400-350200 →</v>
      </c>
    </row>
    <row r="1309" spans="1:61" ht="18.399999999999999" customHeight="1">
      <c r="A1309" s="11" t="s">
        <v>779</v>
      </c>
      <c r="B1309" s="2" t="s">
        <v>6069</v>
      </c>
      <c r="C1309" s="2">
        <v>1</v>
      </c>
      <c r="D1309" s="2" t="s">
        <v>1055</v>
      </c>
      <c r="E1309" s="29">
        <f>자재조서!E409</f>
        <v>2136473</v>
      </c>
      <c r="F1309" s="29">
        <f t="shared" si="142"/>
        <v>2136473</v>
      </c>
      <c r="G1309" s="29">
        <v>0</v>
      </c>
      <c r="H1309" s="29"/>
      <c r="I1309" s="29">
        <v>0</v>
      </c>
      <c r="J1309" s="29"/>
      <c r="K1309" s="29">
        <f t="shared" si="144"/>
        <v>2136473</v>
      </c>
      <c r="L1309" s="29">
        <f t="shared" si="143"/>
        <v>2136473</v>
      </c>
      <c r="M1309" s="20" t="s">
        <v>6232</v>
      </c>
      <c r="N1309" t="s">
        <v>6232</v>
      </c>
      <c r="P1309" t="s">
        <v>5987</v>
      </c>
      <c r="Q1309" t="s">
        <v>6232</v>
      </c>
      <c r="R1309" t="s">
        <v>4435</v>
      </c>
      <c r="BI1309" s="52" t="str">
        <f>HYPERLINK("#자재조서!A409","MV-4400-350250 →")</f>
        <v>MV-4400-350250 →</v>
      </c>
    </row>
    <row r="1310" spans="1:61" ht="18.399999999999999" customHeight="1">
      <c r="A1310" s="11" t="s">
        <v>779</v>
      </c>
      <c r="B1310" s="2" t="s">
        <v>2801</v>
      </c>
      <c r="C1310" s="2">
        <v>1</v>
      </c>
      <c r="D1310" s="2" t="s">
        <v>1055</v>
      </c>
      <c r="E1310" s="29">
        <f>자재조서!E410</f>
        <v>2348301</v>
      </c>
      <c r="F1310" s="29">
        <f t="shared" si="142"/>
        <v>2348301</v>
      </c>
      <c r="G1310" s="29">
        <v>0</v>
      </c>
      <c r="H1310" s="29"/>
      <c r="I1310" s="29">
        <v>0</v>
      </c>
      <c r="J1310" s="29"/>
      <c r="K1310" s="29">
        <f t="shared" si="144"/>
        <v>2348301</v>
      </c>
      <c r="L1310" s="29">
        <f t="shared" si="143"/>
        <v>2348301</v>
      </c>
      <c r="M1310" s="20" t="s">
        <v>6232</v>
      </c>
      <c r="N1310" t="s">
        <v>6232</v>
      </c>
      <c r="P1310" t="s">
        <v>5607</v>
      </c>
      <c r="Q1310" t="s">
        <v>6232</v>
      </c>
      <c r="R1310" t="s">
        <v>4781</v>
      </c>
      <c r="BI1310" s="52" t="str">
        <f>HYPERLINK("#자재조서!A410","MV-4400-350300 →")</f>
        <v>MV-4400-350300 →</v>
      </c>
    </row>
    <row r="1311" spans="1:61" ht="18.399999999999999" customHeight="1">
      <c r="A1311" s="11" t="s">
        <v>779</v>
      </c>
      <c r="B1311" s="2" t="s">
        <v>3855</v>
      </c>
      <c r="C1311" s="2">
        <v>1</v>
      </c>
      <c r="D1311" s="2" t="s">
        <v>1055</v>
      </c>
      <c r="E1311" s="29">
        <f>자재조서!E411</f>
        <v>2561633</v>
      </c>
      <c r="F1311" s="29">
        <f t="shared" si="142"/>
        <v>2561633</v>
      </c>
      <c r="G1311" s="29">
        <v>0</v>
      </c>
      <c r="H1311" s="29"/>
      <c r="I1311" s="29">
        <v>0</v>
      </c>
      <c r="J1311" s="29"/>
      <c r="K1311" s="29">
        <f t="shared" si="144"/>
        <v>2561633</v>
      </c>
      <c r="L1311" s="29">
        <f t="shared" si="143"/>
        <v>2561633</v>
      </c>
      <c r="M1311" s="20" t="s">
        <v>6232</v>
      </c>
      <c r="N1311" t="s">
        <v>6232</v>
      </c>
      <c r="P1311" t="s">
        <v>4076</v>
      </c>
      <c r="Q1311" t="s">
        <v>6232</v>
      </c>
      <c r="R1311" t="s">
        <v>3095</v>
      </c>
      <c r="BI1311" s="52" t="str">
        <f>HYPERLINK("#자재조서!A411","MV-4400-350350 →")</f>
        <v>MV-4400-350350 →</v>
      </c>
    </row>
    <row r="1312" spans="1:61" ht="18.399999999999999" customHeight="1">
      <c r="A1312" s="11" t="s">
        <v>779</v>
      </c>
      <c r="B1312" s="2" t="s">
        <v>236</v>
      </c>
      <c r="C1312" s="2">
        <v>1</v>
      </c>
      <c r="D1312" s="2" t="s">
        <v>1055</v>
      </c>
      <c r="E1312" s="29">
        <f>자재조서!E412</f>
        <v>1911223</v>
      </c>
      <c r="F1312" s="29">
        <f t="shared" si="142"/>
        <v>1911223</v>
      </c>
      <c r="G1312" s="29">
        <v>0</v>
      </c>
      <c r="H1312" s="29"/>
      <c r="I1312" s="29">
        <v>0</v>
      </c>
      <c r="J1312" s="29"/>
      <c r="K1312" s="29">
        <f t="shared" si="144"/>
        <v>1911223</v>
      </c>
      <c r="L1312" s="29">
        <f t="shared" si="143"/>
        <v>1911223</v>
      </c>
      <c r="M1312" s="20" t="s">
        <v>6232</v>
      </c>
      <c r="N1312" t="s">
        <v>6232</v>
      </c>
      <c r="P1312" t="s">
        <v>2434</v>
      </c>
      <c r="Q1312" t="s">
        <v>6232</v>
      </c>
      <c r="R1312" t="s">
        <v>2246</v>
      </c>
      <c r="BI1312" s="52" t="str">
        <f>HYPERLINK("#자재조서!A412","MV-4400-400065 →")</f>
        <v>MV-4400-400065 →</v>
      </c>
    </row>
    <row r="1313" spans="1:61" ht="18.399999999999999" customHeight="1">
      <c r="A1313" s="11" t="s">
        <v>779</v>
      </c>
      <c r="B1313" s="2" t="s">
        <v>1646</v>
      </c>
      <c r="C1313" s="2">
        <v>1</v>
      </c>
      <c r="D1313" s="2" t="s">
        <v>1055</v>
      </c>
      <c r="E1313" s="29">
        <f>자재조서!E413</f>
        <v>1958814</v>
      </c>
      <c r="F1313" s="29">
        <f t="shared" si="142"/>
        <v>1958814</v>
      </c>
      <c r="G1313" s="29">
        <v>0</v>
      </c>
      <c r="H1313" s="29"/>
      <c r="I1313" s="29">
        <v>0</v>
      </c>
      <c r="J1313" s="29"/>
      <c r="K1313" s="29">
        <f t="shared" si="144"/>
        <v>1958814</v>
      </c>
      <c r="L1313" s="29">
        <f t="shared" si="143"/>
        <v>1958814</v>
      </c>
      <c r="M1313" s="20" t="s">
        <v>6232</v>
      </c>
      <c r="N1313" t="s">
        <v>6232</v>
      </c>
      <c r="P1313" t="s">
        <v>909</v>
      </c>
      <c r="Q1313" t="s">
        <v>6232</v>
      </c>
      <c r="R1313" t="s">
        <v>2219</v>
      </c>
      <c r="BI1313" s="52" t="str">
        <f>HYPERLINK("#자재조서!A413","MV-4400-400080 →")</f>
        <v>MV-4400-400080 →</v>
      </c>
    </row>
    <row r="1314" spans="1:61" ht="18.399999999999999" customHeight="1">
      <c r="A1314" s="11" t="s">
        <v>779</v>
      </c>
      <c r="B1314" s="2" t="s">
        <v>1548</v>
      </c>
      <c r="C1314" s="2">
        <v>1</v>
      </c>
      <c r="D1314" s="2" t="s">
        <v>1055</v>
      </c>
      <c r="E1314" s="29">
        <f>자재조서!E414</f>
        <v>2037463</v>
      </c>
      <c r="F1314" s="29">
        <f t="shared" ref="F1314:F1321" si="145">TRUNC(E1314*C1314,0)</f>
        <v>2037463</v>
      </c>
      <c r="G1314" s="29">
        <v>0</v>
      </c>
      <c r="H1314" s="29"/>
      <c r="I1314" s="29">
        <v>0</v>
      </c>
      <c r="J1314" s="29"/>
      <c r="K1314" s="29">
        <f t="shared" si="144"/>
        <v>2037463</v>
      </c>
      <c r="L1314" s="29">
        <f t="shared" si="143"/>
        <v>2037463</v>
      </c>
      <c r="M1314" s="20" t="s">
        <v>6232</v>
      </c>
      <c r="N1314" t="s">
        <v>6232</v>
      </c>
      <c r="P1314" t="s">
        <v>5486</v>
      </c>
      <c r="Q1314" t="s">
        <v>6232</v>
      </c>
      <c r="R1314" t="s">
        <v>2398</v>
      </c>
      <c r="BI1314" s="52" t="str">
        <f>HYPERLINK("#자재조서!A414","MV-4400-400100 →")</f>
        <v>MV-4400-400100 →</v>
      </c>
    </row>
    <row r="1315" spans="1:61" ht="18.399999999999999" customHeight="1">
      <c r="A1315" s="11" t="s">
        <v>779</v>
      </c>
      <c r="B1315" s="2" t="s">
        <v>2564</v>
      </c>
      <c r="C1315" s="2">
        <v>1</v>
      </c>
      <c r="D1315" s="2" t="s">
        <v>1055</v>
      </c>
      <c r="E1315" s="29">
        <f>자재조서!E415</f>
        <v>2107466</v>
      </c>
      <c r="F1315" s="29">
        <f t="shared" si="145"/>
        <v>2107466</v>
      </c>
      <c r="G1315" s="29">
        <v>0</v>
      </c>
      <c r="H1315" s="29"/>
      <c r="I1315" s="29">
        <v>0</v>
      </c>
      <c r="J1315" s="29"/>
      <c r="K1315" s="29">
        <f t="shared" si="144"/>
        <v>2107466</v>
      </c>
      <c r="L1315" s="29">
        <f t="shared" si="143"/>
        <v>2107466</v>
      </c>
      <c r="M1315" s="20" t="s">
        <v>6232</v>
      </c>
      <c r="N1315" t="s">
        <v>6232</v>
      </c>
      <c r="P1315" t="s">
        <v>3960</v>
      </c>
      <c r="Q1315" t="s">
        <v>6232</v>
      </c>
      <c r="R1315" t="s">
        <v>2671</v>
      </c>
      <c r="BI1315" s="52" t="str">
        <f>HYPERLINK("#자재조서!A415","MV-4400-400125 →")</f>
        <v>MV-4400-400125 →</v>
      </c>
    </row>
    <row r="1316" spans="1:61" ht="18.399999999999999" customHeight="1">
      <c r="A1316" s="11" t="s">
        <v>779</v>
      </c>
      <c r="B1316" s="2" t="s">
        <v>4146</v>
      </c>
      <c r="C1316" s="2">
        <v>1</v>
      </c>
      <c r="D1316" s="2" t="s">
        <v>1055</v>
      </c>
      <c r="E1316" s="29">
        <f>자재조서!E416</f>
        <v>2200669</v>
      </c>
      <c r="F1316" s="29">
        <f t="shared" si="145"/>
        <v>2200669</v>
      </c>
      <c r="G1316" s="29">
        <v>0</v>
      </c>
      <c r="H1316" s="29"/>
      <c r="I1316" s="29">
        <v>0</v>
      </c>
      <c r="J1316" s="29"/>
      <c r="K1316" s="29">
        <f t="shared" si="144"/>
        <v>2200669</v>
      </c>
      <c r="L1316" s="29">
        <f t="shared" si="143"/>
        <v>2200669</v>
      </c>
      <c r="M1316" s="20" t="s">
        <v>6232</v>
      </c>
      <c r="N1316" t="s">
        <v>6232</v>
      </c>
      <c r="P1316" t="s">
        <v>2310</v>
      </c>
      <c r="Q1316" t="s">
        <v>6232</v>
      </c>
      <c r="R1316" t="s">
        <v>926</v>
      </c>
      <c r="BI1316" s="52" t="str">
        <f>HYPERLINK("#자재조서!A416","MV-4400-400150 →")</f>
        <v>MV-4400-400150 →</v>
      </c>
    </row>
    <row r="1317" spans="1:61" ht="18.399999999999999" customHeight="1">
      <c r="A1317" s="11" t="s">
        <v>779</v>
      </c>
      <c r="B1317" s="2" t="s">
        <v>4271</v>
      </c>
      <c r="C1317" s="2">
        <v>1</v>
      </c>
      <c r="D1317" s="2" t="s">
        <v>1055</v>
      </c>
      <c r="E1317" s="29">
        <f>자재조서!E417</f>
        <v>2372167</v>
      </c>
      <c r="F1317" s="29">
        <f t="shared" si="145"/>
        <v>2372167</v>
      </c>
      <c r="G1317" s="29">
        <v>0</v>
      </c>
      <c r="H1317" s="29"/>
      <c r="I1317" s="29">
        <v>0</v>
      </c>
      <c r="J1317" s="29"/>
      <c r="K1317" s="29">
        <f t="shared" si="144"/>
        <v>2372167</v>
      </c>
      <c r="L1317" s="29">
        <f t="shared" si="143"/>
        <v>2372167</v>
      </c>
      <c r="M1317" s="20" t="s">
        <v>6232</v>
      </c>
      <c r="N1317" t="s">
        <v>6232</v>
      </c>
      <c r="P1317" t="s">
        <v>780</v>
      </c>
      <c r="Q1317" t="s">
        <v>6232</v>
      </c>
      <c r="R1317" t="s">
        <v>1406</v>
      </c>
      <c r="BI1317" s="52" t="str">
        <f>HYPERLINK("#자재조서!A417","MV-4400-400200 →")</f>
        <v>MV-4400-400200 →</v>
      </c>
    </row>
    <row r="1318" spans="1:61" ht="18.399999999999999" customHeight="1">
      <c r="A1318" s="11" t="s">
        <v>779</v>
      </c>
      <c r="B1318" s="2" t="s">
        <v>1619</v>
      </c>
      <c r="C1318" s="2">
        <v>1</v>
      </c>
      <c r="D1318" s="2" t="s">
        <v>1055</v>
      </c>
      <c r="E1318" s="29">
        <f>자재조서!E418</f>
        <v>2305547</v>
      </c>
      <c r="F1318" s="29">
        <f t="shared" si="145"/>
        <v>2305547</v>
      </c>
      <c r="G1318" s="29">
        <v>0</v>
      </c>
      <c r="H1318" s="29"/>
      <c r="I1318" s="29">
        <v>0</v>
      </c>
      <c r="J1318" s="29"/>
      <c r="K1318" s="29">
        <f t="shared" si="144"/>
        <v>2305547</v>
      </c>
      <c r="L1318" s="29">
        <f t="shared" si="143"/>
        <v>2305547</v>
      </c>
      <c r="M1318" s="20" t="s">
        <v>6232</v>
      </c>
      <c r="N1318" t="s">
        <v>6232</v>
      </c>
      <c r="P1318" t="s">
        <v>5783</v>
      </c>
      <c r="Q1318" t="s">
        <v>6232</v>
      </c>
      <c r="R1318" t="s">
        <v>3060</v>
      </c>
      <c r="BI1318" s="52" t="str">
        <f>HYPERLINK("#자재조서!A418","MV-4400-400250 →")</f>
        <v>MV-4400-400250 →</v>
      </c>
    </row>
    <row r="1319" spans="1:61" ht="18.399999999999999" customHeight="1">
      <c r="A1319" s="11" t="s">
        <v>779</v>
      </c>
      <c r="B1319" s="2" t="s">
        <v>4912</v>
      </c>
      <c r="C1319" s="2">
        <v>1</v>
      </c>
      <c r="D1319" s="2" t="s">
        <v>1055</v>
      </c>
      <c r="E1319" s="29">
        <f>자재조서!E419</f>
        <v>2522021</v>
      </c>
      <c r="F1319" s="29">
        <f t="shared" si="145"/>
        <v>2522021</v>
      </c>
      <c r="G1319" s="29">
        <v>0</v>
      </c>
      <c r="H1319" s="29"/>
      <c r="I1319" s="29">
        <v>0</v>
      </c>
      <c r="J1319" s="29"/>
      <c r="K1319" s="29">
        <f t="shared" si="144"/>
        <v>2522021</v>
      </c>
      <c r="L1319" s="29">
        <f t="shared" si="143"/>
        <v>2522021</v>
      </c>
      <c r="M1319" s="20" t="s">
        <v>6232</v>
      </c>
      <c r="N1319" t="s">
        <v>6232</v>
      </c>
      <c r="P1319" t="s">
        <v>4249</v>
      </c>
      <c r="Q1319" t="s">
        <v>6232</v>
      </c>
      <c r="R1319" t="s">
        <v>297</v>
      </c>
      <c r="BI1319" s="52" t="str">
        <f>HYPERLINK("#자재조서!A419","MV-4400-400300 →")</f>
        <v>MV-4400-400300 →</v>
      </c>
    </row>
    <row r="1320" spans="1:61" ht="18.399999999999999" customHeight="1">
      <c r="A1320" s="11" t="s">
        <v>779</v>
      </c>
      <c r="B1320" s="2" t="s">
        <v>784</v>
      </c>
      <c r="C1320" s="2">
        <v>1</v>
      </c>
      <c r="D1320" s="2" t="s">
        <v>1055</v>
      </c>
      <c r="E1320" s="29">
        <f>자재조서!E420</f>
        <v>2729646</v>
      </c>
      <c r="F1320" s="29">
        <f t="shared" si="145"/>
        <v>2729646</v>
      </c>
      <c r="G1320" s="29">
        <v>0</v>
      </c>
      <c r="H1320" s="29"/>
      <c r="I1320" s="29">
        <v>0</v>
      </c>
      <c r="J1320" s="29"/>
      <c r="K1320" s="29">
        <f t="shared" si="144"/>
        <v>2729646</v>
      </c>
      <c r="L1320" s="29">
        <f t="shared" si="143"/>
        <v>2729646</v>
      </c>
      <c r="M1320" s="20" t="s">
        <v>6232</v>
      </c>
      <c r="N1320" t="s">
        <v>6232</v>
      </c>
      <c r="P1320" t="s">
        <v>5076</v>
      </c>
      <c r="Q1320" t="s">
        <v>6232</v>
      </c>
      <c r="R1320" t="s">
        <v>1717</v>
      </c>
      <c r="BI1320" s="52" t="str">
        <f>HYPERLINK("#자재조서!A420","MV-4400-400350 →")</f>
        <v>MV-4400-400350 →</v>
      </c>
    </row>
    <row r="1321" spans="1:61" ht="18.399999999999999" customHeight="1">
      <c r="A1321" s="11" t="s">
        <v>779</v>
      </c>
      <c r="B1321" s="2" t="s">
        <v>2775</v>
      </c>
      <c r="C1321" s="2">
        <v>1</v>
      </c>
      <c r="D1321" s="2" t="s">
        <v>1055</v>
      </c>
      <c r="E1321" s="29">
        <f>자재조서!E421</f>
        <v>2915517</v>
      </c>
      <c r="F1321" s="29">
        <f t="shared" si="145"/>
        <v>2915517</v>
      </c>
      <c r="G1321" s="29">
        <v>0</v>
      </c>
      <c r="H1321" s="29"/>
      <c r="I1321" s="29">
        <v>0</v>
      </c>
      <c r="J1321" s="29"/>
      <c r="K1321" s="29">
        <f t="shared" si="144"/>
        <v>2915517</v>
      </c>
      <c r="L1321" s="29">
        <f t="shared" si="143"/>
        <v>2915517</v>
      </c>
      <c r="M1321" s="20" t="s">
        <v>6232</v>
      </c>
      <c r="N1321" t="s">
        <v>6232</v>
      </c>
      <c r="P1321" t="s">
        <v>3493</v>
      </c>
      <c r="Q1321" t="s">
        <v>6232</v>
      </c>
      <c r="R1321" t="s">
        <v>3296</v>
      </c>
      <c r="BI1321" s="52" t="str">
        <f>HYPERLINK("#자재조서!A421","MV-4400-400400 →")</f>
        <v>MV-4400-400400 →</v>
      </c>
    </row>
    <row r="1322" spans="1:61" ht="18.399999999999999" customHeight="1">
      <c r="A1322" s="11" t="s">
        <v>1544</v>
      </c>
      <c r="B1322" s="2" t="s">
        <v>6232</v>
      </c>
      <c r="C1322" s="2"/>
      <c r="D1322" s="2" t="s">
        <v>6232</v>
      </c>
      <c r="E1322" s="1"/>
      <c r="F1322" s="29">
        <f>TRUNC(SUM(AF1322:AF1326),0)</f>
        <v>120477506</v>
      </c>
      <c r="G1322" s="1"/>
      <c r="H1322" s="29">
        <f>TRUNC(SUM(AG1322:AG1326),0)</f>
        <v>0</v>
      </c>
      <c r="I1322" s="1"/>
      <c r="J1322" s="29">
        <f>TRUNC(SUM(AH1322:AH1326),0)</f>
        <v>0</v>
      </c>
      <c r="K1322" s="29">
        <f t="shared" si="144"/>
        <v>0</v>
      </c>
      <c r="L1322" s="29">
        <f t="shared" si="143"/>
        <v>120477506</v>
      </c>
      <c r="M1322" s="20" t="s">
        <v>6232</v>
      </c>
      <c r="N1322" t="s">
        <v>6232</v>
      </c>
      <c r="P1322" t="s">
        <v>2000</v>
      </c>
      <c r="Q1322" t="s">
        <v>6232</v>
      </c>
      <c r="R1322" t="s">
        <v>6232</v>
      </c>
      <c r="AF1322" s="29">
        <f>F1321+F1320+F1319+F1318+F1317+F1316+F1315+F1314+F1313+F1312+F1311+F1310+F1309+F1308+F1307+F1306+F1305+F1304+F1303+F1302+F1301+F1300+F1299+F1298+F1297</f>
        <v>52496499</v>
      </c>
      <c r="AG1322" s="29">
        <f>H1321+H1320+H1319+H1318+H1317+H1316+H1315+H1314+H1313+H1312+H1311+H1310+H1309+H1308+H1307+H1306+H1305+H1304+H1303+H1302+H1301+H1300+H1299+H1298+H1297</f>
        <v>0</v>
      </c>
      <c r="AH1322" s="29">
        <f>J1321+J1320+J1319+J1318+J1317+J1316+J1315+J1314+J1313+J1312+J1311+J1310+J1309+J1308+J1307+J1306+J1305+J1304+J1303+J1302+J1301+J1300+J1299+J1298+J1297</f>
        <v>0</v>
      </c>
    </row>
    <row r="1323" spans="1:61" ht="18.399999999999999" customHeight="1">
      <c r="A1323" s="11" t="s">
        <v>2495</v>
      </c>
      <c r="B1323" s="2" t="s">
        <v>6232</v>
      </c>
      <c r="C1323" s="2"/>
      <c r="D1323" s="2" t="s">
        <v>6232</v>
      </c>
      <c r="E1323" s="1"/>
      <c r="F1323" s="29">
        <v>0</v>
      </c>
      <c r="G1323" s="1"/>
      <c r="H1323" s="29">
        <v>0</v>
      </c>
      <c r="I1323" s="1"/>
      <c r="J1323" s="29">
        <v>0</v>
      </c>
      <c r="K1323" s="29">
        <f t="shared" si="144"/>
        <v>0</v>
      </c>
      <c r="L1323" s="29">
        <f t="shared" si="143"/>
        <v>0</v>
      </c>
      <c r="M1323" s="20" t="s">
        <v>6232</v>
      </c>
      <c r="N1323" t="s">
        <v>6232</v>
      </c>
      <c r="P1323" t="s">
        <v>445</v>
      </c>
      <c r="Q1323" t="s">
        <v>6232</v>
      </c>
      <c r="R1323" t="s">
        <v>6232</v>
      </c>
      <c r="AF1323" s="29">
        <f>F1296+F1295+F1294+F1293+F1292+F1291+F1290+F1289+F1288+F1287+F1286+F1285+F1284+F1283+F1282+F1281+F1280+F1279+F1278+F1277+F1276+F1275+F1274+F1273+F1272</f>
        <v>32873533</v>
      </c>
      <c r="AG1323" s="29">
        <f>H1296+H1295+H1294+H1293+H1292+H1291+H1290+H1289+H1288+H1287+H1286+H1285+H1284+H1283+H1282+H1281+H1280+H1279+H1278+H1277+H1276+H1275+H1274+H1273+H1272</f>
        <v>0</v>
      </c>
      <c r="AH1323" s="29">
        <f>J1296+J1295+J1294+J1293+J1292+J1291+J1290+J1289+J1288+J1287+J1286+J1285+J1284+J1283+J1282+J1281+J1280+J1279+J1278+J1277+J1276+J1275+J1274+J1273+J1272</f>
        <v>0</v>
      </c>
    </row>
    <row r="1324" spans="1:61" ht="18.399999999999999" customHeight="1">
      <c r="A1324" s="11" t="s">
        <v>5956</v>
      </c>
      <c r="B1324" s="2" t="s">
        <v>6232</v>
      </c>
      <c r="C1324" s="2"/>
      <c r="D1324" s="2" t="s">
        <v>6232</v>
      </c>
      <c r="E1324" s="1"/>
      <c r="F1324" s="29">
        <v>0</v>
      </c>
      <c r="G1324" s="1"/>
      <c r="H1324" s="29">
        <v>0</v>
      </c>
      <c r="I1324" s="1"/>
      <c r="J1324" s="29">
        <v>0</v>
      </c>
      <c r="K1324" s="29">
        <f t="shared" si="144"/>
        <v>0</v>
      </c>
      <c r="L1324" s="29">
        <f t="shared" si="143"/>
        <v>0</v>
      </c>
      <c r="M1324" s="20" t="s">
        <v>6232</v>
      </c>
      <c r="N1324" t="s">
        <v>6232</v>
      </c>
      <c r="P1324" t="s">
        <v>5170</v>
      </c>
      <c r="Q1324" t="s">
        <v>6232</v>
      </c>
      <c r="R1324" t="s">
        <v>6232</v>
      </c>
      <c r="AF1324" s="29">
        <f>F1271+F1270+F1269+F1268+F1267+F1266+F1265+F1264+F1263+F1262+F1261+F1260+F1259+F1258+F1257+F1256+F1255+F1254+F1253+F1252+F1251+F1250+F1249+F1248+F1247</f>
        <v>20365672</v>
      </c>
      <c r="AG1324" s="29">
        <f>H1271+H1270+H1269+H1268+H1267+H1266+H1265+H1264+H1263+H1262+H1261+H1260+H1259+H1258+H1257+H1256+H1255+H1254+H1253+H1252+H1251+H1250+H1249+H1248+H1247</f>
        <v>0</v>
      </c>
      <c r="AH1324" s="29">
        <f>J1271+J1270+J1269+J1268+J1267+J1266+J1265+J1264+J1263+J1262+J1261+J1260+J1259+J1258+J1257+J1256+J1255+J1254+J1253+J1252+J1251+J1250+J1249+J1248+J1247</f>
        <v>0</v>
      </c>
    </row>
    <row r="1325" spans="1:61" ht="18.399999999999999" customHeight="1">
      <c r="A1325" s="11" t="s">
        <v>5956</v>
      </c>
      <c r="B1325" s="2" t="s">
        <v>4681</v>
      </c>
      <c r="C1325" s="2">
        <v>1</v>
      </c>
      <c r="D1325" s="2" t="s">
        <v>1055</v>
      </c>
      <c r="E1325" s="29">
        <f>자재조서!E422</f>
        <v>244310</v>
      </c>
      <c r="F1325" s="29">
        <f t="shared" ref="F1325:F1364" si="146">TRUNC(E1325*C1325,0)</f>
        <v>244310</v>
      </c>
      <c r="G1325" s="29">
        <v>0</v>
      </c>
      <c r="H1325" s="29"/>
      <c r="I1325" s="29">
        <v>0</v>
      </c>
      <c r="J1325" s="29"/>
      <c r="K1325" s="29">
        <f t="shared" si="144"/>
        <v>244310</v>
      </c>
      <c r="L1325" s="29">
        <f t="shared" si="143"/>
        <v>244310</v>
      </c>
      <c r="M1325" s="20" t="s">
        <v>6232</v>
      </c>
      <c r="N1325" t="s">
        <v>6232</v>
      </c>
      <c r="P1325" t="s">
        <v>3590</v>
      </c>
      <c r="Q1325" t="s">
        <v>6232</v>
      </c>
      <c r="R1325" t="s">
        <v>4044</v>
      </c>
      <c r="AF1325" s="29">
        <f>F1246+F1245+F1244+F1243+F1242+F1241+F1240+F1239+F1238+F1237+F1236+F1235+F1234+F1233+F1232+F1231+F1230+F1229+F1228+F1227+F1226+F1225+F1224+F1223+F1222</f>
        <v>13162344</v>
      </c>
      <c r="AG1325" s="29">
        <f>H1246+H1245+H1244+H1243+H1242+H1241+H1240+H1239+H1238+H1237+H1236+H1235+H1234+H1233+H1232+H1231+H1230+H1229+H1228+H1227+H1226+H1225+H1224+H1223+H1222</f>
        <v>0</v>
      </c>
      <c r="AH1325" s="29">
        <f>J1246+J1245+J1244+J1243+J1242+J1241+J1240+J1239+J1238+J1237+J1236+J1235+J1234+J1233+J1232+J1231+J1230+J1229+J1228+J1227+J1226+J1225+J1224+J1223+J1222</f>
        <v>0</v>
      </c>
      <c r="BI1325" s="52" t="str">
        <f>HYPERLINK("#자재조서!A422","MV-4500-032020 →")</f>
        <v>MV-4500-032020 →</v>
      </c>
    </row>
    <row r="1326" spans="1:61" ht="18.399999999999999" customHeight="1">
      <c r="A1326" s="11" t="s">
        <v>5956</v>
      </c>
      <c r="B1326" s="2" t="s">
        <v>3195</v>
      </c>
      <c r="C1326" s="2">
        <v>1</v>
      </c>
      <c r="D1326" s="2" t="s">
        <v>1055</v>
      </c>
      <c r="E1326" s="29">
        <f>자재조서!E423</f>
        <v>247320</v>
      </c>
      <c r="F1326" s="29">
        <f t="shared" si="146"/>
        <v>247320</v>
      </c>
      <c r="G1326" s="29">
        <v>0</v>
      </c>
      <c r="H1326" s="29"/>
      <c r="I1326" s="29">
        <v>0</v>
      </c>
      <c r="J1326" s="29"/>
      <c r="K1326" s="29">
        <f t="shared" si="144"/>
        <v>247320</v>
      </c>
      <c r="L1326" s="29">
        <f t="shared" si="143"/>
        <v>247320</v>
      </c>
      <c r="M1326" s="20" t="s">
        <v>6232</v>
      </c>
      <c r="N1326" t="s">
        <v>6232</v>
      </c>
      <c r="P1326" t="s">
        <v>2098</v>
      </c>
      <c r="Q1326" t="s">
        <v>6232</v>
      </c>
      <c r="R1326" t="s">
        <v>1002</v>
      </c>
      <c r="AF1326" s="29">
        <f>F1221+F1220+F1219+F1218</f>
        <v>1579458</v>
      </c>
      <c r="AG1326" s="29">
        <f>H1221+H1220+H1219+H1218</f>
        <v>0</v>
      </c>
      <c r="AH1326" s="29">
        <f>J1221+J1220+J1219+J1218</f>
        <v>0</v>
      </c>
      <c r="BI1326" s="52" t="str">
        <f>HYPERLINK("#자재조서!A423","MV-4500-032025 →")</f>
        <v>MV-4500-032025 →</v>
      </c>
    </row>
    <row r="1327" spans="1:61" ht="18.399999999999999" customHeight="1">
      <c r="A1327" s="11" t="s">
        <v>5956</v>
      </c>
      <c r="B1327" s="2" t="s">
        <v>2223</v>
      </c>
      <c r="C1327" s="2">
        <v>1</v>
      </c>
      <c r="D1327" s="2" t="s">
        <v>1055</v>
      </c>
      <c r="E1327" s="29">
        <f>자재조서!E424</f>
        <v>252830</v>
      </c>
      <c r="F1327" s="29">
        <f t="shared" si="146"/>
        <v>252830</v>
      </c>
      <c r="G1327" s="29">
        <v>0</v>
      </c>
      <c r="H1327" s="29"/>
      <c r="I1327" s="29">
        <v>0</v>
      </c>
      <c r="J1327" s="29"/>
      <c r="K1327" s="29">
        <f t="shared" si="144"/>
        <v>252830</v>
      </c>
      <c r="L1327" s="29">
        <f t="shared" si="143"/>
        <v>252830</v>
      </c>
      <c r="M1327" s="20" t="s">
        <v>6232</v>
      </c>
      <c r="N1327" t="s">
        <v>6232</v>
      </c>
      <c r="P1327" t="s">
        <v>551</v>
      </c>
      <c r="Q1327" t="s">
        <v>6232</v>
      </c>
      <c r="R1327" t="s">
        <v>4309</v>
      </c>
      <c r="BI1327" s="52" t="str">
        <f>HYPERLINK("#자재조서!A424","MV-4500-040025 →")</f>
        <v>MV-4500-040025 →</v>
      </c>
    </row>
    <row r="1328" spans="1:61" ht="18.399999999999999" customHeight="1">
      <c r="A1328" s="11" t="s">
        <v>5956</v>
      </c>
      <c r="B1328" s="2" t="s">
        <v>4190</v>
      </c>
      <c r="C1328" s="2">
        <v>1</v>
      </c>
      <c r="D1328" s="2" t="s">
        <v>1055</v>
      </c>
      <c r="E1328" s="29">
        <f>자재조서!E425</f>
        <v>257810</v>
      </c>
      <c r="F1328" s="29">
        <f t="shared" si="146"/>
        <v>257810</v>
      </c>
      <c r="G1328" s="29">
        <v>0</v>
      </c>
      <c r="H1328" s="29"/>
      <c r="I1328" s="29">
        <v>0</v>
      </c>
      <c r="J1328" s="29"/>
      <c r="K1328" s="29">
        <f t="shared" si="144"/>
        <v>257810</v>
      </c>
      <c r="L1328" s="29">
        <f t="shared" si="143"/>
        <v>257810</v>
      </c>
      <c r="M1328" s="20" t="s">
        <v>6232</v>
      </c>
      <c r="N1328" t="s">
        <v>6232</v>
      </c>
      <c r="P1328" t="s">
        <v>5262</v>
      </c>
      <c r="Q1328" t="s">
        <v>6232</v>
      </c>
      <c r="R1328" t="s">
        <v>2001</v>
      </c>
      <c r="BI1328" s="52" t="str">
        <f>HYPERLINK("#자재조서!A425","MV-4500-040032 →")</f>
        <v>MV-4500-040032 →</v>
      </c>
    </row>
    <row r="1329" spans="1:61" ht="18.399999999999999" customHeight="1">
      <c r="A1329" s="11" t="s">
        <v>5956</v>
      </c>
      <c r="B1329" s="2" t="s">
        <v>217</v>
      </c>
      <c r="C1329" s="2">
        <v>1</v>
      </c>
      <c r="D1329" s="2" t="s">
        <v>1055</v>
      </c>
      <c r="E1329" s="29">
        <f>자재조서!E426</f>
        <v>267530</v>
      </c>
      <c r="F1329" s="29">
        <f t="shared" si="146"/>
        <v>267530</v>
      </c>
      <c r="G1329" s="29">
        <v>0</v>
      </c>
      <c r="H1329" s="29"/>
      <c r="I1329" s="29">
        <v>0</v>
      </c>
      <c r="J1329" s="29"/>
      <c r="K1329" s="29">
        <f t="shared" si="144"/>
        <v>267530</v>
      </c>
      <c r="L1329" s="29">
        <f t="shared" si="143"/>
        <v>267530</v>
      </c>
      <c r="M1329" s="20" t="s">
        <v>6232</v>
      </c>
      <c r="N1329" t="s">
        <v>6232</v>
      </c>
      <c r="P1329" t="s">
        <v>3708</v>
      </c>
      <c r="Q1329" t="s">
        <v>6232</v>
      </c>
      <c r="R1329" t="s">
        <v>5525</v>
      </c>
      <c r="BI1329" s="52" t="str">
        <f>HYPERLINK("#자재조서!A426","MV-4500-050032 →")</f>
        <v>MV-4500-050032 →</v>
      </c>
    </row>
    <row r="1330" spans="1:61" ht="18.399999999999999" customHeight="1">
      <c r="A1330" s="11" t="s">
        <v>5956</v>
      </c>
      <c r="B1330" s="2" t="s">
        <v>331</v>
      </c>
      <c r="C1330" s="2">
        <v>1</v>
      </c>
      <c r="D1330" s="2" t="s">
        <v>1055</v>
      </c>
      <c r="E1330" s="29">
        <f>자재조서!E427</f>
        <v>271930</v>
      </c>
      <c r="F1330" s="29">
        <f t="shared" si="146"/>
        <v>271930</v>
      </c>
      <c r="G1330" s="29">
        <v>0</v>
      </c>
      <c r="H1330" s="29"/>
      <c r="I1330" s="29">
        <v>0</v>
      </c>
      <c r="J1330" s="29"/>
      <c r="K1330" s="29">
        <f t="shared" si="144"/>
        <v>271930</v>
      </c>
      <c r="L1330" s="29">
        <f t="shared" si="143"/>
        <v>271930</v>
      </c>
      <c r="M1330" s="20" t="s">
        <v>6232</v>
      </c>
      <c r="N1330" t="s">
        <v>6232</v>
      </c>
      <c r="P1330" t="s">
        <v>2031</v>
      </c>
      <c r="Q1330" t="s">
        <v>6232</v>
      </c>
      <c r="R1330" t="s">
        <v>186</v>
      </c>
      <c r="BI1330" s="52" t="str">
        <f>HYPERLINK("#자재조서!A427","MV-4500-050040 →")</f>
        <v>MV-4500-050040 →</v>
      </c>
    </row>
    <row r="1331" spans="1:61" ht="18.399999999999999" customHeight="1">
      <c r="A1331" s="11" t="s">
        <v>5956</v>
      </c>
      <c r="B1331" s="2" t="s">
        <v>5035</v>
      </c>
      <c r="C1331" s="2">
        <v>1</v>
      </c>
      <c r="D1331" s="2" t="s">
        <v>1055</v>
      </c>
      <c r="E1331" s="29">
        <f>자재조서!E428</f>
        <v>313150</v>
      </c>
      <c r="F1331" s="29">
        <f t="shared" si="146"/>
        <v>313150</v>
      </c>
      <c r="G1331" s="29">
        <v>0</v>
      </c>
      <c r="H1331" s="29"/>
      <c r="I1331" s="29">
        <v>0</v>
      </c>
      <c r="J1331" s="29"/>
      <c r="K1331" s="29">
        <f t="shared" si="144"/>
        <v>313150</v>
      </c>
      <c r="L1331" s="29">
        <f t="shared" si="143"/>
        <v>313150</v>
      </c>
      <c r="M1331" s="20" t="s">
        <v>6232</v>
      </c>
      <c r="N1331" t="s">
        <v>6232</v>
      </c>
      <c r="P1331" t="s">
        <v>534</v>
      </c>
      <c r="Q1331" t="s">
        <v>6232</v>
      </c>
      <c r="R1331" t="s">
        <v>5704</v>
      </c>
      <c r="BI1331" s="52" t="str">
        <f>HYPERLINK("#자재조서!A428","MV-4500-065040 →")</f>
        <v>MV-4500-065040 →</v>
      </c>
    </row>
    <row r="1332" spans="1:61" ht="18.399999999999999" customHeight="1">
      <c r="A1332" s="11" t="s">
        <v>5956</v>
      </c>
      <c r="B1332" s="2" t="s">
        <v>5626</v>
      </c>
      <c r="C1332" s="2">
        <v>1</v>
      </c>
      <c r="D1332" s="2" t="s">
        <v>1055</v>
      </c>
      <c r="E1332" s="29">
        <f>자재조서!E429</f>
        <v>318250</v>
      </c>
      <c r="F1332" s="29">
        <f t="shared" si="146"/>
        <v>318250</v>
      </c>
      <c r="G1332" s="29">
        <v>0</v>
      </c>
      <c r="H1332" s="29"/>
      <c r="I1332" s="29">
        <v>0</v>
      </c>
      <c r="J1332" s="29"/>
      <c r="K1332" s="29">
        <f t="shared" si="144"/>
        <v>318250</v>
      </c>
      <c r="L1332" s="29">
        <f t="shared" si="143"/>
        <v>318250</v>
      </c>
      <c r="M1332" s="20" t="s">
        <v>6232</v>
      </c>
      <c r="N1332" t="s">
        <v>6232</v>
      </c>
      <c r="P1332" t="s">
        <v>5199</v>
      </c>
      <c r="Q1332" t="s">
        <v>6232</v>
      </c>
      <c r="R1332" t="s">
        <v>4173</v>
      </c>
      <c r="BI1332" s="52" t="str">
        <f>HYPERLINK("#자재조서!A429","MV-4500-065050 →")</f>
        <v>MV-4500-065050 →</v>
      </c>
    </row>
    <row r="1333" spans="1:61" ht="18.399999999999999" customHeight="1">
      <c r="A1333" s="11" t="s">
        <v>5956</v>
      </c>
      <c r="B1333" s="2" t="s">
        <v>5632</v>
      </c>
      <c r="C1333" s="2">
        <v>1</v>
      </c>
      <c r="D1333" s="2" t="s">
        <v>1055</v>
      </c>
      <c r="E1333" s="29">
        <f>자재조서!E430</f>
        <v>330210</v>
      </c>
      <c r="F1333" s="29">
        <f t="shared" si="146"/>
        <v>330210</v>
      </c>
      <c r="G1333" s="29">
        <v>0</v>
      </c>
      <c r="H1333" s="29"/>
      <c r="I1333" s="29">
        <v>0</v>
      </c>
      <c r="J1333" s="29"/>
      <c r="K1333" s="29">
        <f t="shared" si="144"/>
        <v>330210</v>
      </c>
      <c r="L1333" s="29">
        <f t="shared" si="143"/>
        <v>330210</v>
      </c>
      <c r="M1333" s="20" t="s">
        <v>6232</v>
      </c>
      <c r="N1333" t="s">
        <v>6232</v>
      </c>
      <c r="P1333" t="s">
        <v>3684</v>
      </c>
      <c r="Q1333" t="s">
        <v>6232</v>
      </c>
      <c r="R1333" t="s">
        <v>6035</v>
      </c>
      <c r="BI1333" s="52" t="str">
        <f>HYPERLINK("#자재조서!A430","MV-4500-080050 →")</f>
        <v>MV-4500-080050 →</v>
      </c>
    </row>
    <row r="1334" spans="1:61" ht="18.399999999999999" customHeight="1">
      <c r="A1334" s="11" t="s">
        <v>5956</v>
      </c>
      <c r="B1334" s="2" t="s">
        <v>6130</v>
      </c>
      <c r="C1334" s="2">
        <v>1</v>
      </c>
      <c r="D1334" s="2" t="s">
        <v>1055</v>
      </c>
      <c r="E1334" s="29">
        <f>자재조서!E431</f>
        <v>346950</v>
      </c>
      <c r="F1334" s="29">
        <f t="shared" si="146"/>
        <v>346950</v>
      </c>
      <c r="G1334" s="29">
        <v>0</v>
      </c>
      <c r="H1334" s="29"/>
      <c r="I1334" s="29">
        <v>0</v>
      </c>
      <c r="J1334" s="29"/>
      <c r="K1334" s="29">
        <f t="shared" si="144"/>
        <v>346950</v>
      </c>
      <c r="L1334" s="29">
        <f t="shared" si="143"/>
        <v>346950</v>
      </c>
      <c r="M1334" s="20" t="s">
        <v>6232</v>
      </c>
      <c r="N1334" t="s">
        <v>6232</v>
      </c>
      <c r="P1334" t="s">
        <v>1910</v>
      </c>
      <c r="Q1334" t="s">
        <v>6232</v>
      </c>
      <c r="R1334" t="s">
        <v>4368</v>
      </c>
      <c r="BI1334" s="52" t="str">
        <f>HYPERLINK("#자재조서!A431","MV-4500-080065 →")</f>
        <v>MV-4500-080065 →</v>
      </c>
    </row>
    <row r="1335" spans="1:61" ht="18.399999999999999" customHeight="1">
      <c r="A1335" s="11" t="s">
        <v>5956</v>
      </c>
      <c r="B1335" s="2" t="s">
        <v>4217</v>
      </c>
      <c r="C1335" s="2">
        <v>1</v>
      </c>
      <c r="D1335" s="2" t="s">
        <v>1055</v>
      </c>
      <c r="E1335" s="29">
        <f>자재조서!E432</f>
        <v>428790</v>
      </c>
      <c r="F1335" s="29">
        <f t="shared" si="146"/>
        <v>428790</v>
      </c>
      <c r="G1335" s="29">
        <v>0</v>
      </c>
      <c r="H1335" s="29"/>
      <c r="I1335" s="29">
        <v>0</v>
      </c>
      <c r="J1335" s="29"/>
      <c r="K1335" s="29">
        <f t="shared" si="144"/>
        <v>428790</v>
      </c>
      <c r="L1335" s="29">
        <f t="shared" si="143"/>
        <v>428790</v>
      </c>
      <c r="M1335" s="20" t="s">
        <v>6232</v>
      </c>
      <c r="N1335" t="s">
        <v>6232</v>
      </c>
      <c r="P1335" t="s">
        <v>403</v>
      </c>
      <c r="Q1335" t="s">
        <v>6232</v>
      </c>
      <c r="R1335" t="s">
        <v>5049</v>
      </c>
      <c r="BI1335" s="52" t="str">
        <f>HYPERLINK("#자재조서!A432","MV-4500-100065 →")</f>
        <v>MV-4500-100065 →</v>
      </c>
    </row>
    <row r="1336" spans="1:61" ht="18.399999999999999" customHeight="1">
      <c r="A1336" s="11" t="s">
        <v>5956</v>
      </c>
      <c r="B1336" s="2" t="s">
        <v>5482</v>
      </c>
      <c r="C1336" s="2">
        <v>1</v>
      </c>
      <c r="D1336" s="2" t="s">
        <v>1055</v>
      </c>
      <c r="E1336" s="29">
        <f>자재조서!E433</f>
        <v>436490</v>
      </c>
      <c r="F1336" s="29">
        <f t="shared" si="146"/>
        <v>436490</v>
      </c>
      <c r="G1336" s="29">
        <v>0</v>
      </c>
      <c r="H1336" s="29"/>
      <c r="I1336" s="29">
        <v>0</v>
      </c>
      <c r="J1336" s="29"/>
      <c r="K1336" s="29">
        <f t="shared" si="144"/>
        <v>436490</v>
      </c>
      <c r="L1336" s="29">
        <f t="shared" si="143"/>
        <v>436490</v>
      </c>
      <c r="M1336" s="20" t="s">
        <v>6232</v>
      </c>
      <c r="N1336" t="s">
        <v>6232</v>
      </c>
      <c r="P1336" t="s">
        <v>5095</v>
      </c>
      <c r="Q1336" t="s">
        <v>6232</v>
      </c>
      <c r="R1336" t="s">
        <v>5071</v>
      </c>
      <c r="BI1336" s="52" t="str">
        <f>HYPERLINK("#자재조서!A433","MV-4500-100080 →")</f>
        <v>MV-4500-100080 →</v>
      </c>
    </row>
    <row r="1337" spans="1:61" ht="18.399999999999999" customHeight="1">
      <c r="A1337" s="11" t="s">
        <v>5956</v>
      </c>
      <c r="B1337" s="2" t="s">
        <v>3730</v>
      </c>
      <c r="C1337" s="2">
        <v>1</v>
      </c>
      <c r="D1337" s="2" t="s">
        <v>1055</v>
      </c>
      <c r="E1337" s="29">
        <f>자재조서!E434</f>
        <v>459680</v>
      </c>
      <c r="F1337" s="29">
        <f t="shared" si="146"/>
        <v>459680</v>
      </c>
      <c r="G1337" s="29">
        <v>0</v>
      </c>
      <c r="H1337" s="29"/>
      <c r="I1337" s="29">
        <v>0</v>
      </c>
      <c r="J1337" s="29"/>
      <c r="K1337" s="29">
        <f t="shared" si="144"/>
        <v>459680</v>
      </c>
      <c r="L1337" s="29">
        <f t="shared" si="143"/>
        <v>459680</v>
      </c>
      <c r="M1337" s="20" t="s">
        <v>6232</v>
      </c>
      <c r="N1337" t="s">
        <v>6232</v>
      </c>
      <c r="P1337" t="s">
        <v>3558</v>
      </c>
      <c r="Q1337" t="s">
        <v>6232</v>
      </c>
      <c r="R1337" t="s">
        <v>3169</v>
      </c>
      <c r="BI1337" s="52" t="str">
        <f>HYPERLINK("#자재조서!A434","MV-4500-125080 →")</f>
        <v>MV-4500-125080 →</v>
      </c>
    </row>
    <row r="1338" spans="1:61" ht="18.399999999999999" customHeight="1">
      <c r="A1338" s="11" t="s">
        <v>5956</v>
      </c>
      <c r="B1338" s="2" t="s">
        <v>4630</v>
      </c>
      <c r="C1338" s="2">
        <v>1</v>
      </c>
      <c r="D1338" s="2" t="s">
        <v>1055</v>
      </c>
      <c r="E1338" s="29">
        <f>자재조서!E435</f>
        <v>472640</v>
      </c>
      <c r="F1338" s="29">
        <f t="shared" si="146"/>
        <v>472640</v>
      </c>
      <c r="G1338" s="29">
        <v>0</v>
      </c>
      <c r="H1338" s="29"/>
      <c r="I1338" s="29">
        <v>0</v>
      </c>
      <c r="J1338" s="29"/>
      <c r="K1338" s="29">
        <f t="shared" si="144"/>
        <v>472640</v>
      </c>
      <c r="L1338" s="29">
        <f t="shared" si="143"/>
        <v>472640</v>
      </c>
      <c r="M1338" s="20" t="s">
        <v>6232</v>
      </c>
      <c r="N1338" t="s">
        <v>6232</v>
      </c>
      <c r="P1338" t="s">
        <v>2214</v>
      </c>
      <c r="Q1338" t="s">
        <v>6232</v>
      </c>
      <c r="R1338" t="s">
        <v>4541</v>
      </c>
      <c r="BI1338" s="52" t="str">
        <f>HYPERLINK("#자재조서!A435","MV-4500-125100 →")</f>
        <v>MV-4500-125100 →</v>
      </c>
    </row>
    <row r="1339" spans="1:61" ht="18.399999999999999" customHeight="1">
      <c r="A1339" s="11" t="s">
        <v>5956</v>
      </c>
      <c r="B1339" s="2" t="s">
        <v>3133</v>
      </c>
      <c r="C1339" s="2">
        <v>1</v>
      </c>
      <c r="D1339" s="2" t="s">
        <v>1055</v>
      </c>
      <c r="E1339" s="29">
        <f>자재조서!E436</f>
        <v>503010</v>
      </c>
      <c r="F1339" s="29">
        <f t="shared" si="146"/>
        <v>503010</v>
      </c>
      <c r="G1339" s="29">
        <v>0</v>
      </c>
      <c r="H1339" s="29"/>
      <c r="I1339" s="29">
        <v>0</v>
      </c>
      <c r="J1339" s="29"/>
      <c r="K1339" s="29">
        <f t="shared" si="144"/>
        <v>503010</v>
      </c>
      <c r="L1339" s="29">
        <f t="shared" si="143"/>
        <v>503010</v>
      </c>
      <c r="M1339" s="20" t="s">
        <v>6232</v>
      </c>
      <c r="N1339" t="s">
        <v>6232</v>
      </c>
      <c r="P1339" t="s">
        <v>706</v>
      </c>
      <c r="Q1339" t="s">
        <v>6232</v>
      </c>
      <c r="R1339" t="s">
        <v>3823</v>
      </c>
      <c r="BI1339" s="52" t="str">
        <f>HYPERLINK("#자재조서!A436","MV-4500-150100 →")</f>
        <v>MV-4500-150100 →</v>
      </c>
    </row>
    <row r="1340" spans="1:61" ht="18.399999999999999" customHeight="1">
      <c r="A1340" s="11" t="s">
        <v>5956</v>
      </c>
      <c r="B1340" s="2" t="s">
        <v>4107</v>
      </c>
      <c r="C1340" s="2">
        <v>1</v>
      </c>
      <c r="D1340" s="2" t="s">
        <v>1055</v>
      </c>
      <c r="E1340" s="29">
        <f>자재조서!E437</f>
        <v>510710</v>
      </c>
      <c r="F1340" s="29">
        <f t="shared" si="146"/>
        <v>510710</v>
      </c>
      <c r="G1340" s="29">
        <v>0</v>
      </c>
      <c r="H1340" s="29"/>
      <c r="I1340" s="29">
        <v>0</v>
      </c>
      <c r="J1340" s="29"/>
      <c r="K1340" s="29">
        <f t="shared" si="144"/>
        <v>510710</v>
      </c>
      <c r="L1340" s="29">
        <f t="shared" si="143"/>
        <v>510710</v>
      </c>
      <c r="M1340" s="20" t="s">
        <v>6232</v>
      </c>
      <c r="N1340" t="s">
        <v>6232</v>
      </c>
      <c r="P1340" t="s">
        <v>2404</v>
      </c>
      <c r="Q1340" t="s">
        <v>6232</v>
      </c>
      <c r="R1340" t="s">
        <v>3570</v>
      </c>
      <c r="BI1340" s="52" t="str">
        <f>HYPERLINK("#자재조서!A437","MV-4500-150125 →")</f>
        <v>MV-4500-150125 →</v>
      </c>
    </row>
    <row r="1341" spans="1:61" ht="18.399999999999999" customHeight="1">
      <c r="A1341" s="11" t="s">
        <v>5956</v>
      </c>
      <c r="B1341" s="2" t="s">
        <v>5768</v>
      </c>
      <c r="C1341" s="2">
        <v>1</v>
      </c>
      <c r="D1341" s="2" t="s">
        <v>1055</v>
      </c>
      <c r="E1341" s="29">
        <f>자재조서!E438</f>
        <v>562720</v>
      </c>
      <c r="F1341" s="29">
        <f t="shared" si="146"/>
        <v>562720</v>
      </c>
      <c r="G1341" s="29">
        <v>0</v>
      </c>
      <c r="H1341" s="29"/>
      <c r="I1341" s="29">
        <v>0</v>
      </c>
      <c r="J1341" s="29"/>
      <c r="K1341" s="29">
        <f t="shared" si="144"/>
        <v>562720</v>
      </c>
      <c r="L1341" s="29">
        <f t="shared" si="143"/>
        <v>562720</v>
      </c>
      <c r="M1341" s="20" t="s">
        <v>6232</v>
      </c>
      <c r="N1341" t="s">
        <v>6232</v>
      </c>
      <c r="P1341" t="s">
        <v>824</v>
      </c>
      <c r="Q1341" t="s">
        <v>6232</v>
      </c>
      <c r="R1341" t="s">
        <v>1845</v>
      </c>
      <c r="BI1341" s="52" t="str">
        <f>HYPERLINK("#자재조서!A438","MV-4500-200125 →")</f>
        <v>MV-4500-200125 →</v>
      </c>
    </row>
    <row r="1342" spans="1:61" ht="18.399999999999999" customHeight="1">
      <c r="A1342" s="11" t="s">
        <v>5956</v>
      </c>
      <c r="B1342" s="2" t="s">
        <v>1075</v>
      </c>
      <c r="C1342" s="2">
        <v>1</v>
      </c>
      <c r="D1342" s="2" t="s">
        <v>1055</v>
      </c>
      <c r="E1342" s="29">
        <f>자재조서!E439</f>
        <v>570890</v>
      </c>
      <c r="F1342" s="29">
        <f t="shared" si="146"/>
        <v>570890</v>
      </c>
      <c r="G1342" s="29">
        <v>0</v>
      </c>
      <c r="H1342" s="29"/>
      <c r="I1342" s="29">
        <v>0</v>
      </c>
      <c r="J1342" s="29"/>
      <c r="K1342" s="29">
        <f t="shared" si="144"/>
        <v>570890</v>
      </c>
      <c r="L1342" s="29">
        <f t="shared" si="143"/>
        <v>570890</v>
      </c>
      <c r="M1342" s="20" t="s">
        <v>6232</v>
      </c>
      <c r="N1342" t="s">
        <v>6232</v>
      </c>
      <c r="P1342" t="s">
        <v>5468</v>
      </c>
      <c r="Q1342" t="s">
        <v>6232</v>
      </c>
      <c r="R1342" t="s">
        <v>109</v>
      </c>
      <c r="BI1342" s="52" t="str">
        <f>HYPERLINK("#자재조서!A439","MV-4500-200150 →")</f>
        <v>MV-4500-200150 →</v>
      </c>
    </row>
    <row r="1343" spans="1:61" ht="18.399999999999999" customHeight="1">
      <c r="A1343" s="11" t="s">
        <v>5956</v>
      </c>
      <c r="B1343" s="2" t="s">
        <v>3352</v>
      </c>
      <c r="C1343" s="2">
        <v>1</v>
      </c>
      <c r="D1343" s="2" t="s">
        <v>1055</v>
      </c>
      <c r="E1343" s="29">
        <f>자재조서!E440</f>
        <v>758390</v>
      </c>
      <c r="F1343" s="29">
        <f t="shared" si="146"/>
        <v>758390</v>
      </c>
      <c r="G1343" s="29">
        <v>0</v>
      </c>
      <c r="H1343" s="29"/>
      <c r="I1343" s="29">
        <v>0</v>
      </c>
      <c r="J1343" s="29"/>
      <c r="K1343" s="29">
        <f t="shared" si="144"/>
        <v>758390</v>
      </c>
      <c r="L1343" s="29">
        <f t="shared" si="143"/>
        <v>758390</v>
      </c>
      <c r="M1343" s="20" t="s">
        <v>6232</v>
      </c>
      <c r="N1343" t="s">
        <v>6232</v>
      </c>
      <c r="P1343" t="s">
        <v>3893</v>
      </c>
      <c r="Q1343" t="s">
        <v>6232</v>
      </c>
      <c r="R1343" t="s">
        <v>2824</v>
      </c>
      <c r="BI1343" s="52" t="str">
        <f>HYPERLINK("#자재조서!A440","MV-4500-250150 →")</f>
        <v>MV-4500-250150 →</v>
      </c>
    </row>
    <row r="1344" spans="1:61" ht="18.399999999999999" customHeight="1">
      <c r="A1344" s="11" t="s">
        <v>5956</v>
      </c>
      <c r="B1344" s="2" t="s">
        <v>3467</v>
      </c>
      <c r="C1344" s="2">
        <v>1</v>
      </c>
      <c r="D1344" s="2" t="s">
        <v>1055</v>
      </c>
      <c r="E1344" s="29">
        <f>자재조서!E441</f>
        <v>790350</v>
      </c>
      <c r="F1344" s="29">
        <f t="shared" si="146"/>
        <v>790350</v>
      </c>
      <c r="G1344" s="29">
        <v>0</v>
      </c>
      <c r="H1344" s="29"/>
      <c r="I1344" s="29">
        <v>0</v>
      </c>
      <c r="J1344" s="29"/>
      <c r="K1344" s="29">
        <f t="shared" si="144"/>
        <v>790350</v>
      </c>
      <c r="L1344" s="29">
        <f t="shared" si="143"/>
        <v>790350</v>
      </c>
      <c r="M1344" s="20" t="s">
        <v>6232</v>
      </c>
      <c r="N1344" t="s">
        <v>6232</v>
      </c>
      <c r="P1344" t="s">
        <v>2497</v>
      </c>
      <c r="Q1344" t="s">
        <v>6232</v>
      </c>
      <c r="R1344" t="s">
        <v>2549</v>
      </c>
      <c r="BI1344" s="52" t="str">
        <f>HYPERLINK("#자재조서!A441","MV-4500-250200 →")</f>
        <v>MV-4500-250200 →</v>
      </c>
    </row>
    <row r="1345" spans="1:61" ht="18.399999999999999" customHeight="1">
      <c r="A1345" s="11" t="s">
        <v>5956</v>
      </c>
      <c r="B1345" s="2" t="s">
        <v>4423</v>
      </c>
      <c r="C1345" s="2">
        <v>1</v>
      </c>
      <c r="D1345" s="2" t="s">
        <v>1055</v>
      </c>
      <c r="E1345" s="29">
        <f>자재조서!E442</f>
        <v>865060</v>
      </c>
      <c r="F1345" s="29">
        <f t="shared" si="146"/>
        <v>865060</v>
      </c>
      <c r="G1345" s="29">
        <v>0</v>
      </c>
      <c r="H1345" s="29"/>
      <c r="I1345" s="29">
        <v>0</v>
      </c>
      <c r="J1345" s="29"/>
      <c r="K1345" s="29">
        <f t="shared" si="144"/>
        <v>865060</v>
      </c>
      <c r="L1345" s="29">
        <f t="shared" si="143"/>
        <v>865060</v>
      </c>
      <c r="M1345" s="20" t="s">
        <v>6232</v>
      </c>
      <c r="N1345" t="s">
        <v>6232</v>
      </c>
      <c r="P1345" t="s">
        <v>917</v>
      </c>
      <c r="Q1345" t="s">
        <v>6232</v>
      </c>
      <c r="R1345" t="s">
        <v>4552</v>
      </c>
      <c r="BI1345" s="52" t="str">
        <f>HYPERLINK("#자재조서!A442","MV-4500-300200 →")</f>
        <v>MV-4500-300200 →</v>
      </c>
    </row>
    <row r="1346" spans="1:61" ht="18.399999999999999" customHeight="1">
      <c r="A1346" s="11" t="s">
        <v>5956</v>
      </c>
      <c r="B1346" s="2" t="s">
        <v>2239</v>
      </c>
      <c r="C1346" s="2">
        <v>1</v>
      </c>
      <c r="D1346" s="2" t="s">
        <v>1055</v>
      </c>
      <c r="E1346" s="29">
        <f>자재조서!E443</f>
        <v>915890</v>
      </c>
      <c r="F1346" s="29">
        <f t="shared" si="146"/>
        <v>915890</v>
      </c>
      <c r="G1346" s="29">
        <v>0</v>
      </c>
      <c r="H1346" s="29"/>
      <c r="I1346" s="29">
        <v>0</v>
      </c>
      <c r="J1346" s="29"/>
      <c r="K1346" s="29">
        <f t="shared" si="144"/>
        <v>915890</v>
      </c>
      <c r="L1346" s="29">
        <f t="shared" si="143"/>
        <v>915890</v>
      </c>
      <c r="M1346" s="20" t="s">
        <v>6232</v>
      </c>
      <c r="N1346" t="s">
        <v>6232</v>
      </c>
      <c r="P1346" t="s">
        <v>5565</v>
      </c>
      <c r="Q1346" t="s">
        <v>6232</v>
      </c>
      <c r="R1346" t="s">
        <v>6058</v>
      </c>
      <c r="BI1346" s="52" t="str">
        <f>HYPERLINK("#자재조서!A443","MV-4500-300250 →")</f>
        <v>MV-4500-300250 →</v>
      </c>
    </row>
    <row r="1347" spans="1:61" ht="18.399999999999999" customHeight="1">
      <c r="A1347" s="11" t="s">
        <v>5956</v>
      </c>
      <c r="B1347" s="2" t="s">
        <v>6069</v>
      </c>
      <c r="C1347" s="2">
        <v>1</v>
      </c>
      <c r="D1347" s="2" t="s">
        <v>1055</v>
      </c>
      <c r="E1347" s="29">
        <f>자재조서!E444</f>
        <v>1040880</v>
      </c>
      <c r="F1347" s="29">
        <f t="shared" si="146"/>
        <v>1040880</v>
      </c>
      <c r="G1347" s="29">
        <v>0</v>
      </c>
      <c r="H1347" s="29"/>
      <c r="I1347" s="29">
        <v>0</v>
      </c>
      <c r="J1347" s="29"/>
      <c r="K1347" s="29">
        <f t="shared" si="144"/>
        <v>1040880</v>
      </c>
      <c r="L1347" s="29">
        <f t="shared" si="143"/>
        <v>1040880</v>
      </c>
      <c r="M1347" s="20" t="s">
        <v>6232</v>
      </c>
      <c r="N1347" t="s">
        <v>6232</v>
      </c>
      <c r="P1347" t="s">
        <v>3986</v>
      </c>
      <c r="Q1347" t="s">
        <v>6232</v>
      </c>
      <c r="R1347" t="s">
        <v>3336</v>
      </c>
      <c r="BI1347" s="52" t="str">
        <f>HYPERLINK("#자재조서!A444","MV-4500-350250 →")</f>
        <v>MV-4500-350250 →</v>
      </c>
    </row>
    <row r="1348" spans="1:61" ht="18.399999999999999" customHeight="1">
      <c r="A1348" s="11" t="s">
        <v>5956</v>
      </c>
      <c r="B1348" s="2" t="s">
        <v>2801</v>
      </c>
      <c r="C1348" s="2">
        <v>1</v>
      </c>
      <c r="D1348" s="2" t="s">
        <v>1055</v>
      </c>
      <c r="E1348" s="29">
        <f>자재조서!E445</f>
        <v>1085820</v>
      </c>
      <c r="F1348" s="29">
        <f t="shared" si="146"/>
        <v>1085820</v>
      </c>
      <c r="G1348" s="29">
        <v>0</v>
      </c>
      <c r="H1348" s="29"/>
      <c r="I1348" s="29">
        <v>0</v>
      </c>
      <c r="J1348" s="29"/>
      <c r="K1348" s="29">
        <f t="shared" si="144"/>
        <v>1085820</v>
      </c>
      <c r="L1348" s="29">
        <f t="shared" si="143"/>
        <v>1085820</v>
      </c>
      <c r="M1348" s="20" t="s">
        <v>6232</v>
      </c>
      <c r="N1348" t="s">
        <v>6232</v>
      </c>
      <c r="P1348" t="s">
        <v>2590</v>
      </c>
      <c r="Q1348" t="s">
        <v>6232</v>
      </c>
      <c r="R1348" t="s">
        <v>6120</v>
      </c>
      <c r="BI1348" s="52" t="str">
        <f>HYPERLINK("#자재조서!A445","MV-4500-350300 →")</f>
        <v>MV-4500-350300 →</v>
      </c>
    </row>
    <row r="1349" spans="1:61" ht="18.399999999999999" customHeight="1">
      <c r="A1349" s="11" t="s">
        <v>5956</v>
      </c>
      <c r="B1349" s="2" t="s">
        <v>4912</v>
      </c>
      <c r="C1349" s="2">
        <v>1</v>
      </c>
      <c r="D1349" s="2" t="s">
        <v>1055</v>
      </c>
      <c r="E1349" s="29">
        <f>자재조서!E446</f>
        <v>1214150</v>
      </c>
      <c r="F1349" s="29">
        <f t="shared" si="146"/>
        <v>1214150</v>
      </c>
      <c r="G1349" s="29">
        <v>0</v>
      </c>
      <c r="H1349" s="29"/>
      <c r="I1349" s="29">
        <v>0</v>
      </c>
      <c r="J1349" s="29"/>
      <c r="K1349" s="29">
        <f t="shared" si="144"/>
        <v>1214150</v>
      </c>
      <c r="L1349" s="29">
        <f t="shared" si="143"/>
        <v>1214150</v>
      </c>
      <c r="M1349" s="20" t="s">
        <v>6232</v>
      </c>
      <c r="N1349" t="s">
        <v>6232</v>
      </c>
      <c r="P1349" t="s">
        <v>1003</v>
      </c>
      <c r="Q1349" t="s">
        <v>6232</v>
      </c>
      <c r="R1349" t="s">
        <v>1245</v>
      </c>
      <c r="BI1349" s="52" t="str">
        <f>HYPERLINK("#자재조서!A446","MV-4500-400300 →")</f>
        <v>MV-4500-400300 →</v>
      </c>
    </row>
    <row r="1350" spans="1:61" ht="18.399999999999999" customHeight="1">
      <c r="A1350" s="11" t="s">
        <v>5956</v>
      </c>
      <c r="B1350" s="2" t="s">
        <v>784</v>
      </c>
      <c r="C1350" s="2">
        <v>1</v>
      </c>
      <c r="D1350" s="2" t="s">
        <v>1055</v>
      </c>
      <c r="E1350" s="29">
        <f>자재조서!E447</f>
        <v>1246050</v>
      </c>
      <c r="F1350" s="29">
        <f t="shared" si="146"/>
        <v>1246050</v>
      </c>
      <c r="G1350" s="29">
        <v>0</v>
      </c>
      <c r="H1350" s="29"/>
      <c r="I1350" s="29">
        <v>0</v>
      </c>
      <c r="J1350" s="29"/>
      <c r="K1350" s="29">
        <f t="shared" si="144"/>
        <v>1246050</v>
      </c>
      <c r="L1350" s="29">
        <f t="shared" si="143"/>
        <v>1246050</v>
      </c>
      <c r="M1350" s="20" t="s">
        <v>6232</v>
      </c>
      <c r="N1350" t="s">
        <v>6232</v>
      </c>
      <c r="P1350" t="s">
        <v>1392</v>
      </c>
      <c r="Q1350" t="s">
        <v>6232</v>
      </c>
      <c r="R1350" t="s">
        <v>2835</v>
      </c>
      <c r="BI1350" s="52" t="str">
        <f>HYPERLINK("#자재조서!A447","MV-4500-400350 →")</f>
        <v>MV-4500-400350 →</v>
      </c>
    </row>
    <row r="1351" spans="1:61" ht="18.399999999999999" customHeight="1">
      <c r="A1351" s="11" t="s">
        <v>5956</v>
      </c>
      <c r="B1351" s="2" t="s">
        <v>3241</v>
      </c>
      <c r="C1351" s="2">
        <v>1</v>
      </c>
      <c r="D1351" s="2" t="s">
        <v>1055</v>
      </c>
      <c r="E1351" s="29">
        <f>자재조서!E448</f>
        <v>1460050</v>
      </c>
      <c r="F1351" s="29">
        <f t="shared" si="146"/>
        <v>1460050</v>
      </c>
      <c r="G1351" s="29">
        <v>0</v>
      </c>
      <c r="H1351" s="29"/>
      <c r="I1351" s="29">
        <v>0</v>
      </c>
      <c r="J1351" s="29"/>
      <c r="K1351" s="29">
        <f t="shared" si="144"/>
        <v>1460050</v>
      </c>
      <c r="L1351" s="29">
        <f t="shared" si="143"/>
        <v>1460050</v>
      </c>
      <c r="M1351" s="20" t="s">
        <v>6232</v>
      </c>
      <c r="N1351" t="s">
        <v>6232</v>
      </c>
      <c r="P1351" t="s">
        <v>2950</v>
      </c>
      <c r="Q1351" t="s">
        <v>6232</v>
      </c>
      <c r="R1351" t="s">
        <v>151</v>
      </c>
      <c r="BI1351" s="52" t="str">
        <f>HYPERLINK("#자재조서!A448","MV-4500-450350 →")</f>
        <v>MV-4500-450350 →</v>
      </c>
    </row>
    <row r="1352" spans="1:61" ht="18.399999999999999" customHeight="1">
      <c r="A1352" s="11" t="s">
        <v>5956</v>
      </c>
      <c r="B1352" s="2" t="s">
        <v>5152</v>
      </c>
      <c r="C1352" s="2">
        <v>1</v>
      </c>
      <c r="D1352" s="2" t="s">
        <v>1055</v>
      </c>
      <c r="E1352" s="29">
        <f>자재조서!E449</f>
        <v>1476600</v>
      </c>
      <c r="F1352" s="29">
        <f t="shared" si="146"/>
        <v>1476600</v>
      </c>
      <c r="G1352" s="29">
        <v>0</v>
      </c>
      <c r="H1352" s="29"/>
      <c r="I1352" s="29">
        <v>0</v>
      </c>
      <c r="J1352" s="29"/>
      <c r="K1352" s="29">
        <f t="shared" si="144"/>
        <v>1476600</v>
      </c>
      <c r="L1352" s="29">
        <f t="shared" si="143"/>
        <v>1476600</v>
      </c>
      <c r="M1352" s="20" t="s">
        <v>6232</v>
      </c>
      <c r="N1352" t="s">
        <v>6232</v>
      </c>
      <c r="P1352" t="s">
        <v>4459</v>
      </c>
      <c r="Q1352" t="s">
        <v>6232</v>
      </c>
      <c r="R1352" t="s">
        <v>4812</v>
      </c>
      <c r="BI1352" s="52" t="str">
        <f>HYPERLINK("#자재조서!A449","MV-4500-450400 →")</f>
        <v>MV-4500-450400 →</v>
      </c>
    </row>
    <row r="1353" spans="1:61" ht="18.399999999999999" customHeight="1">
      <c r="A1353" s="11" t="s">
        <v>5956</v>
      </c>
      <c r="B1353" s="2" t="s">
        <v>5772</v>
      </c>
      <c r="C1353" s="2">
        <v>1</v>
      </c>
      <c r="D1353" s="2" t="s">
        <v>1055</v>
      </c>
      <c r="E1353" s="29">
        <f>자재조서!E450</f>
        <v>1698180</v>
      </c>
      <c r="F1353" s="29">
        <f t="shared" si="146"/>
        <v>1698180</v>
      </c>
      <c r="G1353" s="29">
        <v>0</v>
      </c>
      <c r="H1353" s="29"/>
      <c r="I1353" s="29">
        <v>0</v>
      </c>
      <c r="J1353" s="29"/>
      <c r="K1353" s="29">
        <f t="shared" si="144"/>
        <v>1698180</v>
      </c>
      <c r="L1353" s="29">
        <f t="shared" ref="L1353:L1416" si="147">F1353+H1353+J1353</f>
        <v>1698180</v>
      </c>
      <c r="M1353" s="20" t="s">
        <v>6232</v>
      </c>
      <c r="N1353" t="s">
        <v>6232</v>
      </c>
      <c r="P1353" t="s">
        <v>6052</v>
      </c>
      <c r="Q1353" t="s">
        <v>6232</v>
      </c>
      <c r="R1353" t="s">
        <v>454</v>
      </c>
      <c r="BI1353" s="52" t="str">
        <f>HYPERLINK("#자재조서!A450","MV-4500-500400 →")</f>
        <v>MV-4500-500400 →</v>
      </c>
    </row>
    <row r="1354" spans="1:61" ht="18.399999999999999" customHeight="1">
      <c r="A1354" s="11" t="s">
        <v>5956</v>
      </c>
      <c r="B1354" s="2" t="s">
        <v>145</v>
      </c>
      <c r="C1354" s="2">
        <v>1</v>
      </c>
      <c r="D1354" s="2" t="s">
        <v>1055</v>
      </c>
      <c r="E1354" s="29">
        <f>자재조서!E451</f>
        <v>1717090</v>
      </c>
      <c r="F1354" s="29">
        <f t="shared" si="146"/>
        <v>1717090</v>
      </c>
      <c r="G1354" s="29">
        <v>0</v>
      </c>
      <c r="H1354" s="29"/>
      <c r="I1354" s="29">
        <v>0</v>
      </c>
      <c r="J1354" s="29"/>
      <c r="K1354" s="29">
        <f t="shared" ref="K1354:K1417" si="148">E1354+G1354+I1354</f>
        <v>1717090</v>
      </c>
      <c r="L1354" s="29">
        <f t="shared" si="147"/>
        <v>1717090</v>
      </c>
      <c r="M1354" s="20" t="s">
        <v>6232</v>
      </c>
      <c r="N1354" t="s">
        <v>6232</v>
      </c>
      <c r="P1354" t="s">
        <v>1494</v>
      </c>
      <c r="Q1354" t="s">
        <v>6232</v>
      </c>
      <c r="R1354" t="s">
        <v>2085</v>
      </c>
      <c r="BI1354" s="52" t="str">
        <f>HYPERLINK("#자재조서!A451","MV-4500-500450 →")</f>
        <v>MV-4500-500450 →</v>
      </c>
    </row>
    <row r="1355" spans="1:61" ht="18.399999999999999" customHeight="1">
      <c r="A1355" s="11" t="s">
        <v>5956</v>
      </c>
      <c r="B1355" s="2" t="s">
        <v>3912</v>
      </c>
      <c r="C1355" s="2">
        <v>1</v>
      </c>
      <c r="D1355" s="2" t="s">
        <v>1055</v>
      </c>
      <c r="E1355" s="29">
        <f>자재조서!E452</f>
        <v>1855850</v>
      </c>
      <c r="F1355" s="29">
        <f t="shared" si="146"/>
        <v>1855850</v>
      </c>
      <c r="G1355" s="29">
        <v>0</v>
      </c>
      <c r="H1355" s="29"/>
      <c r="I1355" s="29">
        <v>0</v>
      </c>
      <c r="J1355" s="29"/>
      <c r="K1355" s="29">
        <f t="shared" si="148"/>
        <v>1855850</v>
      </c>
      <c r="L1355" s="29">
        <f t="shared" si="147"/>
        <v>1855850</v>
      </c>
      <c r="M1355" s="20" t="s">
        <v>6232</v>
      </c>
      <c r="N1355" t="s">
        <v>6232</v>
      </c>
      <c r="P1355" t="s">
        <v>3075</v>
      </c>
      <c r="Q1355" t="s">
        <v>6232</v>
      </c>
      <c r="R1355" t="s">
        <v>923</v>
      </c>
      <c r="BI1355" s="52" t="str">
        <f>HYPERLINK("#자재조서!A452","MV-4500-550450 →")</f>
        <v>MV-4500-550450 →</v>
      </c>
    </row>
    <row r="1356" spans="1:61" ht="18.399999999999999" customHeight="1">
      <c r="A1356" s="11" t="s">
        <v>5956</v>
      </c>
      <c r="B1356" s="2" t="s">
        <v>1141</v>
      </c>
      <c r="C1356" s="2">
        <v>1</v>
      </c>
      <c r="D1356" s="2" t="s">
        <v>1055</v>
      </c>
      <c r="E1356" s="29">
        <f>자재조서!E453</f>
        <v>1906430</v>
      </c>
      <c r="F1356" s="29">
        <f t="shared" si="146"/>
        <v>1906430</v>
      </c>
      <c r="G1356" s="29">
        <v>0</v>
      </c>
      <c r="H1356" s="29"/>
      <c r="I1356" s="29">
        <v>0</v>
      </c>
      <c r="J1356" s="29"/>
      <c r="K1356" s="29">
        <f t="shared" si="148"/>
        <v>1906430</v>
      </c>
      <c r="L1356" s="29">
        <f t="shared" si="147"/>
        <v>1906430</v>
      </c>
      <c r="M1356" s="20" t="s">
        <v>6232</v>
      </c>
      <c r="N1356" t="s">
        <v>6232</v>
      </c>
      <c r="P1356" t="s">
        <v>4558</v>
      </c>
      <c r="Q1356" t="s">
        <v>6232</v>
      </c>
      <c r="R1356" t="s">
        <v>2038</v>
      </c>
      <c r="BI1356" s="52" t="str">
        <f>HYPERLINK("#자재조서!A453","MV-4500-550500 →")</f>
        <v>MV-4500-550500 →</v>
      </c>
    </row>
    <row r="1357" spans="1:61" ht="18.399999999999999" customHeight="1">
      <c r="A1357" s="11" t="s">
        <v>5956</v>
      </c>
      <c r="B1357" s="2" t="s">
        <v>2609</v>
      </c>
      <c r="C1357" s="2">
        <v>1</v>
      </c>
      <c r="D1357" s="2" t="s">
        <v>1055</v>
      </c>
      <c r="E1357" s="29">
        <f>자재조서!E454</f>
        <v>2416200</v>
      </c>
      <c r="F1357" s="29">
        <f t="shared" si="146"/>
        <v>2416200</v>
      </c>
      <c r="G1357" s="29">
        <v>0</v>
      </c>
      <c r="H1357" s="29"/>
      <c r="I1357" s="29">
        <v>0</v>
      </c>
      <c r="J1357" s="29"/>
      <c r="K1357" s="29">
        <f t="shared" si="148"/>
        <v>2416200</v>
      </c>
      <c r="L1357" s="29">
        <f t="shared" si="147"/>
        <v>2416200</v>
      </c>
      <c r="M1357" s="20" t="s">
        <v>6232</v>
      </c>
      <c r="N1357" t="s">
        <v>6232</v>
      </c>
      <c r="P1357" t="s">
        <v>6166</v>
      </c>
      <c r="Q1357" t="s">
        <v>6232</v>
      </c>
      <c r="R1357" t="s">
        <v>3338</v>
      </c>
      <c r="BI1357" s="52" t="str">
        <f>HYPERLINK("#자재조서!A454","MV-4500-600500 →")</f>
        <v>MV-4500-600500 →</v>
      </c>
    </row>
    <row r="1358" spans="1:61" ht="18.399999999999999" customHeight="1">
      <c r="A1358" s="11" t="s">
        <v>5956</v>
      </c>
      <c r="B1358" s="2" t="s">
        <v>3077</v>
      </c>
      <c r="C1358" s="2">
        <v>1</v>
      </c>
      <c r="D1358" s="2" t="s">
        <v>1055</v>
      </c>
      <c r="E1358" s="29">
        <f>자재조서!E455</f>
        <v>2130540</v>
      </c>
      <c r="F1358" s="29">
        <f t="shared" si="146"/>
        <v>2130540</v>
      </c>
      <c r="G1358" s="29">
        <v>0</v>
      </c>
      <c r="H1358" s="29"/>
      <c r="I1358" s="29">
        <v>0</v>
      </c>
      <c r="J1358" s="29"/>
      <c r="K1358" s="29">
        <f t="shared" si="148"/>
        <v>2130540</v>
      </c>
      <c r="L1358" s="29">
        <f t="shared" si="147"/>
        <v>2130540</v>
      </c>
      <c r="M1358" s="20" t="s">
        <v>6232</v>
      </c>
      <c r="N1358" t="s">
        <v>6232</v>
      </c>
      <c r="P1358" t="s">
        <v>1208</v>
      </c>
      <c r="Q1358" t="s">
        <v>6232</v>
      </c>
      <c r="R1358" t="s">
        <v>5033</v>
      </c>
      <c r="BI1358" s="52" t="str">
        <f>HYPERLINK("#자재조서!A455","MV-4500-600550 →")</f>
        <v>MV-4500-600550 →</v>
      </c>
    </row>
    <row r="1359" spans="1:61" ht="18.399999999999999" customHeight="1">
      <c r="A1359" s="11" t="s">
        <v>5956</v>
      </c>
      <c r="B1359" s="2" t="s">
        <v>949</v>
      </c>
      <c r="C1359" s="2">
        <v>1</v>
      </c>
      <c r="D1359" s="2" t="s">
        <v>1055</v>
      </c>
      <c r="E1359" s="29">
        <f>자재조서!E456</f>
        <v>2930520</v>
      </c>
      <c r="F1359" s="29">
        <f t="shared" si="146"/>
        <v>2930520</v>
      </c>
      <c r="G1359" s="29">
        <v>0</v>
      </c>
      <c r="H1359" s="29"/>
      <c r="I1359" s="29">
        <v>0</v>
      </c>
      <c r="J1359" s="29"/>
      <c r="K1359" s="29">
        <f t="shared" si="148"/>
        <v>2930520</v>
      </c>
      <c r="L1359" s="29">
        <f t="shared" si="147"/>
        <v>2930520</v>
      </c>
      <c r="M1359" s="20" t="s">
        <v>6232</v>
      </c>
      <c r="N1359" t="s">
        <v>6232</v>
      </c>
      <c r="P1359" t="s">
        <v>2774</v>
      </c>
      <c r="Q1359" t="s">
        <v>6232</v>
      </c>
      <c r="R1359" t="s">
        <v>4625</v>
      </c>
      <c r="BI1359" s="52" t="str">
        <f>HYPERLINK("#자재조서!A456","MV-4500-650550 →")</f>
        <v>MV-4500-650550 →</v>
      </c>
    </row>
    <row r="1360" spans="1:61" ht="18.399999999999999" customHeight="1">
      <c r="A1360" s="11" t="s">
        <v>5956</v>
      </c>
      <c r="B1360" s="2" t="s">
        <v>816</v>
      </c>
      <c r="C1360" s="2">
        <v>1</v>
      </c>
      <c r="D1360" s="2" t="s">
        <v>1055</v>
      </c>
      <c r="E1360" s="29">
        <f>자재조서!E457</f>
        <v>3011230</v>
      </c>
      <c r="F1360" s="29">
        <f t="shared" si="146"/>
        <v>3011230</v>
      </c>
      <c r="G1360" s="29">
        <v>0</v>
      </c>
      <c r="H1360" s="29"/>
      <c r="I1360" s="29">
        <v>0</v>
      </c>
      <c r="J1360" s="29"/>
      <c r="K1360" s="29">
        <f t="shared" si="148"/>
        <v>3011230</v>
      </c>
      <c r="L1360" s="29">
        <f t="shared" si="147"/>
        <v>3011230</v>
      </c>
      <c r="M1360" s="20" t="s">
        <v>6232</v>
      </c>
      <c r="N1360" t="s">
        <v>6232</v>
      </c>
      <c r="P1360" t="s">
        <v>286</v>
      </c>
      <c r="Q1360" t="s">
        <v>6232</v>
      </c>
      <c r="R1360" t="s">
        <v>3957</v>
      </c>
      <c r="BI1360" s="52" t="str">
        <f>HYPERLINK("#자재조서!A457","MV-4500-650600 →")</f>
        <v>MV-4500-650600 →</v>
      </c>
    </row>
    <row r="1361" spans="1:61" ht="18.399999999999999" customHeight="1">
      <c r="A1361" s="11" t="s">
        <v>5956</v>
      </c>
      <c r="B1361" s="2" t="s">
        <v>660</v>
      </c>
      <c r="C1361" s="2">
        <v>1</v>
      </c>
      <c r="D1361" s="2" t="s">
        <v>1055</v>
      </c>
      <c r="E1361" s="29">
        <f>자재조서!E458</f>
        <v>3081590</v>
      </c>
      <c r="F1361" s="29">
        <f t="shared" si="146"/>
        <v>3081590</v>
      </c>
      <c r="G1361" s="29">
        <v>0</v>
      </c>
      <c r="H1361" s="29"/>
      <c r="I1361" s="29">
        <v>0</v>
      </c>
      <c r="J1361" s="29"/>
      <c r="K1361" s="29">
        <f t="shared" si="148"/>
        <v>3081590</v>
      </c>
      <c r="L1361" s="29">
        <f t="shared" si="147"/>
        <v>3081590</v>
      </c>
      <c r="M1361" s="20" t="s">
        <v>6232</v>
      </c>
      <c r="N1361" t="s">
        <v>6232</v>
      </c>
      <c r="P1361" t="s">
        <v>1814</v>
      </c>
      <c r="Q1361" t="s">
        <v>6232</v>
      </c>
      <c r="R1361" t="s">
        <v>2842</v>
      </c>
      <c r="BI1361" s="52" t="str">
        <f>HYPERLINK("#자재조서!A458","MV-4500-700600 →")</f>
        <v>MV-4500-700600 →</v>
      </c>
    </row>
    <row r="1362" spans="1:61" ht="18.399999999999999" customHeight="1">
      <c r="A1362" s="11" t="s">
        <v>5956</v>
      </c>
      <c r="B1362" s="2" t="s">
        <v>5837</v>
      </c>
      <c r="C1362" s="2">
        <v>1</v>
      </c>
      <c r="D1362" s="2" t="s">
        <v>1055</v>
      </c>
      <c r="E1362" s="29">
        <f>자재조서!E459</f>
        <v>3138510</v>
      </c>
      <c r="F1362" s="29">
        <f t="shared" si="146"/>
        <v>3138510</v>
      </c>
      <c r="G1362" s="29">
        <v>0</v>
      </c>
      <c r="H1362" s="29"/>
      <c r="I1362" s="29">
        <v>0</v>
      </c>
      <c r="J1362" s="29"/>
      <c r="K1362" s="29">
        <f t="shared" si="148"/>
        <v>3138510</v>
      </c>
      <c r="L1362" s="29">
        <f t="shared" si="147"/>
        <v>3138510</v>
      </c>
      <c r="M1362" s="20" t="s">
        <v>6232</v>
      </c>
      <c r="N1362" t="s">
        <v>6232</v>
      </c>
      <c r="P1362" t="s">
        <v>3448</v>
      </c>
      <c r="Q1362" t="s">
        <v>6232</v>
      </c>
      <c r="R1362" t="s">
        <v>1243</v>
      </c>
      <c r="BI1362" s="52" t="str">
        <f>HYPERLINK("#자재조서!A459","MV-4500-700650 →")</f>
        <v>MV-4500-700650 →</v>
      </c>
    </row>
    <row r="1363" spans="1:61" ht="18.399999999999999" customHeight="1">
      <c r="A1363" s="11" t="s">
        <v>5956</v>
      </c>
      <c r="B1363" s="2" t="s">
        <v>2102</v>
      </c>
      <c r="C1363" s="2">
        <v>1</v>
      </c>
      <c r="D1363" s="2" t="s">
        <v>1055</v>
      </c>
      <c r="E1363" s="29">
        <f>자재조서!E460</f>
        <v>3196510</v>
      </c>
      <c r="F1363" s="29">
        <f t="shared" si="146"/>
        <v>3196510</v>
      </c>
      <c r="G1363" s="29">
        <v>0</v>
      </c>
      <c r="H1363" s="29"/>
      <c r="I1363" s="29">
        <v>0</v>
      </c>
      <c r="J1363" s="29"/>
      <c r="K1363" s="29">
        <f t="shared" si="148"/>
        <v>3196510</v>
      </c>
      <c r="L1363" s="29">
        <f t="shared" si="147"/>
        <v>3196510</v>
      </c>
      <c r="M1363" s="20" t="s">
        <v>6232</v>
      </c>
      <c r="N1363" t="s">
        <v>6232</v>
      </c>
      <c r="P1363" t="s">
        <v>4999</v>
      </c>
      <c r="Q1363" t="s">
        <v>6232</v>
      </c>
      <c r="R1363" t="s">
        <v>1603</v>
      </c>
      <c r="BI1363" s="52" t="str">
        <f>HYPERLINK("#자재조서!A460","MV-4500-750650 →")</f>
        <v>MV-4500-750650 →</v>
      </c>
    </row>
    <row r="1364" spans="1:61" ht="18.399999999999999" customHeight="1">
      <c r="A1364" s="11" t="s">
        <v>5956</v>
      </c>
      <c r="B1364" s="2" t="s">
        <v>5261</v>
      </c>
      <c r="C1364" s="2">
        <v>1</v>
      </c>
      <c r="D1364" s="2" t="s">
        <v>1055</v>
      </c>
      <c r="E1364" s="29">
        <f>자재조서!E461</f>
        <v>3255950</v>
      </c>
      <c r="F1364" s="29">
        <f t="shared" si="146"/>
        <v>3255950</v>
      </c>
      <c r="G1364" s="29">
        <v>0</v>
      </c>
      <c r="H1364" s="29"/>
      <c r="I1364" s="29">
        <v>0</v>
      </c>
      <c r="J1364" s="29"/>
      <c r="K1364" s="29">
        <f t="shared" si="148"/>
        <v>3255950</v>
      </c>
      <c r="L1364" s="29">
        <f t="shared" si="147"/>
        <v>3255950</v>
      </c>
      <c r="M1364" s="20" t="s">
        <v>6232</v>
      </c>
      <c r="N1364" t="s">
        <v>6232</v>
      </c>
      <c r="P1364" t="s">
        <v>219</v>
      </c>
      <c r="Q1364" t="s">
        <v>6232</v>
      </c>
      <c r="R1364" t="s">
        <v>1175</v>
      </c>
      <c r="BI1364" s="52" t="str">
        <f>HYPERLINK("#자재조서!A461","MV-4500-750700 →")</f>
        <v>MV-4500-750700 →</v>
      </c>
    </row>
    <row r="1365" spans="1:61" ht="18.399999999999999" customHeight="1">
      <c r="A1365" s="11" t="s">
        <v>1544</v>
      </c>
      <c r="B1365" s="2" t="s">
        <v>6232</v>
      </c>
      <c r="C1365" s="2"/>
      <c r="D1365" s="2" t="s">
        <v>6232</v>
      </c>
      <c r="E1365" s="1"/>
      <c r="F1365" s="29">
        <f>TRUNC(SUM(AF1365:AF1366),0)</f>
        <v>47987060</v>
      </c>
      <c r="G1365" s="1"/>
      <c r="H1365" s="29">
        <f>TRUNC(SUM(AG1365:AG1366),0)</f>
        <v>0</v>
      </c>
      <c r="I1365" s="1"/>
      <c r="J1365" s="29">
        <f>TRUNC(SUM(AH1365:AH1366),0)</f>
        <v>0</v>
      </c>
      <c r="K1365" s="29">
        <f t="shared" si="148"/>
        <v>0</v>
      </c>
      <c r="L1365" s="29">
        <f t="shared" si="147"/>
        <v>47987060</v>
      </c>
      <c r="M1365" s="20" t="s">
        <v>6232</v>
      </c>
      <c r="N1365" t="s">
        <v>6232</v>
      </c>
      <c r="P1365" t="s">
        <v>1726</v>
      </c>
      <c r="Q1365" t="s">
        <v>6232</v>
      </c>
      <c r="R1365" t="s">
        <v>6232</v>
      </c>
      <c r="AF1365" s="29">
        <f>F1364+F1363+F1362+F1361+F1360+F1359+F1358+F1357+F1356+F1355+F1354+F1353+F1352+F1351+F1350+F1349+F1348+F1347+F1346+F1345+F1344+F1343+F1342+F1341+F1340</f>
        <v>42836160</v>
      </c>
      <c r="AG1365" s="29">
        <f>H1364+H1363+H1362+H1361+H1360+H1359+H1358+H1357+H1356+H1355+H1354+H1353+H1352+H1351+H1350+H1349+H1348+H1347+H1346+H1345+H1344+H1343+H1342+H1341+H1340</f>
        <v>0</v>
      </c>
      <c r="AH1365" s="29">
        <f>J1364+J1363+J1362+J1361+J1360+J1359+J1358+J1357+J1356+J1355+J1354+J1353+J1352+J1351+J1350+J1349+J1348+J1347+J1346+J1345+J1344+J1343+J1342+J1341+J1340</f>
        <v>0</v>
      </c>
    </row>
    <row r="1366" spans="1:61" ht="18.399999999999999" customHeight="1">
      <c r="A1366" s="11" t="s">
        <v>2495</v>
      </c>
      <c r="B1366" s="2" t="s">
        <v>6232</v>
      </c>
      <c r="C1366" s="2"/>
      <c r="D1366" s="2" t="s">
        <v>6232</v>
      </c>
      <c r="E1366" s="1"/>
      <c r="F1366" s="29">
        <v>0</v>
      </c>
      <c r="G1366" s="1"/>
      <c r="H1366" s="29">
        <v>0</v>
      </c>
      <c r="I1366" s="1"/>
      <c r="J1366" s="29">
        <v>0</v>
      </c>
      <c r="K1366" s="29">
        <f t="shared" si="148"/>
        <v>0</v>
      </c>
      <c r="L1366" s="29">
        <f t="shared" si="147"/>
        <v>0</v>
      </c>
      <c r="M1366" s="20" t="s">
        <v>6232</v>
      </c>
      <c r="N1366" t="s">
        <v>6232</v>
      </c>
      <c r="P1366" t="s">
        <v>3375</v>
      </c>
      <c r="Q1366" t="s">
        <v>6232</v>
      </c>
      <c r="R1366" t="s">
        <v>6232</v>
      </c>
      <c r="AF1366" s="29">
        <f>F1339+F1338+F1337+F1336+F1335+F1334+F1333+F1332+F1331+F1330+F1329+F1328+F1327+F1326+F1325</f>
        <v>5150900</v>
      </c>
      <c r="AG1366" s="29">
        <f>H1339+H1338+H1337+H1336+H1335+H1334+H1333+H1332+H1331+H1330+H1329+H1328+H1327+H1326+H1325</f>
        <v>0</v>
      </c>
      <c r="AH1366" s="29">
        <f>J1339+J1338+J1337+J1336+J1335+J1334+J1333+J1332+J1331+J1330+J1329+J1328+J1327+J1326+J1325</f>
        <v>0</v>
      </c>
    </row>
    <row r="1367" spans="1:61" ht="18.399999999999999" customHeight="1">
      <c r="A1367" s="11" t="s">
        <v>1677</v>
      </c>
      <c r="B1367" s="2" t="s">
        <v>6232</v>
      </c>
      <c r="C1367" s="2"/>
      <c r="D1367" s="2" t="s">
        <v>6232</v>
      </c>
      <c r="E1367" s="1"/>
      <c r="F1367" s="29">
        <v>0</v>
      </c>
      <c r="G1367" s="1"/>
      <c r="H1367" s="29">
        <v>0</v>
      </c>
      <c r="I1367" s="1"/>
      <c r="J1367" s="29">
        <v>0</v>
      </c>
      <c r="K1367" s="29">
        <f t="shared" si="148"/>
        <v>0</v>
      </c>
      <c r="L1367" s="29">
        <f t="shared" si="147"/>
        <v>0</v>
      </c>
      <c r="M1367" s="20" t="s">
        <v>6232</v>
      </c>
      <c r="N1367" t="s">
        <v>6232</v>
      </c>
      <c r="P1367" t="s">
        <v>4920</v>
      </c>
      <c r="Q1367" t="s">
        <v>6232</v>
      </c>
      <c r="R1367" t="s">
        <v>6232</v>
      </c>
    </row>
    <row r="1368" spans="1:61" ht="18.399999999999999" customHeight="1">
      <c r="A1368" s="11" t="s">
        <v>1677</v>
      </c>
      <c r="B1368" s="2" t="s">
        <v>5596</v>
      </c>
      <c r="C1368" s="2">
        <v>1</v>
      </c>
      <c r="D1368" s="2" t="s">
        <v>1055</v>
      </c>
      <c r="E1368" s="29">
        <f>자재조서!E462</f>
        <v>215080</v>
      </c>
      <c r="F1368" s="29">
        <f t="shared" ref="F1368:F1389" si="149">TRUNC(E1368*C1368,0)</f>
        <v>215080</v>
      </c>
      <c r="G1368" s="29">
        <v>0</v>
      </c>
      <c r="H1368" s="29"/>
      <c r="I1368" s="29">
        <v>0</v>
      </c>
      <c r="J1368" s="29"/>
      <c r="K1368" s="29">
        <f t="shared" si="148"/>
        <v>215080</v>
      </c>
      <c r="L1368" s="29">
        <f t="shared" si="147"/>
        <v>215080</v>
      </c>
      <c r="M1368" s="20" t="s">
        <v>6232</v>
      </c>
      <c r="N1368" t="s">
        <v>6232</v>
      </c>
      <c r="P1368" t="s">
        <v>129</v>
      </c>
      <c r="Q1368" t="s">
        <v>6232</v>
      </c>
      <c r="R1368" t="s">
        <v>6182</v>
      </c>
      <c r="BI1368" s="52" t="str">
        <f>HYPERLINK("#자재조서!A462","MV-4600-000020 →")</f>
        <v>MV-4600-000020 →</v>
      </c>
    </row>
    <row r="1369" spans="1:61" ht="18.399999999999999" customHeight="1">
      <c r="A1369" s="11" t="s">
        <v>1677</v>
      </c>
      <c r="B1369" s="2" t="s">
        <v>3967</v>
      </c>
      <c r="C1369" s="2">
        <v>1</v>
      </c>
      <c r="D1369" s="2" t="s">
        <v>1055</v>
      </c>
      <c r="E1369" s="29">
        <f>자재조서!E463</f>
        <v>217410</v>
      </c>
      <c r="F1369" s="29">
        <f t="shared" si="149"/>
        <v>217410</v>
      </c>
      <c r="G1369" s="29">
        <v>0</v>
      </c>
      <c r="H1369" s="29"/>
      <c r="I1369" s="29">
        <v>0</v>
      </c>
      <c r="J1369" s="29"/>
      <c r="K1369" s="29">
        <f t="shared" si="148"/>
        <v>217410</v>
      </c>
      <c r="L1369" s="29">
        <f t="shared" si="147"/>
        <v>217410</v>
      </c>
      <c r="M1369" s="20" t="s">
        <v>6232</v>
      </c>
      <c r="N1369" t="s">
        <v>6232</v>
      </c>
      <c r="P1369" t="s">
        <v>1631</v>
      </c>
      <c r="Q1369" t="s">
        <v>6232</v>
      </c>
      <c r="R1369" t="s">
        <v>2738</v>
      </c>
      <c r="BI1369" s="52" t="str">
        <f>HYPERLINK("#자재조서!A463","MV-4600-000025 →")</f>
        <v>MV-4600-000025 →</v>
      </c>
    </row>
    <row r="1370" spans="1:61" ht="18.399999999999999" customHeight="1">
      <c r="A1370" s="11" t="s">
        <v>1677</v>
      </c>
      <c r="B1370" s="2" t="s">
        <v>1993</v>
      </c>
      <c r="C1370" s="2">
        <v>1</v>
      </c>
      <c r="D1370" s="2" t="s">
        <v>1055</v>
      </c>
      <c r="E1370" s="29">
        <f>자재조서!E464</f>
        <v>222040</v>
      </c>
      <c r="F1370" s="29">
        <f t="shared" si="149"/>
        <v>222040</v>
      </c>
      <c r="G1370" s="29">
        <v>0</v>
      </c>
      <c r="H1370" s="29"/>
      <c r="I1370" s="29">
        <v>0</v>
      </c>
      <c r="J1370" s="29"/>
      <c r="K1370" s="29">
        <f t="shared" si="148"/>
        <v>222040</v>
      </c>
      <c r="L1370" s="29">
        <f t="shared" si="147"/>
        <v>222040</v>
      </c>
      <c r="M1370" s="20" t="s">
        <v>6232</v>
      </c>
      <c r="N1370" t="s">
        <v>6232</v>
      </c>
      <c r="P1370" t="s">
        <v>1147</v>
      </c>
      <c r="Q1370" t="s">
        <v>6232</v>
      </c>
      <c r="R1370" t="s">
        <v>3484</v>
      </c>
      <c r="BI1370" s="52" t="str">
        <f>HYPERLINK("#자재조서!A464","MV-4600-000032 →")</f>
        <v>MV-4600-000032 →</v>
      </c>
    </row>
    <row r="1371" spans="1:61" ht="18.399999999999999" customHeight="1">
      <c r="A1371" s="11" t="s">
        <v>1677</v>
      </c>
      <c r="B1371" s="2" t="s">
        <v>2012</v>
      </c>
      <c r="C1371" s="2">
        <v>1</v>
      </c>
      <c r="D1371" s="2" t="s">
        <v>1055</v>
      </c>
      <c r="E1371" s="29">
        <f>자재조서!E465</f>
        <v>224580</v>
      </c>
      <c r="F1371" s="29">
        <f t="shared" si="149"/>
        <v>224580</v>
      </c>
      <c r="G1371" s="29">
        <v>0</v>
      </c>
      <c r="H1371" s="29"/>
      <c r="I1371" s="29">
        <v>0</v>
      </c>
      <c r="J1371" s="29"/>
      <c r="K1371" s="29">
        <f t="shared" si="148"/>
        <v>224580</v>
      </c>
      <c r="L1371" s="29">
        <f t="shared" si="147"/>
        <v>224580</v>
      </c>
      <c r="M1371" s="20" t="s">
        <v>6232</v>
      </c>
      <c r="N1371" t="s">
        <v>6232</v>
      </c>
      <c r="P1371" t="s">
        <v>2716</v>
      </c>
      <c r="Q1371" t="s">
        <v>6232</v>
      </c>
      <c r="R1371" t="s">
        <v>2951</v>
      </c>
      <c r="BI1371" s="52" t="str">
        <f>HYPERLINK("#자재조서!A465","MV-4600-000040 →")</f>
        <v>MV-4600-000040 →</v>
      </c>
    </row>
    <row r="1372" spans="1:61" ht="18.399999999999999" customHeight="1">
      <c r="A1372" s="11" t="s">
        <v>1677</v>
      </c>
      <c r="B1372" s="2" t="s">
        <v>2393</v>
      </c>
      <c r="C1372" s="2">
        <v>1</v>
      </c>
      <c r="D1372" s="2" t="s">
        <v>1055</v>
      </c>
      <c r="E1372" s="29">
        <f>자재조서!E466</f>
        <v>230210</v>
      </c>
      <c r="F1372" s="29">
        <f t="shared" si="149"/>
        <v>230210</v>
      </c>
      <c r="G1372" s="29">
        <v>0</v>
      </c>
      <c r="H1372" s="29"/>
      <c r="I1372" s="29">
        <v>0</v>
      </c>
      <c r="J1372" s="29"/>
      <c r="K1372" s="29">
        <f t="shared" si="148"/>
        <v>230210</v>
      </c>
      <c r="L1372" s="29">
        <f t="shared" si="147"/>
        <v>230210</v>
      </c>
      <c r="M1372" s="20" t="s">
        <v>6232</v>
      </c>
      <c r="N1372" t="s">
        <v>6232</v>
      </c>
      <c r="P1372" t="s">
        <v>4336</v>
      </c>
      <c r="Q1372" t="s">
        <v>6232</v>
      </c>
      <c r="R1372" t="s">
        <v>1399</v>
      </c>
      <c r="BI1372" s="52" t="str">
        <f>HYPERLINK("#자재조서!A466","MV-4600-000050 →")</f>
        <v>MV-4600-000050 →</v>
      </c>
    </row>
    <row r="1373" spans="1:61" ht="18.399999999999999" customHeight="1">
      <c r="A1373" s="11" t="s">
        <v>1677</v>
      </c>
      <c r="B1373" s="2" t="s">
        <v>3058</v>
      </c>
      <c r="C1373" s="2">
        <v>1</v>
      </c>
      <c r="D1373" s="2" t="s">
        <v>1055</v>
      </c>
      <c r="E1373" s="29">
        <f>자재조서!E467</f>
        <v>239080</v>
      </c>
      <c r="F1373" s="29">
        <f t="shared" si="149"/>
        <v>239080</v>
      </c>
      <c r="G1373" s="29">
        <v>0</v>
      </c>
      <c r="H1373" s="29"/>
      <c r="I1373" s="29">
        <v>0</v>
      </c>
      <c r="J1373" s="29"/>
      <c r="K1373" s="29">
        <f t="shared" si="148"/>
        <v>239080</v>
      </c>
      <c r="L1373" s="29">
        <f t="shared" si="147"/>
        <v>239080</v>
      </c>
      <c r="M1373" s="20" t="s">
        <v>6232</v>
      </c>
      <c r="N1373" t="s">
        <v>6232</v>
      </c>
      <c r="P1373" t="s">
        <v>5912</v>
      </c>
      <c r="Q1373" t="s">
        <v>6232</v>
      </c>
      <c r="R1373" t="s">
        <v>2850</v>
      </c>
      <c r="BI1373" s="52" t="str">
        <f>HYPERLINK("#자재조서!A467","MV-4600-000065 →")</f>
        <v>MV-4600-000065 →</v>
      </c>
    </row>
    <row r="1374" spans="1:61" ht="18.399999999999999" customHeight="1">
      <c r="A1374" s="11" t="s">
        <v>1677</v>
      </c>
      <c r="B1374" s="2" t="s">
        <v>1160</v>
      </c>
      <c r="C1374" s="2">
        <v>1</v>
      </c>
      <c r="D1374" s="2" t="s">
        <v>1055</v>
      </c>
      <c r="E1374" s="29">
        <f>자재조서!E468</f>
        <v>246170</v>
      </c>
      <c r="F1374" s="29">
        <f t="shared" si="149"/>
        <v>246170</v>
      </c>
      <c r="G1374" s="29">
        <v>0</v>
      </c>
      <c r="H1374" s="29"/>
      <c r="I1374" s="29">
        <v>0</v>
      </c>
      <c r="J1374" s="29"/>
      <c r="K1374" s="29">
        <f t="shared" si="148"/>
        <v>246170</v>
      </c>
      <c r="L1374" s="29">
        <f t="shared" si="147"/>
        <v>246170</v>
      </c>
      <c r="M1374" s="20" t="s">
        <v>6232</v>
      </c>
      <c r="N1374" t="s">
        <v>6232</v>
      </c>
      <c r="P1374" t="s">
        <v>1268</v>
      </c>
      <c r="Q1374" t="s">
        <v>6232</v>
      </c>
      <c r="R1374" t="s">
        <v>2867</v>
      </c>
      <c r="BI1374" s="52" t="str">
        <f>HYPERLINK("#자재조서!A468","MV-4600-000080 →")</f>
        <v>MV-4600-000080 →</v>
      </c>
    </row>
    <row r="1375" spans="1:61" ht="18.399999999999999" customHeight="1">
      <c r="A1375" s="11" t="s">
        <v>1677</v>
      </c>
      <c r="B1375" s="2" t="s">
        <v>1572</v>
      </c>
      <c r="C1375" s="2">
        <v>1</v>
      </c>
      <c r="D1375" s="2" t="s">
        <v>1055</v>
      </c>
      <c r="E1375" s="29">
        <f>자재조서!E469</f>
        <v>297160</v>
      </c>
      <c r="F1375" s="29">
        <f t="shared" si="149"/>
        <v>297160</v>
      </c>
      <c r="G1375" s="29">
        <v>0</v>
      </c>
      <c r="H1375" s="29"/>
      <c r="I1375" s="29">
        <v>0</v>
      </c>
      <c r="J1375" s="29"/>
      <c r="K1375" s="29">
        <f t="shared" si="148"/>
        <v>297160</v>
      </c>
      <c r="L1375" s="29">
        <f t="shared" si="147"/>
        <v>297160</v>
      </c>
      <c r="M1375" s="20" t="s">
        <v>6232</v>
      </c>
      <c r="N1375" t="s">
        <v>6232</v>
      </c>
      <c r="P1375" t="s">
        <v>2827</v>
      </c>
      <c r="Q1375" t="s">
        <v>6232</v>
      </c>
      <c r="R1375" t="s">
        <v>1738</v>
      </c>
      <c r="BI1375" s="52" t="str">
        <f>HYPERLINK("#자재조서!A469","MV-4600-000100 →")</f>
        <v>MV-4600-000100 →</v>
      </c>
    </row>
    <row r="1376" spans="1:61" ht="18.399999999999999" customHeight="1">
      <c r="A1376" s="11" t="s">
        <v>1677</v>
      </c>
      <c r="B1376" s="2" t="s">
        <v>2533</v>
      </c>
      <c r="C1376" s="2">
        <v>1</v>
      </c>
      <c r="D1376" s="2" t="s">
        <v>1055</v>
      </c>
      <c r="E1376" s="29">
        <f>자재조서!E470</f>
        <v>306430</v>
      </c>
      <c r="F1376" s="29">
        <f t="shared" si="149"/>
        <v>306430</v>
      </c>
      <c r="G1376" s="29">
        <v>0</v>
      </c>
      <c r="H1376" s="29"/>
      <c r="I1376" s="29">
        <v>0</v>
      </c>
      <c r="J1376" s="29"/>
      <c r="K1376" s="29">
        <f t="shared" si="148"/>
        <v>306430</v>
      </c>
      <c r="L1376" s="29">
        <f t="shared" si="147"/>
        <v>306430</v>
      </c>
      <c r="M1376" s="20" t="s">
        <v>6232</v>
      </c>
      <c r="N1376" t="s">
        <v>6232</v>
      </c>
      <c r="P1376" t="s">
        <v>4412</v>
      </c>
      <c r="Q1376" t="s">
        <v>6232</v>
      </c>
      <c r="R1376" t="s">
        <v>1648</v>
      </c>
      <c r="BI1376" s="52" t="str">
        <f>HYPERLINK("#자재조서!A470","MV-4600-000125 →")</f>
        <v>MV-4600-000125 →</v>
      </c>
    </row>
    <row r="1377" spans="1:61" ht="18.399999999999999" customHeight="1">
      <c r="A1377" s="11" t="s">
        <v>1677</v>
      </c>
      <c r="B1377" s="2" t="s">
        <v>4124</v>
      </c>
      <c r="C1377" s="2">
        <v>1</v>
      </c>
      <c r="D1377" s="2" t="s">
        <v>1055</v>
      </c>
      <c r="E1377" s="29">
        <f>자재조서!E471</f>
        <v>337510</v>
      </c>
      <c r="F1377" s="29">
        <f t="shared" si="149"/>
        <v>337510</v>
      </c>
      <c r="G1377" s="29">
        <v>0</v>
      </c>
      <c r="H1377" s="29"/>
      <c r="I1377" s="29">
        <v>0</v>
      </c>
      <c r="J1377" s="29"/>
      <c r="K1377" s="29">
        <f t="shared" si="148"/>
        <v>337510</v>
      </c>
      <c r="L1377" s="29">
        <f t="shared" si="147"/>
        <v>337510</v>
      </c>
      <c r="M1377" s="20" t="s">
        <v>6232</v>
      </c>
      <c r="N1377" t="s">
        <v>6232</v>
      </c>
      <c r="P1377" t="s">
        <v>6020</v>
      </c>
      <c r="Q1377" t="s">
        <v>6232</v>
      </c>
      <c r="R1377" t="s">
        <v>279</v>
      </c>
      <c r="BI1377" s="52" t="str">
        <f>HYPERLINK("#자재조서!A471","MV-4600-000150 →")</f>
        <v>MV-4600-000150 →</v>
      </c>
    </row>
    <row r="1378" spans="1:61" ht="18.399999999999999" customHeight="1">
      <c r="A1378" s="11" t="s">
        <v>1677</v>
      </c>
      <c r="B1378" s="2" t="s">
        <v>4196</v>
      </c>
      <c r="C1378" s="2">
        <v>1</v>
      </c>
      <c r="D1378" s="2" t="s">
        <v>1055</v>
      </c>
      <c r="E1378" s="29">
        <f>자재조서!E472</f>
        <v>368980</v>
      </c>
      <c r="F1378" s="29">
        <f t="shared" si="149"/>
        <v>368980</v>
      </c>
      <c r="G1378" s="29">
        <v>0</v>
      </c>
      <c r="H1378" s="29"/>
      <c r="I1378" s="29">
        <v>0</v>
      </c>
      <c r="J1378" s="29"/>
      <c r="K1378" s="29">
        <f t="shared" si="148"/>
        <v>368980</v>
      </c>
      <c r="L1378" s="29">
        <f t="shared" si="147"/>
        <v>368980</v>
      </c>
      <c r="M1378" s="20" t="s">
        <v>6232</v>
      </c>
      <c r="N1378" t="s">
        <v>6232</v>
      </c>
      <c r="P1378" t="s">
        <v>1349</v>
      </c>
      <c r="Q1378" t="s">
        <v>6232</v>
      </c>
      <c r="R1378" t="s">
        <v>404</v>
      </c>
      <c r="BI1378" s="52" t="str">
        <f>HYPERLINK("#자재조서!A472","MV-4600-000200 →")</f>
        <v>MV-4600-000200 →</v>
      </c>
    </row>
    <row r="1379" spans="1:61" ht="18.399999999999999" customHeight="1">
      <c r="A1379" s="11" t="s">
        <v>1677</v>
      </c>
      <c r="B1379" s="2" t="s">
        <v>1701</v>
      </c>
      <c r="C1379" s="2">
        <v>1</v>
      </c>
      <c r="D1379" s="2" t="s">
        <v>1055</v>
      </c>
      <c r="E1379" s="29">
        <f>자재조서!E473</f>
        <v>480410</v>
      </c>
      <c r="F1379" s="29">
        <f t="shared" si="149"/>
        <v>480410</v>
      </c>
      <c r="G1379" s="29">
        <v>0</v>
      </c>
      <c r="H1379" s="29"/>
      <c r="I1379" s="29">
        <v>0</v>
      </c>
      <c r="J1379" s="29"/>
      <c r="K1379" s="29">
        <f t="shared" si="148"/>
        <v>480410</v>
      </c>
      <c r="L1379" s="29">
        <f t="shared" si="147"/>
        <v>480410</v>
      </c>
      <c r="M1379" s="20" t="s">
        <v>6232</v>
      </c>
      <c r="N1379" t="s">
        <v>6232</v>
      </c>
      <c r="P1379" t="s">
        <v>2921</v>
      </c>
      <c r="Q1379" t="s">
        <v>6232</v>
      </c>
      <c r="R1379" t="s">
        <v>2028</v>
      </c>
      <c r="BI1379" s="52" t="str">
        <f>HYPERLINK("#자재조서!A473","MV-4600-000250 →")</f>
        <v>MV-4600-000250 →</v>
      </c>
    </row>
    <row r="1380" spans="1:61" ht="18.399999999999999" customHeight="1">
      <c r="A1380" s="11" t="s">
        <v>1677</v>
      </c>
      <c r="B1380" s="2" t="s">
        <v>4894</v>
      </c>
      <c r="C1380" s="2">
        <v>1</v>
      </c>
      <c r="D1380" s="2" t="s">
        <v>1055</v>
      </c>
      <c r="E1380" s="29">
        <f>자재조서!E474</f>
        <v>518400</v>
      </c>
      <c r="F1380" s="29">
        <f t="shared" si="149"/>
        <v>518400</v>
      </c>
      <c r="G1380" s="29">
        <v>0</v>
      </c>
      <c r="H1380" s="29"/>
      <c r="I1380" s="29">
        <v>0</v>
      </c>
      <c r="J1380" s="29"/>
      <c r="K1380" s="29">
        <f t="shared" si="148"/>
        <v>518400</v>
      </c>
      <c r="L1380" s="29">
        <f t="shared" si="147"/>
        <v>518400</v>
      </c>
      <c r="M1380" s="20" t="s">
        <v>6232</v>
      </c>
      <c r="N1380" t="s">
        <v>6232</v>
      </c>
      <c r="P1380" t="s">
        <v>163</v>
      </c>
      <c r="Q1380" t="s">
        <v>6232</v>
      </c>
      <c r="R1380" t="s">
        <v>915</v>
      </c>
      <c r="BI1380" s="52" t="str">
        <f>HYPERLINK("#자재조서!A474","MV-4600-000300 →")</f>
        <v>MV-4600-000300 →</v>
      </c>
    </row>
    <row r="1381" spans="1:61" ht="18.399999999999999" customHeight="1">
      <c r="A1381" s="11" t="s">
        <v>1677</v>
      </c>
      <c r="B1381" s="2" t="s">
        <v>809</v>
      </c>
      <c r="C1381" s="2">
        <v>1</v>
      </c>
      <c r="D1381" s="2" t="s">
        <v>1055</v>
      </c>
      <c r="E1381" s="29">
        <f>자재조서!E475</f>
        <v>552700</v>
      </c>
      <c r="F1381" s="29">
        <f t="shared" si="149"/>
        <v>552700</v>
      </c>
      <c r="G1381" s="29">
        <v>0</v>
      </c>
      <c r="H1381" s="29"/>
      <c r="I1381" s="29">
        <v>0</v>
      </c>
      <c r="J1381" s="29"/>
      <c r="K1381" s="29">
        <f t="shared" si="148"/>
        <v>552700</v>
      </c>
      <c r="L1381" s="29">
        <f t="shared" si="147"/>
        <v>552700</v>
      </c>
      <c r="M1381" s="20" t="s">
        <v>6232</v>
      </c>
      <c r="N1381" t="s">
        <v>6232</v>
      </c>
      <c r="P1381" t="s">
        <v>1679</v>
      </c>
      <c r="Q1381" t="s">
        <v>6232</v>
      </c>
      <c r="R1381" t="s">
        <v>2405</v>
      </c>
      <c r="BI1381" s="52" t="str">
        <f>HYPERLINK("#자재조서!A475","MV-4600-000350 →")</f>
        <v>MV-4600-000350 →</v>
      </c>
    </row>
    <row r="1382" spans="1:61" ht="18.399999999999999" customHeight="1">
      <c r="A1382" s="11" t="s">
        <v>1677</v>
      </c>
      <c r="B1382" s="2" t="s">
        <v>2715</v>
      </c>
      <c r="C1382" s="2">
        <v>1</v>
      </c>
      <c r="D1382" s="2" t="s">
        <v>1055</v>
      </c>
      <c r="E1382" s="29">
        <f>자재조서!E476</f>
        <v>600850</v>
      </c>
      <c r="F1382" s="29">
        <f t="shared" si="149"/>
        <v>600850</v>
      </c>
      <c r="G1382" s="29">
        <v>0</v>
      </c>
      <c r="H1382" s="29"/>
      <c r="I1382" s="29">
        <v>0</v>
      </c>
      <c r="J1382" s="29"/>
      <c r="K1382" s="29">
        <f t="shared" si="148"/>
        <v>600850</v>
      </c>
      <c r="L1382" s="29">
        <f t="shared" si="147"/>
        <v>600850</v>
      </c>
      <c r="M1382" s="20" t="s">
        <v>6232</v>
      </c>
      <c r="N1382" t="s">
        <v>6232</v>
      </c>
      <c r="P1382" t="s">
        <v>3208</v>
      </c>
      <c r="Q1382" t="s">
        <v>6232</v>
      </c>
      <c r="R1382" t="s">
        <v>3958</v>
      </c>
      <c r="BI1382" s="52" t="str">
        <f>HYPERLINK("#자재조서!A476","MV-4600-000400 →")</f>
        <v>MV-4600-000400 →</v>
      </c>
    </row>
    <row r="1383" spans="1:61" ht="18.399999999999999" customHeight="1">
      <c r="A1383" s="11" t="s">
        <v>1677</v>
      </c>
      <c r="B1383" s="2" t="s">
        <v>3764</v>
      </c>
      <c r="C1383" s="2">
        <v>1</v>
      </c>
      <c r="D1383" s="2" t="s">
        <v>1055</v>
      </c>
      <c r="E1383" s="29">
        <f>자재조서!E477</f>
        <v>704210</v>
      </c>
      <c r="F1383" s="29">
        <f t="shared" si="149"/>
        <v>704210</v>
      </c>
      <c r="G1383" s="29">
        <v>0</v>
      </c>
      <c r="H1383" s="29"/>
      <c r="I1383" s="29">
        <v>0</v>
      </c>
      <c r="J1383" s="29"/>
      <c r="K1383" s="29">
        <f t="shared" si="148"/>
        <v>704210</v>
      </c>
      <c r="L1383" s="29">
        <f t="shared" si="147"/>
        <v>704210</v>
      </c>
      <c r="M1383" s="20" t="s">
        <v>6232</v>
      </c>
      <c r="N1383" t="s">
        <v>6232</v>
      </c>
      <c r="P1383" t="s">
        <v>4746</v>
      </c>
      <c r="Q1383" t="s">
        <v>6232</v>
      </c>
      <c r="R1383" t="s">
        <v>5608</v>
      </c>
      <c r="BI1383" s="52" t="str">
        <f>HYPERLINK("#자재조서!A477","MV-4600-000450 →")</f>
        <v>MV-4600-000450 →</v>
      </c>
    </row>
    <row r="1384" spans="1:61" ht="18.399999999999999" customHeight="1">
      <c r="A1384" s="11" t="s">
        <v>1677</v>
      </c>
      <c r="B1384" s="2" t="s">
        <v>524</v>
      </c>
      <c r="C1384" s="2">
        <v>1</v>
      </c>
      <c r="D1384" s="2" t="s">
        <v>1055</v>
      </c>
      <c r="E1384" s="29">
        <f>자재조서!E478</f>
        <v>767970</v>
      </c>
      <c r="F1384" s="29">
        <f t="shared" si="149"/>
        <v>767970</v>
      </c>
      <c r="G1384" s="29">
        <v>0</v>
      </c>
      <c r="H1384" s="29"/>
      <c r="I1384" s="29">
        <v>0</v>
      </c>
      <c r="J1384" s="29"/>
      <c r="K1384" s="29">
        <f t="shared" si="148"/>
        <v>767970</v>
      </c>
      <c r="L1384" s="29">
        <f t="shared" si="147"/>
        <v>767970</v>
      </c>
      <c r="M1384" s="20" t="s">
        <v>6232</v>
      </c>
      <c r="N1384" t="s">
        <v>6232</v>
      </c>
      <c r="P1384" t="s">
        <v>76</v>
      </c>
      <c r="Q1384" t="s">
        <v>6232</v>
      </c>
      <c r="R1384" t="s">
        <v>3591</v>
      </c>
      <c r="BI1384" s="52" t="str">
        <f>HYPERLINK("#자재조서!A478","MV-4600-000500 →")</f>
        <v>MV-4600-000500 →</v>
      </c>
    </row>
    <row r="1385" spans="1:61" ht="18.399999999999999" customHeight="1">
      <c r="A1385" s="11" t="s">
        <v>1677</v>
      </c>
      <c r="B1385" s="2" t="s">
        <v>6191</v>
      </c>
      <c r="C1385" s="2">
        <v>1</v>
      </c>
      <c r="D1385" s="2" t="s">
        <v>1055</v>
      </c>
      <c r="E1385" s="29">
        <f>자재조서!E479</f>
        <v>1006430</v>
      </c>
      <c r="F1385" s="29">
        <f t="shared" si="149"/>
        <v>1006430</v>
      </c>
      <c r="G1385" s="29">
        <v>0</v>
      </c>
      <c r="H1385" s="29"/>
      <c r="I1385" s="29">
        <v>0</v>
      </c>
      <c r="J1385" s="29"/>
      <c r="K1385" s="29">
        <f t="shared" si="148"/>
        <v>1006430</v>
      </c>
      <c r="L1385" s="29">
        <f t="shared" si="147"/>
        <v>1006430</v>
      </c>
      <c r="M1385" s="20" t="s">
        <v>6232</v>
      </c>
      <c r="N1385" t="s">
        <v>6232</v>
      </c>
      <c r="P1385" t="s">
        <v>1598</v>
      </c>
      <c r="Q1385" t="s">
        <v>6232</v>
      </c>
      <c r="R1385" t="s">
        <v>5074</v>
      </c>
      <c r="BI1385" s="52" t="str">
        <f>HYPERLINK("#자재조서!A479","MV-4600-000550 →")</f>
        <v>MV-4600-000550 →</v>
      </c>
    </row>
    <row r="1386" spans="1:61" ht="18.399999999999999" customHeight="1">
      <c r="A1386" s="11" t="s">
        <v>1677</v>
      </c>
      <c r="B1386" s="2" t="s">
        <v>6105</v>
      </c>
      <c r="C1386" s="2">
        <v>1</v>
      </c>
      <c r="D1386" s="2" t="s">
        <v>1055</v>
      </c>
      <c r="E1386" s="29">
        <f>자재조서!E480</f>
        <v>1083890</v>
      </c>
      <c r="F1386" s="29">
        <f t="shared" si="149"/>
        <v>1083890</v>
      </c>
      <c r="G1386" s="29">
        <v>0</v>
      </c>
      <c r="H1386" s="29"/>
      <c r="I1386" s="29">
        <v>0</v>
      </c>
      <c r="J1386" s="29"/>
      <c r="K1386" s="29">
        <f t="shared" si="148"/>
        <v>1083890</v>
      </c>
      <c r="L1386" s="29">
        <f t="shared" si="147"/>
        <v>1083890</v>
      </c>
      <c r="M1386" s="20" t="s">
        <v>6232</v>
      </c>
      <c r="N1386" t="s">
        <v>6232</v>
      </c>
      <c r="P1386" t="s">
        <v>3123</v>
      </c>
      <c r="Q1386" t="s">
        <v>6232</v>
      </c>
      <c r="R1386" t="s">
        <v>4991</v>
      </c>
      <c r="BI1386" s="52" t="str">
        <f>HYPERLINK("#자재조서!A480","MV-4600-000600 →")</f>
        <v>MV-4600-000600 →</v>
      </c>
    </row>
    <row r="1387" spans="1:61" ht="18.399999999999999" customHeight="1">
      <c r="A1387" s="11" t="s">
        <v>1677</v>
      </c>
      <c r="B1387" s="2" t="s">
        <v>397</v>
      </c>
      <c r="C1387" s="2">
        <v>1</v>
      </c>
      <c r="D1387" s="2" t="s">
        <v>1055</v>
      </c>
      <c r="E1387" s="29">
        <f>자재조서!E481</f>
        <v>1130110</v>
      </c>
      <c r="F1387" s="29">
        <f t="shared" si="149"/>
        <v>1130110</v>
      </c>
      <c r="G1387" s="29">
        <v>0</v>
      </c>
      <c r="H1387" s="29"/>
      <c r="I1387" s="29">
        <v>0</v>
      </c>
      <c r="J1387" s="29"/>
      <c r="K1387" s="29">
        <f t="shared" si="148"/>
        <v>1130110</v>
      </c>
      <c r="L1387" s="29">
        <f t="shared" si="147"/>
        <v>1130110</v>
      </c>
      <c r="M1387" s="20" t="s">
        <v>6232</v>
      </c>
      <c r="N1387" t="s">
        <v>6232</v>
      </c>
      <c r="P1387" t="s">
        <v>4667</v>
      </c>
      <c r="Q1387" t="s">
        <v>6232</v>
      </c>
      <c r="R1387" t="s">
        <v>3277</v>
      </c>
      <c r="BI1387" s="52" t="str">
        <f>HYPERLINK("#자재조서!A481","MV-4600-000650 →")</f>
        <v>MV-4600-000650 →</v>
      </c>
    </row>
    <row r="1388" spans="1:61" ht="18.399999999999999" customHeight="1">
      <c r="A1388" s="11" t="s">
        <v>1677</v>
      </c>
      <c r="B1388" s="2" t="s">
        <v>3826</v>
      </c>
      <c r="C1388" s="2">
        <v>1</v>
      </c>
      <c r="D1388" s="2" t="s">
        <v>1055</v>
      </c>
      <c r="E1388" s="29">
        <f>자재조서!E482</f>
        <v>1178770</v>
      </c>
      <c r="F1388" s="29">
        <f t="shared" si="149"/>
        <v>1178770</v>
      </c>
      <c r="G1388" s="29">
        <v>0</v>
      </c>
      <c r="H1388" s="29"/>
      <c r="I1388" s="29">
        <v>0</v>
      </c>
      <c r="J1388" s="29"/>
      <c r="K1388" s="29">
        <f t="shared" si="148"/>
        <v>1178770</v>
      </c>
      <c r="L1388" s="29">
        <f t="shared" si="147"/>
        <v>1178770</v>
      </c>
      <c r="M1388" s="20" t="s">
        <v>6232</v>
      </c>
      <c r="N1388" t="s">
        <v>6232</v>
      </c>
      <c r="P1388" t="s">
        <v>359</v>
      </c>
      <c r="Q1388" t="s">
        <v>6232</v>
      </c>
      <c r="R1388" t="s">
        <v>6087</v>
      </c>
      <c r="BI1388" s="52" t="str">
        <f>HYPERLINK("#자재조서!A482","MV-4600-000700 →")</f>
        <v>MV-4600-000700 →</v>
      </c>
    </row>
    <row r="1389" spans="1:61" ht="18.399999999999999" customHeight="1">
      <c r="A1389" s="11" t="s">
        <v>1677</v>
      </c>
      <c r="B1389" s="2" t="s">
        <v>2823</v>
      </c>
      <c r="C1389" s="2">
        <v>1</v>
      </c>
      <c r="D1389" s="2" t="s">
        <v>1055</v>
      </c>
      <c r="E1389" s="29">
        <f>자재조서!E483</f>
        <v>1225290</v>
      </c>
      <c r="F1389" s="29">
        <f t="shared" si="149"/>
        <v>1225290</v>
      </c>
      <c r="G1389" s="29">
        <v>0</v>
      </c>
      <c r="H1389" s="29"/>
      <c r="I1389" s="29">
        <v>0</v>
      </c>
      <c r="J1389" s="29"/>
      <c r="K1389" s="29">
        <f t="shared" si="148"/>
        <v>1225290</v>
      </c>
      <c r="L1389" s="29">
        <f t="shared" si="147"/>
        <v>1225290</v>
      </c>
      <c r="M1389" s="20" t="s">
        <v>6232</v>
      </c>
      <c r="N1389" t="s">
        <v>6232</v>
      </c>
      <c r="P1389" t="s">
        <v>1882</v>
      </c>
      <c r="Q1389" t="s">
        <v>6232</v>
      </c>
      <c r="R1389" t="s">
        <v>4624</v>
      </c>
      <c r="BI1389" s="52" t="str">
        <f>HYPERLINK("#자재조서!A483","MV-4600-000750 →")</f>
        <v>MV-4600-000750 →</v>
      </c>
    </row>
    <row r="1390" spans="1:61" ht="18.399999999999999" customHeight="1">
      <c r="A1390" s="11" t="s">
        <v>1544</v>
      </c>
      <c r="B1390" s="2" t="s">
        <v>6232</v>
      </c>
      <c r="C1390" s="2"/>
      <c r="D1390" s="2" t="s">
        <v>6232</v>
      </c>
      <c r="E1390" s="1"/>
      <c r="F1390" s="29">
        <f>TRUNC(F1389+F1388+F1387+F1386+F1385+F1384+F1383+F1382+F1381+F1380+F1379+F1378+F1377+F1376+F1375+F1374+F1373+F1372+F1371+F1370+F1369+F1368,0)</f>
        <v>12153680</v>
      </c>
      <c r="G1390" s="1"/>
      <c r="H1390" s="29">
        <f>TRUNC(H1389+H1388+H1387+H1386+H1385+H1384+H1383+H1382+H1381+H1380+H1379+H1378+H1377+H1376+H1375+H1374+H1373+H1372+H1371+H1370+H1369+H1368,0)</f>
        <v>0</v>
      </c>
      <c r="I1390" s="1"/>
      <c r="J1390" s="29">
        <f>TRUNC(J1389+J1388+J1387+J1386+J1385+J1384+J1383+J1382+J1381+J1380+J1379+J1378+J1377+J1376+J1375+J1374+J1373+J1372+J1371+J1370+J1369+J1368,0)</f>
        <v>0</v>
      </c>
      <c r="K1390" s="29">
        <f t="shared" si="148"/>
        <v>0</v>
      </c>
      <c r="L1390" s="29">
        <f t="shared" si="147"/>
        <v>12153680</v>
      </c>
      <c r="M1390" s="20" t="s">
        <v>6232</v>
      </c>
      <c r="N1390" t="s">
        <v>6232</v>
      </c>
      <c r="P1390" t="s">
        <v>2484</v>
      </c>
      <c r="Q1390" t="s">
        <v>6232</v>
      </c>
      <c r="R1390" t="s">
        <v>6232</v>
      </c>
    </row>
    <row r="1391" spans="1:61" ht="18.399999999999999" customHeight="1">
      <c r="A1391" s="11" t="s">
        <v>2495</v>
      </c>
      <c r="B1391" s="2" t="s">
        <v>6232</v>
      </c>
      <c r="C1391" s="2"/>
      <c r="D1391" s="2" t="s">
        <v>6232</v>
      </c>
      <c r="E1391" s="1"/>
      <c r="F1391" s="29">
        <v>0</v>
      </c>
      <c r="G1391" s="1"/>
      <c r="H1391" s="29">
        <v>0</v>
      </c>
      <c r="I1391" s="1"/>
      <c r="J1391" s="29">
        <v>0</v>
      </c>
      <c r="K1391" s="29">
        <f t="shared" si="148"/>
        <v>0</v>
      </c>
      <c r="L1391" s="29">
        <f t="shared" si="147"/>
        <v>0</v>
      </c>
      <c r="M1391" s="20" t="s">
        <v>6232</v>
      </c>
      <c r="N1391" t="s">
        <v>6232</v>
      </c>
      <c r="P1391" t="s">
        <v>964</v>
      </c>
      <c r="Q1391" t="s">
        <v>6232</v>
      </c>
      <c r="R1391" t="s">
        <v>6232</v>
      </c>
    </row>
    <row r="1392" spans="1:61" ht="18.399999999999999" customHeight="1">
      <c r="A1392" s="11" t="s">
        <v>1346</v>
      </c>
      <c r="B1392" s="2" t="s">
        <v>6232</v>
      </c>
      <c r="C1392" s="2"/>
      <c r="D1392" s="2" t="s">
        <v>6232</v>
      </c>
      <c r="E1392" s="1"/>
      <c r="F1392" s="29">
        <v>0</v>
      </c>
      <c r="G1392" s="1"/>
      <c r="H1392" s="29">
        <v>0</v>
      </c>
      <c r="I1392" s="1"/>
      <c r="J1392" s="29">
        <v>0</v>
      </c>
      <c r="K1392" s="29">
        <f t="shared" si="148"/>
        <v>0</v>
      </c>
      <c r="L1392" s="29">
        <f t="shared" si="147"/>
        <v>0</v>
      </c>
      <c r="M1392" s="20" t="s">
        <v>6232</v>
      </c>
      <c r="N1392" t="s">
        <v>6232</v>
      </c>
      <c r="P1392" t="s">
        <v>5553</v>
      </c>
      <c r="Q1392" t="s">
        <v>6232</v>
      </c>
      <c r="R1392" t="s">
        <v>6232</v>
      </c>
    </row>
    <row r="1393" spans="1:61" ht="18.399999999999999" customHeight="1">
      <c r="A1393" s="11" t="s">
        <v>1346</v>
      </c>
      <c r="B1393" s="2" t="s">
        <v>5596</v>
      </c>
      <c r="C1393" s="2">
        <v>1</v>
      </c>
      <c r="D1393" s="2" t="s">
        <v>1055</v>
      </c>
      <c r="E1393" s="29">
        <f>자재조서!E484</f>
        <v>37770</v>
      </c>
      <c r="F1393" s="29">
        <f t="shared" ref="F1393:F1414" si="150">TRUNC(E1393*C1393,0)</f>
        <v>37770</v>
      </c>
      <c r="G1393" s="29">
        <v>0</v>
      </c>
      <c r="H1393" s="29"/>
      <c r="I1393" s="29">
        <v>0</v>
      </c>
      <c r="J1393" s="29"/>
      <c r="K1393" s="29">
        <f t="shared" si="148"/>
        <v>37770</v>
      </c>
      <c r="L1393" s="29">
        <f t="shared" si="147"/>
        <v>37770</v>
      </c>
      <c r="M1393" s="20" t="s">
        <v>6232</v>
      </c>
      <c r="N1393" t="s">
        <v>6232</v>
      </c>
      <c r="P1393" t="s">
        <v>4034</v>
      </c>
      <c r="Q1393" t="s">
        <v>6232</v>
      </c>
      <c r="R1393" t="s">
        <v>4738</v>
      </c>
      <c r="BI1393" s="52" t="str">
        <f>HYPERLINK("#자재조서!A484","MV-4700-000020 →")</f>
        <v>MV-4700-000020 →</v>
      </c>
    </row>
    <row r="1394" spans="1:61" ht="18.399999999999999" customHeight="1">
      <c r="A1394" s="11" t="s">
        <v>1346</v>
      </c>
      <c r="B1394" s="2" t="s">
        <v>3967</v>
      </c>
      <c r="C1394" s="2">
        <v>1</v>
      </c>
      <c r="D1394" s="2" t="s">
        <v>1055</v>
      </c>
      <c r="E1394" s="29">
        <f>자재조서!E485</f>
        <v>37770</v>
      </c>
      <c r="F1394" s="29">
        <f t="shared" si="150"/>
        <v>37770</v>
      </c>
      <c r="G1394" s="29">
        <v>0</v>
      </c>
      <c r="H1394" s="29"/>
      <c r="I1394" s="29">
        <v>0</v>
      </c>
      <c r="J1394" s="29"/>
      <c r="K1394" s="29">
        <f t="shared" si="148"/>
        <v>37770</v>
      </c>
      <c r="L1394" s="29">
        <f t="shared" si="147"/>
        <v>37770</v>
      </c>
      <c r="M1394" s="20" t="s">
        <v>6232</v>
      </c>
      <c r="N1394" t="s">
        <v>6232</v>
      </c>
      <c r="P1394" t="s">
        <v>2365</v>
      </c>
      <c r="Q1394" t="s">
        <v>6232</v>
      </c>
      <c r="R1394" t="s">
        <v>1818</v>
      </c>
      <c r="BI1394" s="52" t="str">
        <f>HYPERLINK("#자재조서!A485","MV-4700-000025 →")</f>
        <v>MV-4700-000025 →</v>
      </c>
    </row>
    <row r="1395" spans="1:61" ht="18.399999999999999" customHeight="1">
      <c r="A1395" s="11" t="s">
        <v>1346</v>
      </c>
      <c r="B1395" s="2" t="s">
        <v>1993</v>
      </c>
      <c r="C1395" s="2">
        <v>1</v>
      </c>
      <c r="D1395" s="2" t="s">
        <v>1055</v>
      </c>
      <c r="E1395" s="29">
        <f>자재조서!E486</f>
        <v>38360</v>
      </c>
      <c r="F1395" s="29">
        <f t="shared" si="150"/>
        <v>38360</v>
      </c>
      <c r="G1395" s="29">
        <v>0</v>
      </c>
      <c r="H1395" s="29"/>
      <c r="I1395" s="29">
        <v>0</v>
      </c>
      <c r="J1395" s="29"/>
      <c r="K1395" s="29">
        <f t="shared" si="148"/>
        <v>38360</v>
      </c>
      <c r="L1395" s="29">
        <f t="shared" si="147"/>
        <v>38360</v>
      </c>
      <c r="M1395" s="20" t="s">
        <v>6232</v>
      </c>
      <c r="N1395" t="s">
        <v>6232</v>
      </c>
      <c r="P1395" t="s">
        <v>847</v>
      </c>
      <c r="Q1395" t="s">
        <v>6232</v>
      </c>
      <c r="R1395" t="s">
        <v>4238</v>
      </c>
      <c r="BI1395" s="52" t="str">
        <f>HYPERLINK("#자재조서!A486","MV-4700-000032 →")</f>
        <v>MV-4700-000032 →</v>
      </c>
    </row>
    <row r="1396" spans="1:61" ht="18.399999999999999" customHeight="1">
      <c r="A1396" s="11" t="s">
        <v>1346</v>
      </c>
      <c r="B1396" s="2" t="s">
        <v>2012</v>
      </c>
      <c r="C1396" s="2">
        <v>1</v>
      </c>
      <c r="D1396" s="2" t="s">
        <v>1055</v>
      </c>
      <c r="E1396" s="29">
        <f>자재조서!E487</f>
        <v>38360</v>
      </c>
      <c r="F1396" s="29">
        <f t="shared" si="150"/>
        <v>38360</v>
      </c>
      <c r="G1396" s="29">
        <v>0</v>
      </c>
      <c r="H1396" s="29"/>
      <c r="I1396" s="29">
        <v>0</v>
      </c>
      <c r="J1396" s="29"/>
      <c r="K1396" s="29">
        <f t="shared" si="148"/>
        <v>38360</v>
      </c>
      <c r="L1396" s="29">
        <f t="shared" si="147"/>
        <v>38360</v>
      </c>
      <c r="M1396" s="20" t="s">
        <v>6232</v>
      </c>
      <c r="N1396" t="s">
        <v>6232</v>
      </c>
      <c r="P1396" t="s">
        <v>5441</v>
      </c>
      <c r="Q1396" t="s">
        <v>6232</v>
      </c>
      <c r="R1396" t="s">
        <v>1645</v>
      </c>
      <c r="BI1396" s="52" t="str">
        <f>HYPERLINK("#자재조서!A487","MV-4700-000040 →")</f>
        <v>MV-4700-000040 →</v>
      </c>
    </row>
    <row r="1397" spans="1:61" ht="18.399999999999999" customHeight="1">
      <c r="A1397" s="11" t="s">
        <v>1346</v>
      </c>
      <c r="B1397" s="2" t="s">
        <v>2393</v>
      </c>
      <c r="C1397" s="2">
        <v>1</v>
      </c>
      <c r="D1397" s="2" t="s">
        <v>1055</v>
      </c>
      <c r="E1397" s="29">
        <f>자재조서!E488</f>
        <v>38360</v>
      </c>
      <c r="F1397" s="29">
        <f t="shared" si="150"/>
        <v>38360</v>
      </c>
      <c r="G1397" s="29">
        <v>0</v>
      </c>
      <c r="H1397" s="29"/>
      <c r="I1397" s="29">
        <v>0</v>
      </c>
      <c r="J1397" s="29"/>
      <c r="K1397" s="29">
        <f t="shared" si="148"/>
        <v>38360</v>
      </c>
      <c r="L1397" s="29">
        <f t="shared" si="147"/>
        <v>38360</v>
      </c>
      <c r="M1397" s="20" t="s">
        <v>6232</v>
      </c>
      <c r="N1397" t="s">
        <v>6232</v>
      </c>
      <c r="P1397" t="s">
        <v>3910</v>
      </c>
      <c r="Q1397" t="s">
        <v>6232</v>
      </c>
      <c r="R1397" t="s">
        <v>86</v>
      </c>
      <c r="BI1397" s="52" t="str">
        <f>HYPERLINK("#자재조서!A488","MV-4700-000050 →")</f>
        <v>MV-4700-000050 →</v>
      </c>
    </row>
    <row r="1398" spans="1:61" ht="18.399999999999999" customHeight="1">
      <c r="A1398" s="11" t="s">
        <v>1346</v>
      </c>
      <c r="B1398" s="2" t="s">
        <v>3058</v>
      </c>
      <c r="C1398" s="2">
        <v>1</v>
      </c>
      <c r="D1398" s="2" t="s">
        <v>1055</v>
      </c>
      <c r="E1398" s="29">
        <f>자재조서!E489</f>
        <v>38970</v>
      </c>
      <c r="F1398" s="29">
        <f t="shared" si="150"/>
        <v>38970</v>
      </c>
      <c r="G1398" s="29">
        <v>0</v>
      </c>
      <c r="H1398" s="29"/>
      <c r="I1398" s="29">
        <v>0</v>
      </c>
      <c r="J1398" s="29"/>
      <c r="K1398" s="29">
        <f t="shared" si="148"/>
        <v>38970</v>
      </c>
      <c r="L1398" s="29">
        <f t="shared" si="147"/>
        <v>38970</v>
      </c>
      <c r="M1398" s="20" t="s">
        <v>6232</v>
      </c>
      <c r="N1398" t="s">
        <v>6232</v>
      </c>
      <c r="P1398" t="s">
        <v>2659</v>
      </c>
      <c r="Q1398" t="s">
        <v>6232</v>
      </c>
      <c r="R1398" t="s">
        <v>1732</v>
      </c>
      <c r="BI1398" s="52" t="str">
        <f>HYPERLINK("#자재조서!A489","MV-4700-000065 →")</f>
        <v>MV-4700-000065 →</v>
      </c>
    </row>
    <row r="1399" spans="1:61" ht="18.399999999999999" customHeight="1">
      <c r="A1399" s="11" t="s">
        <v>1346</v>
      </c>
      <c r="B1399" s="2" t="s">
        <v>1160</v>
      </c>
      <c r="C1399" s="2">
        <v>1</v>
      </c>
      <c r="D1399" s="2" t="s">
        <v>1055</v>
      </c>
      <c r="E1399" s="29">
        <f>자재조서!E490</f>
        <v>39590</v>
      </c>
      <c r="F1399" s="29">
        <f t="shared" si="150"/>
        <v>39590</v>
      </c>
      <c r="G1399" s="29">
        <v>0</v>
      </c>
      <c r="H1399" s="29"/>
      <c r="I1399" s="29">
        <v>0</v>
      </c>
      <c r="J1399" s="29"/>
      <c r="K1399" s="29">
        <f t="shared" si="148"/>
        <v>39590</v>
      </c>
      <c r="L1399" s="29">
        <f t="shared" si="147"/>
        <v>39590</v>
      </c>
      <c r="M1399" s="20" t="s">
        <v>6232</v>
      </c>
      <c r="N1399" t="s">
        <v>6232</v>
      </c>
      <c r="P1399" t="s">
        <v>1125</v>
      </c>
      <c r="Q1399" t="s">
        <v>6232</v>
      </c>
      <c r="R1399" t="s">
        <v>1747</v>
      </c>
      <c r="BI1399" s="52" t="str">
        <f>HYPERLINK("#자재조서!A490","MV-4700-000080 →")</f>
        <v>MV-4700-000080 →</v>
      </c>
    </row>
    <row r="1400" spans="1:61" ht="18.399999999999999" customHeight="1">
      <c r="A1400" s="11" t="s">
        <v>1346</v>
      </c>
      <c r="B1400" s="2" t="s">
        <v>1572</v>
      </c>
      <c r="C1400" s="2">
        <v>1</v>
      </c>
      <c r="D1400" s="2" t="s">
        <v>1055</v>
      </c>
      <c r="E1400" s="29">
        <f>자재조서!E491</f>
        <v>53210</v>
      </c>
      <c r="F1400" s="29">
        <f t="shared" si="150"/>
        <v>53210</v>
      </c>
      <c r="G1400" s="29">
        <v>0</v>
      </c>
      <c r="H1400" s="29"/>
      <c r="I1400" s="29">
        <v>0</v>
      </c>
      <c r="J1400" s="29"/>
      <c r="K1400" s="29">
        <f t="shared" si="148"/>
        <v>53210</v>
      </c>
      <c r="L1400" s="29">
        <f t="shared" si="147"/>
        <v>53210</v>
      </c>
      <c r="M1400" s="20" t="s">
        <v>6232</v>
      </c>
      <c r="N1400" t="s">
        <v>6232</v>
      </c>
      <c r="P1400" t="s">
        <v>1944</v>
      </c>
      <c r="Q1400" t="s">
        <v>6232</v>
      </c>
      <c r="R1400" t="s">
        <v>2845</v>
      </c>
      <c r="BI1400" s="52" t="str">
        <f>HYPERLINK("#자재조서!A491","MV-4700-000100 →")</f>
        <v>MV-4700-000100 →</v>
      </c>
    </row>
    <row r="1401" spans="1:61" ht="18.399999999999999" customHeight="1">
      <c r="A1401" s="11" t="s">
        <v>1346</v>
      </c>
      <c r="B1401" s="2" t="s">
        <v>2533</v>
      </c>
      <c r="C1401" s="2">
        <v>1</v>
      </c>
      <c r="D1401" s="2" t="s">
        <v>1055</v>
      </c>
      <c r="E1401" s="29">
        <f>자재조서!E492</f>
        <v>54070</v>
      </c>
      <c r="F1401" s="29">
        <f t="shared" si="150"/>
        <v>54070</v>
      </c>
      <c r="G1401" s="29">
        <v>0</v>
      </c>
      <c r="H1401" s="29"/>
      <c r="I1401" s="29">
        <v>0</v>
      </c>
      <c r="J1401" s="29"/>
      <c r="K1401" s="29">
        <f t="shared" si="148"/>
        <v>54070</v>
      </c>
      <c r="L1401" s="29">
        <f t="shared" si="147"/>
        <v>54070</v>
      </c>
      <c r="M1401" s="20" t="s">
        <v>6232</v>
      </c>
      <c r="N1401" t="s">
        <v>6232</v>
      </c>
      <c r="P1401" t="s">
        <v>385</v>
      </c>
      <c r="Q1401" t="s">
        <v>6232</v>
      </c>
      <c r="R1401" t="s">
        <v>2946</v>
      </c>
      <c r="BI1401" s="52" t="str">
        <f>HYPERLINK("#자재조서!A492","MV-4700-000125 →")</f>
        <v>MV-4700-000125 →</v>
      </c>
    </row>
    <row r="1402" spans="1:61" ht="18.399999999999999" customHeight="1">
      <c r="A1402" s="11" t="s">
        <v>1346</v>
      </c>
      <c r="B1402" s="2" t="s">
        <v>4124</v>
      </c>
      <c r="C1402" s="2">
        <v>1</v>
      </c>
      <c r="D1402" s="2" t="s">
        <v>1055</v>
      </c>
      <c r="E1402" s="29">
        <f>자재조서!E493</f>
        <v>55580</v>
      </c>
      <c r="F1402" s="29">
        <f t="shared" si="150"/>
        <v>55580</v>
      </c>
      <c r="G1402" s="29">
        <v>0</v>
      </c>
      <c r="H1402" s="29"/>
      <c r="I1402" s="29">
        <v>0</v>
      </c>
      <c r="J1402" s="29"/>
      <c r="K1402" s="29">
        <f t="shared" si="148"/>
        <v>55580</v>
      </c>
      <c r="L1402" s="29">
        <f t="shared" si="147"/>
        <v>55580</v>
      </c>
      <c r="M1402" s="20" t="s">
        <v>6232</v>
      </c>
      <c r="N1402" t="s">
        <v>6232</v>
      </c>
      <c r="P1402" t="s">
        <v>5130</v>
      </c>
      <c r="Q1402" t="s">
        <v>6232</v>
      </c>
      <c r="R1402" t="s">
        <v>1240</v>
      </c>
      <c r="BI1402" s="52" t="str">
        <f>HYPERLINK("#자재조서!A493","MV-4700-000150 →")</f>
        <v>MV-4700-000150 →</v>
      </c>
    </row>
    <row r="1403" spans="1:61" ht="18.399999999999999" customHeight="1">
      <c r="A1403" s="11" t="s">
        <v>1346</v>
      </c>
      <c r="B1403" s="2" t="s">
        <v>4196</v>
      </c>
      <c r="C1403" s="2">
        <v>1</v>
      </c>
      <c r="D1403" s="2" t="s">
        <v>1055</v>
      </c>
      <c r="E1403" s="29">
        <f>자재조서!E494</f>
        <v>60720</v>
      </c>
      <c r="F1403" s="29">
        <f t="shared" si="150"/>
        <v>60720</v>
      </c>
      <c r="G1403" s="29">
        <v>0</v>
      </c>
      <c r="H1403" s="29"/>
      <c r="I1403" s="29">
        <v>0</v>
      </c>
      <c r="J1403" s="29"/>
      <c r="K1403" s="29">
        <f t="shared" si="148"/>
        <v>60720</v>
      </c>
      <c r="L1403" s="29">
        <f t="shared" si="147"/>
        <v>60720</v>
      </c>
      <c r="M1403" s="20" t="s">
        <v>6232</v>
      </c>
      <c r="N1403" t="s">
        <v>6232</v>
      </c>
      <c r="P1403" t="s">
        <v>3538</v>
      </c>
      <c r="Q1403" t="s">
        <v>6232</v>
      </c>
      <c r="R1403" t="s">
        <v>1116</v>
      </c>
      <c r="BI1403" s="52" t="str">
        <f>HYPERLINK("#자재조서!A494","MV-4700-000200 →")</f>
        <v>MV-4700-000200 →</v>
      </c>
    </row>
    <row r="1404" spans="1:61" ht="18.399999999999999" customHeight="1">
      <c r="A1404" s="11" t="s">
        <v>1346</v>
      </c>
      <c r="B1404" s="2" t="s">
        <v>1701</v>
      </c>
      <c r="C1404" s="2">
        <v>1</v>
      </c>
      <c r="D1404" s="2" t="s">
        <v>1055</v>
      </c>
      <c r="E1404" s="29">
        <f>자재조서!E495</f>
        <v>94320</v>
      </c>
      <c r="F1404" s="29">
        <f t="shared" si="150"/>
        <v>94320</v>
      </c>
      <c r="G1404" s="29">
        <v>0</v>
      </c>
      <c r="H1404" s="29"/>
      <c r="I1404" s="29">
        <v>0</v>
      </c>
      <c r="J1404" s="29"/>
      <c r="K1404" s="29">
        <f t="shared" si="148"/>
        <v>94320</v>
      </c>
      <c r="L1404" s="29">
        <f t="shared" si="147"/>
        <v>94320</v>
      </c>
      <c r="M1404" s="20" t="s">
        <v>6232</v>
      </c>
      <c r="N1404" t="s">
        <v>6232</v>
      </c>
      <c r="P1404" t="s">
        <v>2050</v>
      </c>
      <c r="Q1404" t="s">
        <v>6232</v>
      </c>
      <c r="R1404" t="s">
        <v>2581</v>
      </c>
      <c r="BI1404" s="52" t="str">
        <f>HYPERLINK("#자재조서!A495","MV-4700-000250 →")</f>
        <v>MV-4700-000250 →</v>
      </c>
    </row>
    <row r="1405" spans="1:61" ht="18.399999999999999" customHeight="1">
      <c r="A1405" s="11" t="s">
        <v>1346</v>
      </c>
      <c r="B1405" s="2" t="s">
        <v>4894</v>
      </c>
      <c r="C1405" s="2">
        <v>1</v>
      </c>
      <c r="D1405" s="2" t="s">
        <v>1055</v>
      </c>
      <c r="E1405" s="29">
        <f>자재조서!E496</f>
        <v>99880</v>
      </c>
      <c r="F1405" s="29">
        <f t="shared" si="150"/>
        <v>99880</v>
      </c>
      <c r="G1405" s="29">
        <v>0</v>
      </c>
      <c r="H1405" s="29"/>
      <c r="I1405" s="29">
        <v>0</v>
      </c>
      <c r="J1405" s="29"/>
      <c r="K1405" s="29">
        <f t="shared" si="148"/>
        <v>99880</v>
      </c>
      <c r="L1405" s="29">
        <f t="shared" si="147"/>
        <v>99880</v>
      </c>
      <c r="M1405" s="20" t="s">
        <v>6232</v>
      </c>
      <c r="N1405" t="s">
        <v>6232</v>
      </c>
      <c r="P1405" t="s">
        <v>483</v>
      </c>
      <c r="Q1405" t="s">
        <v>6232</v>
      </c>
      <c r="R1405" t="s">
        <v>596</v>
      </c>
      <c r="BI1405" s="52" t="str">
        <f>HYPERLINK("#자재조서!A496","MV-4700-000300 →")</f>
        <v>MV-4700-000300 →</v>
      </c>
    </row>
    <row r="1406" spans="1:61" ht="18.399999999999999" customHeight="1">
      <c r="A1406" s="11" t="s">
        <v>1346</v>
      </c>
      <c r="B1406" s="2" t="s">
        <v>809</v>
      </c>
      <c r="C1406" s="2">
        <v>1</v>
      </c>
      <c r="D1406" s="2" t="s">
        <v>1055</v>
      </c>
      <c r="E1406" s="29">
        <f>자재조서!E497</f>
        <v>106380</v>
      </c>
      <c r="F1406" s="29">
        <f t="shared" si="150"/>
        <v>106380</v>
      </c>
      <c r="G1406" s="29">
        <v>0</v>
      </c>
      <c r="H1406" s="29"/>
      <c r="I1406" s="29">
        <v>0</v>
      </c>
      <c r="J1406" s="29"/>
      <c r="K1406" s="29">
        <f t="shared" si="148"/>
        <v>106380</v>
      </c>
      <c r="L1406" s="29">
        <f t="shared" si="147"/>
        <v>106380</v>
      </c>
      <c r="M1406" s="20" t="s">
        <v>6232</v>
      </c>
      <c r="N1406" t="s">
        <v>6232</v>
      </c>
      <c r="P1406" t="s">
        <v>5218</v>
      </c>
      <c r="Q1406" t="s">
        <v>6232</v>
      </c>
      <c r="R1406" t="s">
        <v>2255</v>
      </c>
      <c r="BI1406" s="52" t="str">
        <f>HYPERLINK("#자재조서!A497","MV-4700-000350 →")</f>
        <v>MV-4700-000350 →</v>
      </c>
    </row>
    <row r="1407" spans="1:61" ht="18.399999999999999" customHeight="1">
      <c r="A1407" s="11" t="s">
        <v>1346</v>
      </c>
      <c r="B1407" s="2" t="s">
        <v>2715</v>
      </c>
      <c r="C1407" s="2">
        <v>1</v>
      </c>
      <c r="D1407" s="2" t="s">
        <v>1055</v>
      </c>
      <c r="E1407" s="29">
        <f>자재조서!E498</f>
        <v>116630</v>
      </c>
      <c r="F1407" s="29">
        <f t="shared" si="150"/>
        <v>116630</v>
      </c>
      <c r="G1407" s="29">
        <v>0</v>
      </c>
      <c r="H1407" s="29"/>
      <c r="I1407" s="29">
        <v>0</v>
      </c>
      <c r="J1407" s="29"/>
      <c r="K1407" s="29">
        <f t="shared" si="148"/>
        <v>116630</v>
      </c>
      <c r="L1407" s="29">
        <f t="shared" si="147"/>
        <v>116630</v>
      </c>
      <c r="M1407" s="20" t="s">
        <v>6232</v>
      </c>
      <c r="N1407" t="s">
        <v>6232</v>
      </c>
      <c r="P1407" t="s">
        <v>3641</v>
      </c>
      <c r="Q1407" t="s">
        <v>6232</v>
      </c>
      <c r="R1407" t="s">
        <v>3806</v>
      </c>
      <c r="BI1407" s="52" t="str">
        <f>HYPERLINK("#자재조서!A498","MV-4700-000400 →")</f>
        <v>MV-4700-000400 →</v>
      </c>
    </row>
    <row r="1408" spans="1:61" ht="18.399999999999999" customHeight="1">
      <c r="A1408" s="11" t="s">
        <v>1346</v>
      </c>
      <c r="B1408" s="2" t="s">
        <v>3764</v>
      </c>
      <c r="C1408" s="2">
        <v>1</v>
      </c>
      <c r="D1408" s="2" t="s">
        <v>1055</v>
      </c>
      <c r="E1408" s="29">
        <f>자재조서!E499</f>
        <v>345960</v>
      </c>
      <c r="F1408" s="29">
        <f t="shared" si="150"/>
        <v>345960</v>
      </c>
      <c r="G1408" s="29">
        <v>0</v>
      </c>
      <c r="H1408" s="29"/>
      <c r="I1408" s="29">
        <v>0</v>
      </c>
      <c r="J1408" s="29"/>
      <c r="K1408" s="29">
        <f t="shared" si="148"/>
        <v>345960</v>
      </c>
      <c r="L1408" s="29">
        <f t="shared" si="147"/>
        <v>345960</v>
      </c>
      <c r="M1408" s="20" t="s">
        <v>6232</v>
      </c>
      <c r="N1408" t="s">
        <v>6232</v>
      </c>
      <c r="P1408" t="s">
        <v>2144</v>
      </c>
      <c r="Q1408" t="s">
        <v>6232</v>
      </c>
      <c r="R1408" t="s">
        <v>5247</v>
      </c>
      <c r="BI1408" s="52" t="str">
        <f>HYPERLINK("#자재조서!A499","MV-4700-000450 →")</f>
        <v>MV-4700-000450 →</v>
      </c>
    </row>
    <row r="1409" spans="1:61" ht="18.399999999999999" customHeight="1">
      <c r="A1409" s="11" t="s">
        <v>1346</v>
      </c>
      <c r="B1409" s="2" t="s">
        <v>524</v>
      </c>
      <c r="C1409" s="2">
        <v>1</v>
      </c>
      <c r="D1409" s="2" t="s">
        <v>1055</v>
      </c>
      <c r="E1409" s="29">
        <f>자재조서!E500</f>
        <v>407110</v>
      </c>
      <c r="F1409" s="29">
        <f t="shared" si="150"/>
        <v>407110</v>
      </c>
      <c r="G1409" s="29">
        <v>0</v>
      </c>
      <c r="H1409" s="29"/>
      <c r="I1409" s="29">
        <v>0</v>
      </c>
      <c r="J1409" s="29"/>
      <c r="K1409" s="29">
        <f t="shared" si="148"/>
        <v>407110</v>
      </c>
      <c r="L1409" s="29">
        <f t="shared" si="147"/>
        <v>407110</v>
      </c>
      <c r="M1409" s="20" t="s">
        <v>6232</v>
      </c>
      <c r="N1409" t="s">
        <v>6232</v>
      </c>
      <c r="P1409" t="s">
        <v>591</v>
      </c>
      <c r="Q1409" t="s">
        <v>6232</v>
      </c>
      <c r="R1409" t="s">
        <v>4140</v>
      </c>
      <c r="BI1409" s="52" t="str">
        <f>HYPERLINK("#자재조서!A500","MV-4700-000500 →")</f>
        <v>MV-4700-000500 →</v>
      </c>
    </row>
    <row r="1410" spans="1:61" ht="18.399999999999999" customHeight="1">
      <c r="A1410" s="11" t="s">
        <v>1346</v>
      </c>
      <c r="B1410" s="2" t="s">
        <v>6191</v>
      </c>
      <c r="C1410" s="2">
        <v>1</v>
      </c>
      <c r="D1410" s="2" t="s">
        <v>1055</v>
      </c>
      <c r="E1410" s="29">
        <f>자재조서!E501</f>
        <v>461110</v>
      </c>
      <c r="F1410" s="29">
        <f t="shared" si="150"/>
        <v>461110</v>
      </c>
      <c r="G1410" s="29">
        <v>0</v>
      </c>
      <c r="H1410" s="29"/>
      <c r="I1410" s="29">
        <v>0</v>
      </c>
      <c r="J1410" s="29"/>
      <c r="K1410" s="29">
        <f t="shared" si="148"/>
        <v>461110</v>
      </c>
      <c r="L1410" s="29">
        <f t="shared" si="147"/>
        <v>461110</v>
      </c>
      <c r="M1410" s="20" t="s">
        <v>6232</v>
      </c>
      <c r="N1410" t="s">
        <v>6232</v>
      </c>
      <c r="P1410" t="s">
        <v>181</v>
      </c>
      <c r="Q1410" t="s">
        <v>6232</v>
      </c>
      <c r="R1410" t="s">
        <v>5819</v>
      </c>
      <c r="BI1410" s="52" t="str">
        <f>HYPERLINK("#자재조서!A501","MV-4700-000550 →")</f>
        <v>MV-4700-000550 →</v>
      </c>
    </row>
    <row r="1411" spans="1:61" ht="18.399999999999999" customHeight="1">
      <c r="A1411" s="11" t="s">
        <v>1346</v>
      </c>
      <c r="B1411" s="2" t="s">
        <v>6105</v>
      </c>
      <c r="C1411" s="2">
        <v>1</v>
      </c>
      <c r="D1411" s="2" t="s">
        <v>1055</v>
      </c>
      <c r="E1411" s="29">
        <f>자재조서!E502</f>
        <v>230820</v>
      </c>
      <c r="F1411" s="29">
        <f t="shared" si="150"/>
        <v>230820</v>
      </c>
      <c r="G1411" s="29">
        <v>0</v>
      </c>
      <c r="H1411" s="29"/>
      <c r="I1411" s="29">
        <v>0</v>
      </c>
      <c r="J1411" s="29"/>
      <c r="K1411" s="29">
        <f t="shared" si="148"/>
        <v>230820</v>
      </c>
      <c r="L1411" s="29">
        <f t="shared" si="147"/>
        <v>230820</v>
      </c>
      <c r="M1411" s="20" t="s">
        <v>6232</v>
      </c>
      <c r="N1411" t="s">
        <v>6232</v>
      </c>
      <c r="P1411" t="s">
        <v>1745</v>
      </c>
      <c r="Q1411" t="s">
        <v>6232</v>
      </c>
      <c r="R1411" t="s">
        <v>5913</v>
      </c>
      <c r="BI1411" s="52" t="str">
        <f>HYPERLINK("#자재조서!A502","MV-4700-000600 →")</f>
        <v>MV-4700-000600 →</v>
      </c>
    </row>
    <row r="1412" spans="1:61" ht="18.399999999999999" customHeight="1">
      <c r="A1412" s="11" t="s">
        <v>1346</v>
      </c>
      <c r="B1412" s="2" t="s">
        <v>397</v>
      </c>
      <c r="C1412" s="2">
        <v>1</v>
      </c>
      <c r="D1412" s="2" t="s">
        <v>1055</v>
      </c>
      <c r="E1412" s="29">
        <f>자재조서!E503</f>
        <v>570800</v>
      </c>
      <c r="F1412" s="29">
        <f t="shared" si="150"/>
        <v>570800</v>
      </c>
      <c r="G1412" s="29">
        <v>0</v>
      </c>
      <c r="H1412" s="29"/>
      <c r="I1412" s="29">
        <v>0</v>
      </c>
      <c r="J1412" s="29"/>
      <c r="K1412" s="29">
        <f t="shared" si="148"/>
        <v>570800</v>
      </c>
      <c r="L1412" s="29">
        <f t="shared" si="147"/>
        <v>570800</v>
      </c>
      <c r="M1412" s="20" t="s">
        <v>6232</v>
      </c>
      <c r="N1412" t="s">
        <v>6232</v>
      </c>
      <c r="P1412" t="s">
        <v>3345</v>
      </c>
      <c r="Q1412" t="s">
        <v>6232</v>
      </c>
      <c r="R1412" t="s">
        <v>4410</v>
      </c>
      <c r="BI1412" s="52" t="str">
        <f>HYPERLINK("#자재조서!A503","MV-4700-000650 →")</f>
        <v>MV-4700-000650 →</v>
      </c>
    </row>
    <row r="1413" spans="1:61" ht="18.399999999999999" customHeight="1">
      <c r="A1413" s="11" t="s">
        <v>1346</v>
      </c>
      <c r="B1413" s="2" t="s">
        <v>3826</v>
      </c>
      <c r="C1413" s="2">
        <v>1</v>
      </c>
      <c r="D1413" s="2" t="s">
        <v>1055</v>
      </c>
      <c r="E1413" s="29">
        <f>자재조서!E504</f>
        <v>247670</v>
      </c>
      <c r="F1413" s="29">
        <f t="shared" si="150"/>
        <v>247670</v>
      </c>
      <c r="G1413" s="29">
        <v>0</v>
      </c>
      <c r="H1413" s="29"/>
      <c r="I1413" s="29">
        <v>0</v>
      </c>
      <c r="J1413" s="29"/>
      <c r="K1413" s="29">
        <f t="shared" si="148"/>
        <v>247670</v>
      </c>
      <c r="L1413" s="29">
        <f t="shared" si="147"/>
        <v>247670</v>
      </c>
      <c r="M1413" s="20" t="s">
        <v>6232</v>
      </c>
      <c r="N1413" t="s">
        <v>6232</v>
      </c>
      <c r="P1413" t="s">
        <v>4926</v>
      </c>
      <c r="Q1413" t="s">
        <v>6232</v>
      </c>
      <c r="R1413" t="s">
        <v>4777</v>
      </c>
      <c r="BI1413" s="52" t="str">
        <f>HYPERLINK("#자재조서!A504","MV-4700-000700 →")</f>
        <v>MV-4700-000700 →</v>
      </c>
    </row>
    <row r="1414" spans="1:61" ht="18.399999999999999" customHeight="1">
      <c r="A1414" s="11" t="s">
        <v>1346</v>
      </c>
      <c r="B1414" s="2" t="s">
        <v>2823</v>
      </c>
      <c r="C1414" s="2">
        <v>1</v>
      </c>
      <c r="D1414" s="2" t="s">
        <v>1055</v>
      </c>
      <c r="E1414" s="29">
        <f>자재조서!E505</f>
        <v>652680</v>
      </c>
      <c r="F1414" s="29">
        <f t="shared" si="150"/>
        <v>652680</v>
      </c>
      <c r="G1414" s="29">
        <v>0</v>
      </c>
      <c r="H1414" s="29"/>
      <c r="I1414" s="29">
        <v>0</v>
      </c>
      <c r="J1414" s="29"/>
      <c r="K1414" s="29">
        <f t="shared" si="148"/>
        <v>652680</v>
      </c>
      <c r="L1414" s="29">
        <f t="shared" si="147"/>
        <v>652680</v>
      </c>
      <c r="M1414" s="20" t="s">
        <v>6232</v>
      </c>
      <c r="N1414" t="s">
        <v>6232</v>
      </c>
      <c r="P1414" t="s">
        <v>273</v>
      </c>
      <c r="Q1414" t="s">
        <v>6232</v>
      </c>
      <c r="R1414" t="s">
        <v>3101</v>
      </c>
      <c r="BI1414" s="52" t="str">
        <f>HYPERLINK("#자재조서!A505","MV-4700-000750 →")</f>
        <v>MV-4700-000750 →</v>
      </c>
    </row>
    <row r="1415" spans="1:61" ht="18.399999999999999" customHeight="1">
      <c r="A1415" s="11" t="s">
        <v>1544</v>
      </c>
      <c r="B1415" s="2" t="s">
        <v>6232</v>
      </c>
      <c r="C1415" s="2"/>
      <c r="D1415" s="2" t="s">
        <v>6232</v>
      </c>
      <c r="E1415" s="1"/>
      <c r="F1415" s="29">
        <f>TRUNC(F1414+F1413+F1412+F1411+F1410+F1409+F1408+F1407+F1406+F1405+F1404+F1403+F1402+F1401+F1400+F1399+F1398+F1397+F1396+F1395+F1394+F1393,0)</f>
        <v>3826120</v>
      </c>
      <c r="G1415" s="1"/>
      <c r="H1415" s="29">
        <f>TRUNC(H1414+H1413+H1412+H1411+H1410+H1409+H1408+H1407+H1406+H1405+H1404+H1403+H1402+H1401+H1400+H1399+H1398+H1397+H1396+H1395+H1394+H1393,0)</f>
        <v>0</v>
      </c>
      <c r="I1415" s="1"/>
      <c r="J1415" s="29">
        <f>TRUNC(J1414+J1413+J1412+J1411+J1410+J1409+J1408+J1407+J1406+J1405+J1404+J1403+J1402+J1401+J1400+J1399+J1398+J1397+J1396+J1395+J1394+J1393,0)</f>
        <v>0</v>
      </c>
      <c r="K1415" s="29">
        <f t="shared" si="148"/>
        <v>0</v>
      </c>
      <c r="L1415" s="29">
        <f t="shared" si="147"/>
        <v>3826120</v>
      </c>
      <c r="M1415" s="20" t="s">
        <v>6232</v>
      </c>
      <c r="N1415" t="s">
        <v>6232</v>
      </c>
      <c r="P1415" t="s">
        <v>1857</v>
      </c>
      <c r="Q1415" t="s">
        <v>6232</v>
      </c>
      <c r="R1415" t="s">
        <v>6232</v>
      </c>
    </row>
    <row r="1416" spans="1:61" ht="18.399999999999999" customHeight="1">
      <c r="A1416" s="11" t="s">
        <v>2495</v>
      </c>
      <c r="B1416" s="2" t="s">
        <v>6232</v>
      </c>
      <c r="C1416" s="2"/>
      <c r="D1416" s="2" t="s">
        <v>6232</v>
      </c>
      <c r="E1416" s="1"/>
      <c r="F1416" s="29">
        <v>0</v>
      </c>
      <c r="G1416" s="1"/>
      <c r="H1416" s="29">
        <v>0</v>
      </c>
      <c r="I1416" s="1"/>
      <c r="J1416" s="29">
        <v>0</v>
      </c>
      <c r="K1416" s="29">
        <f t="shared" si="148"/>
        <v>0</v>
      </c>
      <c r="L1416" s="29">
        <f t="shared" si="147"/>
        <v>0</v>
      </c>
      <c r="M1416" s="20" t="s">
        <v>6232</v>
      </c>
      <c r="N1416" t="s">
        <v>6232</v>
      </c>
      <c r="P1416" t="s">
        <v>3441</v>
      </c>
      <c r="Q1416" t="s">
        <v>6232</v>
      </c>
      <c r="R1416" t="s">
        <v>6232</v>
      </c>
    </row>
    <row r="1417" spans="1:61" ht="18.399999999999999" customHeight="1">
      <c r="A1417" s="11" t="s">
        <v>900</v>
      </c>
      <c r="B1417" s="2" t="s">
        <v>6232</v>
      </c>
      <c r="C1417" s="2"/>
      <c r="D1417" s="2" t="s">
        <v>6232</v>
      </c>
      <c r="E1417" s="1"/>
      <c r="F1417" s="29">
        <v>0</v>
      </c>
      <c r="G1417" s="1"/>
      <c r="H1417" s="29">
        <v>0</v>
      </c>
      <c r="I1417" s="1"/>
      <c r="J1417" s="29">
        <v>0</v>
      </c>
      <c r="K1417" s="29">
        <f t="shared" si="148"/>
        <v>0</v>
      </c>
      <c r="L1417" s="29">
        <f t="shared" ref="L1417:L1480" si="151">F1417+H1417+J1417</f>
        <v>0</v>
      </c>
      <c r="M1417" s="20" t="s">
        <v>6232</v>
      </c>
      <c r="N1417" t="s">
        <v>6232</v>
      </c>
      <c r="P1417" t="s">
        <v>5025</v>
      </c>
      <c r="Q1417" t="s">
        <v>6232</v>
      </c>
      <c r="R1417" t="s">
        <v>6232</v>
      </c>
    </row>
    <row r="1418" spans="1:61" ht="18.399999999999999" customHeight="1">
      <c r="A1418" s="11" t="s">
        <v>900</v>
      </c>
      <c r="B1418" s="2" t="s">
        <v>5596</v>
      </c>
      <c r="C1418" s="2">
        <v>1</v>
      </c>
      <c r="D1418" s="2" t="s">
        <v>1055</v>
      </c>
      <c r="E1418" s="29">
        <f>자재조서!E506</f>
        <v>633000</v>
      </c>
      <c r="F1418" s="29">
        <f t="shared" ref="F1418:F1452" si="152">TRUNC(E1418*C1418,0)</f>
        <v>633000</v>
      </c>
      <c r="G1418" s="29">
        <v>0</v>
      </c>
      <c r="H1418" s="29"/>
      <c r="I1418" s="29">
        <v>0</v>
      </c>
      <c r="J1418" s="29"/>
      <c r="K1418" s="29">
        <f t="shared" ref="K1418:K1481" si="153">E1418+G1418+I1418</f>
        <v>633000</v>
      </c>
      <c r="L1418" s="29">
        <f t="shared" si="151"/>
        <v>633000</v>
      </c>
      <c r="M1418" s="20" t="s">
        <v>6232</v>
      </c>
      <c r="N1418" t="s">
        <v>6232</v>
      </c>
      <c r="P1418" t="s">
        <v>15</v>
      </c>
      <c r="Q1418" t="s">
        <v>6232</v>
      </c>
      <c r="R1418" t="s">
        <v>1876</v>
      </c>
      <c r="BI1418" s="52" t="str">
        <f>HYPERLINK("#자재조서!A506","MV-4800-000020 →")</f>
        <v>MV-4800-000020 →</v>
      </c>
    </row>
    <row r="1419" spans="1:61" ht="18.399999999999999" customHeight="1">
      <c r="A1419" s="11" t="s">
        <v>900</v>
      </c>
      <c r="B1419" s="2" t="s">
        <v>3967</v>
      </c>
      <c r="C1419" s="2">
        <v>1</v>
      </c>
      <c r="D1419" s="2" t="s">
        <v>1055</v>
      </c>
      <c r="E1419" s="29">
        <f>자재조서!E507</f>
        <v>656000</v>
      </c>
      <c r="F1419" s="29">
        <f t="shared" si="152"/>
        <v>656000</v>
      </c>
      <c r="G1419" s="29">
        <v>0</v>
      </c>
      <c r="H1419" s="29"/>
      <c r="I1419" s="29">
        <v>0</v>
      </c>
      <c r="J1419" s="29"/>
      <c r="K1419" s="29">
        <f t="shared" si="153"/>
        <v>656000</v>
      </c>
      <c r="L1419" s="29">
        <f t="shared" si="151"/>
        <v>656000</v>
      </c>
      <c r="M1419" s="20" t="s">
        <v>6232</v>
      </c>
      <c r="N1419" t="s">
        <v>6232</v>
      </c>
      <c r="P1419" t="s">
        <v>1556</v>
      </c>
      <c r="Q1419" t="s">
        <v>6232</v>
      </c>
      <c r="R1419" t="s">
        <v>4678</v>
      </c>
      <c r="BI1419" s="52" t="str">
        <f>HYPERLINK("#자재조서!A507","MV-4800-000025 →")</f>
        <v>MV-4800-000025 →</v>
      </c>
    </row>
    <row r="1420" spans="1:61" ht="18.399999999999999" customHeight="1">
      <c r="A1420" s="11" t="s">
        <v>900</v>
      </c>
      <c r="B1420" s="2" t="s">
        <v>1993</v>
      </c>
      <c r="C1420" s="2">
        <v>1</v>
      </c>
      <c r="D1420" s="2" t="s">
        <v>1055</v>
      </c>
      <c r="E1420" s="29">
        <f>자재조서!E508</f>
        <v>685000</v>
      </c>
      <c r="F1420" s="29">
        <f t="shared" si="152"/>
        <v>685000</v>
      </c>
      <c r="G1420" s="29">
        <v>0</v>
      </c>
      <c r="H1420" s="29"/>
      <c r="I1420" s="29">
        <v>0</v>
      </c>
      <c r="J1420" s="29"/>
      <c r="K1420" s="29">
        <f t="shared" si="153"/>
        <v>685000</v>
      </c>
      <c r="L1420" s="29">
        <f t="shared" si="151"/>
        <v>685000</v>
      </c>
      <c r="M1420" s="20" t="s">
        <v>6232</v>
      </c>
      <c r="N1420" t="s">
        <v>6232</v>
      </c>
      <c r="P1420" t="s">
        <v>1504</v>
      </c>
      <c r="Q1420" t="s">
        <v>6232</v>
      </c>
      <c r="R1420" t="s">
        <v>858</v>
      </c>
      <c r="BI1420" s="52" t="str">
        <f>HYPERLINK("#자재조서!A508","MV-4800-000032 →")</f>
        <v>MV-4800-000032 →</v>
      </c>
    </row>
    <row r="1421" spans="1:61" ht="18.399999999999999" customHeight="1">
      <c r="A1421" s="11" t="s">
        <v>900</v>
      </c>
      <c r="B1421" s="2" t="s">
        <v>2012</v>
      </c>
      <c r="C1421" s="2">
        <v>1</v>
      </c>
      <c r="D1421" s="2" t="s">
        <v>1055</v>
      </c>
      <c r="E1421" s="29">
        <f>자재조서!E509</f>
        <v>825000</v>
      </c>
      <c r="F1421" s="29">
        <f t="shared" si="152"/>
        <v>825000</v>
      </c>
      <c r="G1421" s="29">
        <v>0</v>
      </c>
      <c r="H1421" s="29"/>
      <c r="I1421" s="29">
        <v>0</v>
      </c>
      <c r="J1421" s="29"/>
      <c r="K1421" s="29">
        <f t="shared" si="153"/>
        <v>825000</v>
      </c>
      <c r="L1421" s="29">
        <f t="shared" si="151"/>
        <v>825000</v>
      </c>
      <c r="M1421" s="20" t="s">
        <v>6232</v>
      </c>
      <c r="N1421" t="s">
        <v>6232</v>
      </c>
      <c r="P1421" t="s">
        <v>3037</v>
      </c>
      <c r="Q1421" t="s">
        <v>6232</v>
      </c>
      <c r="R1421" t="s">
        <v>4851</v>
      </c>
      <c r="BI1421" s="52" t="str">
        <f>HYPERLINK("#자재조서!A509","MV-4800-000040 →")</f>
        <v>MV-4800-000040 →</v>
      </c>
    </row>
    <row r="1422" spans="1:61" ht="18.399999999999999" customHeight="1">
      <c r="A1422" s="11" t="s">
        <v>900</v>
      </c>
      <c r="B1422" s="2" t="s">
        <v>2393</v>
      </c>
      <c r="C1422" s="2">
        <v>1</v>
      </c>
      <c r="D1422" s="2" t="s">
        <v>1055</v>
      </c>
      <c r="E1422" s="29">
        <f>자재조서!E510</f>
        <v>894000</v>
      </c>
      <c r="F1422" s="29">
        <f t="shared" si="152"/>
        <v>894000</v>
      </c>
      <c r="G1422" s="29">
        <v>0</v>
      </c>
      <c r="H1422" s="29"/>
      <c r="I1422" s="29">
        <v>0</v>
      </c>
      <c r="J1422" s="29"/>
      <c r="K1422" s="29">
        <f t="shared" si="153"/>
        <v>894000</v>
      </c>
      <c r="L1422" s="29">
        <f t="shared" si="151"/>
        <v>894000</v>
      </c>
      <c r="M1422" s="20" t="s">
        <v>6232</v>
      </c>
      <c r="N1422" t="s">
        <v>6232</v>
      </c>
      <c r="P1422" t="s">
        <v>4568</v>
      </c>
      <c r="Q1422" t="s">
        <v>6232</v>
      </c>
      <c r="R1422" t="s">
        <v>3316</v>
      </c>
      <c r="BI1422" s="52" t="str">
        <f>HYPERLINK("#자재조서!A510","MV-4800-000050 →")</f>
        <v>MV-4800-000050 →</v>
      </c>
    </row>
    <row r="1423" spans="1:61" ht="18.399999999999999" customHeight="1">
      <c r="A1423" s="11" t="s">
        <v>900</v>
      </c>
      <c r="B1423" s="2" t="s">
        <v>3058</v>
      </c>
      <c r="C1423" s="2">
        <v>1</v>
      </c>
      <c r="D1423" s="2" t="s">
        <v>1055</v>
      </c>
      <c r="E1423" s="29">
        <f>자재조서!E511</f>
        <v>999000</v>
      </c>
      <c r="F1423" s="29">
        <f t="shared" si="152"/>
        <v>999000</v>
      </c>
      <c r="G1423" s="29">
        <v>0</v>
      </c>
      <c r="H1423" s="29"/>
      <c r="I1423" s="29">
        <v>0</v>
      </c>
      <c r="J1423" s="29"/>
      <c r="K1423" s="29">
        <f t="shared" si="153"/>
        <v>999000</v>
      </c>
      <c r="L1423" s="29">
        <f t="shared" si="151"/>
        <v>999000</v>
      </c>
      <c r="M1423" s="20" t="s">
        <v>6232</v>
      </c>
      <c r="N1423" t="s">
        <v>6232</v>
      </c>
      <c r="P1423" t="s">
        <v>6138</v>
      </c>
      <c r="Q1423" t="s">
        <v>6232</v>
      </c>
      <c r="R1423" t="s">
        <v>4802</v>
      </c>
      <c r="BI1423" s="52" t="str">
        <f>HYPERLINK("#자재조서!A511","MV-4800-000065 →")</f>
        <v>MV-4800-000065 →</v>
      </c>
    </row>
    <row r="1424" spans="1:61" ht="18.399999999999999" customHeight="1">
      <c r="A1424" s="11" t="s">
        <v>900</v>
      </c>
      <c r="B1424" s="2" t="s">
        <v>1160</v>
      </c>
      <c r="C1424" s="2">
        <v>1</v>
      </c>
      <c r="D1424" s="2" t="s">
        <v>1055</v>
      </c>
      <c r="E1424" s="29">
        <f>자재조서!E512</f>
        <v>1230000</v>
      </c>
      <c r="F1424" s="29">
        <f t="shared" si="152"/>
        <v>1230000</v>
      </c>
      <c r="G1424" s="29">
        <v>0</v>
      </c>
      <c r="H1424" s="29"/>
      <c r="I1424" s="29">
        <v>0</v>
      </c>
      <c r="J1424" s="29"/>
      <c r="K1424" s="29">
        <f t="shared" si="153"/>
        <v>1230000</v>
      </c>
      <c r="L1424" s="29">
        <f t="shared" si="151"/>
        <v>1230000</v>
      </c>
      <c r="M1424" s="20" t="s">
        <v>6232</v>
      </c>
      <c r="N1424" t="s">
        <v>6232</v>
      </c>
      <c r="P1424" t="s">
        <v>1428</v>
      </c>
      <c r="Q1424" t="s">
        <v>6232</v>
      </c>
      <c r="R1424" t="s">
        <v>4748</v>
      </c>
      <c r="BI1424" s="52" t="str">
        <f>HYPERLINK("#자재조서!A512","MV-4800-000080 →")</f>
        <v>MV-4800-000080 →</v>
      </c>
    </row>
    <row r="1425" spans="1:61" ht="18.399999999999999" customHeight="1">
      <c r="A1425" s="11" t="s">
        <v>900</v>
      </c>
      <c r="B1425" s="2" t="s">
        <v>1572</v>
      </c>
      <c r="C1425" s="2">
        <v>1</v>
      </c>
      <c r="D1425" s="2" t="s">
        <v>1055</v>
      </c>
      <c r="E1425" s="29">
        <f>자재조서!E513</f>
        <v>1353000</v>
      </c>
      <c r="F1425" s="29">
        <f t="shared" si="152"/>
        <v>1353000</v>
      </c>
      <c r="G1425" s="29">
        <v>0</v>
      </c>
      <c r="H1425" s="29"/>
      <c r="I1425" s="29">
        <v>0</v>
      </c>
      <c r="J1425" s="29"/>
      <c r="K1425" s="29">
        <f t="shared" si="153"/>
        <v>1353000</v>
      </c>
      <c r="L1425" s="29">
        <f t="shared" si="151"/>
        <v>1353000</v>
      </c>
      <c r="M1425" s="20" t="s">
        <v>6232</v>
      </c>
      <c r="N1425" t="s">
        <v>6232</v>
      </c>
      <c r="P1425" t="s">
        <v>2940</v>
      </c>
      <c r="Q1425" t="s">
        <v>6232</v>
      </c>
      <c r="R1425" t="s">
        <v>6132</v>
      </c>
      <c r="BI1425" s="52" t="str">
        <f>HYPERLINK("#자재조서!A513","MV-4800-000100 →")</f>
        <v>MV-4800-000100 →</v>
      </c>
    </row>
    <row r="1426" spans="1:61" ht="18.399999999999999" customHeight="1">
      <c r="A1426" s="11" t="s">
        <v>900</v>
      </c>
      <c r="B1426" s="2" t="s">
        <v>2533</v>
      </c>
      <c r="C1426" s="2">
        <v>1</v>
      </c>
      <c r="D1426" s="2" t="s">
        <v>1055</v>
      </c>
      <c r="E1426" s="29">
        <f>자재조서!E514</f>
        <v>1614000</v>
      </c>
      <c r="F1426" s="29">
        <f t="shared" si="152"/>
        <v>1614000</v>
      </c>
      <c r="G1426" s="29">
        <v>0</v>
      </c>
      <c r="H1426" s="29"/>
      <c r="I1426" s="29">
        <v>0</v>
      </c>
      <c r="J1426" s="29"/>
      <c r="K1426" s="29">
        <f t="shared" si="153"/>
        <v>1614000</v>
      </c>
      <c r="L1426" s="29">
        <f t="shared" si="151"/>
        <v>1614000</v>
      </c>
      <c r="M1426" s="20" t="s">
        <v>6232</v>
      </c>
      <c r="N1426" t="s">
        <v>6232</v>
      </c>
      <c r="P1426" t="s">
        <v>4495</v>
      </c>
      <c r="Q1426" t="s">
        <v>6232</v>
      </c>
      <c r="R1426" t="s">
        <v>5974</v>
      </c>
      <c r="BI1426" s="52" t="str">
        <f>HYPERLINK("#자재조서!A514","MV-4800-000125 →")</f>
        <v>MV-4800-000125 →</v>
      </c>
    </row>
    <row r="1427" spans="1:61" ht="18.399999999999999" customHeight="1">
      <c r="A1427" s="11" t="s">
        <v>900</v>
      </c>
      <c r="B1427" s="2" t="s">
        <v>4124</v>
      </c>
      <c r="C1427" s="2">
        <v>1</v>
      </c>
      <c r="D1427" s="2" t="s">
        <v>1055</v>
      </c>
      <c r="E1427" s="29">
        <f>자재조서!E515</f>
        <v>2964000</v>
      </c>
      <c r="F1427" s="29">
        <f t="shared" si="152"/>
        <v>2964000</v>
      </c>
      <c r="G1427" s="29">
        <v>0</v>
      </c>
      <c r="H1427" s="29"/>
      <c r="I1427" s="29">
        <v>0</v>
      </c>
      <c r="J1427" s="29"/>
      <c r="K1427" s="29">
        <f t="shared" si="153"/>
        <v>2964000</v>
      </c>
      <c r="L1427" s="29">
        <f t="shared" si="151"/>
        <v>2964000</v>
      </c>
      <c r="M1427" s="20" t="s">
        <v>6232</v>
      </c>
      <c r="N1427" t="s">
        <v>6232</v>
      </c>
      <c r="P1427" t="s">
        <v>6044</v>
      </c>
      <c r="Q1427" t="s">
        <v>6232</v>
      </c>
      <c r="R1427" t="s">
        <v>4594</v>
      </c>
      <c r="BI1427" s="52" t="str">
        <f>HYPERLINK("#자재조서!A515","MV-4800-000150 →")</f>
        <v>MV-4800-000150 →</v>
      </c>
    </row>
    <row r="1428" spans="1:61" ht="18.399999999999999" customHeight="1">
      <c r="A1428" s="11" t="s">
        <v>900</v>
      </c>
      <c r="B1428" s="2" t="s">
        <v>4196</v>
      </c>
      <c r="C1428" s="2">
        <v>1</v>
      </c>
      <c r="D1428" s="2" t="s">
        <v>1055</v>
      </c>
      <c r="E1428" s="29">
        <f>자재조서!E516</f>
        <v>3136000</v>
      </c>
      <c r="F1428" s="29">
        <f t="shared" si="152"/>
        <v>3136000</v>
      </c>
      <c r="G1428" s="29">
        <v>0</v>
      </c>
      <c r="H1428" s="29"/>
      <c r="I1428" s="29">
        <v>0</v>
      </c>
      <c r="J1428" s="29"/>
      <c r="K1428" s="29">
        <f t="shared" si="153"/>
        <v>3136000</v>
      </c>
      <c r="L1428" s="29">
        <f t="shared" si="151"/>
        <v>3136000</v>
      </c>
      <c r="M1428" s="20" t="s">
        <v>6232</v>
      </c>
      <c r="N1428" t="s">
        <v>6232</v>
      </c>
      <c r="P1428" t="s">
        <v>1328</v>
      </c>
      <c r="Q1428" t="s">
        <v>6232</v>
      </c>
      <c r="R1428" t="s">
        <v>3939</v>
      </c>
      <c r="BI1428" s="52" t="str">
        <f>HYPERLINK("#자재조서!A516","MV-4800-000200 →")</f>
        <v>MV-4800-000200 →</v>
      </c>
    </row>
    <row r="1429" spans="1:61" ht="18.399999999999999" customHeight="1">
      <c r="A1429" s="11" t="s">
        <v>900</v>
      </c>
      <c r="B1429" s="2" t="s">
        <v>1701</v>
      </c>
      <c r="C1429" s="2">
        <v>1</v>
      </c>
      <c r="D1429" s="2" t="s">
        <v>1055</v>
      </c>
      <c r="E1429" s="29">
        <f>자재조서!E517</f>
        <v>5213000</v>
      </c>
      <c r="F1429" s="29">
        <f t="shared" si="152"/>
        <v>5213000</v>
      </c>
      <c r="G1429" s="29">
        <v>0</v>
      </c>
      <c r="H1429" s="29"/>
      <c r="I1429" s="29">
        <v>0</v>
      </c>
      <c r="J1429" s="29"/>
      <c r="K1429" s="29">
        <f t="shared" si="153"/>
        <v>5213000</v>
      </c>
      <c r="L1429" s="29">
        <f t="shared" si="151"/>
        <v>5213000</v>
      </c>
      <c r="M1429" s="20" t="s">
        <v>6232</v>
      </c>
      <c r="N1429" t="s">
        <v>6232</v>
      </c>
      <c r="P1429" t="s">
        <v>2853</v>
      </c>
      <c r="Q1429" t="s">
        <v>6232</v>
      </c>
      <c r="R1429" t="s">
        <v>5630</v>
      </c>
      <c r="BI1429" s="52" t="str">
        <f>HYPERLINK("#자재조서!A517","MV-4800-000250 →")</f>
        <v>MV-4800-000250 →</v>
      </c>
    </row>
    <row r="1430" spans="1:61" ht="18.399999999999999" customHeight="1">
      <c r="A1430" s="11" t="s">
        <v>900</v>
      </c>
      <c r="B1430" s="2" t="s">
        <v>4894</v>
      </c>
      <c r="C1430" s="2">
        <v>1</v>
      </c>
      <c r="D1430" s="2" t="s">
        <v>1055</v>
      </c>
      <c r="E1430" s="29">
        <f>자재조서!E518</f>
        <v>8554000</v>
      </c>
      <c r="F1430" s="29">
        <f t="shared" si="152"/>
        <v>8554000</v>
      </c>
      <c r="G1430" s="29">
        <v>0</v>
      </c>
      <c r="H1430" s="29"/>
      <c r="I1430" s="29">
        <v>0</v>
      </c>
      <c r="J1430" s="29"/>
      <c r="K1430" s="29">
        <f t="shared" si="153"/>
        <v>8554000</v>
      </c>
      <c r="L1430" s="29">
        <f t="shared" si="151"/>
        <v>8554000</v>
      </c>
      <c r="M1430" s="20" t="s">
        <v>6232</v>
      </c>
      <c r="N1430" t="s">
        <v>6232</v>
      </c>
      <c r="P1430" t="s">
        <v>4504</v>
      </c>
      <c r="Q1430" t="s">
        <v>6232</v>
      </c>
      <c r="R1430" t="s">
        <v>3615</v>
      </c>
      <c r="BI1430" s="52" t="str">
        <f>HYPERLINK("#자재조서!A518","MV-4800-000300 →")</f>
        <v>MV-4800-000300 →</v>
      </c>
    </row>
    <row r="1431" spans="1:61" ht="18.399999999999999" customHeight="1">
      <c r="A1431" s="11" t="s">
        <v>900</v>
      </c>
      <c r="B1431" s="2" t="s">
        <v>809</v>
      </c>
      <c r="C1431" s="2">
        <v>1</v>
      </c>
      <c r="D1431" s="2" t="s">
        <v>1055</v>
      </c>
      <c r="E1431" s="29">
        <f>자재조서!E519</f>
        <v>13329000</v>
      </c>
      <c r="F1431" s="29">
        <f t="shared" si="152"/>
        <v>13329000</v>
      </c>
      <c r="G1431" s="29">
        <v>0</v>
      </c>
      <c r="H1431" s="29"/>
      <c r="I1431" s="29">
        <v>0</v>
      </c>
      <c r="J1431" s="29"/>
      <c r="K1431" s="29">
        <f t="shared" si="153"/>
        <v>13329000</v>
      </c>
      <c r="L1431" s="29">
        <f t="shared" si="151"/>
        <v>13329000</v>
      </c>
      <c r="M1431" s="20" t="s">
        <v>6232</v>
      </c>
      <c r="N1431" t="s">
        <v>6232</v>
      </c>
      <c r="P1431" t="s">
        <v>6107</v>
      </c>
      <c r="Q1431" t="s">
        <v>6232</v>
      </c>
      <c r="R1431" t="s">
        <v>5057</v>
      </c>
      <c r="BI1431" s="52" t="str">
        <f>HYPERLINK("#자재조서!A519","MV-4800-000350 →")</f>
        <v>MV-4800-000350 →</v>
      </c>
    </row>
    <row r="1432" spans="1:61" ht="18.399999999999999" customHeight="1">
      <c r="A1432" s="11" t="s">
        <v>900</v>
      </c>
      <c r="B1432" s="2" t="s">
        <v>2715</v>
      </c>
      <c r="C1432" s="2">
        <v>1</v>
      </c>
      <c r="D1432" s="2" t="s">
        <v>1055</v>
      </c>
      <c r="E1432" s="29">
        <f>자재조서!E520</f>
        <v>16913000</v>
      </c>
      <c r="F1432" s="29">
        <f t="shared" si="152"/>
        <v>16913000</v>
      </c>
      <c r="G1432" s="29">
        <v>0</v>
      </c>
      <c r="H1432" s="29"/>
      <c r="I1432" s="29">
        <v>0</v>
      </c>
      <c r="J1432" s="29"/>
      <c r="K1432" s="29">
        <f t="shared" si="153"/>
        <v>16913000</v>
      </c>
      <c r="L1432" s="29">
        <f t="shared" si="151"/>
        <v>16913000</v>
      </c>
      <c r="M1432" s="20" t="s">
        <v>6232</v>
      </c>
      <c r="N1432" t="s">
        <v>6232</v>
      </c>
      <c r="P1432" t="s">
        <v>1337</v>
      </c>
      <c r="Q1432" t="s">
        <v>6232</v>
      </c>
      <c r="R1432" t="s">
        <v>367</v>
      </c>
      <c r="BI1432" s="52" t="str">
        <f>HYPERLINK("#자재조서!A520","MV-4800-000400 →")</f>
        <v>MV-4800-000400 →</v>
      </c>
    </row>
    <row r="1433" spans="1:61" ht="18.399999999999999" customHeight="1">
      <c r="A1433" s="11" t="s">
        <v>900</v>
      </c>
      <c r="B1433" s="2" t="s">
        <v>3764</v>
      </c>
      <c r="C1433" s="2">
        <v>1</v>
      </c>
      <c r="D1433" s="2" t="s">
        <v>1055</v>
      </c>
      <c r="E1433" s="29">
        <f>자재조서!E521</f>
        <v>22147000</v>
      </c>
      <c r="F1433" s="29">
        <f t="shared" si="152"/>
        <v>22147000</v>
      </c>
      <c r="G1433" s="29">
        <v>0</v>
      </c>
      <c r="H1433" s="29"/>
      <c r="I1433" s="29">
        <v>0</v>
      </c>
      <c r="J1433" s="29"/>
      <c r="K1433" s="29">
        <f t="shared" si="153"/>
        <v>22147000</v>
      </c>
      <c r="L1433" s="29">
        <f t="shared" si="151"/>
        <v>22147000</v>
      </c>
      <c r="M1433" s="20" t="s">
        <v>6232</v>
      </c>
      <c r="N1433" t="s">
        <v>6232</v>
      </c>
      <c r="P1433" t="s">
        <v>2915</v>
      </c>
      <c r="Q1433" t="s">
        <v>6232</v>
      </c>
      <c r="R1433" t="s">
        <v>2065</v>
      </c>
      <c r="BI1433" s="52" t="str">
        <f>HYPERLINK("#자재조서!A521","MV-4800-000450 →")</f>
        <v>MV-4800-000450 →</v>
      </c>
    </row>
    <row r="1434" spans="1:61" ht="18.399999999999999" customHeight="1">
      <c r="A1434" s="11" t="s">
        <v>900</v>
      </c>
      <c r="B1434" s="2" t="s">
        <v>524</v>
      </c>
      <c r="C1434" s="2">
        <v>1</v>
      </c>
      <c r="D1434" s="2" t="s">
        <v>1055</v>
      </c>
      <c r="E1434" s="29">
        <f>자재조서!E522</f>
        <v>26820000</v>
      </c>
      <c r="F1434" s="29">
        <f t="shared" si="152"/>
        <v>26820000</v>
      </c>
      <c r="G1434" s="29">
        <v>0</v>
      </c>
      <c r="H1434" s="29"/>
      <c r="I1434" s="29">
        <v>0</v>
      </c>
      <c r="J1434" s="29"/>
      <c r="K1434" s="29">
        <f t="shared" si="153"/>
        <v>26820000</v>
      </c>
      <c r="L1434" s="29">
        <f t="shared" si="151"/>
        <v>26820000</v>
      </c>
      <c r="M1434" s="20" t="s">
        <v>6232</v>
      </c>
      <c r="N1434" t="s">
        <v>6232</v>
      </c>
      <c r="P1434" t="s">
        <v>4604</v>
      </c>
      <c r="Q1434" t="s">
        <v>6232</v>
      </c>
      <c r="R1434" t="s">
        <v>952</v>
      </c>
      <c r="BI1434" s="52" t="str">
        <f>HYPERLINK("#자재조서!A522","MV-4800-000500 →")</f>
        <v>MV-4800-000500 →</v>
      </c>
    </row>
    <row r="1435" spans="1:61" ht="18.399999999999999" customHeight="1">
      <c r="A1435" s="11" t="s">
        <v>900</v>
      </c>
      <c r="B1435" s="2" t="s">
        <v>6191</v>
      </c>
      <c r="C1435" s="2">
        <v>1</v>
      </c>
      <c r="D1435" s="2" t="s">
        <v>1055</v>
      </c>
      <c r="E1435" s="29">
        <f>자재조서!E523</f>
        <v>34700000</v>
      </c>
      <c r="F1435" s="29">
        <f t="shared" si="152"/>
        <v>34700000</v>
      </c>
      <c r="G1435" s="29">
        <v>0</v>
      </c>
      <c r="H1435" s="29"/>
      <c r="I1435" s="29">
        <v>0</v>
      </c>
      <c r="J1435" s="29"/>
      <c r="K1435" s="29">
        <f t="shared" si="153"/>
        <v>34700000</v>
      </c>
      <c r="L1435" s="29">
        <f t="shared" si="151"/>
        <v>34700000</v>
      </c>
      <c r="M1435" s="20" t="s">
        <v>6232</v>
      </c>
      <c r="N1435" t="s">
        <v>6232</v>
      </c>
      <c r="P1435" t="s">
        <v>6220</v>
      </c>
      <c r="Q1435" t="s">
        <v>6232</v>
      </c>
      <c r="R1435" t="s">
        <v>2371</v>
      </c>
      <c r="BI1435" s="52" t="str">
        <f>HYPERLINK("#자재조서!A523","MV-4800-000550 →")</f>
        <v>MV-4800-000550 →</v>
      </c>
    </row>
    <row r="1436" spans="1:61" ht="18.399999999999999" customHeight="1">
      <c r="A1436" s="11" t="s">
        <v>900</v>
      </c>
      <c r="B1436" s="2" t="s">
        <v>6105</v>
      </c>
      <c r="C1436" s="2">
        <v>1</v>
      </c>
      <c r="D1436" s="2" t="s">
        <v>1055</v>
      </c>
      <c r="E1436" s="29">
        <f>자재조서!E524</f>
        <v>40360000</v>
      </c>
      <c r="F1436" s="29">
        <f t="shared" si="152"/>
        <v>40360000</v>
      </c>
      <c r="G1436" s="29">
        <v>0</v>
      </c>
      <c r="H1436" s="29"/>
      <c r="I1436" s="29">
        <v>0</v>
      </c>
      <c r="J1436" s="29"/>
      <c r="K1436" s="29">
        <f t="shared" si="153"/>
        <v>40360000</v>
      </c>
      <c r="L1436" s="29">
        <f t="shared" si="151"/>
        <v>40360000</v>
      </c>
      <c r="M1436" s="20" t="s">
        <v>6232</v>
      </c>
      <c r="N1436" t="s">
        <v>6232</v>
      </c>
      <c r="P1436" t="s">
        <v>1452</v>
      </c>
      <c r="Q1436" t="s">
        <v>6232</v>
      </c>
      <c r="R1436" t="s">
        <v>3052</v>
      </c>
      <c r="BI1436" s="52" t="str">
        <f>HYPERLINK("#자재조서!A524","MV-4800-000600 →")</f>
        <v>MV-4800-000600 →</v>
      </c>
    </row>
    <row r="1437" spans="1:61" ht="18.399999999999999" customHeight="1">
      <c r="A1437" s="11" t="s">
        <v>900</v>
      </c>
      <c r="B1437" s="2" t="s">
        <v>397</v>
      </c>
      <c r="C1437" s="2">
        <v>1</v>
      </c>
      <c r="D1437" s="2" t="s">
        <v>1055</v>
      </c>
      <c r="E1437" s="29">
        <f>자재조서!E525</f>
        <v>70748000</v>
      </c>
      <c r="F1437" s="29">
        <f t="shared" si="152"/>
        <v>70748000</v>
      </c>
      <c r="G1437" s="29">
        <v>0</v>
      </c>
      <c r="H1437" s="29"/>
      <c r="I1437" s="29">
        <v>0</v>
      </c>
      <c r="J1437" s="29"/>
      <c r="K1437" s="29">
        <f t="shared" si="153"/>
        <v>70748000</v>
      </c>
      <c r="L1437" s="29">
        <f t="shared" si="151"/>
        <v>70748000</v>
      </c>
      <c r="M1437" s="20" t="s">
        <v>6232</v>
      </c>
      <c r="N1437" t="s">
        <v>6232</v>
      </c>
      <c r="P1437" t="s">
        <v>3023</v>
      </c>
      <c r="Q1437" t="s">
        <v>6232</v>
      </c>
      <c r="R1437" t="s">
        <v>1418</v>
      </c>
      <c r="BI1437" s="52" t="str">
        <f>HYPERLINK("#자재조서!A525","MV-4800-000650 →")</f>
        <v>MV-4800-000650 →</v>
      </c>
    </row>
    <row r="1438" spans="1:61" ht="18.399999999999999" customHeight="1">
      <c r="A1438" s="11" t="s">
        <v>900</v>
      </c>
      <c r="B1438" s="2" t="s">
        <v>3826</v>
      </c>
      <c r="C1438" s="2">
        <v>1</v>
      </c>
      <c r="D1438" s="2" t="s">
        <v>1055</v>
      </c>
      <c r="E1438" s="29">
        <f>자재조서!E526</f>
        <v>81790000</v>
      </c>
      <c r="F1438" s="29">
        <f t="shared" si="152"/>
        <v>81790000</v>
      </c>
      <c r="G1438" s="29">
        <v>0</v>
      </c>
      <c r="H1438" s="29"/>
      <c r="I1438" s="29">
        <v>0</v>
      </c>
      <c r="J1438" s="29"/>
      <c r="K1438" s="29">
        <f t="shared" si="153"/>
        <v>81790000</v>
      </c>
      <c r="L1438" s="29">
        <f t="shared" si="151"/>
        <v>81790000</v>
      </c>
      <c r="M1438" s="20" t="s">
        <v>6232</v>
      </c>
      <c r="N1438" t="s">
        <v>6232</v>
      </c>
      <c r="P1438" t="s">
        <v>4348</v>
      </c>
      <c r="Q1438" t="s">
        <v>6232</v>
      </c>
      <c r="R1438" t="s">
        <v>1750</v>
      </c>
      <c r="BI1438" s="52" t="str">
        <f>HYPERLINK("#자재조서!A526","MV-4800-000700 →")</f>
        <v>MV-4800-000700 →</v>
      </c>
    </row>
    <row r="1439" spans="1:61" ht="18.399999999999999" customHeight="1">
      <c r="A1439" s="11" t="s">
        <v>900</v>
      </c>
      <c r="B1439" s="2" t="s">
        <v>2823</v>
      </c>
      <c r="C1439" s="2">
        <v>1</v>
      </c>
      <c r="D1439" s="2" t="s">
        <v>1055</v>
      </c>
      <c r="E1439" s="29">
        <f>자재조서!E527</f>
        <v>97202000</v>
      </c>
      <c r="F1439" s="29">
        <f t="shared" si="152"/>
        <v>97202000</v>
      </c>
      <c r="G1439" s="29">
        <v>0</v>
      </c>
      <c r="H1439" s="29"/>
      <c r="I1439" s="29">
        <v>0</v>
      </c>
      <c r="J1439" s="29"/>
      <c r="K1439" s="29">
        <f t="shared" si="153"/>
        <v>97202000</v>
      </c>
      <c r="L1439" s="29">
        <f t="shared" si="151"/>
        <v>97202000</v>
      </c>
      <c r="M1439" s="20" t="s">
        <v>6232</v>
      </c>
      <c r="N1439" t="s">
        <v>6232</v>
      </c>
      <c r="P1439" t="s">
        <v>5921</v>
      </c>
      <c r="Q1439" t="s">
        <v>6232</v>
      </c>
      <c r="R1439" t="s">
        <v>267</v>
      </c>
      <c r="BI1439" s="52" t="str">
        <f>HYPERLINK("#자재조서!A527","MV-4800-000750 →")</f>
        <v>MV-4800-000750 →</v>
      </c>
    </row>
    <row r="1440" spans="1:61" ht="18.399999999999999" customHeight="1">
      <c r="A1440" s="11" t="s">
        <v>900</v>
      </c>
      <c r="B1440" s="2" t="s">
        <v>895</v>
      </c>
      <c r="C1440" s="2">
        <v>1</v>
      </c>
      <c r="D1440" s="2" t="s">
        <v>1055</v>
      </c>
      <c r="E1440" s="29">
        <f>자재조서!E528</f>
        <v>3960000</v>
      </c>
      <c r="F1440" s="29">
        <f t="shared" si="152"/>
        <v>3960000</v>
      </c>
      <c r="G1440" s="29">
        <v>0</v>
      </c>
      <c r="H1440" s="29"/>
      <c r="I1440" s="29">
        <v>0</v>
      </c>
      <c r="J1440" s="29"/>
      <c r="K1440" s="29">
        <f t="shared" si="153"/>
        <v>3960000</v>
      </c>
      <c r="L1440" s="29">
        <f t="shared" si="151"/>
        <v>3960000</v>
      </c>
      <c r="M1440" s="20" t="s">
        <v>6232</v>
      </c>
      <c r="N1440" t="s">
        <v>6232</v>
      </c>
      <c r="P1440" t="s">
        <v>3403</v>
      </c>
      <c r="Q1440" t="s">
        <v>6232</v>
      </c>
      <c r="R1440" t="s">
        <v>6158</v>
      </c>
      <c r="BI1440" s="52" t="str">
        <f>HYPERLINK("#자재조서!A528","MV-4810-000150 →")</f>
        <v>MV-4810-000150 →</v>
      </c>
    </row>
    <row r="1441" spans="1:61" ht="18.399999999999999" customHeight="1">
      <c r="A1441" s="11" t="s">
        <v>900</v>
      </c>
      <c r="B1441" s="2" t="s">
        <v>4027</v>
      </c>
      <c r="C1441" s="2">
        <v>1</v>
      </c>
      <c r="D1441" s="2" t="s">
        <v>1055</v>
      </c>
      <c r="E1441" s="29">
        <f>자재조서!E529</f>
        <v>4603000</v>
      </c>
      <c r="F1441" s="29">
        <f t="shared" si="152"/>
        <v>4603000</v>
      </c>
      <c r="G1441" s="29">
        <v>0</v>
      </c>
      <c r="H1441" s="29"/>
      <c r="I1441" s="29">
        <v>0</v>
      </c>
      <c r="J1441" s="29"/>
      <c r="K1441" s="29">
        <f t="shared" si="153"/>
        <v>4603000</v>
      </c>
      <c r="L1441" s="29">
        <f t="shared" si="151"/>
        <v>4603000</v>
      </c>
      <c r="M1441" s="20" t="s">
        <v>6232</v>
      </c>
      <c r="N1441" t="s">
        <v>6232</v>
      </c>
      <c r="P1441" t="s">
        <v>4939</v>
      </c>
      <c r="Q1441" t="s">
        <v>6232</v>
      </c>
      <c r="R1441" t="s">
        <v>5458</v>
      </c>
      <c r="BI1441" s="52" t="str">
        <f>HYPERLINK("#자재조서!A529","MV-4810-000200 →")</f>
        <v>MV-4810-000200 →</v>
      </c>
    </row>
    <row r="1442" spans="1:61" ht="18.399999999999999" customHeight="1">
      <c r="A1442" s="11" t="s">
        <v>900</v>
      </c>
      <c r="B1442" s="2" t="s">
        <v>5375</v>
      </c>
      <c r="C1442" s="2">
        <v>1</v>
      </c>
      <c r="D1442" s="2" t="s">
        <v>1055</v>
      </c>
      <c r="E1442" s="29">
        <f>자재조서!E530</f>
        <v>7543000</v>
      </c>
      <c r="F1442" s="29">
        <f t="shared" si="152"/>
        <v>7543000</v>
      </c>
      <c r="G1442" s="29">
        <v>0</v>
      </c>
      <c r="H1442" s="29"/>
      <c r="I1442" s="29">
        <v>0</v>
      </c>
      <c r="J1442" s="29"/>
      <c r="K1442" s="29">
        <f t="shared" si="153"/>
        <v>7543000</v>
      </c>
      <c r="L1442" s="29">
        <f t="shared" si="151"/>
        <v>7543000</v>
      </c>
      <c r="M1442" s="20" t="s">
        <v>6232</v>
      </c>
      <c r="N1442" t="s">
        <v>6232</v>
      </c>
      <c r="P1442" t="s">
        <v>347</v>
      </c>
      <c r="Q1442" t="s">
        <v>6232</v>
      </c>
      <c r="R1442" t="s">
        <v>4000</v>
      </c>
      <c r="BI1442" s="52" t="str">
        <f>HYPERLINK("#자재조서!A530","MV-4810-000250 →")</f>
        <v>MV-4810-000250 →</v>
      </c>
    </row>
    <row r="1443" spans="1:61" ht="18.399999999999999" customHeight="1">
      <c r="A1443" s="11" t="s">
        <v>900</v>
      </c>
      <c r="B1443" s="2" t="s">
        <v>1218</v>
      </c>
      <c r="C1443" s="2">
        <v>1</v>
      </c>
      <c r="D1443" s="2" t="s">
        <v>1055</v>
      </c>
      <c r="E1443" s="29">
        <f>자재조서!E531</f>
        <v>11043000</v>
      </c>
      <c r="F1443" s="29">
        <f t="shared" si="152"/>
        <v>11043000</v>
      </c>
      <c r="G1443" s="29">
        <v>0</v>
      </c>
      <c r="H1443" s="29"/>
      <c r="I1443" s="29">
        <v>0</v>
      </c>
      <c r="J1443" s="29"/>
      <c r="K1443" s="29">
        <f t="shared" si="153"/>
        <v>11043000</v>
      </c>
      <c r="L1443" s="29">
        <f t="shared" si="151"/>
        <v>11043000</v>
      </c>
      <c r="M1443" s="20" t="s">
        <v>6232</v>
      </c>
      <c r="N1443" t="s">
        <v>6232</v>
      </c>
      <c r="P1443" t="s">
        <v>1865</v>
      </c>
      <c r="Q1443" t="s">
        <v>6232</v>
      </c>
      <c r="R1443" t="s">
        <v>5188</v>
      </c>
      <c r="BI1443" s="52" t="str">
        <f>HYPERLINK("#자재조서!A531","MV-4810-000300 →")</f>
        <v>MV-4810-000300 →</v>
      </c>
    </row>
    <row r="1444" spans="1:61" ht="18.399999999999999" customHeight="1">
      <c r="A1444" s="11" t="s">
        <v>900</v>
      </c>
      <c r="B1444" s="2" t="s">
        <v>1761</v>
      </c>
      <c r="C1444" s="2">
        <v>1</v>
      </c>
      <c r="D1444" s="2" t="s">
        <v>1055</v>
      </c>
      <c r="E1444" s="29">
        <f>자재조서!E532</f>
        <v>15781000</v>
      </c>
      <c r="F1444" s="29">
        <f t="shared" si="152"/>
        <v>15781000</v>
      </c>
      <c r="G1444" s="29">
        <v>0</v>
      </c>
      <c r="H1444" s="29"/>
      <c r="I1444" s="29">
        <v>0</v>
      </c>
      <c r="J1444" s="29"/>
      <c r="K1444" s="29">
        <f t="shared" si="153"/>
        <v>15781000</v>
      </c>
      <c r="L1444" s="29">
        <f t="shared" si="151"/>
        <v>15781000</v>
      </c>
      <c r="M1444" s="20" t="s">
        <v>6232</v>
      </c>
      <c r="N1444" t="s">
        <v>6232</v>
      </c>
      <c r="P1444" t="s">
        <v>3328</v>
      </c>
      <c r="Q1444" t="s">
        <v>6232</v>
      </c>
      <c r="R1444" t="s">
        <v>3583</v>
      </c>
      <c r="BI1444" s="52" t="str">
        <f>HYPERLINK("#자재조서!A532","MV-4810-000350 →")</f>
        <v>MV-4810-000350 →</v>
      </c>
    </row>
    <row r="1445" spans="1:61" ht="18.399999999999999" customHeight="1">
      <c r="A1445" s="11" t="s">
        <v>900</v>
      </c>
      <c r="B1445" s="2" t="s">
        <v>495</v>
      </c>
      <c r="C1445" s="2">
        <v>1</v>
      </c>
      <c r="D1445" s="2" t="s">
        <v>1055</v>
      </c>
      <c r="E1445" s="29">
        <f>자재조서!E533</f>
        <v>19473000</v>
      </c>
      <c r="F1445" s="29">
        <f t="shared" si="152"/>
        <v>19473000</v>
      </c>
      <c r="G1445" s="29">
        <v>0</v>
      </c>
      <c r="H1445" s="29"/>
      <c r="I1445" s="29">
        <v>0</v>
      </c>
      <c r="J1445" s="29"/>
      <c r="K1445" s="29">
        <f t="shared" si="153"/>
        <v>19473000</v>
      </c>
      <c r="L1445" s="29">
        <f t="shared" si="151"/>
        <v>19473000</v>
      </c>
      <c r="M1445" s="20" t="s">
        <v>6232</v>
      </c>
      <c r="N1445" t="s">
        <v>6232</v>
      </c>
      <c r="P1445" t="s">
        <v>4862</v>
      </c>
      <c r="Q1445" t="s">
        <v>6232</v>
      </c>
      <c r="R1445" t="s">
        <v>1985</v>
      </c>
      <c r="BI1445" s="52" t="str">
        <f>HYPERLINK("#자재조서!A533","MV-4810-000400 →")</f>
        <v>MV-4810-000400 →</v>
      </c>
    </row>
    <row r="1446" spans="1:61" ht="18.399999999999999" customHeight="1">
      <c r="A1446" s="11" t="s">
        <v>900</v>
      </c>
      <c r="B1446" s="2" t="s">
        <v>2623</v>
      </c>
      <c r="C1446" s="2">
        <v>1</v>
      </c>
      <c r="D1446" s="2" t="s">
        <v>1055</v>
      </c>
      <c r="E1446" s="29">
        <f>자재조서!E534</f>
        <v>25020000</v>
      </c>
      <c r="F1446" s="29">
        <f t="shared" si="152"/>
        <v>25020000</v>
      </c>
      <c r="G1446" s="29">
        <v>0</v>
      </c>
      <c r="H1446" s="29"/>
      <c r="I1446" s="29">
        <v>0</v>
      </c>
      <c r="J1446" s="29"/>
      <c r="K1446" s="29">
        <f t="shared" si="153"/>
        <v>25020000</v>
      </c>
      <c r="L1446" s="29">
        <f t="shared" si="151"/>
        <v>25020000</v>
      </c>
      <c r="M1446" s="20" t="s">
        <v>6232</v>
      </c>
      <c r="N1446" t="s">
        <v>6232</v>
      </c>
      <c r="P1446" t="s">
        <v>255</v>
      </c>
      <c r="Q1446" t="s">
        <v>6232</v>
      </c>
      <c r="R1446" t="s">
        <v>566</v>
      </c>
      <c r="BI1446" s="52" t="str">
        <f>HYPERLINK("#자재조서!A534","MV-4810-000450 →")</f>
        <v>MV-4810-000450 →</v>
      </c>
    </row>
    <row r="1447" spans="1:61" ht="18.399999999999999" customHeight="1">
      <c r="A1447" s="11" t="s">
        <v>900</v>
      </c>
      <c r="B1447" s="2" t="s">
        <v>3155</v>
      </c>
      <c r="C1447" s="2">
        <v>1</v>
      </c>
      <c r="D1447" s="2" t="s">
        <v>1055</v>
      </c>
      <c r="E1447" s="29">
        <f>자재조서!E535</f>
        <v>29565000</v>
      </c>
      <c r="F1447" s="29">
        <f t="shared" si="152"/>
        <v>29565000</v>
      </c>
      <c r="G1447" s="29">
        <v>0</v>
      </c>
      <c r="H1447" s="29"/>
      <c r="I1447" s="29">
        <v>0</v>
      </c>
      <c r="J1447" s="29"/>
      <c r="K1447" s="29">
        <f t="shared" si="153"/>
        <v>29565000</v>
      </c>
      <c r="L1447" s="29">
        <f t="shared" si="151"/>
        <v>29565000</v>
      </c>
      <c r="M1447" s="20" t="s">
        <v>6232</v>
      </c>
      <c r="N1447" t="s">
        <v>6232</v>
      </c>
      <c r="P1447" t="s">
        <v>1775</v>
      </c>
      <c r="Q1447" t="s">
        <v>6232</v>
      </c>
      <c r="R1447" t="s">
        <v>2421</v>
      </c>
      <c r="BI1447" s="52" t="str">
        <f>HYPERLINK("#자재조서!A535","MV-4810-000500 →")</f>
        <v>MV-4810-000500 →</v>
      </c>
    </row>
    <row r="1448" spans="1:61" ht="18.399999999999999" customHeight="1">
      <c r="A1448" s="11" t="s">
        <v>900</v>
      </c>
      <c r="B1448" s="2" t="s">
        <v>6133</v>
      </c>
      <c r="C1448" s="2">
        <v>1</v>
      </c>
      <c r="D1448" s="2" t="s">
        <v>1055</v>
      </c>
      <c r="E1448" s="29">
        <f>자재조서!E536</f>
        <v>37461000</v>
      </c>
      <c r="F1448" s="29">
        <f t="shared" si="152"/>
        <v>37461000</v>
      </c>
      <c r="G1448" s="29">
        <v>0</v>
      </c>
      <c r="H1448" s="29"/>
      <c r="I1448" s="29">
        <v>0</v>
      </c>
      <c r="J1448" s="29"/>
      <c r="K1448" s="29">
        <f t="shared" si="153"/>
        <v>37461000</v>
      </c>
      <c r="L1448" s="29">
        <f t="shared" si="151"/>
        <v>37461000</v>
      </c>
      <c r="M1448" s="20" t="s">
        <v>6232</v>
      </c>
      <c r="N1448" t="s">
        <v>6232</v>
      </c>
      <c r="P1448" t="s">
        <v>3218</v>
      </c>
      <c r="Q1448" t="s">
        <v>6232</v>
      </c>
      <c r="R1448" t="s">
        <v>791</v>
      </c>
      <c r="BI1448" s="52" t="str">
        <f>HYPERLINK("#자재조서!A536","MV-4810-000550 →")</f>
        <v>MV-4810-000550 →</v>
      </c>
    </row>
    <row r="1449" spans="1:61" ht="18.399999999999999" customHeight="1">
      <c r="A1449" s="11" t="s">
        <v>900</v>
      </c>
      <c r="B1449" s="2" t="s">
        <v>2963</v>
      </c>
      <c r="C1449" s="2">
        <v>1</v>
      </c>
      <c r="D1449" s="2" t="s">
        <v>1055</v>
      </c>
      <c r="E1449" s="29">
        <f>자재조서!E537</f>
        <v>43164000</v>
      </c>
      <c r="F1449" s="29">
        <f t="shared" si="152"/>
        <v>43164000</v>
      </c>
      <c r="G1449" s="29">
        <v>0</v>
      </c>
      <c r="H1449" s="29"/>
      <c r="I1449" s="29">
        <v>0</v>
      </c>
      <c r="J1449" s="29"/>
      <c r="K1449" s="29">
        <f t="shared" si="153"/>
        <v>43164000</v>
      </c>
      <c r="L1449" s="29">
        <f t="shared" si="151"/>
        <v>43164000</v>
      </c>
      <c r="M1449" s="20" t="s">
        <v>6232</v>
      </c>
      <c r="N1449" t="s">
        <v>6232</v>
      </c>
      <c r="P1449" t="s">
        <v>4765</v>
      </c>
      <c r="Q1449" t="s">
        <v>6232</v>
      </c>
      <c r="R1449" t="s">
        <v>1474</v>
      </c>
      <c r="BI1449" s="52" t="str">
        <f>HYPERLINK("#자재조서!A537","MV-4810-000600 →")</f>
        <v>MV-4810-000600 →</v>
      </c>
    </row>
    <row r="1450" spans="1:61" ht="18.399999999999999" customHeight="1">
      <c r="A1450" s="11" t="s">
        <v>900</v>
      </c>
      <c r="B1450" s="2" t="s">
        <v>66</v>
      </c>
      <c r="C1450" s="2">
        <v>1</v>
      </c>
      <c r="D1450" s="2" t="s">
        <v>1055</v>
      </c>
      <c r="E1450" s="29">
        <f>자재조서!E538</f>
        <v>77631000</v>
      </c>
      <c r="F1450" s="29">
        <f t="shared" si="152"/>
        <v>77631000</v>
      </c>
      <c r="G1450" s="29">
        <v>0</v>
      </c>
      <c r="H1450" s="29"/>
      <c r="I1450" s="29">
        <v>0</v>
      </c>
      <c r="J1450" s="29"/>
      <c r="K1450" s="29">
        <f t="shared" si="153"/>
        <v>77631000</v>
      </c>
      <c r="L1450" s="29">
        <f t="shared" si="151"/>
        <v>77631000</v>
      </c>
      <c r="M1450" s="20" t="s">
        <v>6232</v>
      </c>
      <c r="N1450" t="s">
        <v>6232</v>
      </c>
      <c r="P1450" t="s">
        <v>5157</v>
      </c>
      <c r="Q1450" t="s">
        <v>6232</v>
      </c>
      <c r="R1450" t="s">
        <v>2892</v>
      </c>
      <c r="BI1450" s="52" t="str">
        <f>HYPERLINK("#자재조서!A538","MV-4810-000650 →")</f>
        <v>MV-4810-000650 →</v>
      </c>
    </row>
    <row r="1451" spans="1:61" ht="18.399999999999999" customHeight="1">
      <c r="A1451" s="11" t="s">
        <v>900</v>
      </c>
      <c r="B1451" s="2" t="s">
        <v>5740</v>
      </c>
      <c r="C1451" s="2">
        <v>1</v>
      </c>
      <c r="D1451" s="2" t="s">
        <v>1055</v>
      </c>
      <c r="E1451" s="29">
        <f>자재조서!E539</f>
        <v>89751000</v>
      </c>
      <c r="F1451" s="29">
        <f t="shared" si="152"/>
        <v>89751000</v>
      </c>
      <c r="G1451" s="29">
        <v>0</v>
      </c>
      <c r="H1451" s="29"/>
      <c r="I1451" s="29">
        <v>0</v>
      </c>
      <c r="J1451" s="29"/>
      <c r="K1451" s="29">
        <f t="shared" si="153"/>
        <v>89751000</v>
      </c>
      <c r="L1451" s="29">
        <f t="shared" si="151"/>
        <v>89751000</v>
      </c>
      <c r="M1451" s="20" t="s">
        <v>6232</v>
      </c>
      <c r="N1451" t="s">
        <v>6232</v>
      </c>
      <c r="P1451" t="s">
        <v>3624</v>
      </c>
      <c r="Q1451" t="s">
        <v>6232</v>
      </c>
      <c r="R1451" t="s">
        <v>234</v>
      </c>
      <c r="BI1451" s="52" t="str">
        <f>HYPERLINK("#자재조서!A539","MV-4810-000700 →")</f>
        <v>MV-4810-000700 →</v>
      </c>
    </row>
    <row r="1452" spans="1:61" ht="18.399999999999999" customHeight="1">
      <c r="A1452" s="11" t="s">
        <v>900</v>
      </c>
      <c r="B1452" s="2" t="s">
        <v>3595</v>
      </c>
      <c r="C1452" s="2">
        <v>1</v>
      </c>
      <c r="D1452" s="2" t="s">
        <v>1055</v>
      </c>
      <c r="E1452" s="29">
        <f>자재조서!E540</f>
        <v>106667000</v>
      </c>
      <c r="F1452" s="29">
        <f t="shared" si="152"/>
        <v>106667000</v>
      </c>
      <c r="G1452" s="29">
        <v>0</v>
      </c>
      <c r="H1452" s="29"/>
      <c r="I1452" s="29">
        <v>0</v>
      </c>
      <c r="J1452" s="29"/>
      <c r="K1452" s="29">
        <f t="shared" si="153"/>
        <v>106667000</v>
      </c>
      <c r="L1452" s="29">
        <f t="shared" si="151"/>
        <v>106667000</v>
      </c>
      <c r="M1452" s="20" t="s">
        <v>6232</v>
      </c>
      <c r="N1452" t="s">
        <v>6232</v>
      </c>
      <c r="P1452" t="s">
        <v>2080</v>
      </c>
      <c r="Q1452" t="s">
        <v>6232</v>
      </c>
      <c r="R1452" t="s">
        <v>1893</v>
      </c>
      <c r="BI1452" s="52" t="str">
        <f>HYPERLINK("#자재조서!A540","MV-4810-000750 →")</f>
        <v>MV-4810-000750 →</v>
      </c>
    </row>
    <row r="1453" spans="1:61" ht="18.399999999999999" customHeight="1">
      <c r="A1453" s="11" t="s">
        <v>1544</v>
      </c>
      <c r="B1453" s="2" t="s">
        <v>6232</v>
      </c>
      <c r="C1453" s="2"/>
      <c r="D1453" s="2" t="s">
        <v>6232</v>
      </c>
      <c r="E1453" s="1"/>
      <c r="F1453" s="29">
        <f>TRUNC(SUM(AF1453:AF1454),0)</f>
        <v>904427000</v>
      </c>
      <c r="G1453" s="1"/>
      <c r="H1453" s="29">
        <f>TRUNC(SUM(AG1453:AG1454),0)</f>
        <v>0</v>
      </c>
      <c r="I1453" s="1"/>
      <c r="J1453" s="29">
        <f>TRUNC(SUM(AH1453:AH1454),0)</f>
        <v>0</v>
      </c>
      <c r="K1453" s="29">
        <f t="shared" si="153"/>
        <v>0</v>
      </c>
      <c r="L1453" s="29">
        <f t="shared" si="151"/>
        <v>904427000</v>
      </c>
      <c r="M1453" s="20" t="s">
        <v>6232</v>
      </c>
      <c r="N1453" t="s">
        <v>6232</v>
      </c>
      <c r="P1453" t="s">
        <v>586</v>
      </c>
      <c r="Q1453" t="s">
        <v>6232</v>
      </c>
      <c r="R1453" t="s">
        <v>6232</v>
      </c>
      <c r="AF1453" s="29">
        <f>F1452+F1451+F1450+F1449+F1448+F1447+F1446+F1445+F1444+F1443+F1442+F1441+F1440+F1439+F1438+F1437+F1436+F1435+F1434+F1433+F1432+F1431+F1430+F1429+F1428</f>
        <v>892574000</v>
      </c>
      <c r="AG1453" s="29">
        <f>H1452+H1451+H1450+H1449+H1448+H1447+H1446+H1445+H1444+H1443+H1442+H1441+H1440+H1439+H1438+H1437+H1436+H1435+H1434+H1433+H1432+H1431+H1430+H1429+H1428</f>
        <v>0</v>
      </c>
      <c r="AH1453" s="29">
        <f>J1452+J1451+J1450+J1449+J1448+J1447+J1446+J1445+J1444+J1443+J1442+J1441+J1440+J1439+J1438+J1437+J1436+J1435+J1434+J1433+J1432+J1431+J1430+J1429+J1428</f>
        <v>0</v>
      </c>
    </row>
    <row r="1454" spans="1:61" ht="18.399999999999999" customHeight="1">
      <c r="A1454" s="11" t="s">
        <v>3503</v>
      </c>
      <c r="B1454" s="2" t="s">
        <v>6232</v>
      </c>
      <c r="C1454" s="2"/>
      <c r="D1454" s="2" t="s">
        <v>6232</v>
      </c>
      <c r="E1454" s="1"/>
      <c r="F1454" s="29">
        <f>TRUNC(F1453+F1415+F1390+F1365+F1322+F1215+F1047+F1022+F997+F972,0)</f>
        <v>1595631956</v>
      </c>
      <c r="G1454" s="1"/>
      <c r="H1454" s="29">
        <f>TRUNC(H1453+H1415+H1390+H1365+H1322+H1215+H1047+H1022+H997+H972,0)</f>
        <v>0</v>
      </c>
      <c r="I1454" s="1"/>
      <c r="J1454" s="29">
        <f>TRUNC(J1453+J1415+J1390+J1365+J1322+J1215+J1047+J1022+J997+J972,0)</f>
        <v>0</v>
      </c>
      <c r="K1454" s="29">
        <f t="shared" si="153"/>
        <v>0</v>
      </c>
      <c r="L1454" s="29">
        <f t="shared" si="151"/>
        <v>1595631956</v>
      </c>
      <c r="M1454" s="20" t="s">
        <v>6232</v>
      </c>
      <c r="N1454" t="s">
        <v>6232</v>
      </c>
      <c r="P1454" t="s">
        <v>5037</v>
      </c>
      <c r="Q1454" t="s">
        <v>6232</v>
      </c>
      <c r="R1454" t="s">
        <v>6232</v>
      </c>
      <c r="AF1454" s="29">
        <f>F1427+F1426+F1425+F1424+F1423+F1422+F1421+F1420+F1419+F1418</f>
        <v>11853000</v>
      </c>
      <c r="AG1454" s="29">
        <f>H1427+H1426+H1425+H1424+H1423+H1422+H1421+H1420+H1419+H1418</f>
        <v>0</v>
      </c>
      <c r="AH1454" s="29">
        <f>J1427+J1426+J1425+J1424+J1423+J1422+J1421+J1420+J1419+J1418</f>
        <v>0</v>
      </c>
    </row>
    <row r="1455" spans="1:61" ht="18.399999999999999" customHeight="1">
      <c r="A1455" s="11" t="s">
        <v>2495</v>
      </c>
      <c r="B1455" s="2" t="s">
        <v>6232</v>
      </c>
      <c r="C1455" s="2"/>
      <c r="D1455" s="2" t="s">
        <v>6232</v>
      </c>
      <c r="E1455" s="1"/>
      <c r="F1455" s="29">
        <v>0</v>
      </c>
      <c r="G1455" s="1"/>
      <c r="H1455" s="29">
        <v>0</v>
      </c>
      <c r="I1455" s="1"/>
      <c r="J1455" s="29">
        <v>0</v>
      </c>
      <c r="K1455" s="29">
        <f t="shared" si="153"/>
        <v>0</v>
      </c>
      <c r="L1455" s="29">
        <f t="shared" si="151"/>
        <v>0</v>
      </c>
      <c r="M1455" s="20" t="s">
        <v>6232</v>
      </c>
      <c r="N1455" t="s">
        <v>6232</v>
      </c>
      <c r="P1455" t="s">
        <v>3499</v>
      </c>
      <c r="Q1455" t="s">
        <v>6232</v>
      </c>
      <c r="R1455" t="s">
        <v>6232</v>
      </c>
    </row>
    <row r="1456" spans="1:61" ht="18.399999999999999" customHeight="1">
      <c r="A1456" s="11" t="s">
        <v>2722</v>
      </c>
      <c r="B1456" s="2" t="s">
        <v>6232</v>
      </c>
      <c r="C1456" s="2"/>
      <c r="D1456" s="2" t="s">
        <v>6232</v>
      </c>
      <c r="E1456" s="1"/>
      <c r="F1456" s="29">
        <v>0</v>
      </c>
      <c r="G1456" s="1"/>
      <c r="H1456" s="29">
        <v>0</v>
      </c>
      <c r="I1456" s="1"/>
      <c r="J1456" s="29">
        <v>0</v>
      </c>
      <c r="K1456" s="29">
        <f t="shared" si="153"/>
        <v>0</v>
      </c>
      <c r="L1456" s="29">
        <f t="shared" si="151"/>
        <v>0</v>
      </c>
      <c r="M1456" s="20" t="s">
        <v>6232</v>
      </c>
      <c r="N1456" t="s">
        <v>6232</v>
      </c>
      <c r="P1456" t="s">
        <v>1956</v>
      </c>
      <c r="Q1456" t="s">
        <v>6232</v>
      </c>
      <c r="R1456" t="s">
        <v>6232</v>
      </c>
    </row>
    <row r="1457" spans="1:61" ht="18.399999999999999" customHeight="1">
      <c r="A1457" s="11" t="s">
        <v>1972</v>
      </c>
      <c r="B1457" s="2" t="s">
        <v>6232</v>
      </c>
      <c r="C1457" s="2">
        <v>1</v>
      </c>
      <c r="D1457" s="2" t="s">
        <v>4587</v>
      </c>
      <c r="E1457" s="29" t="e">
        <f>일위대가목록!#REF!</f>
        <v>#REF!</v>
      </c>
      <c r="F1457" s="29" t="e">
        <f>TRUNC(E1457*C1457,0)</f>
        <v>#REF!</v>
      </c>
      <c r="G1457" s="29" t="e">
        <f>일위대가목록!#REF!</f>
        <v>#REF!</v>
      </c>
      <c r="H1457" s="29" t="e">
        <f>TRUNC(G1457*C1457,0)</f>
        <v>#REF!</v>
      </c>
      <c r="I1457" s="29" t="e">
        <f>일위대가목록!#REF!</f>
        <v>#REF!</v>
      </c>
      <c r="J1457" s="29" t="e">
        <f>TRUNC(I1457*C1457,0)</f>
        <v>#REF!</v>
      </c>
      <c r="K1457" s="29" t="e">
        <f t="shared" si="153"/>
        <v>#REF!</v>
      </c>
      <c r="L1457" s="29" t="e">
        <f t="shared" si="151"/>
        <v>#REF!</v>
      </c>
      <c r="M1457" s="20" t="s">
        <v>6232</v>
      </c>
      <c r="N1457" t="s">
        <v>6232</v>
      </c>
      <c r="P1457" t="s">
        <v>458</v>
      </c>
      <c r="Q1457" t="s">
        <v>6232</v>
      </c>
      <c r="R1457" t="s">
        <v>2608</v>
      </c>
      <c r="T1457" t="s">
        <v>3860</v>
      </c>
      <c r="BI1457" s="52" t="str">
        <f>HYPERLINK("#일위대가목록!A864","TM-106 →")</f>
        <v>TM-106 →</v>
      </c>
    </row>
    <row r="1458" spans="1:61" ht="18.399999999999999" customHeight="1">
      <c r="A1458" s="11" t="s">
        <v>6150</v>
      </c>
      <c r="B1458" s="2" t="s">
        <v>6232</v>
      </c>
      <c r="C1458" s="2">
        <v>1</v>
      </c>
      <c r="D1458" s="2" t="s">
        <v>4587</v>
      </c>
      <c r="E1458" s="29" t="e">
        <f>일위대가목록!#REF!</f>
        <v>#REF!</v>
      </c>
      <c r="F1458" s="29" t="e">
        <f>TRUNC(E1458*C1458,0)</f>
        <v>#REF!</v>
      </c>
      <c r="G1458" s="29" t="e">
        <f>일위대가목록!#REF!</f>
        <v>#REF!</v>
      </c>
      <c r="H1458" s="29" t="e">
        <f>TRUNC(G1458*C1458,0)</f>
        <v>#REF!</v>
      </c>
      <c r="I1458" s="29" t="e">
        <f>일위대가목록!#REF!</f>
        <v>#REF!</v>
      </c>
      <c r="J1458" s="29" t="e">
        <f>TRUNC(I1458*C1458,0)</f>
        <v>#REF!</v>
      </c>
      <c r="K1458" s="29" t="e">
        <f t="shared" si="153"/>
        <v>#REF!</v>
      </c>
      <c r="L1458" s="29" t="e">
        <f t="shared" si="151"/>
        <v>#REF!</v>
      </c>
      <c r="M1458" s="20" t="s">
        <v>6232</v>
      </c>
      <c r="N1458" t="s">
        <v>6232</v>
      </c>
      <c r="P1458" t="s">
        <v>5343</v>
      </c>
      <c r="Q1458" t="s">
        <v>6232</v>
      </c>
      <c r="R1458" t="s">
        <v>6175</v>
      </c>
      <c r="T1458" t="s">
        <v>3860</v>
      </c>
      <c r="BI1458" s="52" t="str">
        <f>HYPERLINK("#일위대가목록!A865","TM-107 →")</f>
        <v>TM-107 →</v>
      </c>
    </row>
    <row r="1459" spans="1:61" ht="18.399999999999999" customHeight="1">
      <c r="A1459" s="11" t="s">
        <v>4855</v>
      </c>
      <c r="B1459" s="2" t="s">
        <v>6232</v>
      </c>
      <c r="C1459" s="2">
        <v>1</v>
      </c>
      <c r="D1459" s="2" t="s">
        <v>4587</v>
      </c>
      <c r="E1459" s="29" t="e">
        <f>일위대가목록!#REF!</f>
        <v>#REF!</v>
      </c>
      <c r="F1459" s="29" t="e">
        <f>TRUNC(E1459*C1459,0)</f>
        <v>#REF!</v>
      </c>
      <c r="G1459" s="29" t="e">
        <f>일위대가목록!#REF!</f>
        <v>#REF!</v>
      </c>
      <c r="H1459" s="29" t="e">
        <f>TRUNC(G1459*C1459,0)</f>
        <v>#REF!</v>
      </c>
      <c r="I1459" s="29" t="e">
        <f>일위대가목록!#REF!</f>
        <v>#REF!</v>
      </c>
      <c r="J1459" s="29" t="e">
        <f>TRUNC(I1459*C1459,0)</f>
        <v>#REF!</v>
      </c>
      <c r="K1459" s="29" t="e">
        <f t="shared" si="153"/>
        <v>#REF!</v>
      </c>
      <c r="L1459" s="29" t="e">
        <f t="shared" si="151"/>
        <v>#REF!</v>
      </c>
      <c r="M1459" s="20" t="s">
        <v>6232</v>
      </c>
      <c r="N1459" t="s">
        <v>6232</v>
      </c>
      <c r="P1459" t="s">
        <v>3803</v>
      </c>
      <c r="Q1459" t="s">
        <v>6232</v>
      </c>
      <c r="R1459" t="s">
        <v>2636</v>
      </c>
      <c r="T1459" t="s">
        <v>3860</v>
      </c>
      <c r="BI1459" s="52" t="str">
        <f>HYPERLINK("#일위대가목록!A866","TM-108 →")</f>
        <v>TM-108 →</v>
      </c>
    </row>
    <row r="1460" spans="1:61" ht="18.399999999999999" customHeight="1">
      <c r="A1460" s="11" t="s">
        <v>1544</v>
      </c>
      <c r="B1460" s="2" t="s">
        <v>6232</v>
      </c>
      <c r="C1460" s="2"/>
      <c r="D1460" s="2" t="s">
        <v>6232</v>
      </c>
      <c r="E1460" s="1"/>
      <c r="F1460" s="29" t="e">
        <f>TRUNC(F1459+F1458+F1457,0)</f>
        <v>#REF!</v>
      </c>
      <c r="G1460" s="1"/>
      <c r="H1460" s="29" t="e">
        <f>TRUNC(H1459+H1458+H1457,0)</f>
        <v>#REF!</v>
      </c>
      <c r="I1460" s="1"/>
      <c r="J1460" s="29" t="e">
        <f>TRUNC(J1459+J1458+J1457,0)</f>
        <v>#REF!</v>
      </c>
      <c r="K1460" s="29">
        <f t="shared" si="153"/>
        <v>0</v>
      </c>
      <c r="L1460" s="29" t="e">
        <f t="shared" si="151"/>
        <v>#REF!</v>
      </c>
      <c r="M1460" s="20" t="s">
        <v>6232</v>
      </c>
      <c r="N1460" t="s">
        <v>6232</v>
      </c>
      <c r="P1460" t="s">
        <v>5532</v>
      </c>
      <c r="Q1460" t="s">
        <v>6232</v>
      </c>
      <c r="R1460" t="s">
        <v>6232</v>
      </c>
    </row>
    <row r="1461" spans="1:61" ht="18.399999999999999" customHeight="1">
      <c r="A1461" s="11" t="s">
        <v>2495</v>
      </c>
      <c r="B1461" s="2" t="s">
        <v>6232</v>
      </c>
      <c r="C1461" s="2"/>
      <c r="D1461" s="2" t="s">
        <v>6232</v>
      </c>
      <c r="E1461" s="1"/>
      <c r="F1461" s="29">
        <v>0</v>
      </c>
      <c r="G1461" s="1"/>
      <c r="H1461" s="29">
        <v>0</v>
      </c>
      <c r="I1461" s="1"/>
      <c r="J1461" s="29">
        <v>0</v>
      </c>
      <c r="K1461" s="29">
        <f t="shared" si="153"/>
        <v>0</v>
      </c>
      <c r="L1461" s="29">
        <f t="shared" si="151"/>
        <v>0</v>
      </c>
      <c r="M1461" s="20" t="s">
        <v>6232</v>
      </c>
      <c r="N1461" t="s">
        <v>6232</v>
      </c>
      <c r="P1461" t="s">
        <v>3950</v>
      </c>
      <c r="Q1461" t="s">
        <v>6232</v>
      </c>
      <c r="R1461" t="s">
        <v>6232</v>
      </c>
    </row>
    <row r="1462" spans="1:61" ht="18.399999999999999" customHeight="1">
      <c r="A1462" s="11" t="s">
        <v>2986</v>
      </c>
      <c r="B1462" s="2" t="s">
        <v>6232</v>
      </c>
      <c r="C1462" s="2"/>
      <c r="D1462" s="2" t="s">
        <v>6232</v>
      </c>
      <c r="E1462" s="1"/>
      <c r="F1462" s="29">
        <v>0</v>
      </c>
      <c r="G1462" s="1"/>
      <c r="H1462" s="29">
        <v>0</v>
      </c>
      <c r="I1462" s="1"/>
      <c r="J1462" s="29">
        <v>0</v>
      </c>
      <c r="K1462" s="29">
        <f t="shared" si="153"/>
        <v>0</v>
      </c>
      <c r="L1462" s="29">
        <f t="shared" si="151"/>
        <v>0</v>
      </c>
      <c r="M1462" s="20" t="s">
        <v>6232</v>
      </c>
      <c r="N1462" t="s">
        <v>6232</v>
      </c>
      <c r="P1462" t="s">
        <v>2356</v>
      </c>
      <c r="Q1462" t="s">
        <v>6232</v>
      </c>
      <c r="R1462" t="s">
        <v>6232</v>
      </c>
    </row>
    <row r="1463" spans="1:61" ht="18.399999999999999" customHeight="1">
      <c r="A1463" s="11" t="s">
        <v>5877</v>
      </c>
      <c r="B1463" s="2" t="s">
        <v>6232</v>
      </c>
      <c r="C1463" s="2">
        <v>1</v>
      </c>
      <c r="D1463" s="2" t="s">
        <v>3312</v>
      </c>
      <c r="E1463" s="29" t="e">
        <f>일위대가목록!#REF!</f>
        <v>#REF!</v>
      </c>
      <c r="F1463" s="29" t="e">
        <f t="shared" ref="F1463:F1480" si="154">TRUNC(E1463*C1463,0)</f>
        <v>#REF!</v>
      </c>
      <c r="G1463" s="29" t="e">
        <f>일위대가목록!#REF!</f>
        <v>#REF!</v>
      </c>
      <c r="H1463" s="29" t="e">
        <f t="shared" ref="H1463:H1480" si="155">TRUNC(G1463*C1463,0)</f>
        <v>#REF!</v>
      </c>
      <c r="I1463" s="29" t="e">
        <f>일위대가목록!#REF!</f>
        <v>#REF!</v>
      </c>
      <c r="J1463" s="29" t="e">
        <f t="shared" ref="J1463:J1480" si="156">TRUNC(I1463*C1463,0)</f>
        <v>#REF!</v>
      </c>
      <c r="K1463" s="29" t="e">
        <f t="shared" si="153"/>
        <v>#REF!</v>
      </c>
      <c r="L1463" s="29" t="e">
        <f t="shared" si="151"/>
        <v>#REF!</v>
      </c>
      <c r="M1463" s="20" t="s">
        <v>6232</v>
      </c>
      <c r="N1463" t="s">
        <v>6232</v>
      </c>
      <c r="P1463" t="s">
        <v>773</v>
      </c>
      <c r="Q1463" t="s">
        <v>6232</v>
      </c>
      <c r="R1463" t="s">
        <v>5356</v>
      </c>
      <c r="T1463" t="s">
        <v>3860</v>
      </c>
      <c r="BI1463" s="52" t="str">
        <f>HYPERLINK("#일위대가목록!A867","ST0000TS000 →")</f>
        <v>ST0000TS000 →</v>
      </c>
    </row>
    <row r="1464" spans="1:61" ht="18.399999999999999" customHeight="1">
      <c r="A1464" s="11" t="s">
        <v>165</v>
      </c>
      <c r="B1464" s="2" t="s">
        <v>6232</v>
      </c>
      <c r="C1464" s="2">
        <v>1</v>
      </c>
      <c r="D1464" s="2" t="s">
        <v>3312</v>
      </c>
      <c r="E1464" s="29" t="e">
        <f>일위대가목록!#REF!</f>
        <v>#REF!</v>
      </c>
      <c r="F1464" s="29" t="e">
        <f t="shared" si="154"/>
        <v>#REF!</v>
      </c>
      <c r="G1464" s="29" t="e">
        <f>일위대가목록!#REF!</f>
        <v>#REF!</v>
      </c>
      <c r="H1464" s="29" t="e">
        <f t="shared" si="155"/>
        <v>#REF!</v>
      </c>
      <c r="I1464" s="29" t="e">
        <f>일위대가목록!#REF!</f>
        <v>#REF!</v>
      </c>
      <c r="J1464" s="29" t="e">
        <f t="shared" si="156"/>
        <v>#REF!</v>
      </c>
      <c r="K1464" s="29" t="e">
        <f t="shared" si="153"/>
        <v>#REF!</v>
      </c>
      <c r="L1464" s="29" t="e">
        <f t="shared" si="151"/>
        <v>#REF!</v>
      </c>
      <c r="M1464" s="20" t="s">
        <v>6232</v>
      </c>
      <c r="N1464" t="s">
        <v>6232</v>
      </c>
      <c r="P1464" t="s">
        <v>5618</v>
      </c>
      <c r="Q1464" t="s">
        <v>6232</v>
      </c>
      <c r="R1464" t="s">
        <v>1788</v>
      </c>
      <c r="T1464" t="s">
        <v>3860</v>
      </c>
      <c r="BI1464" s="52" t="str">
        <f>HYPERLINK("#일위대가목록!A868","ST0000TS001 →")</f>
        <v>ST0000TS001 →</v>
      </c>
    </row>
    <row r="1465" spans="1:61" ht="18.399999999999999" customHeight="1">
      <c r="A1465" s="11" t="s">
        <v>241</v>
      </c>
      <c r="B1465" s="2" t="s">
        <v>5818</v>
      </c>
      <c r="C1465" s="2">
        <v>1</v>
      </c>
      <c r="D1465" s="2" t="s">
        <v>3312</v>
      </c>
      <c r="E1465" s="29" t="e">
        <f>일위대가목록!#REF!</f>
        <v>#REF!</v>
      </c>
      <c r="F1465" s="29" t="e">
        <f t="shared" si="154"/>
        <v>#REF!</v>
      </c>
      <c r="G1465" s="29" t="e">
        <f>일위대가목록!#REF!</f>
        <v>#REF!</v>
      </c>
      <c r="H1465" s="29" t="e">
        <f t="shared" si="155"/>
        <v>#REF!</v>
      </c>
      <c r="I1465" s="29" t="e">
        <f>일위대가목록!#REF!</f>
        <v>#REF!</v>
      </c>
      <c r="J1465" s="29" t="e">
        <f t="shared" si="156"/>
        <v>#REF!</v>
      </c>
      <c r="K1465" s="29" t="e">
        <f t="shared" si="153"/>
        <v>#REF!</v>
      </c>
      <c r="L1465" s="29" t="e">
        <f t="shared" si="151"/>
        <v>#REF!</v>
      </c>
      <c r="M1465" s="20" t="s">
        <v>6232</v>
      </c>
      <c r="N1465" t="s">
        <v>6232</v>
      </c>
      <c r="P1465" t="s">
        <v>4050</v>
      </c>
      <c r="Q1465" t="s">
        <v>6232</v>
      </c>
      <c r="R1465" t="s">
        <v>1803</v>
      </c>
      <c r="T1465" t="s">
        <v>3860</v>
      </c>
      <c r="BI1465" s="52" t="str">
        <f>HYPERLINK("#일위대가목록!A869","ST0000TW750 →")</f>
        <v>ST0000TW750 →</v>
      </c>
    </row>
    <row r="1466" spans="1:61" ht="18.399999999999999" customHeight="1">
      <c r="A1466" s="11" t="s">
        <v>241</v>
      </c>
      <c r="B1466" s="2" t="s">
        <v>5827</v>
      </c>
      <c r="C1466" s="2">
        <v>1</v>
      </c>
      <c r="D1466" s="2" t="s">
        <v>3312</v>
      </c>
      <c r="E1466" s="29" t="e">
        <f>일위대가목록!#REF!</f>
        <v>#REF!</v>
      </c>
      <c r="F1466" s="29" t="e">
        <f t="shared" si="154"/>
        <v>#REF!</v>
      </c>
      <c r="G1466" s="29" t="e">
        <f>일위대가목록!#REF!</f>
        <v>#REF!</v>
      </c>
      <c r="H1466" s="29" t="e">
        <f t="shared" si="155"/>
        <v>#REF!</v>
      </c>
      <c r="I1466" s="29" t="e">
        <f>일위대가목록!#REF!</f>
        <v>#REF!</v>
      </c>
      <c r="J1466" s="29" t="e">
        <f t="shared" si="156"/>
        <v>#REF!</v>
      </c>
      <c r="K1466" s="29" t="e">
        <f t="shared" si="153"/>
        <v>#REF!</v>
      </c>
      <c r="L1466" s="29" t="e">
        <f t="shared" si="151"/>
        <v>#REF!</v>
      </c>
      <c r="M1466" s="20" t="s">
        <v>6232</v>
      </c>
      <c r="N1466" t="s">
        <v>6232</v>
      </c>
      <c r="P1466" t="s">
        <v>2453</v>
      </c>
      <c r="Q1466" t="s">
        <v>6232</v>
      </c>
      <c r="R1466" t="s">
        <v>313</v>
      </c>
      <c r="T1466" t="s">
        <v>3860</v>
      </c>
      <c r="BI1466" s="52" t="str">
        <f>HYPERLINK("#일위대가목록!A870","ST0000TW700 →")</f>
        <v>ST0000TW700 →</v>
      </c>
    </row>
    <row r="1467" spans="1:61" ht="18.399999999999999" customHeight="1">
      <c r="A1467" s="11" t="s">
        <v>241</v>
      </c>
      <c r="B1467" s="2" t="s">
        <v>1132</v>
      </c>
      <c r="C1467" s="2">
        <v>1</v>
      </c>
      <c r="D1467" s="2" t="s">
        <v>3312</v>
      </c>
      <c r="E1467" s="29" t="e">
        <f>일위대가목록!#REF!</f>
        <v>#REF!</v>
      </c>
      <c r="F1467" s="29" t="e">
        <f t="shared" si="154"/>
        <v>#REF!</v>
      </c>
      <c r="G1467" s="29" t="e">
        <f>일위대가목록!#REF!</f>
        <v>#REF!</v>
      </c>
      <c r="H1467" s="29" t="e">
        <f t="shared" si="155"/>
        <v>#REF!</v>
      </c>
      <c r="I1467" s="29" t="e">
        <f>일위대가목록!#REF!</f>
        <v>#REF!</v>
      </c>
      <c r="J1467" s="29" t="e">
        <f t="shared" si="156"/>
        <v>#REF!</v>
      </c>
      <c r="K1467" s="29" t="e">
        <f t="shared" si="153"/>
        <v>#REF!</v>
      </c>
      <c r="L1467" s="29" t="e">
        <f t="shared" si="151"/>
        <v>#REF!</v>
      </c>
      <c r="M1467" s="20" t="s">
        <v>6232</v>
      </c>
      <c r="N1467" t="s">
        <v>6232</v>
      </c>
      <c r="P1467" t="s">
        <v>877</v>
      </c>
      <c r="Q1467" t="s">
        <v>6232</v>
      </c>
      <c r="R1467" t="s">
        <v>2992</v>
      </c>
      <c r="T1467" t="s">
        <v>3860</v>
      </c>
      <c r="BI1467" s="52" t="str">
        <f>HYPERLINK("#일위대가목록!A871","ST0000TW650 →")</f>
        <v>ST0000TW650 →</v>
      </c>
    </row>
    <row r="1468" spans="1:61" ht="18.399999999999999" customHeight="1">
      <c r="A1468" s="11" t="s">
        <v>241</v>
      </c>
      <c r="B1468" s="2" t="s">
        <v>1153</v>
      </c>
      <c r="C1468" s="2">
        <v>1</v>
      </c>
      <c r="D1468" s="2" t="s">
        <v>3312</v>
      </c>
      <c r="E1468" s="29" t="e">
        <f>일위대가목록!#REF!</f>
        <v>#REF!</v>
      </c>
      <c r="F1468" s="29" t="e">
        <f t="shared" si="154"/>
        <v>#REF!</v>
      </c>
      <c r="G1468" s="29" t="e">
        <f>일위대가목록!#REF!</f>
        <v>#REF!</v>
      </c>
      <c r="H1468" s="29" t="e">
        <f t="shared" si="155"/>
        <v>#REF!</v>
      </c>
      <c r="I1468" s="29" t="e">
        <f>일위대가목록!#REF!</f>
        <v>#REF!</v>
      </c>
      <c r="J1468" s="29" t="e">
        <f t="shared" si="156"/>
        <v>#REF!</v>
      </c>
      <c r="K1468" s="29" t="e">
        <f t="shared" si="153"/>
        <v>#REF!</v>
      </c>
      <c r="L1468" s="29" t="e">
        <f t="shared" si="151"/>
        <v>#REF!</v>
      </c>
      <c r="M1468" s="20" t="s">
        <v>6232</v>
      </c>
      <c r="N1468" t="s">
        <v>6232</v>
      </c>
      <c r="P1468" t="s">
        <v>5712</v>
      </c>
      <c r="Q1468" t="s">
        <v>6232</v>
      </c>
      <c r="R1468" t="s">
        <v>1365</v>
      </c>
      <c r="T1468" t="s">
        <v>3860</v>
      </c>
      <c r="BI1468" s="52" t="str">
        <f>HYPERLINK("#일위대가목록!A872","ST0000TW600 →")</f>
        <v>ST0000TW600 →</v>
      </c>
    </row>
    <row r="1469" spans="1:61" ht="18.399999999999999" customHeight="1">
      <c r="A1469" s="11" t="s">
        <v>241</v>
      </c>
      <c r="B1469" s="2" t="s">
        <v>2673</v>
      </c>
      <c r="C1469" s="2">
        <v>1</v>
      </c>
      <c r="D1469" s="2" t="s">
        <v>3312</v>
      </c>
      <c r="E1469" s="29" t="e">
        <f>일위대가목록!#REF!</f>
        <v>#REF!</v>
      </c>
      <c r="F1469" s="29" t="e">
        <f t="shared" si="154"/>
        <v>#REF!</v>
      </c>
      <c r="G1469" s="29" t="e">
        <f>일위대가목록!#REF!</f>
        <v>#REF!</v>
      </c>
      <c r="H1469" s="29" t="e">
        <f t="shared" si="155"/>
        <v>#REF!</v>
      </c>
      <c r="I1469" s="29" t="e">
        <f>일위대가목록!#REF!</f>
        <v>#REF!</v>
      </c>
      <c r="J1469" s="29" t="e">
        <f t="shared" si="156"/>
        <v>#REF!</v>
      </c>
      <c r="K1469" s="29" t="e">
        <f t="shared" si="153"/>
        <v>#REF!</v>
      </c>
      <c r="L1469" s="29" t="e">
        <f t="shared" si="151"/>
        <v>#REF!</v>
      </c>
      <c r="M1469" s="20" t="s">
        <v>6232</v>
      </c>
      <c r="N1469" t="s">
        <v>6232</v>
      </c>
      <c r="P1469" t="s">
        <v>4144</v>
      </c>
      <c r="Q1469" t="s">
        <v>6232</v>
      </c>
      <c r="R1469" t="s">
        <v>897</v>
      </c>
      <c r="T1469" t="s">
        <v>3860</v>
      </c>
      <c r="BI1469" s="52" t="str">
        <f>HYPERLINK("#일위대가목록!A873","ST0000TW550 →")</f>
        <v>ST0000TW550 →</v>
      </c>
    </row>
    <row r="1470" spans="1:61" ht="18.399999999999999" customHeight="1">
      <c r="A1470" s="11" t="s">
        <v>241</v>
      </c>
      <c r="B1470" s="2" t="s">
        <v>2714</v>
      </c>
      <c r="C1470" s="2">
        <v>1</v>
      </c>
      <c r="D1470" s="2" t="s">
        <v>3312</v>
      </c>
      <c r="E1470" s="29" t="e">
        <f>일위대가목록!#REF!</f>
        <v>#REF!</v>
      </c>
      <c r="F1470" s="29" t="e">
        <f t="shared" si="154"/>
        <v>#REF!</v>
      </c>
      <c r="G1470" s="29" t="e">
        <f>일위대가목록!#REF!</f>
        <v>#REF!</v>
      </c>
      <c r="H1470" s="29" t="e">
        <f t="shared" si="155"/>
        <v>#REF!</v>
      </c>
      <c r="I1470" s="29" t="e">
        <f>일위대가목록!#REF!</f>
        <v>#REF!</v>
      </c>
      <c r="J1470" s="29" t="e">
        <f t="shared" si="156"/>
        <v>#REF!</v>
      </c>
      <c r="K1470" s="29" t="e">
        <f t="shared" si="153"/>
        <v>#REF!</v>
      </c>
      <c r="L1470" s="29" t="e">
        <f t="shared" si="151"/>
        <v>#REF!</v>
      </c>
      <c r="M1470" s="20" t="s">
        <v>6232</v>
      </c>
      <c r="N1470" t="s">
        <v>6232</v>
      </c>
      <c r="P1470" t="s">
        <v>5399</v>
      </c>
      <c r="Q1470" t="s">
        <v>6232</v>
      </c>
      <c r="R1470" t="s">
        <v>2329</v>
      </c>
      <c r="T1470" t="s">
        <v>3860</v>
      </c>
      <c r="BI1470" s="52" t="str">
        <f>HYPERLINK("#일위대가목록!A874","ST0000TW500 →")</f>
        <v>ST0000TW500 →</v>
      </c>
    </row>
    <row r="1471" spans="1:61" ht="18.399999999999999" customHeight="1">
      <c r="A1471" s="11" t="s">
        <v>241</v>
      </c>
      <c r="B1471" s="2" t="s">
        <v>4258</v>
      </c>
      <c r="C1471" s="2">
        <v>1</v>
      </c>
      <c r="D1471" s="2" t="s">
        <v>3312</v>
      </c>
      <c r="E1471" s="29" t="e">
        <f>일위대가목록!#REF!</f>
        <v>#REF!</v>
      </c>
      <c r="F1471" s="29" t="e">
        <f t="shared" si="154"/>
        <v>#REF!</v>
      </c>
      <c r="G1471" s="29" t="e">
        <f>일위대가목록!#REF!</f>
        <v>#REF!</v>
      </c>
      <c r="H1471" s="29" t="e">
        <f t="shared" si="155"/>
        <v>#REF!</v>
      </c>
      <c r="I1471" s="29" t="e">
        <f>일위대가목록!#REF!</f>
        <v>#REF!</v>
      </c>
      <c r="J1471" s="29" t="e">
        <f t="shared" si="156"/>
        <v>#REF!</v>
      </c>
      <c r="K1471" s="29" t="e">
        <f t="shared" si="153"/>
        <v>#REF!</v>
      </c>
      <c r="L1471" s="29" t="e">
        <f t="shared" si="151"/>
        <v>#REF!</v>
      </c>
      <c r="M1471" s="20" t="s">
        <v>6232</v>
      </c>
      <c r="N1471" t="s">
        <v>6232</v>
      </c>
      <c r="P1471" t="s">
        <v>3869</v>
      </c>
      <c r="Q1471" t="s">
        <v>6232</v>
      </c>
      <c r="R1471" t="s">
        <v>432</v>
      </c>
      <c r="T1471" t="s">
        <v>3860</v>
      </c>
      <c r="BI1471" s="52" t="str">
        <f>HYPERLINK("#일위대가목록!A875","ST0000TW450 →")</f>
        <v>ST0000TW450 →</v>
      </c>
    </row>
    <row r="1472" spans="1:61" ht="18.399999999999999" customHeight="1">
      <c r="A1472" s="11" t="s">
        <v>241</v>
      </c>
      <c r="B1472" s="2" t="s">
        <v>4294</v>
      </c>
      <c r="C1472" s="2">
        <v>1</v>
      </c>
      <c r="D1472" s="2" t="s">
        <v>3312</v>
      </c>
      <c r="E1472" s="29" t="e">
        <f>일위대가목록!#REF!</f>
        <v>#REF!</v>
      </c>
      <c r="F1472" s="29" t="e">
        <f t="shared" si="154"/>
        <v>#REF!</v>
      </c>
      <c r="G1472" s="29" t="e">
        <f>일위대가목록!#REF!</f>
        <v>#REF!</v>
      </c>
      <c r="H1472" s="29" t="e">
        <f t="shared" si="155"/>
        <v>#REF!</v>
      </c>
      <c r="I1472" s="29" t="e">
        <f>일위대가목록!#REF!</f>
        <v>#REF!</v>
      </c>
      <c r="J1472" s="29" t="e">
        <f t="shared" si="156"/>
        <v>#REF!</v>
      </c>
      <c r="K1472" s="29" t="e">
        <f t="shared" si="153"/>
        <v>#REF!</v>
      </c>
      <c r="L1472" s="29" t="e">
        <f t="shared" si="151"/>
        <v>#REF!</v>
      </c>
      <c r="M1472" s="20" t="s">
        <v>6232</v>
      </c>
      <c r="N1472" t="s">
        <v>6232</v>
      </c>
      <c r="P1472" t="s">
        <v>2229</v>
      </c>
      <c r="Q1472" t="s">
        <v>6232</v>
      </c>
      <c r="R1472" t="s">
        <v>2118</v>
      </c>
      <c r="T1472" t="s">
        <v>3860</v>
      </c>
      <c r="BI1472" s="52" t="str">
        <f>HYPERLINK("#일위대가목록!A876","ST0000TW400 →")</f>
        <v>ST0000TW400 →</v>
      </c>
    </row>
    <row r="1473" spans="1:61" ht="18.399999999999999" customHeight="1">
      <c r="A1473" s="11" t="s">
        <v>241</v>
      </c>
      <c r="B1473" s="2" t="s">
        <v>5811</v>
      </c>
      <c r="C1473" s="2">
        <v>1</v>
      </c>
      <c r="D1473" s="2" t="s">
        <v>3312</v>
      </c>
      <c r="E1473" s="29" t="e">
        <f>일위대가목록!#REF!</f>
        <v>#REF!</v>
      </c>
      <c r="F1473" s="29" t="e">
        <f t="shared" si="154"/>
        <v>#REF!</v>
      </c>
      <c r="G1473" s="29" t="e">
        <f>일위대가목록!#REF!</f>
        <v>#REF!</v>
      </c>
      <c r="H1473" s="29" t="e">
        <f t="shared" si="155"/>
        <v>#REF!</v>
      </c>
      <c r="I1473" s="29" t="e">
        <f>일위대가목록!#REF!</f>
        <v>#REF!</v>
      </c>
      <c r="J1473" s="29" t="e">
        <f t="shared" si="156"/>
        <v>#REF!</v>
      </c>
      <c r="K1473" s="29" t="e">
        <f t="shared" si="153"/>
        <v>#REF!</v>
      </c>
      <c r="L1473" s="29" t="e">
        <f t="shared" si="151"/>
        <v>#REF!</v>
      </c>
      <c r="M1473" s="20" t="s">
        <v>6232</v>
      </c>
      <c r="N1473" t="s">
        <v>6232</v>
      </c>
      <c r="P1473" t="s">
        <v>717</v>
      </c>
      <c r="Q1473" t="s">
        <v>6232</v>
      </c>
      <c r="R1473" t="s">
        <v>3671</v>
      </c>
      <c r="T1473" t="s">
        <v>3860</v>
      </c>
      <c r="BI1473" s="52" t="str">
        <f>HYPERLINK("#일위대가목록!A877","ST0000TW350 →")</f>
        <v>ST0000TW350 →</v>
      </c>
    </row>
    <row r="1474" spans="1:61" ht="18.399999999999999" customHeight="1">
      <c r="A1474" s="11" t="s">
        <v>241</v>
      </c>
      <c r="B1474" s="2" t="s">
        <v>5835</v>
      </c>
      <c r="C1474" s="2">
        <v>1</v>
      </c>
      <c r="D1474" s="2" t="s">
        <v>3312</v>
      </c>
      <c r="E1474" s="29" t="e">
        <f>일위대가목록!#REF!</f>
        <v>#REF!</v>
      </c>
      <c r="F1474" s="29" t="e">
        <f t="shared" si="154"/>
        <v>#REF!</v>
      </c>
      <c r="G1474" s="29" t="e">
        <f>일위대가목록!#REF!</f>
        <v>#REF!</v>
      </c>
      <c r="H1474" s="29" t="e">
        <f t="shared" si="155"/>
        <v>#REF!</v>
      </c>
      <c r="I1474" s="29" t="e">
        <f>일위대가목록!#REF!</f>
        <v>#REF!</v>
      </c>
      <c r="J1474" s="29" t="e">
        <f t="shared" si="156"/>
        <v>#REF!</v>
      </c>
      <c r="K1474" s="29" t="e">
        <f t="shared" si="153"/>
        <v>#REF!</v>
      </c>
      <c r="L1474" s="29" t="e">
        <f t="shared" si="151"/>
        <v>#REF!</v>
      </c>
      <c r="M1474" s="20" t="s">
        <v>6232</v>
      </c>
      <c r="N1474" t="s">
        <v>6232</v>
      </c>
      <c r="P1474" t="s">
        <v>5301</v>
      </c>
      <c r="Q1474" t="s">
        <v>6232</v>
      </c>
      <c r="R1474" t="s">
        <v>5106</v>
      </c>
      <c r="T1474" t="s">
        <v>3860</v>
      </c>
      <c r="BI1474" s="52" t="str">
        <f>HYPERLINK("#일위대가목록!A878","ST0000TW300 →")</f>
        <v>ST0000TW300 →</v>
      </c>
    </row>
    <row r="1475" spans="1:61" ht="18.399999999999999" customHeight="1">
      <c r="A1475" s="11" t="s">
        <v>241</v>
      </c>
      <c r="B1475" s="2" t="s">
        <v>1121</v>
      </c>
      <c r="C1475" s="2">
        <v>1</v>
      </c>
      <c r="D1475" s="2" t="s">
        <v>3312</v>
      </c>
      <c r="E1475" s="29" t="e">
        <f>일위대가목록!#REF!</f>
        <v>#REF!</v>
      </c>
      <c r="F1475" s="29" t="e">
        <f t="shared" si="154"/>
        <v>#REF!</v>
      </c>
      <c r="G1475" s="29" t="e">
        <f>일위대가목록!#REF!</f>
        <v>#REF!</v>
      </c>
      <c r="H1475" s="29" t="e">
        <f t="shared" si="155"/>
        <v>#REF!</v>
      </c>
      <c r="I1475" s="29" t="e">
        <f>일위대가목록!#REF!</f>
        <v>#REF!</v>
      </c>
      <c r="J1475" s="29" t="e">
        <f t="shared" si="156"/>
        <v>#REF!</v>
      </c>
      <c r="K1475" s="29" t="e">
        <f t="shared" si="153"/>
        <v>#REF!</v>
      </c>
      <c r="L1475" s="29" t="e">
        <f t="shared" si="151"/>
        <v>#REF!</v>
      </c>
      <c r="M1475" s="20" t="s">
        <v>6232</v>
      </c>
      <c r="N1475" t="s">
        <v>6232</v>
      </c>
      <c r="P1475" t="s">
        <v>3771</v>
      </c>
      <c r="Q1475" t="s">
        <v>6232</v>
      </c>
      <c r="R1475" t="s">
        <v>3887</v>
      </c>
      <c r="T1475" t="s">
        <v>3860</v>
      </c>
      <c r="BI1475" s="52" t="str">
        <f>HYPERLINK("#일위대가목록!A879","ST0000TW250 →")</f>
        <v>ST0000TW250 →</v>
      </c>
    </row>
    <row r="1476" spans="1:61" ht="18.399999999999999" customHeight="1">
      <c r="A1476" s="11" t="s">
        <v>241</v>
      </c>
      <c r="B1476" s="2" t="s">
        <v>1164</v>
      </c>
      <c r="C1476" s="2">
        <v>1</v>
      </c>
      <c r="D1476" s="2" t="s">
        <v>3312</v>
      </c>
      <c r="E1476" s="29" t="e">
        <f>일위대가목록!#REF!</f>
        <v>#REF!</v>
      </c>
      <c r="F1476" s="29" t="e">
        <f t="shared" si="154"/>
        <v>#REF!</v>
      </c>
      <c r="G1476" s="29" t="e">
        <f>일위대가목록!#REF!</f>
        <v>#REF!</v>
      </c>
      <c r="H1476" s="29" t="e">
        <f t="shared" si="155"/>
        <v>#REF!</v>
      </c>
      <c r="I1476" s="29" t="e">
        <f>일위대가목록!#REF!</f>
        <v>#REF!</v>
      </c>
      <c r="J1476" s="29" t="e">
        <f t="shared" si="156"/>
        <v>#REF!</v>
      </c>
      <c r="K1476" s="29" t="e">
        <f t="shared" si="153"/>
        <v>#REF!</v>
      </c>
      <c r="L1476" s="29" t="e">
        <f t="shared" si="151"/>
        <v>#REF!</v>
      </c>
      <c r="M1476" s="20" t="s">
        <v>6232</v>
      </c>
      <c r="N1476" t="s">
        <v>6232</v>
      </c>
      <c r="P1476" t="s">
        <v>2124</v>
      </c>
      <c r="Q1476" t="s">
        <v>6232</v>
      </c>
      <c r="R1476" t="s">
        <v>5575</v>
      </c>
      <c r="T1476" t="s">
        <v>3860</v>
      </c>
      <c r="BI1476" s="52" t="str">
        <f>HYPERLINK("#일위대가목록!A880","ST0000TW200 →")</f>
        <v>ST0000TW200 →</v>
      </c>
    </row>
    <row r="1477" spans="1:61" ht="18.399999999999999" customHeight="1">
      <c r="A1477" s="11" t="s">
        <v>241</v>
      </c>
      <c r="B1477" s="2" t="s">
        <v>2684</v>
      </c>
      <c r="C1477" s="2">
        <v>1</v>
      </c>
      <c r="D1477" s="2" t="s">
        <v>3312</v>
      </c>
      <c r="E1477" s="29" t="e">
        <f>일위대가목록!#REF!</f>
        <v>#REF!</v>
      </c>
      <c r="F1477" s="29" t="e">
        <f t="shared" si="154"/>
        <v>#REF!</v>
      </c>
      <c r="G1477" s="29" t="e">
        <f>일위대가목록!#REF!</f>
        <v>#REF!</v>
      </c>
      <c r="H1477" s="29" t="e">
        <f t="shared" si="155"/>
        <v>#REF!</v>
      </c>
      <c r="I1477" s="29" t="e">
        <f>일위대가목록!#REF!</f>
        <v>#REF!</v>
      </c>
      <c r="J1477" s="29" t="e">
        <f t="shared" si="156"/>
        <v>#REF!</v>
      </c>
      <c r="K1477" s="29" t="e">
        <f t="shared" si="153"/>
        <v>#REF!</v>
      </c>
      <c r="L1477" s="29" t="e">
        <f t="shared" si="151"/>
        <v>#REF!</v>
      </c>
      <c r="M1477" s="20" t="s">
        <v>6232</v>
      </c>
      <c r="N1477" t="s">
        <v>6232</v>
      </c>
      <c r="P1477" t="s">
        <v>618</v>
      </c>
      <c r="Q1477" t="s">
        <v>6232</v>
      </c>
      <c r="R1477" t="s">
        <v>6062</v>
      </c>
      <c r="T1477" t="s">
        <v>3860</v>
      </c>
      <c r="BI1477" s="52" t="str">
        <f>HYPERLINK("#일위대가목록!A881","ST0000TW150 →")</f>
        <v>ST0000TW150 →</v>
      </c>
    </row>
    <row r="1478" spans="1:61" ht="18.399999999999999" customHeight="1">
      <c r="A1478" s="11" t="s">
        <v>241</v>
      </c>
      <c r="B1478" s="2" t="s">
        <v>659</v>
      </c>
      <c r="C1478" s="2">
        <v>1</v>
      </c>
      <c r="D1478" s="2" t="s">
        <v>3312</v>
      </c>
      <c r="E1478" s="29" t="e">
        <f>일위대가목록!#REF!</f>
        <v>#REF!</v>
      </c>
      <c r="F1478" s="29" t="e">
        <f t="shared" si="154"/>
        <v>#REF!</v>
      </c>
      <c r="G1478" s="29" t="e">
        <f>일위대가목록!#REF!</f>
        <v>#REF!</v>
      </c>
      <c r="H1478" s="29" t="e">
        <f t="shared" si="155"/>
        <v>#REF!</v>
      </c>
      <c r="I1478" s="29" t="e">
        <f>일위대가목록!#REF!</f>
        <v>#REF!</v>
      </c>
      <c r="J1478" s="29" t="e">
        <f t="shared" si="156"/>
        <v>#REF!</v>
      </c>
      <c r="K1478" s="29" t="e">
        <f t="shared" si="153"/>
        <v>#REF!</v>
      </c>
      <c r="L1478" s="29" t="e">
        <f t="shared" si="151"/>
        <v>#REF!</v>
      </c>
      <c r="M1478" s="20" t="s">
        <v>6232</v>
      </c>
      <c r="N1478" t="s">
        <v>6232</v>
      </c>
      <c r="P1478" t="s">
        <v>5187</v>
      </c>
      <c r="Q1478" t="s">
        <v>6232</v>
      </c>
      <c r="R1478" t="s">
        <v>4323</v>
      </c>
      <c r="T1478" t="s">
        <v>3860</v>
      </c>
      <c r="BI1478" s="52" t="str">
        <f>HYPERLINK("#일위대가목록!A882","ST0000TW125 →")</f>
        <v>ST0000TW125 →</v>
      </c>
    </row>
    <row r="1479" spans="1:61" ht="18.399999999999999" customHeight="1">
      <c r="A1479" s="11" t="s">
        <v>241</v>
      </c>
      <c r="B1479" s="2" t="s">
        <v>2698</v>
      </c>
      <c r="C1479" s="2">
        <v>1</v>
      </c>
      <c r="D1479" s="2" t="s">
        <v>3312</v>
      </c>
      <c r="E1479" s="29" t="e">
        <f>일위대가목록!#REF!</f>
        <v>#REF!</v>
      </c>
      <c r="F1479" s="29" t="e">
        <f t="shared" si="154"/>
        <v>#REF!</v>
      </c>
      <c r="G1479" s="29" t="e">
        <f>일위대가목록!#REF!</f>
        <v>#REF!</v>
      </c>
      <c r="H1479" s="29" t="e">
        <f t="shared" si="155"/>
        <v>#REF!</v>
      </c>
      <c r="I1479" s="29" t="e">
        <f>일위대가목록!#REF!</f>
        <v>#REF!</v>
      </c>
      <c r="J1479" s="29" t="e">
        <f t="shared" si="156"/>
        <v>#REF!</v>
      </c>
      <c r="K1479" s="29" t="e">
        <f t="shared" si="153"/>
        <v>#REF!</v>
      </c>
      <c r="L1479" s="29" t="e">
        <f t="shared" si="151"/>
        <v>#REF!</v>
      </c>
      <c r="M1479" s="20" t="s">
        <v>6232</v>
      </c>
      <c r="N1479" t="s">
        <v>6232</v>
      </c>
      <c r="P1479" t="s">
        <v>3676</v>
      </c>
      <c r="Q1479" t="s">
        <v>6232</v>
      </c>
      <c r="R1479" t="s">
        <v>4540</v>
      </c>
      <c r="T1479" t="s">
        <v>3860</v>
      </c>
      <c r="BI1479" s="52" t="str">
        <f>HYPERLINK("#일위대가목록!A883","ST0000TW100 →")</f>
        <v>ST0000TW100 →</v>
      </c>
    </row>
    <row r="1480" spans="1:61" ht="18.399999999999999" customHeight="1">
      <c r="A1480" s="11" t="s">
        <v>241</v>
      </c>
      <c r="B1480" s="2" t="s">
        <v>5756</v>
      </c>
      <c r="C1480" s="2">
        <v>1</v>
      </c>
      <c r="D1480" s="2" t="s">
        <v>3312</v>
      </c>
      <c r="E1480" s="29" t="e">
        <f>일위대가목록!#REF!</f>
        <v>#REF!</v>
      </c>
      <c r="F1480" s="29" t="e">
        <f t="shared" si="154"/>
        <v>#REF!</v>
      </c>
      <c r="G1480" s="29" t="e">
        <f>일위대가목록!#REF!</f>
        <v>#REF!</v>
      </c>
      <c r="H1480" s="29" t="e">
        <f t="shared" si="155"/>
        <v>#REF!</v>
      </c>
      <c r="I1480" s="29" t="e">
        <f>일위대가목록!#REF!</f>
        <v>#REF!</v>
      </c>
      <c r="J1480" s="29" t="e">
        <f t="shared" si="156"/>
        <v>#REF!</v>
      </c>
      <c r="K1480" s="29" t="e">
        <f t="shared" si="153"/>
        <v>#REF!</v>
      </c>
      <c r="L1480" s="29" t="e">
        <f t="shared" si="151"/>
        <v>#REF!</v>
      </c>
      <c r="M1480" s="20" t="s">
        <v>6232</v>
      </c>
      <c r="N1480" t="s">
        <v>6232</v>
      </c>
      <c r="P1480" t="s">
        <v>5685</v>
      </c>
      <c r="Q1480" t="s">
        <v>6232</v>
      </c>
      <c r="R1480" t="s">
        <v>3168</v>
      </c>
      <c r="T1480" t="s">
        <v>3860</v>
      </c>
      <c r="BI1480" s="52" t="str">
        <f>HYPERLINK("#일위대가목록!A884","ST0000TW080 →")</f>
        <v>ST0000TW080 →</v>
      </c>
    </row>
    <row r="1481" spans="1:61" ht="18.399999999999999" customHeight="1">
      <c r="A1481" s="11" t="s">
        <v>1544</v>
      </c>
      <c r="B1481" s="2" t="s">
        <v>6232</v>
      </c>
      <c r="C1481" s="2"/>
      <c r="D1481" s="2" t="s">
        <v>6232</v>
      </c>
      <c r="E1481" s="1"/>
      <c r="F1481" s="29" t="e">
        <f>TRUNC(F1480+F1479+F1478+F1477+F1476+F1475+F1474+F1473+F1472+F1471+F1470+F1469+F1468+F1467+F1466+F1465+F1464+F1463,0)</f>
        <v>#REF!</v>
      </c>
      <c r="G1481" s="1"/>
      <c r="H1481" s="29" t="e">
        <f>TRUNC(H1480+H1479+H1478+H1477+H1476+H1475+H1474+H1473+H1472+H1471+H1470+H1469+H1468+H1467+H1466+H1465+H1464+H1463,0)</f>
        <v>#REF!</v>
      </c>
      <c r="I1481" s="1"/>
      <c r="J1481" s="29" t="e">
        <f>TRUNC(J1480+J1479+J1478+J1477+J1476+J1475+J1474+J1473+J1472+J1471+J1470+J1469+J1468+J1467+J1466+J1465+J1464+J1463,0)</f>
        <v>#REF!</v>
      </c>
      <c r="K1481" s="29">
        <f t="shared" si="153"/>
        <v>0</v>
      </c>
      <c r="L1481" s="29" t="e">
        <f t="shared" ref="L1481:L1495" si="157">F1481+H1481+J1481</f>
        <v>#REF!</v>
      </c>
      <c r="M1481" s="20" t="s">
        <v>6232</v>
      </c>
      <c r="N1481" t="s">
        <v>6232</v>
      </c>
      <c r="P1481" t="s">
        <v>4096</v>
      </c>
      <c r="Q1481" t="s">
        <v>6232</v>
      </c>
      <c r="R1481" t="s">
        <v>6232</v>
      </c>
    </row>
    <row r="1482" spans="1:61" ht="18.399999999999999" customHeight="1">
      <c r="A1482" s="11" t="s">
        <v>2495</v>
      </c>
      <c r="B1482" s="2" t="s">
        <v>6232</v>
      </c>
      <c r="C1482" s="2"/>
      <c r="D1482" s="2" t="s">
        <v>6232</v>
      </c>
      <c r="E1482" s="1"/>
      <c r="F1482" s="29">
        <v>0</v>
      </c>
      <c r="G1482" s="1"/>
      <c r="H1482" s="29">
        <v>0</v>
      </c>
      <c r="I1482" s="1"/>
      <c r="J1482" s="29">
        <v>0</v>
      </c>
      <c r="K1482" s="29">
        <f t="shared" ref="K1482:K1495" si="158">E1482+G1482+I1482</f>
        <v>0</v>
      </c>
      <c r="L1482" s="29">
        <f t="shared" si="157"/>
        <v>0</v>
      </c>
      <c r="M1482" s="20" t="s">
        <v>6232</v>
      </c>
      <c r="N1482" t="s">
        <v>6232</v>
      </c>
      <c r="P1482" t="s">
        <v>2598</v>
      </c>
      <c r="Q1482" t="s">
        <v>6232</v>
      </c>
      <c r="R1482" t="s">
        <v>6232</v>
      </c>
    </row>
    <row r="1483" spans="1:61" ht="18.399999999999999" customHeight="1">
      <c r="A1483" s="11" t="s">
        <v>2495</v>
      </c>
      <c r="B1483" s="2" t="s">
        <v>6232</v>
      </c>
      <c r="C1483" s="2"/>
      <c r="D1483" s="2" t="s">
        <v>6232</v>
      </c>
      <c r="E1483" s="1"/>
      <c r="F1483" s="29">
        <v>0</v>
      </c>
      <c r="G1483" s="1"/>
      <c r="H1483" s="29">
        <v>0</v>
      </c>
      <c r="I1483" s="1"/>
      <c r="J1483" s="29">
        <v>0</v>
      </c>
      <c r="K1483" s="29">
        <f t="shared" si="158"/>
        <v>0</v>
      </c>
      <c r="L1483" s="29">
        <f t="shared" si="157"/>
        <v>0</v>
      </c>
      <c r="M1483" s="20" t="s">
        <v>6232</v>
      </c>
      <c r="N1483" t="s">
        <v>6232</v>
      </c>
      <c r="P1483" t="s">
        <v>1018</v>
      </c>
      <c r="Q1483" t="s">
        <v>6232</v>
      </c>
      <c r="R1483" t="s">
        <v>6232</v>
      </c>
    </row>
    <row r="1484" spans="1:61" ht="18.399999999999999" customHeight="1">
      <c r="A1484" s="11" t="s">
        <v>5674</v>
      </c>
      <c r="B1484" s="2" t="s">
        <v>6232</v>
      </c>
      <c r="C1484" s="2"/>
      <c r="D1484" s="2" t="s">
        <v>6232</v>
      </c>
      <c r="E1484" s="1"/>
      <c r="F1484" s="29">
        <v>0</v>
      </c>
      <c r="G1484" s="1"/>
      <c r="H1484" s="29">
        <v>0</v>
      </c>
      <c r="I1484" s="1"/>
      <c r="J1484" s="29">
        <v>0</v>
      </c>
      <c r="K1484" s="29">
        <f t="shared" si="158"/>
        <v>0</v>
      </c>
      <c r="L1484" s="29">
        <f t="shared" si="157"/>
        <v>0</v>
      </c>
      <c r="M1484" s="20" t="s">
        <v>6232</v>
      </c>
      <c r="N1484" t="s">
        <v>6232</v>
      </c>
      <c r="P1484" t="s">
        <v>5760</v>
      </c>
      <c r="Q1484" t="s">
        <v>6232</v>
      </c>
      <c r="R1484" t="s">
        <v>6232</v>
      </c>
    </row>
    <row r="1485" spans="1:61" ht="18.399999999999999" customHeight="1">
      <c r="A1485" s="11" t="s">
        <v>5289</v>
      </c>
      <c r="B1485" s="2" t="s">
        <v>6232</v>
      </c>
      <c r="C1485" s="2">
        <v>1</v>
      </c>
      <c r="D1485" s="2" t="s">
        <v>5766</v>
      </c>
      <c r="E1485" s="29">
        <f>일위대가목록!F9</f>
        <v>0</v>
      </c>
      <c r="F1485" s="29">
        <f>TRUNC(E1485*C1485,0)</f>
        <v>0</v>
      </c>
      <c r="G1485" s="29">
        <f>일위대가목록!G9</f>
        <v>249476</v>
      </c>
      <c r="H1485" s="29">
        <f>TRUNC(G1485*C1485,0)</f>
        <v>249476</v>
      </c>
      <c r="I1485" s="29">
        <f>일위대가목록!H9</f>
        <v>0</v>
      </c>
      <c r="J1485" s="29">
        <f>TRUNC(I1485*C1485,0)</f>
        <v>0</v>
      </c>
      <c r="K1485" s="29">
        <f t="shared" si="158"/>
        <v>249476</v>
      </c>
      <c r="L1485" s="29">
        <f t="shared" si="157"/>
        <v>249476</v>
      </c>
      <c r="M1485" s="20" t="s">
        <v>6232</v>
      </c>
      <c r="N1485" t="s">
        <v>6232</v>
      </c>
      <c r="P1485" t="s">
        <v>4183</v>
      </c>
      <c r="Q1485" t="s">
        <v>6232</v>
      </c>
      <c r="R1485" t="s">
        <v>544</v>
      </c>
      <c r="T1485" t="s">
        <v>3860</v>
      </c>
      <c r="BI1485" s="52" t="str">
        <f>HYPERLINK("#일위대가목록!A885","TM-407 →")</f>
        <v>TM-407 →</v>
      </c>
    </row>
    <row r="1486" spans="1:61" ht="18.399999999999999" customHeight="1">
      <c r="A1486" s="11" t="s">
        <v>1090</v>
      </c>
      <c r="B1486" s="2" t="s">
        <v>6232</v>
      </c>
      <c r="C1486" s="2">
        <v>1</v>
      </c>
      <c r="D1486" s="2" t="s">
        <v>5766</v>
      </c>
      <c r="E1486" s="29" t="e">
        <f>일위대가목록!#REF!</f>
        <v>#REF!</v>
      </c>
      <c r="F1486" s="29" t="e">
        <f>TRUNC(E1486*C1486,0)</f>
        <v>#REF!</v>
      </c>
      <c r="G1486" s="29" t="e">
        <f>일위대가목록!#REF!</f>
        <v>#REF!</v>
      </c>
      <c r="H1486" s="29" t="e">
        <f>TRUNC(G1486*C1486,0)</f>
        <v>#REF!</v>
      </c>
      <c r="I1486" s="29" t="e">
        <f>일위대가목록!#REF!</f>
        <v>#REF!</v>
      </c>
      <c r="J1486" s="29" t="e">
        <f>TRUNC(I1486*C1486,0)</f>
        <v>#REF!</v>
      </c>
      <c r="K1486" s="29" t="e">
        <f t="shared" si="158"/>
        <v>#REF!</v>
      </c>
      <c r="L1486" s="29" t="e">
        <f t="shared" si="157"/>
        <v>#REF!</v>
      </c>
      <c r="M1486" s="20" t="s">
        <v>6232</v>
      </c>
      <c r="N1486" t="s">
        <v>6232</v>
      </c>
      <c r="P1486" t="s">
        <v>2676</v>
      </c>
      <c r="Q1486" t="s">
        <v>6232</v>
      </c>
      <c r="R1486" t="s">
        <v>6017</v>
      </c>
      <c r="T1486" t="s">
        <v>3860</v>
      </c>
      <c r="BI1486" s="52" t="str">
        <f>HYPERLINK("#일위대가목록!A816","TM-408-350 →")</f>
        <v>TM-408-350 →</v>
      </c>
    </row>
    <row r="1487" spans="1:61" ht="18.399999999999999" customHeight="1">
      <c r="A1487" s="11" t="s">
        <v>1544</v>
      </c>
      <c r="B1487" s="2" t="s">
        <v>6232</v>
      </c>
      <c r="C1487" s="2"/>
      <c r="D1487" s="2" t="s">
        <v>6232</v>
      </c>
      <c r="E1487" s="1"/>
      <c r="F1487" s="29" t="e">
        <f>TRUNC(F1486+F1485,0)</f>
        <v>#REF!</v>
      </c>
      <c r="G1487" s="1"/>
      <c r="H1487" s="29" t="e">
        <f>TRUNC(H1486+H1485,0)</f>
        <v>#REF!</v>
      </c>
      <c r="I1487" s="1"/>
      <c r="J1487" s="29" t="e">
        <f>TRUNC(J1486+J1485,0)</f>
        <v>#REF!</v>
      </c>
      <c r="K1487" s="29">
        <f t="shared" si="158"/>
        <v>0</v>
      </c>
      <c r="L1487" s="29" t="e">
        <f t="shared" si="157"/>
        <v>#REF!</v>
      </c>
      <c r="M1487" s="20" t="s">
        <v>6232</v>
      </c>
      <c r="N1487" t="s">
        <v>6232</v>
      </c>
      <c r="P1487" t="s">
        <v>1092</v>
      </c>
      <c r="Q1487" t="s">
        <v>6232</v>
      </c>
      <c r="R1487" t="s">
        <v>6232</v>
      </c>
    </row>
    <row r="1488" spans="1:61" ht="18.399999999999999" customHeight="1">
      <c r="A1488" s="11" t="s">
        <v>2495</v>
      </c>
      <c r="B1488" s="2" t="s">
        <v>6232</v>
      </c>
      <c r="C1488" s="2"/>
      <c r="D1488" s="2" t="s">
        <v>6232</v>
      </c>
      <c r="E1488" s="1"/>
      <c r="F1488" s="29">
        <v>0</v>
      </c>
      <c r="G1488" s="1"/>
      <c r="H1488" s="29">
        <v>0</v>
      </c>
      <c r="I1488" s="1"/>
      <c r="J1488" s="29">
        <v>0</v>
      </c>
      <c r="K1488" s="29">
        <f t="shared" si="158"/>
        <v>0</v>
      </c>
      <c r="L1488" s="29">
        <f t="shared" si="157"/>
        <v>0</v>
      </c>
      <c r="M1488" s="20" t="s">
        <v>6232</v>
      </c>
      <c r="N1488" t="s">
        <v>6232</v>
      </c>
      <c r="P1488" t="s">
        <v>5461</v>
      </c>
      <c r="Q1488" t="s">
        <v>6232</v>
      </c>
      <c r="R1488" t="s">
        <v>6232</v>
      </c>
    </row>
    <row r="1489" spans="1:61" ht="18.399999999999999" customHeight="1">
      <c r="A1489" s="11" t="s">
        <v>2495</v>
      </c>
      <c r="B1489" s="2" t="s">
        <v>6232</v>
      </c>
      <c r="C1489" s="2"/>
      <c r="D1489" s="2" t="s">
        <v>6232</v>
      </c>
      <c r="E1489" s="1"/>
      <c r="F1489" s="29">
        <v>0</v>
      </c>
      <c r="G1489" s="1"/>
      <c r="H1489" s="29">
        <v>0</v>
      </c>
      <c r="I1489" s="1"/>
      <c r="J1489" s="29">
        <v>0</v>
      </c>
      <c r="K1489" s="29">
        <f t="shared" si="158"/>
        <v>0</v>
      </c>
      <c r="L1489" s="29">
        <f t="shared" si="157"/>
        <v>0</v>
      </c>
      <c r="M1489" s="20" t="s">
        <v>6232</v>
      </c>
      <c r="N1489" t="s">
        <v>6232</v>
      </c>
      <c r="P1489" t="s">
        <v>3882</v>
      </c>
      <c r="Q1489" t="s">
        <v>6232</v>
      </c>
      <c r="R1489" t="s">
        <v>6232</v>
      </c>
    </row>
    <row r="1490" spans="1:61" ht="18.399999999999999" customHeight="1">
      <c r="A1490" s="11" t="s">
        <v>2460</v>
      </c>
      <c r="B1490" s="2" t="s">
        <v>6232</v>
      </c>
      <c r="C1490" s="2"/>
      <c r="D1490" s="2" t="s">
        <v>6232</v>
      </c>
      <c r="E1490" s="1"/>
      <c r="F1490" s="29">
        <v>0</v>
      </c>
      <c r="G1490" s="1"/>
      <c r="H1490" s="29">
        <v>0</v>
      </c>
      <c r="I1490" s="1"/>
      <c r="J1490" s="29">
        <v>0</v>
      </c>
      <c r="K1490" s="29">
        <f t="shared" si="158"/>
        <v>0</v>
      </c>
      <c r="L1490" s="29">
        <f t="shared" si="157"/>
        <v>0</v>
      </c>
      <c r="M1490" s="20" t="s">
        <v>6232</v>
      </c>
      <c r="N1490" t="s">
        <v>6232</v>
      </c>
      <c r="P1490" t="s">
        <v>82</v>
      </c>
      <c r="Q1490" t="s">
        <v>6232</v>
      </c>
      <c r="R1490" t="s">
        <v>6232</v>
      </c>
    </row>
    <row r="1491" spans="1:61" ht="18.399999999999999" customHeight="1">
      <c r="A1491" s="11" t="s">
        <v>3068</v>
      </c>
      <c r="B1491" s="2" t="s">
        <v>5805</v>
      </c>
      <c r="C1491" s="2">
        <v>1</v>
      </c>
      <c r="D1491" s="2" t="s">
        <v>3834</v>
      </c>
      <c r="E1491" s="29">
        <f>경비!D13</f>
        <v>0</v>
      </c>
      <c r="F1491" s="29">
        <f>TRUNC(E1491*C1491,0)</f>
        <v>0</v>
      </c>
      <c r="G1491" s="29">
        <f>경비!E13</f>
        <v>0</v>
      </c>
      <c r="H1491" s="29">
        <f>TRUNC(G1491*C1491,0)</f>
        <v>0</v>
      </c>
      <c r="I1491" s="29">
        <f>경비!F13</f>
        <v>185000</v>
      </c>
      <c r="J1491" s="29">
        <f>TRUNC(I1491*C1491,0)</f>
        <v>185000</v>
      </c>
      <c r="K1491" s="29">
        <f t="shared" si="158"/>
        <v>185000</v>
      </c>
      <c r="L1491" s="29">
        <f t="shared" si="157"/>
        <v>185000</v>
      </c>
      <c r="M1491" s="20" t="s">
        <v>6232</v>
      </c>
      <c r="N1491" t="s">
        <v>6232</v>
      </c>
      <c r="P1491" t="s">
        <v>1590</v>
      </c>
      <c r="Q1491" t="s">
        <v>6232</v>
      </c>
      <c r="R1491" t="s">
        <v>4151</v>
      </c>
      <c r="BI1491" s="52" t="str">
        <f>HYPERLINK("#경비!A13","GUP0001C →")</f>
        <v>GUP0001C →</v>
      </c>
    </row>
    <row r="1492" spans="1:61" ht="18.399999999999999" customHeight="1">
      <c r="A1492" s="11" t="s">
        <v>1544</v>
      </c>
      <c r="B1492" s="2" t="s">
        <v>6232</v>
      </c>
      <c r="C1492" s="2"/>
      <c r="D1492" s="2" t="s">
        <v>6232</v>
      </c>
      <c r="E1492" s="1"/>
      <c r="F1492" s="29">
        <f>TRUNC(F1491,0)</f>
        <v>0</v>
      </c>
      <c r="G1492" s="1"/>
      <c r="H1492" s="29">
        <f>TRUNC(H1491,0)</f>
        <v>0</v>
      </c>
      <c r="I1492" s="1"/>
      <c r="J1492" s="29">
        <f>TRUNC(J1491,0)</f>
        <v>185000</v>
      </c>
      <c r="K1492" s="29">
        <f t="shared" si="158"/>
        <v>0</v>
      </c>
      <c r="L1492" s="29">
        <f t="shared" si="157"/>
        <v>185000</v>
      </c>
      <c r="M1492" s="20" t="s">
        <v>6232</v>
      </c>
      <c r="N1492" t="s">
        <v>6232</v>
      </c>
      <c r="P1492" t="s">
        <v>3119</v>
      </c>
      <c r="Q1492" t="s">
        <v>6232</v>
      </c>
      <c r="R1492" t="s">
        <v>6232</v>
      </c>
    </row>
    <row r="1493" spans="1:61" ht="18.399999999999999" customHeight="1">
      <c r="A1493" s="11" t="s">
        <v>2495</v>
      </c>
      <c r="B1493" s="2" t="s">
        <v>6232</v>
      </c>
      <c r="C1493" s="2"/>
      <c r="D1493" s="2" t="s">
        <v>6232</v>
      </c>
      <c r="E1493" s="1"/>
      <c r="F1493" s="29">
        <v>0</v>
      </c>
      <c r="G1493" s="1"/>
      <c r="H1493" s="29">
        <v>0</v>
      </c>
      <c r="I1493" s="1"/>
      <c r="J1493" s="29">
        <v>0</v>
      </c>
      <c r="K1493" s="29">
        <f t="shared" si="158"/>
        <v>0</v>
      </c>
      <c r="L1493" s="29">
        <f t="shared" si="157"/>
        <v>0</v>
      </c>
      <c r="M1493" s="20" t="s">
        <v>6232</v>
      </c>
      <c r="N1493" t="s">
        <v>6232</v>
      </c>
      <c r="P1493" t="s">
        <v>4670</v>
      </c>
      <c r="Q1493" t="s">
        <v>6232</v>
      </c>
      <c r="R1493" t="s">
        <v>6232</v>
      </c>
    </row>
    <row r="1494" spans="1:61" ht="18.399999999999999" customHeight="1">
      <c r="A1494" s="11" t="s">
        <v>2495</v>
      </c>
      <c r="B1494" s="2" t="s">
        <v>6232</v>
      </c>
      <c r="C1494" s="2"/>
      <c r="D1494" s="2" t="s">
        <v>6232</v>
      </c>
      <c r="E1494" s="1"/>
      <c r="F1494" s="29">
        <v>0</v>
      </c>
      <c r="G1494" s="1"/>
      <c r="H1494" s="29">
        <v>0</v>
      </c>
      <c r="I1494" s="1"/>
      <c r="J1494" s="29">
        <v>0</v>
      </c>
      <c r="K1494" s="29">
        <f t="shared" si="158"/>
        <v>0</v>
      </c>
      <c r="L1494" s="29">
        <f t="shared" si="157"/>
        <v>0</v>
      </c>
      <c r="M1494" s="20" t="s">
        <v>6232</v>
      </c>
      <c r="N1494" t="s">
        <v>6232</v>
      </c>
      <c r="P1494" t="s">
        <v>169</v>
      </c>
      <c r="Q1494" t="s">
        <v>6232</v>
      </c>
      <c r="R1494" t="s">
        <v>6232</v>
      </c>
    </row>
    <row r="1495" spans="1:61" ht="18.399999999999999" customHeight="1">
      <c r="A1495" s="11" t="s">
        <v>2495</v>
      </c>
      <c r="B1495" s="2" t="s">
        <v>6232</v>
      </c>
      <c r="C1495" s="2"/>
      <c r="D1495" s="2" t="s">
        <v>6232</v>
      </c>
      <c r="E1495" s="1"/>
      <c r="F1495" s="29">
        <v>0</v>
      </c>
      <c r="G1495" s="1"/>
      <c r="H1495" s="29">
        <v>0</v>
      </c>
      <c r="I1495" s="1"/>
      <c r="J1495" s="29">
        <v>0</v>
      </c>
      <c r="K1495" s="29">
        <f t="shared" si="158"/>
        <v>0</v>
      </c>
      <c r="L1495" s="29">
        <f t="shared" si="157"/>
        <v>0</v>
      </c>
      <c r="M1495" s="20" t="s">
        <v>6232</v>
      </c>
      <c r="N1495" t="s">
        <v>6232</v>
      </c>
      <c r="P1495" t="s">
        <v>1672</v>
      </c>
      <c r="Q1495" t="s">
        <v>6232</v>
      </c>
      <c r="R1495" t="s">
        <v>6232</v>
      </c>
    </row>
    <row r="1496" spans="1:61" ht="18.399999999999999" customHeight="1" thickBot="1">
      <c r="A1496" s="48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1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7" type="noConversion"/>
  <pageMargins left="0.31496062992125984" right="0.31496062992125984" top="1" bottom="0.59055118110236215" header="0.5" footer="0.5"/>
  <pageSetup paperSize="9" scale="91" orientation="landscape" r:id="rId1"/>
  <headerFooter alignWithMargins="0">
    <oddHeader>&amp;RPage : &amp;P/&amp;N</oddHeader>
  </headerFooter>
  <colBreaks count="1" manualBreakCount="1">
    <brk id="13" max="149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K17"/>
  <sheetViews>
    <sheetView view="pageBreakPreview" zoomScaleNormal="100" zoomScaleSheetLayoutView="100" workbookViewId="0">
      <selection sqref="A1:F1"/>
    </sheetView>
  </sheetViews>
  <sheetFormatPr defaultColWidth="9.33203125" defaultRowHeight="10.5"/>
  <cols>
    <col min="1" max="16384" width="9.33203125" style="53"/>
  </cols>
  <sheetData>
    <row r="17" spans="1:11" ht="46.5">
      <c r="A17" s="419" t="s">
        <v>6233</v>
      </c>
      <c r="B17" s="419"/>
      <c r="C17" s="419"/>
      <c r="D17" s="419"/>
      <c r="E17" s="419"/>
      <c r="F17" s="419"/>
      <c r="G17" s="419"/>
      <c r="H17" s="419"/>
      <c r="I17" s="419"/>
      <c r="J17" s="419"/>
      <c r="K17" s="419"/>
    </row>
  </sheetData>
  <mergeCells count="1">
    <mergeCell ref="A17:K17"/>
  </mergeCells>
  <phoneticPr fontId="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1"/>
  <sheetViews>
    <sheetView view="pageBreakPreview" topLeftCell="A4" zoomScale="115" zoomScaleNormal="85" zoomScaleSheetLayoutView="115" workbookViewId="0">
      <selection sqref="A1:F1"/>
    </sheetView>
  </sheetViews>
  <sheetFormatPr defaultColWidth="9.33203125" defaultRowHeight="10.5"/>
  <cols>
    <col min="1" max="1" width="15.6640625" style="55" customWidth="1"/>
    <col min="2" max="2" width="19.6640625" style="55" customWidth="1"/>
    <col min="3" max="3" width="28.5" style="55" bestFit="1" customWidth="1"/>
    <col min="4" max="4" width="16.33203125" style="55" customWidth="1"/>
    <col min="5" max="5" width="5.1640625" style="55" customWidth="1"/>
    <col min="6" max="6" width="29.6640625" style="55" bestFit="1" customWidth="1"/>
    <col min="7" max="7" width="9.33203125" style="54"/>
    <col min="8" max="10" width="9.33203125" style="55"/>
    <col min="11" max="11" width="20.5" style="55" bestFit="1" customWidth="1"/>
    <col min="12" max="12" width="17" style="55" bestFit="1" customWidth="1"/>
    <col min="13" max="13" width="9.33203125" style="55"/>
    <col min="14" max="14" width="9.83203125" style="55" bestFit="1" customWidth="1"/>
    <col min="15" max="16384" width="9.33203125" style="55"/>
  </cols>
  <sheetData>
    <row r="1" spans="1:7" ht="24.95" customHeight="1">
      <c r="A1" s="376" t="s">
        <v>6234</v>
      </c>
      <c r="B1" s="440"/>
      <c r="C1" s="440"/>
      <c r="D1" s="440"/>
      <c r="E1" s="440"/>
      <c r="F1" s="440"/>
    </row>
    <row r="2" spans="1:7" ht="30" customHeight="1">
      <c r="A2" s="378" t="s">
        <v>6235</v>
      </c>
      <c r="B2" s="378"/>
      <c r="C2" s="378"/>
      <c r="D2" s="378"/>
      <c r="E2" s="378"/>
      <c r="F2" s="378"/>
    </row>
    <row r="3" spans="1:7" ht="15" customHeight="1">
      <c r="A3" s="380"/>
      <c r="B3" s="381"/>
      <c r="C3" s="381"/>
      <c r="D3" s="56"/>
      <c r="E3" s="56"/>
      <c r="F3" s="57" t="s">
        <v>6236</v>
      </c>
    </row>
    <row r="4" spans="1:7" ht="22.5" customHeight="1">
      <c r="A4" s="382" t="s">
        <v>6237</v>
      </c>
      <c r="B4" s="379"/>
      <c r="C4" s="379"/>
      <c r="D4" s="383" t="s">
        <v>6238</v>
      </c>
      <c r="E4" s="441"/>
      <c r="F4" s="379" t="s">
        <v>6239</v>
      </c>
    </row>
    <row r="5" spans="1:7" ht="22.5" customHeight="1">
      <c r="A5" s="379"/>
      <c r="B5" s="379"/>
      <c r="C5" s="379"/>
      <c r="D5" s="384"/>
      <c r="E5" s="442"/>
      <c r="F5" s="379"/>
    </row>
    <row r="6" spans="1:7" ht="22.5" customHeight="1">
      <c r="A6" s="389" t="s">
        <v>6240</v>
      </c>
      <c r="B6" s="392" t="s">
        <v>6241</v>
      </c>
      <c r="C6" s="58" t="s">
        <v>6242</v>
      </c>
      <c r="D6" s="445" t="e">
        <f>내역서!F6</f>
        <v>#REF!</v>
      </c>
      <c r="E6" s="446"/>
      <c r="F6" s="59"/>
    </row>
    <row r="7" spans="1:7" ht="22.5" customHeight="1">
      <c r="A7" s="443"/>
      <c r="B7" s="444"/>
      <c r="C7" s="60" t="s">
        <v>6243</v>
      </c>
      <c r="D7" s="436"/>
      <c r="E7" s="427"/>
      <c r="F7" s="61"/>
    </row>
    <row r="8" spans="1:7" ht="22.5" customHeight="1">
      <c r="A8" s="443"/>
      <c r="B8" s="444"/>
      <c r="C8" s="62" t="s">
        <v>6244</v>
      </c>
      <c r="D8" s="426" t="e">
        <f>D6+D7</f>
        <v>#REF!</v>
      </c>
      <c r="E8" s="427"/>
      <c r="F8" s="61"/>
    </row>
    <row r="9" spans="1:7" ht="22.5" customHeight="1">
      <c r="A9" s="443"/>
      <c r="B9" s="444" t="s">
        <v>6245</v>
      </c>
      <c r="C9" s="60" t="s">
        <v>6246</v>
      </c>
      <c r="D9" s="434" t="e">
        <f>내역서!H6</f>
        <v>#REF!</v>
      </c>
      <c r="E9" s="435"/>
      <c r="F9" s="61"/>
    </row>
    <row r="10" spans="1:7" ht="22.5" customHeight="1">
      <c r="A10" s="443"/>
      <c r="B10" s="444"/>
      <c r="C10" s="60" t="s">
        <v>6247</v>
      </c>
      <c r="D10" s="426" t="e">
        <f>INT(D9*G10%)</f>
        <v>#REF!</v>
      </c>
      <c r="E10" s="427"/>
      <c r="F10" s="61" t="str">
        <f>"나 1)의 "&amp;G10&amp;"%"</f>
        <v>나 1)의 12.8%</v>
      </c>
      <c r="G10" s="54">
        <v>12.8</v>
      </c>
    </row>
    <row r="11" spans="1:7" ht="22.5" customHeight="1">
      <c r="A11" s="443"/>
      <c r="B11" s="444"/>
      <c r="C11" s="62" t="s">
        <v>6248</v>
      </c>
      <c r="D11" s="426" t="e">
        <f>D9+D10</f>
        <v>#REF!</v>
      </c>
      <c r="E11" s="427"/>
      <c r="F11" s="61"/>
    </row>
    <row r="12" spans="1:7" ht="22.5" customHeight="1">
      <c r="A12" s="443"/>
      <c r="B12" s="393" t="s">
        <v>6249</v>
      </c>
      <c r="C12" s="60" t="s">
        <v>6250</v>
      </c>
      <c r="D12" s="434" t="e">
        <f>내역서!J6</f>
        <v>#REF!</v>
      </c>
      <c r="E12" s="435"/>
      <c r="F12" s="61"/>
    </row>
    <row r="13" spans="1:7" ht="22.5" customHeight="1">
      <c r="A13" s="443"/>
      <c r="B13" s="444"/>
      <c r="C13" s="60" t="s">
        <v>6251</v>
      </c>
      <c r="D13" s="436" t="e">
        <f>INT(D11*G13%)</f>
        <v>#REF!</v>
      </c>
      <c r="E13" s="427"/>
      <c r="F13" s="61" t="str">
        <f>"나. 의 "&amp;G13&amp;"%"</f>
        <v>나. 의 3.56%</v>
      </c>
      <c r="G13" s="54">
        <v>3.56</v>
      </c>
    </row>
    <row r="14" spans="1:7" ht="22.5" customHeight="1">
      <c r="A14" s="443"/>
      <c r="B14" s="444"/>
      <c r="C14" s="60" t="s">
        <v>6252</v>
      </c>
      <c r="D14" s="436" t="e">
        <f>INT(D11*G14%)</f>
        <v>#REF!</v>
      </c>
      <c r="E14" s="427"/>
      <c r="F14" s="61" t="str">
        <f>"나. 의 "&amp;G14&amp;"%"</f>
        <v>나. 의 1.01%</v>
      </c>
      <c r="G14" s="54">
        <v>1.01</v>
      </c>
    </row>
    <row r="15" spans="1:7" ht="22.5" customHeight="1">
      <c r="A15" s="443"/>
      <c r="B15" s="444"/>
      <c r="C15" s="60" t="s">
        <v>6253</v>
      </c>
      <c r="D15" s="436" t="e">
        <f>INT(D9*G15%)</f>
        <v>#REF!</v>
      </c>
      <c r="E15" s="427"/>
      <c r="F15" s="61" t="str">
        <f>"나.1) 의 "&amp;G15&amp;"%"</f>
        <v>나.1) 의 3.545%</v>
      </c>
      <c r="G15" s="54">
        <v>3.5449999999999999</v>
      </c>
    </row>
    <row r="16" spans="1:7" ht="22.5" customHeight="1">
      <c r="A16" s="443"/>
      <c r="B16" s="444"/>
      <c r="C16" s="63" t="s">
        <v>6254</v>
      </c>
      <c r="D16" s="436" t="e">
        <f>INT(D15*G16%)</f>
        <v>#REF!</v>
      </c>
      <c r="E16" s="427"/>
      <c r="F16" s="61" t="str">
        <f>"다.4) 의 "&amp;G16&amp;"%"</f>
        <v>다.4) 의 12.95%</v>
      </c>
      <c r="G16" s="54">
        <v>12.95</v>
      </c>
    </row>
    <row r="17" spans="1:15" ht="22.5" customHeight="1">
      <c r="A17" s="443"/>
      <c r="B17" s="444"/>
      <c r="C17" s="60" t="s">
        <v>6255</v>
      </c>
      <c r="D17" s="436" t="e">
        <f>INT(D9*G17%)</f>
        <v>#REF!</v>
      </c>
      <c r="E17" s="427"/>
      <c r="F17" s="61" t="str">
        <f>"나.1) 의 "&amp;G17&amp;"%"</f>
        <v>나.1) 의 4.5%</v>
      </c>
      <c r="G17" s="54">
        <v>4.5</v>
      </c>
    </row>
    <row r="18" spans="1:15" ht="22.5" customHeight="1">
      <c r="A18" s="443"/>
      <c r="B18" s="444"/>
      <c r="C18" s="60" t="s">
        <v>6256</v>
      </c>
      <c r="D18" s="437" t="e">
        <f>INT((D8+D9+D12)*G18%)</f>
        <v>#REF!</v>
      </c>
      <c r="E18" s="438"/>
      <c r="F18" s="61" t="str">
        <f>"(재+직노+기경)*"&amp;G18&amp;"%"</f>
        <v>(재+직노+기경)*0.3%</v>
      </c>
      <c r="G18" s="54">
        <v>0.3</v>
      </c>
      <c r="K18" s="64" t="s">
        <v>6257</v>
      </c>
      <c r="L18" s="64" t="s">
        <v>6258</v>
      </c>
      <c r="M18" s="65">
        <v>3.15</v>
      </c>
      <c r="N18" s="66"/>
      <c r="O18" s="67"/>
    </row>
    <row r="19" spans="1:15" ht="22.5" customHeight="1">
      <c r="A19" s="443"/>
      <c r="B19" s="444"/>
      <c r="C19" s="60" t="s">
        <v>6259</v>
      </c>
      <c r="D19" s="437" t="e">
        <f>INT((D8+D9)*G19%+5349000)</f>
        <v>#REF!</v>
      </c>
      <c r="E19" s="439"/>
      <c r="F19" s="68" t="str">
        <f>"가+나1)의 "&amp;G19&amp;"%+3300000"</f>
        <v>가+나1)의 2.53%+3300000</v>
      </c>
      <c r="G19" s="54">
        <v>2.5299999999999998</v>
      </c>
      <c r="K19" s="64" t="s">
        <v>6260</v>
      </c>
      <c r="L19" s="64" t="s">
        <v>6258</v>
      </c>
      <c r="M19" s="65">
        <v>2.5299999999999998</v>
      </c>
      <c r="N19" s="69">
        <v>3300000</v>
      </c>
      <c r="O19" s="67"/>
    </row>
    <row r="20" spans="1:15" ht="22.5" customHeight="1">
      <c r="A20" s="443"/>
      <c r="B20" s="444"/>
      <c r="C20" s="63" t="s">
        <v>6261</v>
      </c>
      <c r="D20" s="436" t="e">
        <f>INT(D9*G20%)</f>
        <v>#REF!</v>
      </c>
      <c r="E20" s="427"/>
      <c r="F20" s="61" t="str">
        <f>"나.1) 의 "&amp;G20&amp;"%"</f>
        <v>나.1) 의 2.3%</v>
      </c>
      <c r="G20" s="54">
        <v>2.2999999999999998</v>
      </c>
      <c r="K20" s="430" t="s">
        <v>6262</v>
      </c>
      <c r="L20" s="431" t="s">
        <v>6263</v>
      </c>
      <c r="M20" s="432">
        <v>2.6</v>
      </c>
      <c r="N20" s="70"/>
      <c r="O20" s="67"/>
    </row>
    <row r="21" spans="1:15" ht="22.5" customHeight="1">
      <c r="A21" s="443"/>
      <c r="B21" s="444"/>
      <c r="C21" s="60" t="s">
        <v>6264</v>
      </c>
      <c r="D21" s="433" t="e">
        <f>INT(D8+D11)*G21%</f>
        <v>#REF!</v>
      </c>
      <c r="E21" s="427"/>
      <c r="F21" s="68" t="str">
        <f>"(가+나)의 "&amp;G21&amp;"%"</f>
        <v>(가+나)의 6%</v>
      </c>
      <c r="G21" s="54">
        <v>6</v>
      </c>
      <c r="K21" s="431"/>
      <c r="L21" s="431"/>
      <c r="M21" s="432"/>
      <c r="N21" s="71"/>
      <c r="O21" s="67"/>
    </row>
    <row r="22" spans="1:15" ht="22.5" customHeight="1">
      <c r="A22" s="443"/>
      <c r="B22" s="444"/>
      <c r="C22" s="62" t="s">
        <v>6265</v>
      </c>
      <c r="D22" s="426" t="e">
        <f>SUM(D12:D21)</f>
        <v>#REF!</v>
      </c>
      <c r="E22" s="427"/>
      <c r="F22" s="72"/>
      <c r="K22" s="430" t="s">
        <v>6266</v>
      </c>
      <c r="L22" s="431" t="s">
        <v>6263</v>
      </c>
      <c r="M22" s="432">
        <v>2.73</v>
      </c>
      <c r="N22" s="70"/>
      <c r="O22" s="67"/>
    </row>
    <row r="23" spans="1:15" ht="22.5" customHeight="1">
      <c r="A23" s="443"/>
      <c r="B23" s="393" t="s">
        <v>6267</v>
      </c>
      <c r="C23" s="393"/>
      <c r="D23" s="426" t="e">
        <f>D8+D11+D22</f>
        <v>#REF!</v>
      </c>
      <c r="E23" s="427"/>
      <c r="F23" s="73"/>
      <c r="K23" s="431"/>
      <c r="L23" s="431"/>
      <c r="M23" s="432"/>
      <c r="N23" s="71"/>
      <c r="O23" s="67"/>
    </row>
    <row r="24" spans="1:15" ht="22.5" customHeight="1">
      <c r="A24" s="74" t="s">
        <v>5898</v>
      </c>
      <c r="B24" s="393" t="s">
        <v>6268</v>
      </c>
      <c r="C24" s="393"/>
      <c r="D24" s="420" t="e">
        <f>INT(D23*G24%)</f>
        <v>#REF!</v>
      </c>
      <c r="E24" s="421"/>
      <c r="F24" s="61" t="str">
        <f>"1)의 "&amp;G24&amp;"%"</f>
        <v>1)의 6%</v>
      </c>
      <c r="G24" s="54">
        <v>6</v>
      </c>
    </row>
    <row r="25" spans="1:15" ht="14.25">
      <c r="A25" s="74" t="s">
        <v>2442</v>
      </c>
      <c r="B25" s="393" t="s">
        <v>6269</v>
      </c>
      <c r="C25" s="393"/>
      <c r="D25" s="422" t="e">
        <f>INT((D11+D22+D24)*G26%)</f>
        <v>#REF!</v>
      </c>
      <c r="E25" s="423"/>
      <c r="F25" s="68" t="str">
        <f>"나+다+2의 "&amp;G26&amp;"%"</f>
        <v>나+다+2의 15%</v>
      </c>
    </row>
    <row r="26" spans="1:15" ht="22.5" customHeight="1">
      <c r="A26" s="74" t="s">
        <v>4842</v>
      </c>
      <c r="B26" s="393" t="s">
        <v>6276</v>
      </c>
      <c r="C26" s="393"/>
      <c r="D26" s="422" t="e">
        <f>INT((D9*7.6%*1.4)+(D9*7.995%*20%)+(D9*7.6%*10%))</f>
        <v>#REF!</v>
      </c>
      <c r="E26" s="423"/>
      <c r="F26" s="68"/>
      <c r="G26" s="54">
        <v>15</v>
      </c>
    </row>
    <row r="27" spans="1:15" ht="22.5" customHeight="1">
      <c r="A27" s="74" t="s">
        <v>1948</v>
      </c>
      <c r="B27" s="393" t="s">
        <v>6270</v>
      </c>
      <c r="C27" s="393"/>
      <c r="D27" s="426" t="e">
        <f>SUM(D23:D26)</f>
        <v>#REF!</v>
      </c>
      <c r="E27" s="427"/>
      <c r="F27" s="61"/>
    </row>
    <row r="28" spans="1:15" ht="22.5" customHeight="1">
      <c r="A28" s="74" t="s">
        <v>5727</v>
      </c>
      <c r="B28" s="393" t="s">
        <v>6271</v>
      </c>
      <c r="C28" s="393"/>
      <c r="D28" s="426" t="e">
        <f>INT(D27*10%)</f>
        <v>#REF!</v>
      </c>
      <c r="E28" s="427"/>
      <c r="F28" s="68" t="s">
        <v>6272</v>
      </c>
    </row>
    <row r="29" spans="1:15" ht="22.5" customHeight="1">
      <c r="A29" s="75">
        <v>7</v>
      </c>
      <c r="B29" s="401" t="s">
        <v>6273</v>
      </c>
      <c r="C29" s="402"/>
      <c r="D29" s="428" t="e">
        <f>D27+D28</f>
        <v>#REF!</v>
      </c>
      <c r="E29" s="429"/>
      <c r="F29" s="76"/>
    </row>
    <row r="30" spans="1:15" ht="22.5" customHeight="1">
      <c r="A30" s="424" t="s">
        <v>6274</v>
      </c>
      <c r="B30" s="425"/>
      <c r="C30" s="425"/>
      <c r="D30" s="425"/>
      <c r="E30" s="425"/>
      <c r="F30" s="425"/>
    </row>
    <row r="31" spans="1:15" ht="22.5" customHeight="1">
      <c r="A31" s="55" t="s">
        <v>6275</v>
      </c>
    </row>
  </sheetData>
  <mergeCells count="48">
    <mergeCell ref="A6:A23"/>
    <mergeCell ref="B6:B8"/>
    <mergeCell ref="D6:E6"/>
    <mergeCell ref="D7:E7"/>
    <mergeCell ref="D8:E8"/>
    <mergeCell ref="B9:B11"/>
    <mergeCell ref="D9:E9"/>
    <mergeCell ref="D10:E10"/>
    <mergeCell ref="D11:E11"/>
    <mergeCell ref="B12:B22"/>
    <mergeCell ref="D22:E22"/>
    <mergeCell ref="A1:F1"/>
    <mergeCell ref="A2:F2"/>
    <mergeCell ref="A3:C3"/>
    <mergeCell ref="A4:C5"/>
    <mergeCell ref="D4:E5"/>
    <mergeCell ref="F4:F5"/>
    <mergeCell ref="M20:M21"/>
    <mergeCell ref="D21:E2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K20:K21"/>
    <mergeCell ref="L20:L21"/>
    <mergeCell ref="K22:K23"/>
    <mergeCell ref="L22:L23"/>
    <mergeCell ref="M22:M23"/>
    <mergeCell ref="B23:C23"/>
    <mergeCell ref="D23:E23"/>
    <mergeCell ref="B24:C24"/>
    <mergeCell ref="D24:E24"/>
    <mergeCell ref="B25:C25"/>
    <mergeCell ref="D25:E25"/>
    <mergeCell ref="A30:F30"/>
    <mergeCell ref="B27:C27"/>
    <mergeCell ref="D27:E27"/>
    <mergeCell ref="B28:C28"/>
    <mergeCell ref="D28:E28"/>
    <mergeCell ref="B29:C29"/>
    <mergeCell ref="D29:E29"/>
    <mergeCell ref="B26:C26"/>
    <mergeCell ref="D26:E26"/>
  </mergeCells>
  <phoneticPr fontId="17" type="noConversion"/>
  <pageMargins left="0.7" right="0.7" top="0.75" bottom="0.75" header="0.3" footer="0.3"/>
  <pageSetup paperSize="9" scale="9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J40"/>
  <sheetViews>
    <sheetView view="pageBreakPreview" topLeftCell="A13" zoomScaleNormal="100" zoomScaleSheetLayoutView="100" workbookViewId="0">
      <selection activeCell="E15" sqref="E15"/>
    </sheetView>
  </sheetViews>
  <sheetFormatPr defaultRowHeight="18.399999999999999" customHeight="1"/>
  <cols>
    <col min="1" max="1" width="52" bestFit="1" customWidth="1"/>
    <col min="2" max="2" width="20" customWidth="1"/>
    <col min="3" max="3" width="8" customWidth="1"/>
    <col min="4" max="4" width="5" customWidth="1"/>
    <col min="5" max="8" width="13" customWidth="1"/>
    <col min="9" max="9" width="56.6640625" bestFit="1" customWidth="1"/>
    <col min="10" max="23" width="0" hidden="1" customWidth="1"/>
    <col min="30" max="30" width="15.83203125" hidden="1" customWidth="1"/>
    <col min="31" max="31" width="9.33203125" hidden="1" customWidth="1"/>
    <col min="32" max="32" width="11.83203125" hidden="1" customWidth="1"/>
    <col min="33" max="33" width="9.33203125" hidden="1" customWidth="1"/>
    <col min="34" max="34" width="10" hidden="1" customWidth="1"/>
    <col min="35" max="36" width="9.33203125" hidden="1" customWidth="1"/>
  </cols>
  <sheetData>
    <row r="1" spans="1:36" ht="18.399999999999999" customHeight="1">
      <c r="A1" t="s">
        <v>4113</v>
      </c>
      <c r="AD1">
        <f>'원가계산서(양지사)'!D34</f>
        <v>1433893000</v>
      </c>
      <c r="AE1" t="s">
        <v>6606</v>
      </c>
      <c r="AF1" s="348">
        <f>AD1-AD2</f>
        <v>0</v>
      </c>
    </row>
    <row r="2" spans="1:36" ht="18.399999999999999" customHeight="1" thickBot="1">
      <c r="A2" s="16" t="s">
        <v>990</v>
      </c>
      <c r="B2" s="17" t="s">
        <v>2297</v>
      </c>
      <c r="C2" s="17" t="s">
        <v>170</v>
      </c>
      <c r="D2" s="17" t="s">
        <v>5792</v>
      </c>
      <c r="E2" s="17" t="s">
        <v>6009</v>
      </c>
      <c r="F2" s="17" t="s">
        <v>4256</v>
      </c>
      <c r="G2" s="17" t="s">
        <v>2490</v>
      </c>
      <c r="H2" s="17" t="s">
        <v>422</v>
      </c>
      <c r="I2" s="19" t="s">
        <v>1571</v>
      </c>
      <c r="T2" s="1" t="s">
        <v>3829</v>
      </c>
      <c r="U2" s="1" t="s">
        <v>5280</v>
      </c>
      <c r="V2" s="1" t="s">
        <v>5153</v>
      </c>
      <c r="W2" s="1" t="s">
        <v>1920</v>
      </c>
      <c r="Y2" s="1" t="s">
        <v>1352</v>
      </c>
      <c r="AD2" s="348">
        <f>'원가계산서(양지사)'!D31</f>
        <v>1433893000</v>
      </c>
      <c r="AE2" t="s">
        <v>6607</v>
      </c>
      <c r="AG2" s="347">
        <v>0.88298889000000003</v>
      </c>
    </row>
    <row r="3" spans="1:36" ht="18.399999999999999" customHeight="1">
      <c r="A3" s="11" t="s">
        <v>633</v>
      </c>
      <c r="B3" s="2" t="s">
        <v>4894</v>
      </c>
      <c r="C3" s="2">
        <v>1</v>
      </c>
      <c r="D3" s="2" t="s">
        <v>3909</v>
      </c>
      <c r="E3" s="29">
        <f t="shared" ref="E3:E8" si="0">F3+G3+H3</f>
        <v>13377641</v>
      </c>
      <c r="F3" s="29">
        <f>AH3</f>
        <v>10581357</v>
      </c>
      <c r="G3" s="29">
        <f t="shared" ref="G3:H15" si="1">AI3</f>
        <v>2096589</v>
      </c>
      <c r="H3" s="29">
        <f t="shared" si="1"/>
        <v>699695</v>
      </c>
      <c r="I3" s="20" t="s">
        <v>6232</v>
      </c>
      <c r="J3" t="s">
        <v>6232</v>
      </c>
      <c r="K3" t="s">
        <v>3028</v>
      </c>
      <c r="L3" t="s">
        <v>3860</v>
      </c>
      <c r="T3" s="29">
        <v>15694688</v>
      </c>
      <c r="U3" s="29">
        <v>10978645</v>
      </c>
      <c r="V3" s="29">
        <v>609059</v>
      </c>
      <c r="W3" s="29">
        <v>27282392</v>
      </c>
      <c r="Y3" s="7" t="b">
        <f t="shared" ref="Y3:Y8" si="2">EXACT($E3,$W3)</f>
        <v>0</v>
      </c>
      <c r="AA3" s="33" t="str">
        <f>HYPERLINK("#일위대가_호표!A4282","SZD0001-300 →")</f>
        <v>SZD0001-300 →</v>
      </c>
      <c r="AD3">
        <v>11983568</v>
      </c>
      <c r="AE3">
        <v>2374423</v>
      </c>
      <c r="AF3">
        <v>792417</v>
      </c>
      <c r="AH3">
        <f>INT(AD3*$AG$2)</f>
        <v>10581357</v>
      </c>
      <c r="AI3" s="345">
        <f t="shared" ref="AI3:AJ15" si="3">INT(AE3*$AG$2)</f>
        <v>2096589</v>
      </c>
      <c r="AJ3" s="345">
        <f t="shared" si="3"/>
        <v>699695</v>
      </c>
    </row>
    <row r="4" spans="1:36" ht="18.399999999999999" customHeight="1">
      <c r="A4" s="11" t="s">
        <v>2339</v>
      </c>
      <c r="B4" s="2" t="s">
        <v>3764</v>
      </c>
      <c r="C4" s="2">
        <v>1</v>
      </c>
      <c r="D4" s="2" t="s">
        <v>3909</v>
      </c>
      <c r="E4" s="29">
        <f t="shared" si="0"/>
        <v>24676980</v>
      </c>
      <c r="F4" s="29">
        <f t="shared" ref="F4:F15" si="4">AH4</f>
        <v>20995856</v>
      </c>
      <c r="G4" s="29">
        <f t="shared" si="1"/>
        <v>2897828</v>
      </c>
      <c r="H4" s="29">
        <f t="shared" si="1"/>
        <v>783296</v>
      </c>
      <c r="I4" s="20" t="s">
        <v>6232</v>
      </c>
      <c r="J4" t="s">
        <v>6232</v>
      </c>
      <c r="K4" t="s">
        <v>4570</v>
      </c>
      <c r="L4" t="s">
        <v>3860</v>
      </c>
      <c r="T4" s="29">
        <v>29623611</v>
      </c>
      <c r="U4" s="29">
        <v>11988559</v>
      </c>
      <c r="V4" s="29">
        <v>805421</v>
      </c>
      <c r="W4" s="29">
        <v>42417591</v>
      </c>
      <c r="Y4" s="7" t="b">
        <f t="shared" si="2"/>
        <v>0</v>
      </c>
      <c r="AA4" s="33" t="str">
        <f>HYPERLINK("#일위대가_호표!A4294","SZD0001-450 →")</f>
        <v>SZD0001-450 →</v>
      </c>
      <c r="AD4">
        <v>23778166</v>
      </c>
      <c r="AE4">
        <v>3281840</v>
      </c>
      <c r="AF4">
        <v>887097</v>
      </c>
      <c r="AH4" s="345">
        <f t="shared" ref="AH4:AH15" si="5">INT(AD4*$AG$2)</f>
        <v>20995856</v>
      </c>
      <c r="AI4" s="345">
        <f t="shared" si="3"/>
        <v>2897828</v>
      </c>
      <c r="AJ4" s="345">
        <f t="shared" si="3"/>
        <v>783296</v>
      </c>
    </row>
    <row r="5" spans="1:36" ht="18.399999999999999" customHeight="1">
      <c r="A5" s="11" t="s">
        <v>1749</v>
      </c>
      <c r="B5" s="2" t="s">
        <v>6105</v>
      </c>
      <c r="C5" s="2">
        <v>1</v>
      </c>
      <c r="D5" s="2" t="s">
        <v>3909</v>
      </c>
      <c r="E5" s="29">
        <f t="shared" si="0"/>
        <v>36943210</v>
      </c>
      <c r="F5" s="29">
        <f t="shared" si="4"/>
        <v>32245254</v>
      </c>
      <c r="G5" s="29">
        <f t="shared" si="1"/>
        <v>3903873</v>
      </c>
      <c r="H5" s="29">
        <f t="shared" si="1"/>
        <v>794083</v>
      </c>
      <c r="I5" s="20" t="s">
        <v>6232</v>
      </c>
      <c r="J5" t="s">
        <v>6232</v>
      </c>
      <c r="K5" t="s">
        <v>3643</v>
      </c>
      <c r="L5" t="s">
        <v>3860</v>
      </c>
      <c r="T5" s="29">
        <v>45689539</v>
      </c>
      <c r="U5" s="29">
        <v>13223510</v>
      </c>
      <c r="V5" s="29">
        <v>898775</v>
      </c>
      <c r="W5" s="29">
        <v>59811824</v>
      </c>
      <c r="Y5" s="7" t="b">
        <f t="shared" si="2"/>
        <v>0</v>
      </c>
      <c r="AA5" s="33" t="str">
        <f>HYPERLINK("#일위대가_호표!A4306","SZD0001-600 →")</f>
        <v>SZD0001-600 →</v>
      </c>
      <c r="AD5">
        <v>36518302</v>
      </c>
      <c r="AE5">
        <v>4421203</v>
      </c>
      <c r="AF5">
        <v>899313</v>
      </c>
      <c r="AH5" s="345">
        <f t="shared" si="5"/>
        <v>32245254</v>
      </c>
      <c r="AI5" s="345">
        <f t="shared" si="3"/>
        <v>3903873</v>
      </c>
      <c r="AJ5" s="345">
        <f t="shared" si="3"/>
        <v>794083</v>
      </c>
    </row>
    <row r="6" spans="1:36" ht="18.399999999999999" customHeight="1">
      <c r="A6" s="11" t="s">
        <v>3087</v>
      </c>
      <c r="B6" s="2" t="s">
        <v>397</v>
      </c>
      <c r="C6" s="2">
        <v>1</v>
      </c>
      <c r="D6" s="2" t="s">
        <v>3909</v>
      </c>
      <c r="E6" s="29">
        <f t="shared" si="0"/>
        <v>39342351</v>
      </c>
      <c r="F6" s="29">
        <f t="shared" si="4"/>
        <v>34401427</v>
      </c>
      <c r="G6" s="29">
        <f t="shared" si="1"/>
        <v>4144605</v>
      </c>
      <c r="H6" s="29">
        <f t="shared" si="1"/>
        <v>796319</v>
      </c>
      <c r="I6" s="20" t="s">
        <v>6232</v>
      </c>
      <c r="J6" t="s">
        <v>6232</v>
      </c>
      <c r="K6" t="s">
        <v>5128</v>
      </c>
      <c r="L6" t="s">
        <v>3860</v>
      </c>
      <c r="T6" s="29">
        <v>49795535</v>
      </c>
      <c r="U6" s="29">
        <v>13529820</v>
      </c>
      <c r="V6" s="29">
        <v>930812</v>
      </c>
      <c r="W6" s="29">
        <v>64256167</v>
      </c>
      <c r="Y6" s="7" t="b">
        <f t="shared" si="2"/>
        <v>0</v>
      </c>
      <c r="AA6" s="33" t="str">
        <f>HYPERLINK("#일위대가_호표!A4310","SZD0001-650 →")</f>
        <v>SZD0001-650 →</v>
      </c>
      <c r="AD6">
        <v>38960204</v>
      </c>
      <c r="AE6">
        <v>4693837</v>
      </c>
      <c r="AF6">
        <v>901845</v>
      </c>
      <c r="AH6" s="345">
        <f t="shared" si="5"/>
        <v>34401427</v>
      </c>
      <c r="AI6" s="345">
        <f t="shared" si="3"/>
        <v>4144605</v>
      </c>
      <c r="AJ6" s="345">
        <f t="shared" si="3"/>
        <v>796319</v>
      </c>
    </row>
    <row r="7" spans="1:36" ht="18.399999999999999" customHeight="1">
      <c r="A7" s="11" t="s">
        <v>4080</v>
      </c>
      <c r="B7" s="2" t="s">
        <v>3826</v>
      </c>
      <c r="C7" s="2">
        <v>1</v>
      </c>
      <c r="D7" s="2" t="s">
        <v>3909</v>
      </c>
      <c r="E7" s="29">
        <f t="shared" si="0"/>
        <v>43452420</v>
      </c>
      <c r="F7" s="29">
        <f t="shared" si="4"/>
        <v>38234376</v>
      </c>
      <c r="G7" s="29">
        <f t="shared" si="1"/>
        <v>4376697</v>
      </c>
      <c r="H7" s="29">
        <f t="shared" si="1"/>
        <v>841347</v>
      </c>
      <c r="I7" s="20" t="s">
        <v>6232</v>
      </c>
      <c r="J7" t="s">
        <v>6232</v>
      </c>
      <c r="K7" t="s">
        <v>3911</v>
      </c>
      <c r="L7" t="s">
        <v>3860</v>
      </c>
      <c r="T7" s="29">
        <v>54191925</v>
      </c>
      <c r="U7" s="29">
        <v>13878775</v>
      </c>
      <c r="V7" s="29">
        <v>1143390</v>
      </c>
      <c r="W7" s="29">
        <v>69214090</v>
      </c>
      <c r="Y7" s="7" t="b">
        <f t="shared" si="2"/>
        <v>0</v>
      </c>
      <c r="AA7" s="33" t="str">
        <f>HYPERLINK("#일위대가_호표!A4314","SZD0001-700 →")</f>
        <v>SZD0001-700 →</v>
      </c>
      <c r="AD7">
        <v>43301084</v>
      </c>
      <c r="AE7">
        <v>4956685</v>
      </c>
      <c r="AF7">
        <v>952840</v>
      </c>
      <c r="AH7" s="345">
        <f t="shared" si="5"/>
        <v>38234376</v>
      </c>
      <c r="AI7" s="345">
        <f t="shared" si="3"/>
        <v>4376697</v>
      </c>
      <c r="AJ7" s="345">
        <f t="shared" si="3"/>
        <v>841347</v>
      </c>
    </row>
    <row r="8" spans="1:36" ht="18.399999999999999" customHeight="1">
      <c r="A8" s="11" t="s">
        <v>4814</v>
      </c>
      <c r="B8" s="2" t="s">
        <v>2823</v>
      </c>
      <c r="C8" s="2">
        <v>1</v>
      </c>
      <c r="D8" s="2" t="s">
        <v>3909</v>
      </c>
      <c r="E8" s="29">
        <f t="shared" si="0"/>
        <v>49509422</v>
      </c>
      <c r="F8" s="29">
        <f t="shared" si="4"/>
        <v>44056471</v>
      </c>
      <c r="G8" s="29">
        <f t="shared" si="1"/>
        <v>4609505</v>
      </c>
      <c r="H8" s="29">
        <f t="shared" si="1"/>
        <v>843446</v>
      </c>
      <c r="I8" s="20" t="s">
        <v>6232</v>
      </c>
      <c r="J8" t="s">
        <v>6232</v>
      </c>
      <c r="K8" t="s">
        <v>5550</v>
      </c>
      <c r="L8" t="s">
        <v>3860</v>
      </c>
      <c r="T8" s="29">
        <v>65152747</v>
      </c>
      <c r="U8" s="29">
        <v>14174997</v>
      </c>
      <c r="V8" s="29">
        <v>1178313</v>
      </c>
      <c r="W8" s="29">
        <v>80506057</v>
      </c>
      <c r="Y8" s="7" t="b">
        <f t="shared" si="2"/>
        <v>0</v>
      </c>
      <c r="AA8" s="33" t="str">
        <f>HYPERLINK("#일위대가_호표!A4318","SZD0001-750 →")</f>
        <v>SZD0001-750 →</v>
      </c>
      <c r="AD8">
        <v>49894706</v>
      </c>
      <c r="AE8">
        <v>5220344</v>
      </c>
      <c r="AF8">
        <v>955218</v>
      </c>
      <c r="AH8" s="345">
        <f t="shared" si="5"/>
        <v>44056471</v>
      </c>
      <c r="AI8" s="345">
        <f t="shared" si="3"/>
        <v>4609505</v>
      </c>
      <c r="AJ8" s="345">
        <f t="shared" si="3"/>
        <v>843446</v>
      </c>
    </row>
    <row r="9" spans="1:36" ht="18.399999999999999" customHeight="1">
      <c r="A9" s="11" t="s">
        <v>6155</v>
      </c>
      <c r="B9" s="2" t="s">
        <v>6232</v>
      </c>
      <c r="C9" s="2">
        <v>1</v>
      </c>
      <c r="D9" s="2" t="s">
        <v>5766</v>
      </c>
      <c r="E9" s="29">
        <f t="shared" ref="E9:E13" si="6">F9+G9+H9</f>
        <v>249476</v>
      </c>
      <c r="F9" s="29">
        <f t="shared" si="4"/>
        <v>0</v>
      </c>
      <c r="G9" s="29">
        <f t="shared" si="1"/>
        <v>249476</v>
      </c>
      <c r="H9" s="29">
        <f t="shared" si="1"/>
        <v>0</v>
      </c>
      <c r="I9" s="20" t="s">
        <v>6232</v>
      </c>
      <c r="J9" t="s">
        <v>6232</v>
      </c>
      <c r="K9" t="s">
        <v>544</v>
      </c>
      <c r="L9" t="s">
        <v>3860</v>
      </c>
      <c r="T9" s="29">
        <v>0</v>
      </c>
      <c r="U9" s="29">
        <v>278326</v>
      </c>
      <c r="V9" s="29">
        <v>0</v>
      </c>
      <c r="W9" s="29">
        <v>278326</v>
      </c>
      <c r="Y9" s="7" t="b">
        <f t="shared" ref="Y9:Y13" si="7">EXACT($E9,$W9)</f>
        <v>0</v>
      </c>
      <c r="AA9" s="33" t="str">
        <f>HYPERLINK("#일위대가_호표!A5245","TM-407 →")</f>
        <v>TM-407 →</v>
      </c>
      <c r="AD9">
        <v>0</v>
      </c>
      <c r="AE9">
        <v>282536</v>
      </c>
      <c r="AF9">
        <v>0</v>
      </c>
      <c r="AH9" s="345">
        <f t="shared" si="5"/>
        <v>0</v>
      </c>
      <c r="AI9" s="345">
        <f t="shared" si="3"/>
        <v>249476</v>
      </c>
      <c r="AJ9" s="345">
        <f t="shared" si="3"/>
        <v>0</v>
      </c>
    </row>
    <row r="10" spans="1:36" ht="18.399999999999999" customHeight="1">
      <c r="A10" s="11" t="s">
        <v>158</v>
      </c>
      <c r="B10" s="2" t="s">
        <v>4894</v>
      </c>
      <c r="C10" s="2">
        <v>1</v>
      </c>
      <c r="D10" s="2" t="s">
        <v>1055</v>
      </c>
      <c r="E10" s="29">
        <f t="shared" si="6"/>
        <v>13377641</v>
      </c>
      <c r="F10" s="29">
        <f t="shared" si="4"/>
        <v>10581357</v>
      </c>
      <c r="G10" s="29">
        <f t="shared" si="1"/>
        <v>2096589</v>
      </c>
      <c r="H10" s="29">
        <f t="shared" si="1"/>
        <v>699695</v>
      </c>
      <c r="I10" s="20" t="s">
        <v>6232</v>
      </c>
      <c r="J10" t="s">
        <v>6232</v>
      </c>
      <c r="K10" t="s">
        <v>711</v>
      </c>
      <c r="L10" t="s">
        <v>3860</v>
      </c>
      <c r="T10" s="29">
        <v>15326314</v>
      </c>
      <c r="U10" s="29">
        <v>10297717</v>
      </c>
      <c r="V10" s="29">
        <v>407765</v>
      </c>
      <c r="W10" s="29">
        <v>26031796</v>
      </c>
      <c r="Y10" s="7" t="b">
        <f t="shared" si="7"/>
        <v>0</v>
      </c>
      <c r="AA10" s="33" t="str">
        <f>HYPERLINK("#일위대가_호표!A5333","SZD0003-300 →")</f>
        <v>SZD0003-300 →</v>
      </c>
      <c r="AD10">
        <v>11983568</v>
      </c>
      <c r="AE10">
        <v>2374423</v>
      </c>
      <c r="AF10">
        <v>792417</v>
      </c>
      <c r="AH10" s="345">
        <f t="shared" si="5"/>
        <v>10581357</v>
      </c>
      <c r="AI10" s="345">
        <f t="shared" si="3"/>
        <v>2096589</v>
      </c>
      <c r="AJ10" s="345">
        <f t="shared" si="3"/>
        <v>699695</v>
      </c>
    </row>
    <row r="11" spans="1:36" ht="18.399999999999999" customHeight="1">
      <c r="A11" s="11" t="s">
        <v>2283</v>
      </c>
      <c r="B11" s="2" t="s">
        <v>3764</v>
      </c>
      <c r="C11" s="2">
        <v>1</v>
      </c>
      <c r="D11" s="2" t="s">
        <v>1055</v>
      </c>
      <c r="E11" s="29">
        <f t="shared" si="6"/>
        <v>24676980</v>
      </c>
      <c r="F11" s="29">
        <f t="shared" si="4"/>
        <v>20995856</v>
      </c>
      <c r="G11" s="29">
        <f t="shared" si="1"/>
        <v>2897828</v>
      </c>
      <c r="H11" s="29">
        <f t="shared" si="1"/>
        <v>783296</v>
      </c>
      <c r="I11" s="20" t="s">
        <v>6232</v>
      </c>
      <c r="J11" t="s">
        <v>6232</v>
      </c>
      <c r="K11" t="s">
        <v>5366</v>
      </c>
      <c r="L11" t="s">
        <v>3860</v>
      </c>
      <c r="T11" s="29">
        <v>29255237</v>
      </c>
      <c r="U11" s="29">
        <v>11307631</v>
      </c>
      <c r="V11" s="29">
        <v>604127</v>
      </c>
      <c r="W11" s="29">
        <v>41166995</v>
      </c>
      <c r="Y11" s="7" t="b">
        <f t="shared" si="7"/>
        <v>0</v>
      </c>
      <c r="AA11" s="33" t="str">
        <f>HYPERLINK("#일위대가_호표!A5384","SZD0003-450 →")</f>
        <v>SZD0003-450 →</v>
      </c>
      <c r="AD11">
        <v>23778166</v>
      </c>
      <c r="AE11">
        <v>3281840</v>
      </c>
      <c r="AF11">
        <v>887097</v>
      </c>
      <c r="AH11" s="345">
        <f t="shared" si="5"/>
        <v>20995856</v>
      </c>
      <c r="AI11" s="345">
        <f t="shared" si="3"/>
        <v>2897828</v>
      </c>
      <c r="AJ11" s="345">
        <f t="shared" si="3"/>
        <v>783296</v>
      </c>
    </row>
    <row r="12" spans="1:36" ht="18.399999999999999" customHeight="1">
      <c r="A12" s="11" t="s">
        <v>772</v>
      </c>
      <c r="B12" s="2" t="s">
        <v>6105</v>
      </c>
      <c r="C12" s="2">
        <v>1</v>
      </c>
      <c r="D12" s="2" t="s">
        <v>1055</v>
      </c>
      <c r="E12" s="29">
        <f t="shared" si="6"/>
        <v>36943210</v>
      </c>
      <c r="F12" s="29">
        <f t="shared" si="4"/>
        <v>32245254</v>
      </c>
      <c r="G12" s="29">
        <f t="shared" si="1"/>
        <v>3903873</v>
      </c>
      <c r="H12" s="29">
        <f t="shared" si="1"/>
        <v>794083</v>
      </c>
      <c r="I12" s="20" t="s">
        <v>6232</v>
      </c>
      <c r="J12" t="s">
        <v>6232</v>
      </c>
      <c r="K12" t="s">
        <v>5977</v>
      </c>
      <c r="L12" t="s">
        <v>3860</v>
      </c>
      <c r="T12" s="29">
        <v>45321165</v>
      </c>
      <c r="U12" s="29">
        <v>12542582</v>
      </c>
      <c r="V12" s="29">
        <v>697481</v>
      </c>
      <c r="W12" s="29">
        <v>58561228</v>
      </c>
      <c r="Y12" s="7" t="b">
        <f t="shared" si="7"/>
        <v>0</v>
      </c>
      <c r="AA12" s="33" t="str">
        <f>HYPERLINK("#일위대가_호표!A5435","SZD0003-600 →")</f>
        <v>SZD0003-600 →</v>
      </c>
      <c r="AD12">
        <v>36518302</v>
      </c>
      <c r="AE12">
        <v>4421203</v>
      </c>
      <c r="AF12">
        <v>899313</v>
      </c>
      <c r="AH12" s="345">
        <f t="shared" si="5"/>
        <v>32245254</v>
      </c>
      <c r="AI12" s="345">
        <f t="shared" si="3"/>
        <v>3903873</v>
      </c>
      <c r="AJ12" s="345">
        <f t="shared" si="3"/>
        <v>794083</v>
      </c>
    </row>
    <row r="13" spans="1:36" ht="18.399999999999999" customHeight="1">
      <c r="A13" s="11" t="s">
        <v>4026</v>
      </c>
      <c r="B13" s="2" t="s">
        <v>397</v>
      </c>
      <c r="C13" s="2">
        <v>1</v>
      </c>
      <c r="D13" s="2" t="s">
        <v>1055</v>
      </c>
      <c r="E13" s="29">
        <f t="shared" si="6"/>
        <v>39342351</v>
      </c>
      <c r="F13" s="29">
        <f t="shared" si="4"/>
        <v>34401427</v>
      </c>
      <c r="G13" s="29">
        <f t="shared" si="1"/>
        <v>4144605</v>
      </c>
      <c r="H13" s="29">
        <f t="shared" si="1"/>
        <v>796319</v>
      </c>
      <c r="I13" s="20" t="s">
        <v>6232</v>
      </c>
      <c r="J13" t="s">
        <v>6232</v>
      </c>
      <c r="K13" t="s">
        <v>4359</v>
      </c>
      <c r="L13" t="s">
        <v>3860</v>
      </c>
      <c r="T13" s="29">
        <v>49427161</v>
      </c>
      <c r="U13" s="29">
        <v>12848892</v>
      </c>
      <c r="V13" s="29">
        <v>729518</v>
      </c>
      <c r="W13" s="29">
        <v>63005571</v>
      </c>
      <c r="Y13" s="7" t="b">
        <f t="shared" si="7"/>
        <v>0</v>
      </c>
      <c r="AA13" s="33" t="str">
        <f>HYPERLINK("#일위대가_호표!A5452","SZD0003-650 →")</f>
        <v>SZD0003-650 →</v>
      </c>
      <c r="AD13">
        <v>38960204</v>
      </c>
      <c r="AE13">
        <v>4693837</v>
      </c>
      <c r="AF13">
        <v>901845</v>
      </c>
      <c r="AH13" s="345">
        <f t="shared" si="5"/>
        <v>34401427</v>
      </c>
      <c r="AI13" s="345">
        <f t="shared" si="3"/>
        <v>4144605</v>
      </c>
      <c r="AJ13" s="345">
        <f t="shared" si="3"/>
        <v>796319</v>
      </c>
    </row>
    <row r="14" spans="1:36" ht="18.399999999999999" customHeight="1">
      <c r="A14" s="11" t="s">
        <v>3647</v>
      </c>
      <c r="B14" s="2" t="s">
        <v>3826</v>
      </c>
      <c r="C14" s="2">
        <v>1</v>
      </c>
      <c r="D14" s="2" t="s">
        <v>1055</v>
      </c>
      <c r="E14" s="29">
        <f t="shared" ref="E14:E22" si="8">F14+G14+H14</f>
        <v>43452420</v>
      </c>
      <c r="F14" s="29">
        <f t="shared" si="4"/>
        <v>38234376</v>
      </c>
      <c r="G14" s="29">
        <f t="shared" si="1"/>
        <v>4376697</v>
      </c>
      <c r="H14" s="29">
        <f t="shared" si="1"/>
        <v>841347</v>
      </c>
      <c r="I14" s="20" t="s">
        <v>6232</v>
      </c>
      <c r="J14" t="s">
        <v>6232</v>
      </c>
      <c r="K14" t="s">
        <v>4672</v>
      </c>
      <c r="L14" t="s">
        <v>3860</v>
      </c>
      <c r="T14" s="29">
        <v>53793116</v>
      </c>
      <c r="U14" s="29">
        <v>13171591</v>
      </c>
      <c r="V14" s="29">
        <v>861691</v>
      </c>
      <c r="W14" s="29">
        <v>67826398</v>
      </c>
      <c r="Y14" s="7" t="b">
        <f t="shared" ref="Y14:Y22" si="9">EXACT($E14,$W14)</f>
        <v>0</v>
      </c>
      <c r="AA14" s="33" t="str">
        <f>HYPERLINK("#일위대가_호표!A5469","SZD0003-700 →")</f>
        <v>SZD0003-700 →</v>
      </c>
      <c r="AD14">
        <v>43301084</v>
      </c>
      <c r="AE14">
        <v>4956685</v>
      </c>
      <c r="AF14">
        <v>952840</v>
      </c>
      <c r="AH14" s="345">
        <f t="shared" si="5"/>
        <v>38234376</v>
      </c>
      <c r="AI14" s="345">
        <f t="shared" si="3"/>
        <v>4376697</v>
      </c>
      <c r="AJ14" s="345">
        <f t="shared" si="3"/>
        <v>841347</v>
      </c>
    </row>
    <row r="15" spans="1:36" ht="18.399999999999999" customHeight="1">
      <c r="A15" s="11" t="s">
        <v>467</v>
      </c>
      <c r="B15" s="2" t="s">
        <v>2823</v>
      </c>
      <c r="C15" s="2">
        <v>1</v>
      </c>
      <c r="D15" s="2" t="s">
        <v>1055</v>
      </c>
      <c r="E15" s="29">
        <f t="shared" si="8"/>
        <v>49509422</v>
      </c>
      <c r="F15" s="29">
        <f t="shared" si="4"/>
        <v>44056471</v>
      </c>
      <c r="G15" s="29">
        <f t="shared" si="1"/>
        <v>4609505</v>
      </c>
      <c r="H15" s="29">
        <f t="shared" si="1"/>
        <v>843446</v>
      </c>
      <c r="I15" s="20" t="s">
        <v>6232</v>
      </c>
      <c r="J15" t="s">
        <v>6232</v>
      </c>
      <c r="K15" t="s">
        <v>3201</v>
      </c>
      <c r="L15" t="s">
        <v>3860</v>
      </c>
      <c r="T15" s="29">
        <v>64753938</v>
      </c>
      <c r="U15" s="29">
        <v>13467813</v>
      </c>
      <c r="V15" s="29">
        <v>896614</v>
      </c>
      <c r="W15" s="29">
        <v>79118365</v>
      </c>
      <c r="Y15" s="7" t="b">
        <f t="shared" si="9"/>
        <v>0</v>
      </c>
      <c r="AA15" s="33" t="str">
        <f>HYPERLINK("#일위대가_호표!A5486","SZD0003-750 →")</f>
        <v>SZD0003-750 →</v>
      </c>
      <c r="AD15">
        <v>49894706</v>
      </c>
      <c r="AE15">
        <v>5220344</v>
      </c>
      <c r="AF15">
        <v>955218</v>
      </c>
      <c r="AH15" s="345">
        <f t="shared" si="5"/>
        <v>44056471</v>
      </c>
      <c r="AI15" s="345">
        <f t="shared" si="3"/>
        <v>4609505</v>
      </c>
      <c r="AJ15" s="345">
        <f t="shared" si="3"/>
        <v>843446</v>
      </c>
    </row>
    <row r="16" spans="1:36" ht="18.399999999999999" customHeight="1">
      <c r="A16" s="11" t="s">
        <v>2643</v>
      </c>
      <c r="B16" s="2" t="s">
        <v>1572</v>
      </c>
      <c r="C16" s="2">
        <v>1</v>
      </c>
      <c r="D16" s="2" t="s">
        <v>3909</v>
      </c>
      <c r="E16" s="29">
        <f t="shared" si="8"/>
        <v>219918</v>
      </c>
      <c r="F16" s="29">
        <f>일위대가_호표!H133</f>
        <v>0</v>
      </c>
      <c r="G16" s="29">
        <f>일위대가_호표!J133</f>
        <v>219918</v>
      </c>
      <c r="H16" s="29">
        <f>일위대가_호표!L133</f>
        <v>0</v>
      </c>
      <c r="I16" s="20" t="s">
        <v>6232</v>
      </c>
      <c r="J16" t="s">
        <v>6232</v>
      </c>
      <c r="K16" t="s">
        <v>1913</v>
      </c>
      <c r="L16" t="s">
        <v>3860</v>
      </c>
      <c r="T16" s="29">
        <v>0</v>
      </c>
      <c r="U16" s="29">
        <v>220596</v>
      </c>
      <c r="V16" s="29">
        <v>0</v>
      </c>
      <c r="W16" s="29">
        <v>220596</v>
      </c>
      <c r="Y16" s="7" t="b">
        <f t="shared" si="9"/>
        <v>0</v>
      </c>
      <c r="AA16" s="33" t="str">
        <f>HYPERLINK("#일위대가_호표!A5893","SZE0001-100 →")</f>
        <v>SZE0001-100 →</v>
      </c>
    </row>
    <row r="17" spans="1:27" ht="18.399999999999999" customHeight="1">
      <c r="A17" s="11" t="s">
        <v>5751</v>
      </c>
      <c r="B17" s="2" t="s">
        <v>2393</v>
      </c>
      <c r="C17" s="2">
        <v>1</v>
      </c>
      <c r="D17" s="2" t="s">
        <v>2084</v>
      </c>
      <c r="E17" s="29">
        <f t="shared" si="8"/>
        <v>999605</v>
      </c>
      <c r="F17" s="29">
        <f>일위대가_호표!H139</f>
        <v>0</v>
      </c>
      <c r="G17" s="29">
        <f>일위대가_호표!J139</f>
        <v>999605</v>
      </c>
      <c r="H17" s="29">
        <f>일위대가_호표!L139</f>
        <v>0</v>
      </c>
      <c r="I17" s="20" t="s">
        <v>6232</v>
      </c>
      <c r="J17" t="s">
        <v>6232</v>
      </c>
      <c r="K17" t="s">
        <v>3630</v>
      </c>
      <c r="L17" t="s">
        <v>3860</v>
      </c>
      <c r="T17" s="29">
        <v>0</v>
      </c>
      <c r="U17" s="29">
        <v>975695</v>
      </c>
      <c r="V17" s="29">
        <v>0</v>
      </c>
      <c r="W17" s="29">
        <v>975695</v>
      </c>
      <c r="Y17" s="7" t="b">
        <f t="shared" si="9"/>
        <v>0</v>
      </c>
      <c r="AA17" s="33" t="str">
        <f>HYPERLINK("#일위대가_호표!A5899","SZI000001 →")</f>
        <v>SZI000001 →</v>
      </c>
    </row>
    <row r="18" spans="1:27" ht="18.399999999999999" customHeight="1">
      <c r="A18" s="11" t="s">
        <v>3220</v>
      </c>
      <c r="B18" s="2" t="s">
        <v>6232</v>
      </c>
      <c r="C18" s="2">
        <v>1</v>
      </c>
      <c r="D18" s="2" t="s">
        <v>2084</v>
      </c>
      <c r="E18" s="29">
        <f t="shared" si="8"/>
        <v>999605</v>
      </c>
      <c r="F18" s="29">
        <f>일위대가_호표!H143</f>
        <v>0</v>
      </c>
      <c r="G18" s="29">
        <f>일위대가_호표!J143</f>
        <v>999605</v>
      </c>
      <c r="H18" s="29">
        <f>일위대가_호표!L143</f>
        <v>0</v>
      </c>
      <c r="I18" s="20" t="s">
        <v>6232</v>
      </c>
      <c r="J18" t="s">
        <v>6232</v>
      </c>
      <c r="K18" t="s">
        <v>196</v>
      </c>
      <c r="L18" t="s">
        <v>3860</v>
      </c>
      <c r="T18" s="29">
        <v>0</v>
      </c>
      <c r="U18" s="29">
        <v>975695</v>
      </c>
      <c r="V18" s="29">
        <v>0</v>
      </c>
      <c r="W18" s="29">
        <v>975695</v>
      </c>
      <c r="Y18" s="7" t="b">
        <f t="shared" si="9"/>
        <v>0</v>
      </c>
      <c r="AA18" s="33" t="str">
        <f>HYPERLINK("#일위대가_호표!A5903","SZJ000001 →")</f>
        <v>SZJ000001 →</v>
      </c>
    </row>
    <row r="19" spans="1:27" ht="18.399999999999999" customHeight="1">
      <c r="A19" s="11" t="s">
        <v>644</v>
      </c>
      <c r="B19" s="2" t="s">
        <v>6232</v>
      </c>
      <c r="C19" s="2">
        <v>1</v>
      </c>
      <c r="D19" s="2" t="s">
        <v>2084</v>
      </c>
      <c r="E19" s="29">
        <f t="shared" si="8"/>
        <v>999605</v>
      </c>
      <c r="F19" s="29">
        <f>일위대가_호표!H147</f>
        <v>0</v>
      </c>
      <c r="G19" s="29">
        <f>일위대가_호표!J147</f>
        <v>999605</v>
      </c>
      <c r="H19" s="29">
        <f>일위대가_호표!L147</f>
        <v>0</v>
      </c>
      <c r="I19" s="20" t="s">
        <v>6232</v>
      </c>
      <c r="J19" t="s">
        <v>6232</v>
      </c>
      <c r="K19" t="s">
        <v>4562</v>
      </c>
      <c r="L19" t="s">
        <v>3860</v>
      </c>
      <c r="T19" s="29">
        <v>0</v>
      </c>
      <c r="U19" s="29">
        <v>975695</v>
      </c>
      <c r="V19" s="29">
        <v>0</v>
      </c>
      <c r="W19" s="29">
        <v>975695</v>
      </c>
      <c r="Y19" s="7" t="b">
        <f t="shared" si="9"/>
        <v>0</v>
      </c>
      <c r="AA19" s="33" t="str">
        <f>HYPERLINK("#일위대가_호표!A5907","SZK000001 →")</f>
        <v>SZK000001 →</v>
      </c>
    </row>
    <row r="20" spans="1:27" ht="18.399999999999999" customHeight="1">
      <c r="A20" s="11" t="s">
        <v>1355</v>
      </c>
      <c r="B20" s="2" t="s">
        <v>2393</v>
      </c>
      <c r="C20" s="2">
        <v>1</v>
      </c>
      <c r="D20" s="2" t="s">
        <v>3909</v>
      </c>
      <c r="E20" s="29">
        <f t="shared" si="8"/>
        <v>59958</v>
      </c>
      <c r="F20" s="29">
        <f>일위대가_호표!H151</f>
        <v>0</v>
      </c>
      <c r="G20" s="29">
        <f>일위대가_호표!J151</f>
        <v>59958</v>
      </c>
      <c r="H20" s="29">
        <f>일위대가_호표!L151</f>
        <v>0</v>
      </c>
      <c r="I20" s="20" t="s">
        <v>6232</v>
      </c>
      <c r="J20" t="s">
        <v>6232</v>
      </c>
      <c r="K20" t="s">
        <v>1221</v>
      </c>
      <c r="L20" t="s">
        <v>3860</v>
      </c>
      <c r="T20" s="29">
        <v>0</v>
      </c>
      <c r="U20" s="29">
        <v>60866</v>
      </c>
      <c r="V20" s="29">
        <v>0</v>
      </c>
      <c r="W20" s="29">
        <v>60866</v>
      </c>
      <c r="Y20" s="7" t="b">
        <f t="shared" si="9"/>
        <v>0</v>
      </c>
      <c r="AA20" s="33" t="str">
        <f>HYPERLINK("#일위대가_호표!A5911","SZL000001 →")</f>
        <v>SZL000001 →</v>
      </c>
    </row>
    <row r="21" spans="1:27" ht="18.399999999999999" customHeight="1">
      <c r="A21" s="11" t="s">
        <v>2763</v>
      </c>
      <c r="B21" s="2" t="s">
        <v>2393</v>
      </c>
      <c r="C21" s="2">
        <v>1</v>
      </c>
      <c r="D21" s="2" t="s">
        <v>2084</v>
      </c>
      <c r="E21" s="29">
        <f t="shared" si="8"/>
        <v>1199526</v>
      </c>
      <c r="F21" s="29">
        <f>일위대가_호표!H156</f>
        <v>0</v>
      </c>
      <c r="G21" s="29">
        <f>일위대가_호표!J156</f>
        <v>1199526</v>
      </c>
      <c r="H21" s="29">
        <f>일위대가_호표!L156</f>
        <v>0</v>
      </c>
      <c r="I21" s="20" t="s">
        <v>6232</v>
      </c>
      <c r="J21" t="s">
        <v>6232</v>
      </c>
      <c r="K21" t="s">
        <v>3250</v>
      </c>
      <c r="L21" t="s">
        <v>3860</v>
      </c>
      <c r="T21" s="29">
        <v>0</v>
      </c>
      <c r="U21" s="29">
        <v>1170834</v>
      </c>
      <c r="V21" s="29">
        <v>0</v>
      </c>
      <c r="W21" s="29">
        <v>1170834</v>
      </c>
      <c r="Y21" s="7" t="b">
        <f t="shared" si="9"/>
        <v>0</v>
      </c>
      <c r="AA21" s="33" t="str">
        <f>HYPERLINK("#일위대가_호표!A5916","SZM000001 →")</f>
        <v>SZM000001 →</v>
      </c>
    </row>
    <row r="22" spans="1:27" ht="18.399999999999999" customHeight="1">
      <c r="A22" s="11" t="s">
        <v>117</v>
      </c>
      <c r="B22" s="2" t="s">
        <v>2393</v>
      </c>
      <c r="C22" s="2">
        <v>1</v>
      </c>
      <c r="D22" s="2" t="s">
        <v>2084</v>
      </c>
      <c r="E22" s="29">
        <f t="shared" si="8"/>
        <v>999605</v>
      </c>
      <c r="F22" s="29">
        <f>일위대가_호표!H160</f>
        <v>0</v>
      </c>
      <c r="G22" s="29">
        <f>일위대가_호표!J160</f>
        <v>999605</v>
      </c>
      <c r="H22" s="29">
        <f>일위대가_호표!L160</f>
        <v>0</v>
      </c>
      <c r="I22" s="20" t="s">
        <v>6232</v>
      </c>
      <c r="J22" t="s">
        <v>6232</v>
      </c>
      <c r="K22" t="s">
        <v>667</v>
      </c>
      <c r="L22" t="s">
        <v>3860</v>
      </c>
      <c r="T22" s="29">
        <v>0</v>
      </c>
      <c r="U22" s="29">
        <v>975695</v>
      </c>
      <c r="V22" s="29">
        <v>0</v>
      </c>
      <c r="W22" s="29">
        <v>975695</v>
      </c>
      <c r="Y22" s="7" t="b">
        <f t="shared" si="9"/>
        <v>0</v>
      </c>
      <c r="AA22" s="33" t="str">
        <f>HYPERLINK("#일위대가_호표!A5920","SZN000001 →")</f>
        <v>SZN000001 →</v>
      </c>
    </row>
    <row r="23" spans="1:27" ht="18.399999999999999" customHeight="1">
      <c r="A23" s="11" t="s">
        <v>6063</v>
      </c>
      <c r="B23" s="2" t="s">
        <v>4894</v>
      </c>
      <c r="C23" s="2">
        <v>1</v>
      </c>
      <c r="D23" s="2" t="s">
        <v>3909</v>
      </c>
      <c r="E23" s="29">
        <f t="shared" ref="E23:E40" si="10">F23+G23+H23</f>
        <v>624298</v>
      </c>
      <c r="F23" s="29">
        <f>일위대가_호표!H164</f>
        <v>0</v>
      </c>
      <c r="G23" s="29">
        <f>일위대가_호표!J164</f>
        <v>624298</v>
      </c>
      <c r="H23" s="29">
        <f>일위대가_호표!L164</f>
        <v>0</v>
      </c>
      <c r="I23" s="20" t="s">
        <v>6232</v>
      </c>
      <c r="J23" t="s">
        <v>6232</v>
      </c>
      <c r="K23" t="s">
        <v>1498</v>
      </c>
      <c r="L23" t="s">
        <v>3860</v>
      </c>
      <c r="T23" s="29">
        <v>0</v>
      </c>
      <c r="U23" s="29">
        <v>626231</v>
      </c>
      <c r="V23" s="29">
        <v>0</v>
      </c>
      <c r="W23" s="29">
        <v>626231</v>
      </c>
      <c r="Y23" s="7" t="b">
        <f t="shared" ref="Y23:Y40" si="11">EXACT($E23,$W23)</f>
        <v>0</v>
      </c>
      <c r="AA23" s="33" t="str">
        <f>HYPERLINK("#일위대가_호표!A6008","SZE0001-300 →")</f>
        <v>SZE0001-300 →</v>
      </c>
    </row>
    <row r="24" spans="1:27" ht="18.399999999999999" customHeight="1">
      <c r="A24" s="11" t="s">
        <v>1119</v>
      </c>
      <c r="B24" s="2" t="s">
        <v>4894</v>
      </c>
      <c r="C24" s="2">
        <v>1</v>
      </c>
      <c r="D24" s="2" t="s">
        <v>3909</v>
      </c>
      <c r="E24" s="29">
        <f t="shared" si="10"/>
        <v>730018</v>
      </c>
      <c r="F24" s="29">
        <f>일위대가_호표!H170</f>
        <v>37374</v>
      </c>
      <c r="G24" s="29">
        <f>일위대가_호표!J170</f>
        <v>682148</v>
      </c>
      <c r="H24" s="29">
        <f>일위대가_호표!L170</f>
        <v>10496</v>
      </c>
      <c r="I24" s="20" t="s">
        <v>6232</v>
      </c>
      <c r="J24" t="s">
        <v>6232</v>
      </c>
      <c r="K24" t="s">
        <v>4467</v>
      </c>
      <c r="L24" t="s">
        <v>3860</v>
      </c>
      <c r="T24" s="29">
        <v>31647</v>
      </c>
      <c r="U24" s="29">
        <v>687012</v>
      </c>
      <c r="V24" s="29">
        <v>10496</v>
      </c>
      <c r="W24" s="29">
        <v>729155</v>
      </c>
      <c r="Y24" s="7" t="b">
        <f t="shared" si="11"/>
        <v>0</v>
      </c>
      <c r="AA24" s="33" t="str">
        <f>HYPERLINK("#일위대가_호표!A6014","SZG0001-300 →")</f>
        <v>SZG0001-300 →</v>
      </c>
    </row>
    <row r="25" spans="1:27" ht="18.399999999999999" customHeight="1">
      <c r="A25" s="11" t="s">
        <v>4713</v>
      </c>
      <c r="B25" s="2" t="s">
        <v>4894</v>
      </c>
      <c r="C25" s="2">
        <v>1</v>
      </c>
      <c r="D25" s="2" t="s">
        <v>3909</v>
      </c>
      <c r="E25" s="29">
        <f t="shared" si="10"/>
        <v>730018</v>
      </c>
      <c r="F25" s="29">
        <f>일위대가_호표!H176</f>
        <v>37374</v>
      </c>
      <c r="G25" s="29">
        <f>일위대가_호표!J176</f>
        <v>682148</v>
      </c>
      <c r="H25" s="29">
        <f>일위대가_호표!L176</f>
        <v>10496</v>
      </c>
      <c r="I25" s="20" t="s">
        <v>6232</v>
      </c>
      <c r="J25" t="s">
        <v>6232</v>
      </c>
      <c r="K25" t="s">
        <v>2527</v>
      </c>
      <c r="L25" t="s">
        <v>3860</v>
      </c>
      <c r="T25" s="29">
        <v>31647</v>
      </c>
      <c r="U25" s="29">
        <v>687012</v>
      </c>
      <c r="V25" s="29">
        <v>10496</v>
      </c>
      <c r="W25" s="29">
        <v>729155</v>
      </c>
      <c r="Y25" s="7" t="b">
        <f t="shared" si="11"/>
        <v>0</v>
      </c>
      <c r="AA25" s="33" t="str">
        <f>HYPERLINK("#일위대가_호표!A6020","SZH0001-300 →")</f>
        <v>SZH0001-300 →</v>
      </c>
    </row>
    <row r="26" spans="1:27" ht="18.399999999999999" customHeight="1">
      <c r="A26" s="11" t="s">
        <v>5715</v>
      </c>
      <c r="B26" s="2" t="s">
        <v>3764</v>
      </c>
      <c r="C26" s="2">
        <v>1</v>
      </c>
      <c r="D26" s="2" t="s">
        <v>3909</v>
      </c>
      <c r="E26" s="29">
        <f t="shared" si="10"/>
        <v>982063</v>
      </c>
      <c r="F26" s="29">
        <f>일위대가_호표!H182</f>
        <v>0</v>
      </c>
      <c r="G26" s="29">
        <f>일위대가_호표!J182</f>
        <v>982063</v>
      </c>
      <c r="H26" s="29">
        <f>일위대가_호표!L182</f>
        <v>0</v>
      </c>
      <c r="I26" s="20" t="s">
        <v>6232</v>
      </c>
      <c r="J26" t="s">
        <v>6232</v>
      </c>
      <c r="K26" t="s">
        <v>6185</v>
      </c>
      <c r="L26" t="s">
        <v>3860</v>
      </c>
      <c r="T26" s="29">
        <v>0</v>
      </c>
      <c r="U26" s="29">
        <v>985050</v>
      </c>
      <c r="V26" s="29">
        <v>0</v>
      </c>
      <c r="W26" s="29">
        <v>985050</v>
      </c>
      <c r="Y26" s="7" t="b">
        <f t="shared" si="11"/>
        <v>0</v>
      </c>
      <c r="AA26" s="33" t="str">
        <f>HYPERLINK("#일위대가_호표!A6062","SZE0001-450 →")</f>
        <v>SZE0001-450 →</v>
      </c>
    </row>
    <row r="27" spans="1:27" ht="18.399999999999999" customHeight="1">
      <c r="A27" s="11" t="s">
        <v>655</v>
      </c>
      <c r="B27" s="2" t="s">
        <v>3764</v>
      </c>
      <c r="C27" s="2">
        <v>1</v>
      </c>
      <c r="D27" s="2" t="s">
        <v>3909</v>
      </c>
      <c r="E27" s="29">
        <f t="shared" si="10"/>
        <v>1026220</v>
      </c>
      <c r="F27" s="29">
        <f>일위대가_호표!H188</f>
        <v>54063</v>
      </c>
      <c r="G27" s="29">
        <f>일위대가_호표!J188</f>
        <v>956974</v>
      </c>
      <c r="H27" s="29">
        <f>일위대가_호표!L188</f>
        <v>15183</v>
      </c>
      <c r="I27" s="20" t="s">
        <v>6232</v>
      </c>
      <c r="J27" t="s">
        <v>6232</v>
      </c>
      <c r="K27" t="s">
        <v>2887</v>
      </c>
      <c r="L27" t="s">
        <v>3860</v>
      </c>
      <c r="T27" s="29">
        <v>45779</v>
      </c>
      <c r="U27" s="29">
        <v>964615</v>
      </c>
      <c r="V27" s="29">
        <v>15183</v>
      </c>
      <c r="W27" s="29">
        <v>1025577</v>
      </c>
      <c r="Y27" s="7" t="b">
        <f t="shared" si="11"/>
        <v>0</v>
      </c>
      <c r="AA27" s="33" t="str">
        <f>HYPERLINK("#일위대가_호표!A6068","SZG0001-450 →")</f>
        <v>SZG0001-450 →</v>
      </c>
    </row>
    <row r="28" spans="1:27" ht="18.399999999999999" customHeight="1">
      <c r="A28" s="11" t="s">
        <v>2481</v>
      </c>
      <c r="B28" s="2" t="s">
        <v>3764</v>
      </c>
      <c r="C28" s="2">
        <v>1</v>
      </c>
      <c r="D28" s="2" t="s">
        <v>3909</v>
      </c>
      <c r="E28" s="29">
        <f t="shared" si="10"/>
        <v>1026220</v>
      </c>
      <c r="F28" s="29">
        <f>일위대가_호표!H194</f>
        <v>54063</v>
      </c>
      <c r="G28" s="29">
        <f>일위대가_호표!J194</f>
        <v>956974</v>
      </c>
      <c r="H28" s="29">
        <f>일위대가_호표!L194</f>
        <v>15183</v>
      </c>
      <c r="I28" s="20" t="s">
        <v>6232</v>
      </c>
      <c r="J28" t="s">
        <v>6232</v>
      </c>
      <c r="K28" t="s">
        <v>4128</v>
      </c>
      <c r="L28" t="s">
        <v>3860</v>
      </c>
      <c r="T28" s="29">
        <v>45779</v>
      </c>
      <c r="U28" s="29">
        <v>964615</v>
      </c>
      <c r="V28" s="29">
        <v>15183</v>
      </c>
      <c r="W28" s="29">
        <v>1025577</v>
      </c>
      <c r="Y28" s="7" t="b">
        <f t="shared" si="11"/>
        <v>0</v>
      </c>
      <c r="AA28" s="33" t="str">
        <f>HYPERLINK("#일위대가_호표!A6074","SZH0001-450 →")</f>
        <v>SZH0001-450 →</v>
      </c>
    </row>
    <row r="29" spans="1:27" ht="18.399999999999999" customHeight="1">
      <c r="A29" s="11" t="s">
        <v>3951</v>
      </c>
      <c r="B29" s="2" t="s">
        <v>6105</v>
      </c>
      <c r="C29" s="2">
        <v>1</v>
      </c>
      <c r="D29" s="2" t="s">
        <v>3909</v>
      </c>
      <c r="E29" s="29">
        <f t="shared" si="10"/>
        <v>1366784</v>
      </c>
      <c r="F29" s="29">
        <f>일위대가_호표!H200</f>
        <v>0</v>
      </c>
      <c r="G29" s="29">
        <f>일위대가_호표!J200</f>
        <v>1366784</v>
      </c>
      <c r="H29" s="29">
        <f>일위대가_호표!L200</f>
        <v>0</v>
      </c>
      <c r="I29" s="20" t="s">
        <v>6232</v>
      </c>
      <c r="J29" t="s">
        <v>6232</v>
      </c>
      <c r="K29" t="s">
        <v>5175</v>
      </c>
      <c r="L29" t="s">
        <v>3860</v>
      </c>
      <c r="T29" s="29">
        <v>0</v>
      </c>
      <c r="U29" s="29">
        <v>1370988</v>
      </c>
      <c r="V29" s="29">
        <v>0</v>
      </c>
      <c r="W29" s="29">
        <v>1370988</v>
      </c>
      <c r="Y29" s="7" t="b">
        <f t="shared" si="11"/>
        <v>0</v>
      </c>
      <c r="AA29" s="33" t="str">
        <f>HYPERLINK("#일위대가_호표!A6116","SZE0001-600 →")</f>
        <v>SZE0001-600 →</v>
      </c>
    </row>
    <row r="30" spans="1:27" ht="18.399999999999999" customHeight="1">
      <c r="A30" s="11" t="s">
        <v>3937</v>
      </c>
      <c r="B30" s="2" t="s">
        <v>6105</v>
      </c>
      <c r="C30" s="2">
        <v>1</v>
      </c>
      <c r="D30" s="2" t="s">
        <v>3909</v>
      </c>
      <c r="E30" s="29">
        <f t="shared" si="10"/>
        <v>1431397</v>
      </c>
      <c r="F30" s="29">
        <f>일위대가_호표!H206</f>
        <v>75811</v>
      </c>
      <c r="G30" s="29">
        <f>일위대가_호표!J206</f>
        <v>1334295</v>
      </c>
      <c r="H30" s="29">
        <f>일위대가_호표!L206</f>
        <v>21291</v>
      </c>
      <c r="I30" s="20" t="s">
        <v>6232</v>
      </c>
      <c r="J30" t="s">
        <v>6232</v>
      </c>
      <c r="K30" t="s">
        <v>1980</v>
      </c>
      <c r="L30" t="s">
        <v>3860</v>
      </c>
      <c r="T30" s="29">
        <v>64196</v>
      </c>
      <c r="U30" s="29">
        <v>1345172</v>
      </c>
      <c r="V30" s="29">
        <v>21291</v>
      </c>
      <c r="W30" s="29">
        <v>1430659</v>
      </c>
      <c r="Y30" s="7" t="b">
        <f t="shared" si="11"/>
        <v>0</v>
      </c>
      <c r="AA30" s="33" t="str">
        <f>HYPERLINK("#일위대가_호표!A6122","SZG0001-600 →")</f>
        <v>SZG0001-600 →</v>
      </c>
    </row>
    <row r="31" spans="1:27" ht="18.399999999999999" customHeight="1">
      <c r="A31" s="11" t="s">
        <v>4788</v>
      </c>
      <c r="B31" s="2" t="s">
        <v>6105</v>
      </c>
      <c r="C31" s="2">
        <v>1</v>
      </c>
      <c r="D31" s="2" t="s">
        <v>3909</v>
      </c>
      <c r="E31" s="29">
        <f t="shared" si="10"/>
        <v>1431397</v>
      </c>
      <c r="F31" s="29">
        <f>일위대가_호표!H212</f>
        <v>75811</v>
      </c>
      <c r="G31" s="29">
        <f>일위대가_호표!J212</f>
        <v>1334295</v>
      </c>
      <c r="H31" s="29">
        <f>일위대가_호표!L212</f>
        <v>21291</v>
      </c>
      <c r="I31" s="20" t="s">
        <v>6232</v>
      </c>
      <c r="J31" t="s">
        <v>6232</v>
      </c>
      <c r="K31" t="s">
        <v>3142</v>
      </c>
      <c r="L31" t="s">
        <v>3860</v>
      </c>
      <c r="T31" s="29">
        <v>64196</v>
      </c>
      <c r="U31" s="29">
        <v>1345172</v>
      </c>
      <c r="V31" s="29">
        <v>21291</v>
      </c>
      <c r="W31" s="29">
        <v>1430659</v>
      </c>
      <c r="Y31" s="7" t="b">
        <f t="shared" si="11"/>
        <v>0</v>
      </c>
      <c r="AA31" s="33" t="str">
        <f>HYPERLINK("#일위대가_호표!A6128","SZH0001-600 →")</f>
        <v>SZH0001-600 →</v>
      </c>
    </row>
    <row r="32" spans="1:27" ht="18.399999999999999" customHeight="1">
      <c r="A32" s="11" t="s">
        <v>282</v>
      </c>
      <c r="B32" s="2" t="s">
        <v>397</v>
      </c>
      <c r="C32" s="2">
        <v>1</v>
      </c>
      <c r="D32" s="2" t="s">
        <v>3909</v>
      </c>
      <c r="E32" s="29">
        <f t="shared" si="10"/>
        <v>1483840</v>
      </c>
      <c r="F32" s="29">
        <f>일위대가_호표!H218</f>
        <v>0</v>
      </c>
      <c r="G32" s="29">
        <f>일위대가_호표!J218</f>
        <v>1483840</v>
      </c>
      <c r="H32" s="29">
        <f>일위대가_호표!L218</f>
        <v>0</v>
      </c>
      <c r="I32" s="20" t="s">
        <v>6232</v>
      </c>
      <c r="J32" t="s">
        <v>6232</v>
      </c>
      <c r="K32" t="s">
        <v>3491</v>
      </c>
      <c r="L32" t="s">
        <v>3860</v>
      </c>
      <c r="T32" s="29">
        <v>0</v>
      </c>
      <c r="U32" s="29">
        <v>1488407</v>
      </c>
      <c r="V32" s="29">
        <v>0</v>
      </c>
      <c r="W32" s="29">
        <v>1488407</v>
      </c>
      <c r="Y32" s="7" t="b">
        <f t="shared" si="11"/>
        <v>0</v>
      </c>
      <c r="AA32" s="33" t="str">
        <f>HYPERLINK("#일위대가_호표!A6134","SZE0001-650 →")</f>
        <v>SZE0001-650 →</v>
      </c>
    </row>
    <row r="33" spans="1:27" ht="18.399999999999999" customHeight="1">
      <c r="A33" s="11" t="s">
        <v>1402</v>
      </c>
      <c r="B33" s="2" t="s">
        <v>397</v>
      </c>
      <c r="C33" s="2">
        <v>1</v>
      </c>
      <c r="D33" s="2" t="s">
        <v>3909</v>
      </c>
      <c r="E33" s="29">
        <f t="shared" si="10"/>
        <v>1514963</v>
      </c>
      <c r="F33" s="29">
        <f>일위대가_호표!H224</f>
        <v>80322</v>
      </c>
      <c r="G33" s="29">
        <f>일위대가_호표!J224</f>
        <v>1412084</v>
      </c>
      <c r="H33" s="29">
        <f>일위대가_호표!L224</f>
        <v>22557</v>
      </c>
      <c r="I33" s="20" t="s">
        <v>6232</v>
      </c>
      <c r="J33" t="s">
        <v>6232</v>
      </c>
      <c r="K33" t="s">
        <v>567</v>
      </c>
      <c r="L33" t="s">
        <v>3860</v>
      </c>
      <c r="T33" s="29">
        <v>68015</v>
      </c>
      <c r="U33" s="29">
        <v>1423636</v>
      </c>
      <c r="V33" s="29">
        <v>22557</v>
      </c>
      <c r="W33" s="29">
        <v>1514208</v>
      </c>
      <c r="Y33" s="7" t="b">
        <f t="shared" si="11"/>
        <v>0</v>
      </c>
      <c r="AA33" s="33" t="str">
        <f>HYPERLINK("#일위대가_호표!A6140","SZG0001-650 →")</f>
        <v>SZG0001-650 →</v>
      </c>
    </row>
    <row r="34" spans="1:27" ht="18.399999999999999" customHeight="1">
      <c r="A34" s="11" t="s">
        <v>3863</v>
      </c>
      <c r="B34" s="2" t="s">
        <v>397</v>
      </c>
      <c r="C34" s="2">
        <v>1</v>
      </c>
      <c r="D34" s="2" t="s">
        <v>3909</v>
      </c>
      <c r="E34" s="29">
        <f t="shared" si="10"/>
        <v>1514963</v>
      </c>
      <c r="F34" s="29">
        <f>일위대가_호표!H230</f>
        <v>80322</v>
      </c>
      <c r="G34" s="29">
        <f>일위대가_호표!J230</f>
        <v>1412084</v>
      </c>
      <c r="H34" s="29">
        <f>일위대가_호표!L230</f>
        <v>22557</v>
      </c>
      <c r="I34" s="20" t="s">
        <v>6232</v>
      </c>
      <c r="J34" t="s">
        <v>6232</v>
      </c>
      <c r="K34" t="s">
        <v>4828</v>
      </c>
      <c r="L34" t="s">
        <v>3860</v>
      </c>
      <c r="T34" s="29">
        <v>68015</v>
      </c>
      <c r="U34" s="29">
        <v>1423636</v>
      </c>
      <c r="V34" s="29">
        <v>22557</v>
      </c>
      <c r="W34" s="29">
        <v>1514208</v>
      </c>
      <c r="Y34" s="7" t="b">
        <f t="shared" si="11"/>
        <v>0</v>
      </c>
      <c r="AA34" s="33" t="str">
        <f>HYPERLINK("#일위대가_호표!A6146","SZH0001-650 →")</f>
        <v>SZH0001-650 →</v>
      </c>
    </row>
    <row r="35" spans="1:27" ht="18.399999999999999" customHeight="1">
      <c r="A35" s="11" t="s">
        <v>2783</v>
      </c>
      <c r="B35" s="2" t="s">
        <v>3826</v>
      </c>
      <c r="C35" s="2">
        <v>1</v>
      </c>
      <c r="D35" s="2" t="s">
        <v>3909</v>
      </c>
      <c r="E35" s="29">
        <f t="shared" si="10"/>
        <v>1600896</v>
      </c>
      <c r="F35" s="29">
        <f>일위대가_호표!H236</f>
        <v>0</v>
      </c>
      <c r="G35" s="29">
        <f>일위대가_호표!J236</f>
        <v>1600896</v>
      </c>
      <c r="H35" s="29">
        <f>일위대가_호표!L236</f>
        <v>0</v>
      </c>
      <c r="I35" s="20" t="s">
        <v>6232</v>
      </c>
      <c r="J35" t="s">
        <v>6232</v>
      </c>
      <c r="K35" t="s">
        <v>5481</v>
      </c>
      <c r="L35" t="s">
        <v>3860</v>
      </c>
      <c r="T35" s="29">
        <v>0</v>
      </c>
      <c r="U35" s="29">
        <v>1605825</v>
      </c>
      <c r="V35" s="29">
        <v>0</v>
      </c>
      <c r="W35" s="29">
        <v>1605825</v>
      </c>
      <c r="Y35" s="7" t="b">
        <f t="shared" si="11"/>
        <v>0</v>
      </c>
      <c r="AA35" s="33" t="str">
        <f>HYPERLINK("#일위대가_호표!A6152","SZE0001-700 →")</f>
        <v>SZE0001-700 →</v>
      </c>
    </row>
    <row r="36" spans="1:27" ht="18.399999999999999" customHeight="1">
      <c r="A36" s="11" t="s">
        <v>3542</v>
      </c>
      <c r="B36" s="2" t="s">
        <v>3826</v>
      </c>
      <c r="C36" s="2">
        <v>1</v>
      </c>
      <c r="D36" s="2" t="s">
        <v>3909</v>
      </c>
      <c r="E36" s="29">
        <f t="shared" si="10"/>
        <v>1593265</v>
      </c>
      <c r="F36" s="29">
        <f>일위대가_호표!H242</f>
        <v>84542</v>
      </c>
      <c r="G36" s="29">
        <f>일위대가_호표!J242</f>
        <v>1484980</v>
      </c>
      <c r="H36" s="29">
        <f>일위대가_호표!L242</f>
        <v>23743</v>
      </c>
      <c r="I36" s="20" t="s">
        <v>6232</v>
      </c>
      <c r="J36" t="s">
        <v>6232</v>
      </c>
      <c r="K36" t="s">
        <v>2420</v>
      </c>
      <c r="L36" t="s">
        <v>3860</v>
      </c>
      <c r="T36" s="29">
        <v>71588</v>
      </c>
      <c r="U36" s="29">
        <v>1497167</v>
      </c>
      <c r="V36" s="29">
        <v>23743</v>
      </c>
      <c r="W36" s="29">
        <v>1592498</v>
      </c>
      <c r="Y36" s="7" t="b">
        <f t="shared" si="11"/>
        <v>0</v>
      </c>
      <c r="AA36" s="33" t="str">
        <f>HYPERLINK("#일위대가_호표!A6158","SZG0001-700 →")</f>
        <v>SZG0001-700 →</v>
      </c>
    </row>
    <row r="37" spans="1:27" ht="18.399999999999999" customHeight="1">
      <c r="A37" s="11" t="s">
        <v>2169</v>
      </c>
      <c r="B37" s="2" t="s">
        <v>3826</v>
      </c>
      <c r="C37" s="2">
        <v>1</v>
      </c>
      <c r="D37" s="2" t="s">
        <v>3909</v>
      </c>
      <c r="E37" s="29">
        <f t="shared" si="10"/>
        <v>1593265</v>
      </c>
      <c r="F37" s="29">
        <f>일위대가_호표!H248</f>
        <v>84542</v>
      </c>
      <c r="G37" s="29">
        <f>일위대가_호표!J248</f>
        <v>1484980</v>
      </c>
      <c r="H37" s="29">
        <f>일위대가_호표!L248</f>
        <v>23743</v>
      </c>
      <c r="I37" s="20" t="s">
        <v>6232</v>
      </c>
      <c r="J37" t="s">
        <v>6232</v>
      </c>
      <c r="K37" t="s">
        <v>4389</v>
      </c>
      <c r="L37" t="s">
        <v>3860</v>
      </c>
      <c r="T37" s="29">
        <v>71588</v>
      </c>
      <c r="U37" s="29">
        <v>1497167</v>
      </c>
      <c r="V37" s="29">
        <v>23743</v>
      </c>
      <c r="W37" s="29">
        <v>1592498</v>
      </c>
      <c r="Y37" s="7" t="b">
        <f t="shared" si="11"/>
        <v>0</v>
      </c>
      <c r="AA37" s="33" t="str">
        <f>HYPERLINK("#일위대가_호표!A6164","SZH0001-700 →")</f>
        <v>SZH0001-700 →</v>
      </c>
    </row>
    <row r="38" spans="1:27" ht="18.399999999999999" customHeight="1">
      <c r="A38" s="11" t="s">
        <v>339</v>
      </c>
      <c r="B38" s="2" t="s">
        <v>2823</v>
      </c>
      <c r="C38" s="2">
        <v>1</v>
      </c>
      <c r="D38" s="2" t="s">
        <v>3909</v>
      </c>
      <c r="E38" s="29">
        <f t="shared" si="10"/>
        <v>1687035</v>
      </c>
      <c r="F38" s="29">
        <f>일위대가_호표!H254</f>
        <v>0</v>
      </c>
      <c r="G38" s="29">
        <f>일위대가_호표!J254</f>
        <v>1687035</v>
      </c>
      <c r="H38" s="29">
        <f>일위대가_호표!L254</f>
        <v>0</v>
      </c>
      <c r="I38" s="20" t="s">
        <v>6232</v>
      </c>
      <c r="J38" t="s">
        <v>6232</v>
      </c>
      <c r="K38" t="s">
        <v>4079</v>
      </c>
      <c r="L38" t="s">
        <v>3860</v>
      </c>
      <c r="T38" s="29">
        <v>0</v>
      </c>
      <c r="U38" s="29">
        <v>1691938</v>
      </c>
      <c r="V38" s="29">
        <v>0</v>
      </c>
      <c r="W38" s="29">
        <v>1691938</v>
      </c>
      <c r="Y38" s="7" t="b">
        <f t="shared" si="11"/>
        <v>0</v>
      </c>
      <c r="AA38" s="33" t="str">
        <f>HYPERLINK("#일위대가_호표!A6170","SZE0001-750 →")</f>
        <v>SZE0001-750 →</v>
      </c>
    </row>
    <row r="39" spans="1:27" ht="18.399999999999999" customHeight="1">
      <c r="A39" s="11" t="s">
        <v>2168</v>
      </c>
      <c r="B39" s="2" t="s">
        <v>2823</v>
      </c>
      <c r="C39" s="2">
        <v>1</v>
      </c>
      <c r="D39" s="2" t="s">
        <v>3909</v>
      </c>
      <c r="E39" s="29">
        <f t="shared" si="10"/>
        <v>1687450</v>
      </c>
      <c r="F39" s="29">
        <f>일위대가_호표!H260</f>
        <v>88778</v>
      </c>
      <c r="G39" s="29">
        <f>일위대가_호표!J260</f>
        <v>1573740</v>
      </c>
      <c r="H39" s="29">
        <f>일위대가_호표!L260</f>
        <v>24932</v>
      </c>
      <c r="I39" s="20" t="s">
        <v>6232</v>
      </c>
      <c r="J39" t="s">
        <v>6232</v>
      </c>
      <c r="K39" t="s">
        <v>796</v>
      </c>
      <c r="L39" t="s">
        <v>3860</v>
      </c>
      <c r="T39" s="29">
        <v>75176</v>
      </c>
      <c r="U39" s="29">
        <v>1586240</v>
      </c>
      <c r="V39" s="29">
        <v>24932</v>
      </c>
      <c r="W39" s="29">
        <v>1686348</v>
      </c>
      <c r="Y39" s="7" t="b">
        <f t="shared" si="11"/>
        <v>0</v>
      </c>
      <c r="AA39" s="33" t="str">
        <f>HYPERLINK("#일위대가_호표!A6176","SZG0001-750 →")</f>
        <v>SZG0001-750 →</v>
      </c>
    </row>
    <row r="40" spans="1:27" ht="18.399999999999999" customHeight="1">
      <c r="A40" s="13" t="s">
        <v>11</v>
      </c>
      <c r="B40" s="14" t="s">
        <v>2823</v>
      </c>
      <c r="C40" s="14">
        <v>1</v>
      </c>
      <c r="D40" s="14" t="s">
        <v>3909</v>
      </c>
      <c r="E40" s="30">
        <f t="shared" si="10"/>
        <v>1687450</v>
      </c>
      <c r="F40" s="30">
        <f>일위대가_호표!H266</f>
        <v>88778</v>
      </c>
      <c r="G40" s="30">
        <f>일위대가_호표!J266</f>
        <v>1573740</v>
      </c>
      <c r="H40" s="30">
        <f>일위대가_호표!L266</f>
        <v>24932</v>
      </c>
      <c r="I40" s="21" t="s">
        <v>6232</v>
      </c>
      <c r="J40" t="s">
        <v>6232</v>
      </c>
      <c r="K40" t="s">
        <v>5831</v>
      </c>
      <c r="L40" t="s">
        <v>3860</v>
      </c>
      <c r="T40" s="29">
        <v>75176</v>
      </c>
      <c r="U40" s="29">
        <v>1586240</v>
      </c>
      <c r="V40" s="29">
        <v>24932</v>
      </c>
      <c r="W40" s="29">
        <v>1686348</v>
      </c>
      <c r="Y40" s="7" t="b">
        <f t="shared" si="11"/>
        <v>0</v>
      </c>
      <c r="AA40" s="33" t="str">
        <f>HYPERLINK("#일위대가_호표!A6182","SZH0001-750 →")</f>
        <v>SZH0001-750 →</v>
      </c>
    </row>
  </sheetData>
  <phoneticPr fontId="7" type="noConversion"/>
  <pageMargins left="0.31496062992125984" right="0.31496062992125984" top="0.98425196850393704" bottom="0.59055118110236227" header="0.51181102362204722" footer="0.51181102362204722"/>
  <pageSetup paperSize="9" scale="62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BI271"/>
  <sheetViews>
    <sheetView view="pageBreakPreview" zoomScale="115" zoomScaleNormal="100" zoomScaleSheetLayoutView="115" workbookViewId="0">
      <pane ySplit="3" topLeftCell="A7" activePane="bottomLeft" state="frozen"/>
      <selection pane="bottomLeft"/>
    </sheetView>
  </sheetViews>
  <sheetFormatPr defaultRowHeight="18.399999999999999" customHeight="1"/>
  <cols>
    <col min="1" max="1" width="52.6640625" bestFit="1" customWidth="1"/>
    <col min="2" max="2" width="36" bestFit="1" customWidth="1"/>
    <col min="3" max="3" width="8.83203125" bestFit="1" customWidth="1"/>
    <col min="4" max="4" width="5" customWidth="1"/>
    <col min="5" max="12" width="13" customWidth="1"/>
    <col min="13" max="13" width="55.5" bestFit="1" customWidth="1"/>
    <col min="14" max="59" width="0" hidden="1" customWidth="1"/>
  </cols>
  <sheetData>
    <row r="1" spans="1:61" ht="18.399999999999999" customHeight="1">
      <c r="A1" t="s">
        <v>44</v>
      </c>
    </row>
    <row r="2" spans="1:61" ht="18.399999999999999" customHeight="1">
      <c r="A2" s="416" t="s">
        <v>990</v>
      </c>
      <c r="B2" s="413" t="s">
        <v>2749</v>
      </c>
      <c r="C2" s="413" t="s">
        <v>3621</v>
      </c>
      <c r="D2" s="413" t="s">
        <v>2264</v>
      </c>
      <c r="E2" s="413" t="s">
        <v>6009</v>
      </c>
      <c r="F2" s="413" t="s">
        <v>6232</v>
      </c>
      <c r="G2" s="413" t="s">
        <v>4256</v>
      </c>
      <c r="H2" s="413" t="s">
        <v>6232</v>
      </c>
      <c r="I2" s="413" t="s">
        <v>2490</v>
      </c>
      <c r="J2" s="413" t="s">
        <v>6232</v>
      </c>
      <c r="K2" s="413" t="s">
        <v>422</v>
      </c>
      <c r="L2" s="413" t="s">
        <v>6232</v>
      </c>
      <c r="M2" s="414" t="s">
        <v>1571</v>
      </c>
    </row>
    <row r="3" spans="1:61" ht="18.399999999999999" customHeight="1" thickBot="1">
      <c r="A3" s="417" t="s">
        <v>6232</v>
      </c>
      <c r="B3" s="418" t="s">
        <v>6232</v>
      </c>
      <c r="C3" s="418" t="s">
        <v>6232</v>
      </c>
      <c r="D3" s="418" t="s">
        <v>6232</v>
      </c>
      <c r="E3" s="27" t="s">
        <v>1407</v>
      </c>
      <c r="F3" s="27" t="s">
        <v>783</v>
      </c>
      <c r="G3" s="27" t="s">
        <v>1407</v>
      </c>
      <c r="H3" s="27" t="s">
        <v>783</v>
      </c>
      <c r="I3" s="27" t="s">
        <v>1407</v>
      </c>
      <c r="J3" s="27" t="s">
        <v>783</v>
      </c>
      <c r="K3" s="27" t="s">
        <v>1407</v>
      </c>
      <c r="L3" s="27" t="s">
        <v>783</v>
      </c>
      <c r="M3" s="415" t="s">
        <v>6232</v>
      </c>
      <c r="S3" s="1" t="s">
        <v>1967</v>
      </c>
      <c r="T3" s="1" t="s">
        <v>4561</v>
      </c>
      <c r="U3" s="1" t="s">
        <v>2099</v>
      </c>
      <c r="V3" s="1" t="s">
        <v>811</v>
      </c>
      <c r="W3" s="1" t="s">
        <v>353</v>
      </c>
      <c r="X3" s="1" t="s">
        <v>1874</v>
      </c>
      <c r="Y3" s="1" t="s">
        <v>4239</v>
      </c>
    </row>
    <row r="4" spans="1:61" ht="18.399999999999999" customHeight="1">
      <c r="A4" s="47"/>
      <c r="B4" s="1"/>
      <c r="C4" s="1"/>
      <c r="D4" s="1"/>
      <c r="E4" s="206"/>
      <c r="F4" s="206"/>
      <c r="G4" s="206"/>
      <c r="H4" s="206"/>
      <c r="I4" s="206"/>
      <c r="J4" s="206"/>
      <c r="K4" s="206"/>
      <c r="L4" s="206"/>
      <c r="M4" s="50"/>
    </row>
    <row r="5" spans="1:61" ht="18.399999999999999" customHeight="1">
      <c r="A5" s="11" t="s">
        <v>5638</v>
      </c>
      <c r="B5" s="2" t="s">
        <v>4894</v>
      </c>
      <c r="C5" s="2">
        <v>1</v>
      </c>
      <c r="D5" s="2" t="s">
        <v>3909</v>
      </c>
      <c r="E5" s="204"/>
      <c r="F5" s="205">
        <f>H5+J5+L5</f>
        <v>13377641</v>
      </c>
      <c r="G5" s="204"/>
      <c r="H5" s="205">
        <f>TRUNC(H6+H7,0)</f>
        <v>10581357</v>
      </c>
      <c r="I5" s="204"/>
      <c r="J5" s="205">
        <f>TRUNC(J6+J7,0)</f>
        <v>2096589</v>
      </c>
      <c r="K5" s="204"/>
      <c r="L5" s="205">
        <f>TRUNC(L6+L7,0)</f>
        <v>699695</v>
      </c>
      <c r="M5" s="20" t="s">
        <v>6232</v>
      </c>
      <c r="N5" t="s">
        <v>6232</v>
      </c>
      <c r="O5" t="s">
        <v>3028</v>
      </c>
    </row>
    <row r="6" spans="1:61" ht="18.399999999999999" customHeight="1">
      <c r="A6" s="11" t="s">
        <v>4385</v>
      </c>
      <c r="B6" s="2" t="s">
        <v>4894</v>
      </c>
      <c r="C6" s="2">
        <v>1</v>
      </c>
      <c r="D6" s="2" t="s">
        <v>1055</v>
      </c>
      <c r="E6" s="205">
        <f>G6+I6+K6</f>
        <v>13377641</v>
      </c>
      <c r="F6" s="205">
        <f>H6+J6+L6</f>
        <v>13377641</v>
      </c>
      <c r="G6" s="205">
        <f>일위대가목록!F10</f>
        <v>10581357</v>
      </c>
      <c r="H6" s="205">
        <f>TRUNC(G6*C6,1)</f>
        <v>10581357</v>
      </c>
      <c r="I6" s="205">
        <f>일위대가목록!G10</f>
        <v>2096589</v>
      </c>
      <c r="J6" s="205">
        <f>TRUNC(I6*C6,1)</f>
        <v>2096589</v>
      </c>
      <c r="K6" s="205">
        <f>일위대가목록!H10</f>
        <v>699695</v>
      </c>
      <c r="L6" s="205">
        <f>TRUNC(K6*C6,1)</f>
        <v>699695</v>
      </c>
      <c r="M6" s="20" t="s">
        <v>6232</v>
      </c>
      <c r="N6" t="s">
        <v>6232</v>
      </c>
      <c r="P6" t="s">
        <v>742</v>
      </c>
      <c r="Q6" t="s">
        <v>6232</v>
      </c>
      <c r="R6" t="s">
        <v>711</v>
      </c>
      <c r="T6" t="s">
        <v>3860</v>
      </c>
      <c r="BI6" s="33" t="str">
        <f>HYPERLINK("#일위대가목록!A891","SZD0003-300 →")</f>
        <v>SZD0003-300 →</v>
      </c>
    </row>
    <row r="7" spans="1:61" ht="18.399999999999999" customHeight="1">
      <c r="A7" s="11"/>
      <c r="B7" s="2"/>
      <c r="C7" s="2"/>
      <c r="D7" s="2"/>
      <c r="E7" s="205"/>
      <c r="F7" s="205"/>
      <c r="G7" s="205"/>
      <c r="H7" s="205"/>
      <c r="I7" s="205"/>
      <c r="J7" s="205"/>
      <c r="K7" s="205"/>
      <c r="L7" s="205"/>
      <c r="M7" s="20" t="s">
        <v>6232</v>
      </c>
      <c r="N7" t="s">
        <v>6232</v>
      </c>
      <c r="P7" t="s">
        <v>5372</v>
      </c>
      <c r="Q7" t="s">
        <v>6232</v>
      </c>
      <c r="R7" t="s">
        <v>1987</v>
      </c>
      <c r="BI7" s="33" t="str">
        <f>HYPERLINK("#중기사용료목록!A10","E00002702002000000 →")</f>
        <v>E00002702002000000 →</v>
      </c>
    </row>
    <row r="8" spans="1:61" ht="18.399999999999999" customHeight="1">
      <c r="A8" s="47"/>
      <c r="B8" s="1"/>
      <c r="C8" s="1"/>
      <c r="D8" s="1"/>
      <c r="E8" s="206"/>
      <c r="F8" s="206"/>
      <c r="G8" s="206"/>
      <c r="H8" s="206"/>
      <c r="I8" s="206"/>
      <c r="J8" s="206"/>
      <c r="K8" s="206"/>
      <c r="L8" s="206"/>
      <c r="M8" s="50"/>
    </row>
    <row r="9" spans="1:61" ht="18.399999999999999" customHeight="1">
      <c r="A9" s="11" t="s">
        <v>4240</v>
      </c>
      <c r="B9" s="2" t="s">
        <v>3764</v>
      </c>
      <c r="C9" s="2">
        <v>1</v>
      </c>
      <c r="D9" s="2" t="s">
        <v>3909</v>
      </c>
      <c r="E9" s="204"/>
      <c r="F9" s="205">
        <f>H9+J9+L9</f>
        <v>24676980</v>
      </c>
      <c r="G9" s="204"/>
      <c r="H9" s="205">
        <f>TRUNC(H10+H11,0)</f>
        <v>20995856</v>
      </c>
      <c r="I9" s="204"/>
      <c r="J9" s="205">
        <f>TRUNC(J10+J11,0)</f>
        <v>2897828</v>
      </c>
      <c r="K9" s="204"/>
      <c r="L9" s="205">
        <f>TRUNC(L10+L11,0)</f>
        <v>783296</v>
      </c>
      <c r="M9" s="20" t="s">
        <v>6232</v>
      </c>
      <c r="N9" t="s">
        <v>6232</v>
      </c>
      <c r="O9" t="s">
        <v>4570</v>
      </c>
    </row>
    <row r="10" spans="1:61" ht="18.399999999999999" customHeight="1">
      <c r="A10" s="11" t="s">
        <v>4385</v>
      </c>
      <c r="B10" s="2" t="s">
        <v>3764</v>
      </c>
      <c r="C10" s="2">
        <v>1</v>
      </c>
      <c r="D10" s="2" t="s">
        <v>1055</v>
      </c>
      <c r="E10" s="205">
        <f>G10+I10+K10</f>
        <v>24676980</v>
      </c>
      <c r="F10" s="205">
        <f>H10+J10+L10</f>
        <v>24676980</v>
      </c>
      <c r="G10" s="205">
        <f>일위대가목록!F11</f>
        <v>20995856</v>
      </c>
      <c r="H10" s="205">
        <f>TRUNC(G10*C10,1)</f>
        <v>20995856</v>
      </c>
      <c r="I10" s="205">
        <f>일위대가목록!G11</f>
        <v>2897828</v>
      </c>
      <c r="J10" s="205">
        <f>TRUNC(I10*C10,1)</f>
        <v>2897828</v>
      </c>
      <c r="K10" s="205">
        <f>일위대가목록!H11</f>
        <v>783296</v>
      </c>
      <c r="L10" s="205">
        <f>TRUNC(K10*C10,1)</f>
        <v>783296</v>
      </c>
      <c r="M10" s="20" t="s">
        <v>6232</v>
      </c>
      <c r="N10" t="s">
        <v>6232</v>
      </c>
      <c r="P10" t="s">
        <v>742</v>
      </c>
      <c r="Q10" t="s">
        <v>6232</v>
      </c>
      <c r="R10" t="s">
        <v>5366</v>
      </c>
      <c r="T10" t="s">
        <v>3860</v>
      </c>
      <c r="BI10" s="33" t="str">
        <f>HYPERLINK("#일위대가목록!A894","SZD0003-450 →")</f>
        <v>SZD0003-450 →</v>
      </c>
    </row>
    <row r="11" spans="1:61" ht="18.399999999999999" customHeight="1">
      <c r="A11" s="11"/>
      <c r="B11" s="2"/>
      <c r="C11" s="2"/>
      <c r="D11" s="2"/>
      <c r="E11" s="205"/>
      <c r="F11" s="205"/>
      <c r="G11" s="205"/>
      <c r="H11" s="205"/>
      <c r="I11" s="205"/>
      <c r="J11" s="205"/>
      <c r="K11" s="205"/>
      <c r="L11" s="205"/>
      <c r="M11" s="20" t="s">
        <v>6232</v>
      </c>
      <c r="N11" t="s">
        <v>6232</v>
      </c>
      <c r="P11" t="s">
        <v>5372</v>
      </c>
      <c r="Q11" t="s">
        <v>6232</v>
      </c>
      <c r="R11" t="s">
        <v>1987</v>
      </c>
      <c r="BI11" s="33" t="str">
        <f>HYPERLINK("#중기사용료목록!A10","E00002702002000000 →")</f>
        <v>E00002702002000000 →</v>
      </c>
    </row>
    <row r="12" spans="1:61" ht="18.399999999999999" customHeight="1">
      <c r="A12" s="47"/>
      <c r="B12" s="1"/>
      <c r="C12" s="1"/>
      <c r="D12" s="1"/>
      <c r="E12" s="206"/>
      <c r="F12" s="206"/>
      <c r="G12" s="206"/>
      <c r="H12" s="206"/>
      <c r="I12" s="206"/>
      <c r="J12" s="206"/>
      <c r="K12" s="206"/>
      <c r="L12" s="206"/>
      <c r="M12" s="50"/>
    </row>
    <row r="13" spans="1:61" ht="18.399999999999999" customHeight="1">
      <c r="A13" s="11" t="s">
        <v>2073</v>
      </c>
      <c r="B13" s="2" t="s">
        <v>6105</v>
      </c>
      <c r="C13" s="2">
        <v>1</v>
      </c>
      <c r="D13" s="2" t="s">
        <v>3909</v>
      </c>
      <c r="E13" s="204"/>
      <c r="F13" s="205">
        <f>H13+J13+L13</f>
        <v>36943210</v>
      </c>
      <c r="G13" s="204"/>
      <c r="H13" s="205">
        <f>TRUNC(H14+H15,0)</f>
        <v>32245254</v>
      </c>
      <c r="I13" s="204"/>
      <c r="J13" s="205">
        <f>TRUNC(J14+J15,0)</f>
        <v>3903873</v>
      </c>
      <c r="K13" s="204"/>
      <c r="L13" s="205">
        <f>TRUNC(L14+L15,0)</f>
        <v>794083</v>
      </c>
      <c r="M13" s="20" t="s">
        <v>6232</v>
      </c>
      <c r="N13" t="s">
        <v>6232</v>
      </c>
      <c r="O13" t="s">
        <v>3643</v>
      </c>
    </row>
    <row r="14" spans="1:61" ht="18.399999999999999" customHeight="1">
      <c r="A14" s="11" t="s">
        <v>4385</v>
      </c>
      <c r="B14" s="2" t="s">
        <v>6105</v>
      </c>
      <c r="C14" s="2">
        <v>1</v>
      </c>
      <c r="D14" s="2" t="s">
        <v>1055</v>
      </c>
      <c r="E14" s="205">
        <f>G14+I14+K14</f>
        <v>36943210</v>
      </c>
      <c r="F14" s="205">
        <f>H14+J14+L14</f>
        <v>36943210</v>
      </c>
      <c r="G14" s="205">
        <f>일위대가목록!F12</f>
        <v>32245254</v>
      </c>
      <c r="H14" s="205">
        <f>TRUNC(G14*C14,1)</f>
        <v>32245254</v>
      </c>
      <c r="I14" s="205">
        <f>일위대가목록!G12</f>
        <v>3903873</v>
      </c>
      <c r="J14" s="205">
        <f>TRUNC(I14*C14,1)</f>
        <v>3903873</v>
      </c>
      <c r="K14" s="205">
        <f>일위대가목록!H12</f>
        <v>794083</v>
      </c>
      <c r="L14" s="205">
        <f>TRUNC(K14*C14,1)</f>
        <v>794083</v>
      </c>
      <c r="M14" s="20" t="s">
        <v>6232</v>
      </c>
      <c r="N14" t="s">
        <v>6232</v>
      </c>
      <c r="P14" t="s">
        <v>742</v>
      </c>
      <c r="Q14" t="s">
        <v>6232</v>
      </c>
      <c r="R14" t="s">
        <v>5977</v>
      </c>
      <c r="T14" t="s">
        <v>3860</v>
      </c>
      <c r="BI14" s="33" t="str">
        <f>HYPERLINK("#일위대가목록!A897","SZD0003-600 →")</f>
        <v>SZD0003-600 →</v>
      </c>
    </row>
    <row r="15" spans="1:61" ht="18.399999999999999" customHeight="1">
      <c r="A15" s="11"/>
      <c r="B15" s="2"/>
      <c r="C15" s="2"/>
      <c r="D15" s="2"/>
      <c r="E15" s="205"/>
      <c r="F15" s="205"/>
      <c r="G15" s="205"/>
      <c r="H15" s="205"/>
      <c r="I15" s="205"/>
      <c r="J15" s="205"/>
      <c r="K15" s="205"/>
      <c r="L15" s="205"/>
      <c r="M15" s="20" t="s">
        <v>6232</v>
      </c>
      <c r="N15" t="s">
        <v>6232</v>
      </c>
      <c r="P15" t="s">
        <v>5372</v>
      </c>
      <c r="Q15" t="s">
        <v>6232</v>
      </c>
      <c r="R15" t="s">
        <v>1987</v>
      </c>
      <c r="BI15" s="33" t="str">
        <f>HYPERLINK("#중기사용료목록!A10","E00002702002000000 →")</f>
        <v>E00002702002000000 →</v>
      </c>
    </row>
    <row r="16" spans="1:61" ht="18.399999999999999" customHeight="1">
      <c r="A16" s="47"/>
      <c r="B16" s="1"/>
      <c r="C16" s="1"/>
      <c r="D16" s="1"/>
      <c r="E16" s="206"/>
      <c r="F16" s="206"/>
      <c r="G16" s="206"/>
      <c r="H16" s="206"/>
      <c r="I16" s="206"/>
      <c r="J16" s="206"/>
      <c r="K16" s="206"/>
      <c r="L16" s="206"/>
      <c r="M16" s="50"/>
    </row>
    <row r="17" spans="1:61" ht="18.399999999999999" customHeight="1">
      <c r="A17" s="11" t="s">
        <v>4943</v>
      </c>
      <c r="B17" s="2" t="s">
        <v>397</v>
      </c>
      <c r="C17" s="2">
        <v>1</v>
      </c>
      <c r="D17" s="2" t="s">
        <v>3909</v>
      </c>
      <c r="E17" s="204"/>
      <c r="F17" s="205">
        <f>H17+J17+L17</f>
        <v>39342351</v>
      </c>
      <c r="G17" s="204"/>
      <c r="H17" s="205">
        <f>TRUNC(H18+H19,0)</f>
        <v>34401427</v>
      </c>
      <c r="I17" s="204"/>
      <c r="J17" s="205">
        <f>TRUNC(J18+J19,0)</f>
        <v>4144605</v>
      </c>
      <c r="K17" s="204"/>
      <c r="L17" s="205">
        <f>TRUNC(L18+L19,0)</f>
        <v>796319</v>
      </c>
      <c r="M17" s="20" t="s">
        <v>6232</v>
      </c>
      <c r="N17" t="s">
        <v>6232</v>
      </c>
      <c r="O17" t="s">
        <v>5128</v>
      </c>
    </row>
    <row r="18" spans="1:61" ht="18.399999999999999" customHeight="1">
      <c r="A18" s="11" t="s">
        <v>4385</v>
      </c>
      <c r="B18" s="2" t="s">
        <v>397</v>
      </c>
      <c r="C18" s="2">
        <v>1</v>
      </c>
      <c r="D18" s="2" t="s">
        <v>1055</v>
      </c>
      <c r="E18" s="205">
        <f>G18+I18+K18</f>
        <v>39342351</v>
      </c>
      <c r="F18" s="205">
        <f>H18+J18+L18</f>
        <v>39342351</v>
      </c>
      <c r="G18" s="205">
        <f>일위대가목록!F13</f>
        <v>34401427</v>
      </c>
      <c r="H18" s="205">
        <f>TRUNC(G18*C18,1)</f>
        <v>34401427</v>
      </c>
      <c r="I18" s="205">
        <f>일위대가목록!G13</f>
        <v>4144605</v>
      </c>
      <c r="J18" s="205">
        <f>TRUNC(I18*C18,1)</f>
        <v>4144605</v>
      </c>
      <c r="K18" s="205">
        <f>일위대가목록!H13</f>
        <v>796319</v>
      </c>
      <c r="L18" s="205">
        <f>TRUNC(K18*C18,1)</f>
        <v>796319</v>
      </c>
      <c r="M18" s="20" t="s">
        <v>6232</v>
      </c>
      <c r="N18" t="s">
        <v>6232</v>
      </c>
      <c r="P18" t="s">
        <v>742</v>
      </c>
      <c r="Q18" t="s">
        <v>6232</v>
      </c>
      <c r="R18" t="s">
        <v>4359</v>
      </c>
      <c r="T18" t="s">
        <v>3860</v>
      </c>
      <c r="BI18" s="33" t="str">
        <f>HYPERLINK("#일위대가목록!A898","SZD0003-650 →")</f>
        <v>SZD0003-650 →</v>
      </c>
    </row>
    <row r="19" spans="1:61" ht="18.399999999999999" customHeight="1">
      <c r="A19" s="11"/>
      <c r="B19" s="2"/>
      <c r="C19" s="2"/>
      <c r="D19" s="2"/>
      <c r="E19" s="205"/>
      <c r="F19" s="205"/>
      <c r="G19" s="205"/>
      <c r="H19" s="205"/>
      <c r="I19" s="205"/>
      <c r="J19" s="205"/>
      <c r="K19" s="205"/>
      <c r="L19" s="205"/>
      <c r="M19" s="20" t="s">
        <v>6232</v>
      </c>
      <c r="N19" t="s">
        <v>6232</v>
      </c>
      <c r="P19" t="s">
        <v>5372</v>
      </c>
      <c r="Q19" t="s">
        <v>6232</v>
      </c>
      <c r="R19" t="s">
        <v>1987</v>
      </c>
      <c r="BI19" s="33" t="str">
        <f>HYPERLINK("#중기사용료목록!A10","E00002702002000000 →")</f>
        <v>E00002702002000000 →</v>
      </c>
    </row>
    <row r="20" spans="1:61" ht="18.399999999999999" customHeight="1">
      <c r="A20" s="47"/>
      <c r="B20" s="1"/>
      <c r="C20" s="1"/>
      <c r="D20" s="1"/>
      <c r="E20" s="206"/>
      <c r="F20" s="206"/>
      <c r="G20" s="206"/>
      <c r="H20" s="206"/>
      <c r="I20" s="206"/>
      <c r="J20" s="206"/>
      <c r="K20" s="206"/>
      <c r="L20" s="206"/>
      <c r="M20" s="50"/>
    </row>
    <row r="21" spans="1:61" ht="18.399999999999999" customHeight="1">
      <c r="A21" s="11" t="s">
        <v>2202</v>
      </c>
      <c r="B21" s="2" t="s">
        <v>3826</v>
      </c>
      <c r="C21" s="2">
        <v>1</v>
      </c>
      <c r="D21" s="2" t="s">
        <v>3909</v>
      </c>
      <c r="E21" s="204"/>
      <c r="F21" s="205">
        <f>H21+J21+L21</f>
        <v>43452420</v>
      </c>
      <c r="G21" s="204"/>
      <c r="H21" s="205">
        <f>TRUNC(H22+H23,0)</f>
        <v>38234376</v>
      </c>
      <c r="I21" s="204"/>
      <c r="J21" s="205">
        <f>TRUNC(J22+J23,0)</f>
        <v>4376697</v>
      </c>
      <c r="K21" s="204"/>
      <c r="L21" s="205">
        <f>TRUNC(L22+L23,0)</f>
        <v>841347</v>
      </c>
      <c r="M21" s="20" t="s">
        <v>6232</v>
      </c>
      <c r="N21" t="s">
        <v>6232</v>
      </c>
      <c r="O21" t="s">
        <v>3911</v>
      </c>
    </row>
    <row r="22" spans="1:61" ht="18.399999999999999" customHeight="1">
      <c r="A22" s="11" t="s">
        <v>4385</v>
      </c>
      <c r="B22" s="2" t="s">
        <v>3826</v>
      </c>
      <c r="C22" s="2">
        <v>1</v>
      </c>
      <c r="D22" s="2" t="s">
        <v>1055</v>
      </c>
      <c r="E22" s="205">
        <f>G22+I22+K22</f>
        <v>43452420</v>
      </c>
      <c r="F22" s="205">
        <f>H22+J22+L22</f>
        <v>43452420</v>
      </c>
      <c r="G22" s="205">
        <f>일위대가목록!F14</f>
        <v>38234376</v>
      </c>
      <c r="H22" s="205">
        <f>TRUNC(G22*C22,1)</f>
        <v>38234376</v>
      </c>
      <c r="I22" s="205">
        <f>일위대가목록!G14</f>
        <v>4376697</v>
      </c>
      <c r="J22" s="205">
        <f>TRUNC(I22*C22,1)</f>
        <v>4376697</v>
      </c>
      <c r="K22" s="205">
        <f>일위대가목록!H14</f>
        <v>841347</v>
      </c>
      <c r="L22" s="205">
        <f>TRUNC(K22*C22,1)</f>
        <v>841347</v>
      </c>
      <c r="M22" s="20" t="s">
        <v>6232</v>
      </c>
      <c r="N22" t="s">
        <v>6232</v>
      </c>
      <c r="P22" t="s">
        <v>742</v>
      </c>
      <c r="Q22" t="s">
        <v>6232</v>
      </c>
      <c r="R22" t="s">
        <v>4672</v>
      </c>
      <c r="T22" t="s">
        <v>3860</v>
      </c>
      <c r="BI22" s="33" t="str">
        <f>HYPERLINK("#일위대가목록!A899","SZD0003-700 →")</f>
        <v>SZD0003-700 →</v>
      </c>
    </row>
    <row r="23" spans="1:61" ht="18.399999999999999" customHeight="1">
      <c r="A23" s="11"/>
      <c r="B23" s="2"/>
      <c r="C23" s="2"/>
      <c r="D23" s="2"/>
      <c r="E23" s="205"/>
      <c r="F23" s="205"/>
      <c r="G23" s="205"/>
      <c r="H23" s="205"/>
      <c r="I23" s="205"/>
      <c r="J23" s="205"/>
      <c r="K23" s="205"/>
      <c r="L23" s="205"/>
      <c r="M23" s="20" t="s">
        <v>6232</v>
      </c>
      <c r="N23" t="s">
        <v>6232</v>
      </c>
      <c r="P23" t="s">
        <v>5372</v>
      </c>
      <c r="Q23" t="s">
        <v>6232</v>
      </c>
      <c r="R23" t="s">
        <v>5621</v>
      </c>
      <c r="BI23" s="33" t="str">
        <f>HYPERLINK("#중기사용료목록!A11","E00002702003000000 →")</f>
        <v>E00002702003000000 →</v>
      </c>
    </row>
    <row r="24" spans="1:61" ht="18.399999999999999" customHeight="1">
      <c r="A24" s="47"/>
      <c r="B24" s="1"/>
      <c r="C24" s="1"/>
      <c r="D24" s="1"/>
      <c r="E24" s="206"/>
      <c r="F24" s="206"/>
      <c r="G24" s="206"/>
      <c r="H24" s="206"/>
      <c r="I24" s="206"/>
      <c r="J24" s="206"/>
      <c r="K24" s="206"/>
      <c r="L24" s="206"/>
      <c r="M24" s="50"/>
    </row>
    <row r="25" spans="1:61" ht="18.399999999999999" customHeight="1">
      <c r="A25" s="11" t="s">
        <v>2092</v>
      </c>
      <c r="B25" s="2" t="s">
        <v>2823</v>
      </c>
      <c r="C25" s="2">
        <v>1</v>
      </c>
      <c r="D25" s="2" t="s">
        <v>3909</v>
      </c>
      <c r="E25" s="204"/>
      <c r="F25" s="205">
        <f>H25+J25+L25</f>
        <v>49509422</v>
      </c>
      <c r="G25" s="204"/>
      <c r="H25" s="205">
        <f>TRUNC(H26+H27,0)</f>
        <v>44056471</v>
      </c>
      <c r="I25" s="204"/>
      <c r="J25" s="205">
        <f>TRUNC(J26+J27,0)</f>
        <v>4609505</v>
      </c>
      <c r="K25" s="204"/>
      <c r="L25" s="205">
        <f>TRUNC(L26+L27,0)</f>
        <v>843446</v>
      </c>
      <c r="M25" s="20" t="s">
        <v>6232</v>
      </c>
      <c r="N25" t="s">
        <v>6232</v>
      </c>
      <c r="O25" t="s">
        <v>5550</v>
      </c>
    </row>
    <row r="26" spans="1:61" ht="18.399999999999999" customHeight="1">
      <c r="A26" s="11" t="s">
        <v>4385</v>
      </c>
      <c r="B26" s="2" t="s">
        <v>2823</v>
      </c>
      <c r="C26" s="2">
        <v>1</v>
      </c>
      <c r="D26" s="2" t="s">
        <v>1055</v>
      </c>
      <c r="E26" s="205">
        <f>G26+I26+K26</f>
        <v>49509422</v>
      </c>
      <c r="F26" s="205">
        <f>H26+J26+L26</f>
        <v>49509422</v>
      </c>
      <c r="G26" s="205">
        <f>일위대가목록!F15</f>
        <v>44056471</v>
      </c>
      <c r="H26" s="205">
        <f>TRUNC(G26*C26,1)</f>
        <v>44056471</v>
      </c>
      <c r="I26" s="205">
        <f>일위대가목록!G15</f>
        <v>4609505</v>
      </c>
      <c r="J26" s="205">
        <f>TRUNC(I26*C26,1)</f>
        <v>4609505</v>
      </c>
      <c r="K26" s="205">
        <f>일위대가목록!H15</f>
        <v>843446</v>
      </c>
      <c r="L26" s="205">
        <f>TRUNC(K26*C26,1)</f>
        <v>843446</v>
      </c>
      <c r="M26" s="20" t="s">
        <v>6232</v>
      </c>
      <c r="N26" t="s">
        <v>6232</v>
      </c>
      <c r="P26" t="s">
        <v>742</v>
      </c>
      <c r="Q26" t="s">
        <v>6232</v>
      </c>
      <c r="R26" t="s">
        <v>3201</v>
      </c>
      <c r="T26" t="s">
        <v>3860</v>
      </c>
      <c r="BI26" s="33" t="str">
        <f>HYPERLINK("#일위대가목록!A900","SZD0003-750 →")</f>
        <v>SZD0003-750 →</v>
      </c>
    </row>
    <row r="27" spans="1:61" ht="18.399999999999999" customHeight="1">
      <c r="A27" s="11"/>
      <c r="B27" s="2"/>
      <c r="C27" s="2"/>
      <c r="D27" s="2"/>
      <c r="E27" s="205"/>
      <c r="F27" s="205"/>
      <c r="G27" s="205"/>
      <c r="H27" s="205"/>
      <c r="I27" s="205"/>
      <c r="J27" s="205"/>
      <c r="K27" s="205"/>
      <c r="L27" s="205"/>
      <c r="M27" s="20"/>
      <c r="N27" t="s">
        <v>6232</v>
      </c>
      <c r="P27" t="s">
        <v>5372</v>
      </c>
      <c r="Q27" t="s">
        <v>6232</v>
      </c>
      <c r="R27" t="s">
        <v>5621</v>
      </c>
      <c r="BI27" s="33" t="str">
        <f>HYPERLINK("#중기사용료목록!A11","E00002702003000000 →")</f>
        <v>E00002702003000000 →</v>
      </c>
    </row>
    <row r="28" spans="1:61" ht="18.399999999999999" customHeight="1">
      <c r="A28" s="11" t="s">
        <v>5950</v>
      </c>
      <c r="B28" s="2" t="s">
        <v>6232</v>
      </c>
      <c r="C28" s="2">
        <v>1</v>
      </c>
      <c r="D28" s="2" t="s">
        <v>5766</v>
      </c>
      <c r="E28" s="204"/>
      <c r="F28" s="205">
        <f>H28+J28+L28</f>
        <v>282536</v>
      </c>
      <c r="G28" s="204"/>
      <c r="H28" s="205">
        <f>TRUNC(H29,0)</f>
        <v>0</v>
      </c>
      <c r="I28" s="204"/>
      <c r="J28" s="205">
        <f>TRUNC(J29,0)</f>
        <v>282536</v>
      </c>
      <c r="K28" s="204"/>
      <c r="L28" s="205">
        <f>TRUNC(L29,0)</f>
        <v>0</v>
      </c>
      <c r="M28" s="20" t="s">
        <v>6232</v>
      </c>
      <c r="N28" t="s">
        <v>6232</v>
      </c>
      <c r="O28" t="s">
        <v>544</v>
      </c>
    </row>
    <row r="29" spans="1:61" ht="18.399999999999999" customHeight="1">
      <c r="A29" s="11" t="s">
        <v>3357</v>
      </c>
      <c r="B29" s="2" t="s">
        <v>3311</v>
      </c>
      <c r="C29" s="2">
        <v>1</v>
      </c>
      <c r="D29" s="2" t="s">
        <v>5766</v>
      </c>
      <c r="E29" s="205">
        <f>G29+I29+K29</f>
        <v>282536</v>
      </c>
      <c r="F29" s="205">
        <f>H29+J29+L29</f>
        <v>282536</v>
      </c>
      <c r="G29" s="205">
        <v>0</v>
      </c>
      <c r="H29" s="205"/>
      <c r="I29" s="205">
        <f>노임!D6</f>
        <v>282536</v>
      </c>
      <c r="J29" s="205">
        <f>TRUNC(I29*C29,1)</f>
        <v>282536</v>
      </c>
      <c r="K29" s="205">
        <v>0</v>
      </c>
      <c r="L29" s="205"/>
      <c r="M29" s="20" t="s">
        <v>6232</v>
      </c>
      <c r="N29" t="s">
        <v>6232</v>
      </c>
      <c r="P29" t="s">
        <v>742</v>
      </c>
      <c r="Q29" t="s">
        <v>6232</v>
      </c>
      <c r="R29" t="s">
        <v>3628</v>
      </c>
      <c r="BI29" s="33" t="str">
        <f>HYPERLINK("#노임!A6","L001010101000012 →")</f>
        <v>L001010101000012 →</v>
      </c>
    </row>
    <row r="30" spans="1:61" ht="18.399999999999999" customHeight="1">
      <c r="A30" s="47"/>
      <c r="B30" s="1"/>
      <c r="C30" s="1"/>
      <c r="D30" s="1"/>
      <c r="E30" s="206"/>
      <c r="F30" s="206"/>
      <c r="G30" s="206"/>
      <c r="H30" s="206"/>
      <c r="I30" s="206"/>
      <c r="J30" s="206"/>
      <c r="K30" s="206"/>
      <c r="L30" s="206"/>
      <c r="M30" s="50"/>
    </row>
    <row r="31" spans="1:61" ht="18.399999999999999" customHeight="1">
      <c r="A31" s="11" t="s">
        <v>3971</v>
      </c>
      <c r="B31" s="2" t="s">
        <v>4894</v>
      </c>
      <c r="C31" s="2">
        <v>1</v>
      </c>
      <c r="D31" s="2" t="s">
        <v>1055</v>
      </c>
      <c r="E31" s="204"/>
      <c r="F31" s="205">
        <f t="shared" ref="F31:F46" si="0">H31+J31+L31</f>
        <v>15150408</v>
      </c>
      <c r="G31" s="204"/>
      <c r="H31" s="205">
        <f>TRUNC(H32+H35+H36+H37+H38+H39+H40+H41+H42+H43+H44+H45+H46,0)</f>
        <v>11983568</v>
      </c>
      <c r="I31" s="204"/>
      <c r="J31" s="205">
        <f>TRUNC(J32+J35+J36+J37+J38+J39+J40+J41+J42+J43+J44+J45+J46,0)</f>
        <v>2374423</v>
      </c>
      <c r="K31" s="204"/>
      <c r="L31" s="205">
        <f>TRUNC(L32+L35+L36+L37+L38+L39+L40+L41+L42+L43+L44+L45+L46,0)</f>
        <v>792417</v>
      </c>
      <c r="M31" s="20" t="s">
        <v>6232</v>
      </c>
      <c r="N31" t="s">
        <v>6232</v>
      </c>
      <c r="O31" t="s">
        <v>711</v>
      </c>
    </row>
    <row r="32" spans="1:61" ht="18.399999999999999" customHeight="1">
      <c r="A32" s="11" t="s">
        <v>4012</v>
      </c>
      <c r="B32" s="2" t="s">
        <v>4894</v>
      </c>
      <c r="C32" s="2">
        <v>1</v>
      </c>
      <c r="D32" s="2" t="s">
        <v>1055</v>
      </c>
      <c r="E32" s="205">
        <f t="shared" ref="E32:E46" si="1">G32+I32+K32</f>
        <v>10275000</v>
      </c>
      <c r="F32" s="205">
        <f t="shared" si="0"/>
        <v>10275000</v>
      </c>
      <c r="G32" s="205">
        <f>자재조서!E744</f>
        <v>10275000</v>
      </c>
      <c r="H32" s="205">
        <f>TRUNC(G32*C32,1)</f>
        <v>10275000</v>
      </c>
      <c r="I32" s="205">
        <v>0</v>
      </c>
      <c r="J32" s="205"/>
      <c r="K32" s="205">
        <v>0</v>
      </c>
      <c r="L32" s="205"/>
      <c r="M32" s="20" t="s">
        <v>6232</v>
      </c>
      <c r="N32" t="s">
        <v>6232</v>
      </c>
      <c r="P32" t="s">
        <v>742</v>
      </c>
      <c r="Q32" t="s">
        <v>6232</v>
      </c>
      <c r="R32" t="s">
        <v>1997</v>
      </c>
      <c r="BI32" s="33" t="str">
        <f>HYPERLINK("#자재조서!A744","MV-9960-001-300 →")</f>
        <v>MV-9960-001-300 →</v>
      </c>
    </row>
    <row r="33" spans="1:61" ht="18.399999999999999" customHeight="1">
      <c r="A33" s="11" t="s">
        <v>1257</v>
      </c>
      <c r="B33" s="2" t="s">
        <v>4894</v>
      </c>
      <c r="C33" s="2">
        <v>1</v>
      </c>
      <c r="D33" s="2" t="s">
        <v>1055</v>
      </c>
      <c r="E33" s="205">
        <f t="shared" si="1"/>
        <v>7069000</v>
      </c>
      <c r="F33" s="205">
        <f t="shared" si="0"/>
        <v>7069000</v>
      </c>
      <c r="G33" s="205">
        <f>자재조서!E759</f>
        <v>7069000</v>
      </c>
      <c r="H33" s="205">
        <f>TRUNC(G33*C33,1)</f>
        <v>7069000</v>
      </c>
      <c r="I33" s="205">
        <v>0</v>
      </c>
      <c r="J33" s="205"/>
      <c r="K33" s="205">
        <v>0</v>
      </c>
      <c r="L33" s="205"/>
      <c r="M33" s="20" t="s">
        <v>6232</v>
      </c>
      <c r="N33" t="s">
        <v>6232</v>
      </c>
      <c r="P33" t="s">
        <v>5372</v>
      </c>
      <c r="Q33" t="s">
        <v>4009</v>
      </c>
      <c r="R33" t="s">
        <v>866</v>
      </c>
      <c r="BI33" s="33" t="str">
        <f>HYPERLINK("#자재조서!A759","MV-9960-004-300 →")</f>
        <v>MV-9960-004-300 →</v>
      </c>
    </row>
    <row r="34" spans="1:61" ht="18.399999999999999" customHeight="1">
      <c r="A34" s="11" t="s">
        <v>1499</v>
      </c>
      <c r="B34" s="2" t="s">
        <v>4894</v>
      </c>
      <c r="C34" s="2">
        <v>1</v>
      </c>
      <c r="D34" s="2" t="s">
        <v>1055</v>
      </c>
      <c r="E34" s="205">
        <f t="shared" si="1"/>
        <v>357000</v>
      </c>
      <c r="F34" s="205">
        <f t="shared" si="0"/>
        <v>357000</v>
      </c>
      <c r="G34" s="205">
        <f>자재조서!E774</f>
        <v>357000</v>
      </c>
      <c r="H34" s="205">
        <f>TRUNC(G34*C34,1)</f>
        <v>357000</v>
      </c>
      <c r="I34" s="205">
        <v>0</v>
      </c>
      <c r="J34" s="205"/>
      <c r="K34" s="205">
        <v>0</v>
      </c>
      <c r="L34" s="205"/>
      <c r="M34" s="20" t="s">
        <v>6232</v>
      </c>
      <c r="N34" t="s">
        <v>6232</v>
      </c>
      <c r="P34" t="s">
        <v>3792</v>
      </c>
      <c r="Q34" t="s">
        <v>4009</v>
      </c>
      <c r="R34" t="s">
        <v>5914</v>
      </c>
      <c r="BI34" s="33" t="str">
        <f>HYPERLINK("#자재조서!A774","MV-9960-007-300 →")</f>
        <v>MV-9960-007-300 →</v>
      </c>
    </row>
    <row r="35" spans="1:61" ht="18.399999999999999" customHeight="1">
      <c r="A35" s="11" t="s">
        <v>1168</v>
      </c>
      <c r="B35" s="2" t="s">
        <v>4894</v>
      </c>
      <c r="C35" s="2">
        <v>1</v>
      </c>
      <c r="D35" s="2" t="s">
        <v>1055</v>
      </c>
      <c r="E35" s="205">
        <f t="shared" si="1"/>
        <v>1114000</v>
      </c>
      <c r="F35" s="205">
        <f t="shared" si="0"/>
        <v>1114000</v>
      </c>
      <c r="G35" s="205">
        <f>자재조서!E789</f>
        <v>1114000</v>
      </c>
      <c r="H35" s="205">
        <f>TRUNC(G35*C35,1)</f>
        <v>1114000</v>
      </c>
      <c r="I35" s="205">
        <v>0</v>
      </c>
      <c r="J35" s="205"/>
      <c r="K35" s="205">
        <v>0</v>
      </c>
      <c r="L35" s="205"/>
      <c r="M35" s="20" t="s">
        <v>6232</v>
      </c>
      <c r="N35" t="s">
        <v>6232</v>
      </c>
      <c r="P35" t="s">
        <v>2184</v>
      </c>
      <c r="Q35" t="s">
        <v>6232</v>
      </c>
      <c r="R35" t="s">
        <v>1680</v>
      </c>
      <c r="AA35" s="40" t="s">
        <v>4592</v>
      </c>
      <c r="AB35" s="8">
        <f>((일위대가_호표!H33+일위대가_호표!J33+일위대가_호표!L33)+(일위대가_호표!H34+일위대가_호표!J34+일위대가_호표!L34))*0.07</f>
        <v>519820.00000000006</v>
      </c>
      <c r="AC35" s="40" t="s">
        <v>5149</v>
      </c>
      <c r="AD35" s="7">
        <f>$AB35</f>
        <v>519820.00000000006</v>
      </c>
      <c r="BI35" s="33" t="str">
        <f>HYPERLINK("#자재조서!A789","MV-9960-010-300 →")</f>
        <v>MV-9960-010-300 →</v>
      </c>
    </row>
    <row r="36" spans="1:61" ht="18.399999999999999" customHeight="1">
      <c r="A36" s="11" t="s">
        <v>4164</v>
      </c>
      <c r="B36" s="2" t="s">
        <v>2771</v>
      </c>
      <c r="C36" s="2">
        <v>7</v>
      </c>
      <c r="D36" s="2" t="s">
        <v>1282</v>
      </c>
      <c r="E36" s="205">
        <f t="shared" si="1"/>
        <v>0</v>
      </c>
      <c r="F36" s="205">
        <f t="shared" si="0"/>
        <v>519820</v>
      </c>
      <c r="G36" s="206"/>
      <c r="H36" s="205">
        <f>TRUNC((((H33+J33+L33)+(H34+J34+L34))*0.07),1)</f>
        <v>519820</v>
      </c>
      <c r="I36" s="206"/>
      <c r="J36" s="205">
        <v>0</v>
      </c>
      <c r="K36" s="206"/>
      <c r="L36" s="205">
        <v>0</v>
      </c>
      <c r="M36" s="20" t="s">
        <v>1001</v>
      </c>
      <c r="N36" t="s">
        <v>6232</v>
      </c>
      <c r="P36" t="s">
        <v>637</v>
      </c>
      <c r="Q36" t="s">
        <v>6232</v>
      </c>
      <c r="R36" t="s">
        <v>5235</v>
      </c>
      <c r="X36" t="s">
        <v>5156</v>
      </c>
    </row>
    <row r="37" spans="1:61" ht="18.399999999999999" customHeight="1">
      <c r="A37" s="11" t="s">
        <v>5658</v>
      </c>
      <c r="B37" s="2" t="s">
        <v>4894</v>
      </c>
      <c r="C37" s="2">
        <v>1</v>
      </c>
      <c r="D37" s="2" t="s">
        <v>3909</v>
      </c>
      <c r="E37" s="205">
        <f t="shared" si="1"/>
        <v>624298</v>
      </c>
      <c r="F37" s="205">
        <f t="shared" si="0"/>
        <v>624298</v>
      </c>
      <c r="G37" s="205">
        <f>일위대가목록!F23</f>
        <v>0</v>
      </c>
      <c r="H37" s="205">
        <f t="shared" ref="H37:H46" si="2">TRUNC(G37*C37,1)</f>
        <v>0</v>
      </c>
      <c r="I37" s="205">
        <f>일위대가목록!G23</f>
        <v>624298</v>
      </c>
      <c r="J37" s="205">
        <f t="shared" ref="J37:J46" si="3">TRUNC(I37*C37,1)</f>
        <v>624298</v>
      </c>
      <c r="K37" s="205">
        <f>일위대가목록!H23</f>
        <v>0</v>
      </c>
      <c r="L37" s="205">
        <f t="shared" ref="L37:L46" si="4">TRUNC(K37*C37,1)</f>
        <v>0</v>
      </c>
      <c r="M37" s="20" t="s">
        <v>6232</v>
      </c>
      <c r="N37" t="s">
        <v>6232</v>
      </c>
      <c r="P37" t="s">
        <v>3710</v>
      </c>
      <c r="Q37" t="s">
        <v>6232</v>
      </c>
      <c r="R37" t="s">
        <v>1498</v>
      </c>
      <c r="T37" t="s">
        <v>3860</v>
      </c>
      <c r="BI37" s="33" t="str">
        <f>HYPERLINK("#일위대가목록!A969","SZE0001-300 →")</f>
        <v>SZE0001-300 →</v>
      </c>
    </row>
    <row r="38" spans="1:61" ht="18.399999999999999" customHeight="1">
      <c r="A38" s="11" t="s">
        <v>4893</v>
      </c>
      <c r="B38" s="2" t="s">
        <v>4396</v>
      </c>
      <c r="C38" s="199" t="s">
        <v>6500</v>
      </c>
      <c r="D38" s="2" t="s">
        <v>2084</v>
      </c>
      <c r="E38" s="205">
        <f t="shared" si="1"/>
        <v>999605</v>
      </c>
      <c r="F38" s="205">
        <f t="shared" si="0"/>
        <v>39984.199999999997</v>
      </c>
      <c r="G38" s="205">
        <f>일위대가목록!F17</f>
        <v>0</v>
      </c>
      <c r="H38" s="205">
        <f t="shared" si="2"/>
        <v>0</v>
      </c>
      <c r="I38" s="205">
        <f>일위대가목록!G17</f>
        <v>999605</v>
      </c>
      <c r="J38" s="205">
        <f t="shared" si="3"/>
        <v>39984.199999999997</v>
      </c>
      <c r="K38" s="205">
        <f>일위대가목록!H17</f>
        <v>0</v>
      </c>
      <c r="L38" s="205">
        <f t="shared" si="4"/>
        <v>0</v>
      </c>
      <c r="M38" s="20" t="s">
        <v>6232</v>
      </c>
      <c r="N38" t="s">
        <v>6232</v>
      </c>
      <c r="P38" t="s">
        <v>549</v>
      </c>
      <c r="Q38" t="s">
        <v>6232</v>
      </c>
      <c r="R38" t="s">
        <v>3630</v>
      </c>
      <c r="T38" t="s">
        <v>3860</v>
      </c>
      <c r="BI38" s="33" t="str">
        <f>HYPERLINK("#일위대가목록!A949","SZI000001 →")</f>
        <v>SZI000001 →</v>
      </c>
    </row>
    <row r="39" spans="1:61" ht="18.399999999999999" customHeight="1">
      <c r="A39" s="11" t="s">
        <v>2567</v>
      </c>
      <c r="B39" s="2" t="s">
        <v>4396</v>
      </c>
      <c r="C39" s="199" t="s">
        <v>6501</v>
      </c>
      <c r="D39" s="2" t="s">
        <v>2084</v>
      </c>
      <c r="E39" s="205">
        <f t="shared" si="1"/>
        <v>999605</v>
      </c>
      <c r="F39" s="205">
        <f t="shared" si="0"/>
        <v>139944.70000000001</v>
      </c>
      <c r="G39" s="205">
        <f>일위대가목록!F18</f>
        <v>0</v>
      </c>
      <c r="H39" s="205">
        <f t="shared" si="2"/>
        <v>0</v>
      </c>
      <c r="I39" s="205">
        <f>일위대가목록!G18</f>
        <v>999605</v>
      </c>
      <c r="J39" s="205">
        <f t="shared" si="3"/>
        <v>139944.70000000001</v>
      </c>
      <c r="K39" s="205">
        <f>일위대가목록!H18</f>
        <v>0</v>
      </c>
      <c r="L39" s="205">
        <f t="shared" si="4"/>
        <v>0</v>
      </c>
      <c r="M39" s="20" t="s">
        <v>6232</v>
      </c>
      <c r="N39" t="s">
        <v>6232</v>
      </c>
      <c r="P39" t="s">
        <v>528</v>
      </c>
      <c r="Q39" t="s">
        <v>6232</v>
      </c>
      <c r="R39" t="s">
        <v>196</v>
      </c>
      <c r="T39" t="s">
        <v>3860</v>
      </c>
      <c r="BI39" s="33" t="str">
        <f>HYPERLINK("#일위대가목록!A950","SZJ000001 →")</f>
        <v>SZJ000001 →</v>
      </c>
    </row>
    <row r="40" spans="1:61" ht="18.399999999999999" customHeight="1">
      <c r="A40" s="11" t="s">
        <v>5496</v>
      </c>
      <c r="B40" s="2" t="s">
        <v>4396</v>
      </c>
      <c r="C40" s="199" t="s">
        <v>6502</v>
      </c>
      <c r="D40" s="2" t="s">
        <v>2084</v>
      </c>
      <c r="E40" s="205">
        <f t="shared" si="1"/>
        <v>999605</v>
      </c>
      <c r="F40" s="205">
        <f t="shared" si="0"/>
        <v>49980.2</v>
      </c>
      <c r="G40" s="205">
        <f>일위대가목록!F19</f>
        <v>0</v>
      </c>
      <c r="H40" s="205">
        <f t="shared" si="2"/>
        <v>0</v>
      </c>
      <c r="I40" s="205">
        <f>일위대가목록!G19</f>
        <v>999605</v>
      </c>
      <c r="J40" s="205">
        <f t="shared" si="3"/>
        <v>49980.2</v>
      </c>
      <c r="K40" s="205">
        <f>일위대가목록!H19</f>
        <v>0</v>
      </c>
      <c r="L40" s="205">
        <f t="shared" si="4"/>
        <v>0</v>
      </c>
      <c r="M40" s="20" t="s">
        <v>6232</v>
      </c>
      <c r="N40" t="s">
        <v>6232</v>
      </c>
      <c r="P40" t="s">
        <v>2024</v>
      </c>
      <c r="Q40" t="s">
        <v>6232</v>
      </c>
      <c r="R40" t="s">
        <v>4562</v>
      </c>
      <c r="T40" t="s">
        <v>3860</v>
      </c>
      <c r="BI40" s="33" t="str">
        <f>HYPERLINK("#일위대가목록!A951","SZK000001 →")</f>
        <v>SZK000001 →</v>
      </c>
    </row>
    <row r="41" spans="1:61" ht="18.399999999999999" customHeight="1">
      <c r="A41" s="11" t="s">
        <v>4990</v>
      </c>
      <c r="B41" s="2" t="s">
        <v>2393</v>
      </c>
      <c r="C41" s="198">
        <v>1</v>
      </c>
      <c r="D41" s="2" t="s">
        <v>3909</v>
      </c>
      <c r="E41" s="205">
        <f t="shared" si="1"/>
        <v>59958</v>
      </c>
      <c r="F41" s="205">
        <f t="shared" si="0"/>
        <v>59958</v>
      </c>
      <c r="G41" s="205">
        <f>일위대가목록!F20</f>
        <v>0</v>
      </c>
      <c r="H41" s="205">
        <f t="shared" si="2"/>
        <v>0</v>
      </c>
      <c r="I41" s="205">
        <f>일위대가목록!G20</f>
        <v>59958</v>
      </c>
      <c r="J41" s="205">
        <f t="shared" si="3"/>
        <v>59958</v>
      </c>
      <c r="K41" s="205">
        <f>일위대가목록!H20</f>
        <v>0</v>
      </c>
      <c r="L41" s="205">
        <f t="shared" si="4"/>
        <v>0</v>
      </c>
      <c r="M41" s="20" t="s">
        <v>6232</v>
      </c>
      <c r="N41" t="s">
        <v>6232</v>
      </c>
      <c r="P41" t="s">
        <v>3689</v>
      </c>
      <c r="Q41" t="s">
        <v>6232</v>
      </c>
      <c r="R41" t="s">
        <v>1221</v>
      </c>
      <c r="T41" t="s">
        <v>3860</v>
      </c>
      <c r="BI41" s="33" t="str">
        <f>HYPERLINK("#일위대가목록!A952","SZL000001 →")</f>
        <v>SZL000001 →</v>
      </c>
    </row>
    <row r="42" spans="1:61" ht="18.399999999999999" customHeight="1">
      <c r="A42" s="11" t="s">
        <v>2366</v>
      </c>
      <c r="B42" s="2" t="s">
        <v>3414</v>
      </c>
      <c r="C42" s="199" t="s">
        <v>6504</v>
      </c>
      <c r="D42" s="2" t="s">
        <v>2084</v>
      </c>
      <c r="E42" s="205">
        <f t="shared" si="1"/>
        <v>1199526</v>
      </c>
      <c r="F42" s="205">
        <f t="shared" si="0"/>
        <v>35985.699999999997</v>
      </c>
      <c r="G42" s="205">
        <f>일위대가목록!F21</f>
        <v>0</v>
      </c>
      <c r="H42" s="205">
        <f t="shared" si="2"/>
        <v>0</v>
      </c>
      <c r="I42" s="205">
        <f>일위대가목록!G21</f>
        <v>1199526</v>
      </c>
      <c r="J42" s="205">
        <f t="shared" si="3"/>
        <v>35985.699999999997</v>
      </c>
      <c r="K42" s="205">
        <f>일위대가목록!H21</f>
        <v>0</v>
      </c>
      <c r="L42" s="205">
        <f t="shared" si="4"/>
        <v>0</v>
      </c>
      <c r="M42" s="20" t="s">
        <v>6232</v>
      </c>
      <c r="N42" t="s">
        <v>6232</v>
      </c>
      <c r="P42" t="s">
        <v>5215</v>
      </c>
      <c r="Q42" t="s">
        <v>6232</v>
      </c>
      <c r="R42" t="s">
        <v>3250</v>
      </c>
      <c r="T42" t="s">
        <v>3860</v>
      </c>
      <c r="BI42" s="33" t="str">
        <f>HYPERLINK("#일위대가목록!A953","SZM000001 →")</f>
        <v>SZM000001 →</v>
      </c>
    </row>
    <row r="43" spans="1:61" ht="18.399999999999999" customHeight="1">
      <c r="A43" s="11" t="s">
        <v>5139</v>
      </c>
      <c r="B43" s="2" t="s">
        <v>3414</v>
      </c>
      <c r="C43" s="199" t="s">
        <v>6503</v>
      </c>
      <c r="D43" s="2" t="s">
        <v>2084</v>
      </c>
      <c r="E43" s="205">
        <f t="shared" si="1"/>
        <v>999605</v>
      </c>
      <c r="F43" s="205">
        <f t="shared" si="0"/>
        <v>59976.3</v>
      </c>
      <c r="G43" s="205">
        <f>일위대가목록!F22</f>
        <v>0</v>
      </c>
      <c r="H43" s="205">
        <f t="shared" si="2"/>
        <v>0</v>
      </c>
      <c r="I43" s="205">
        <f>일위대가목록!G22</f>
        <v>999605</v>
      </c>
      <c r="J43" s="205">
        <f t="shared" si="3"/>
        <v>59976.3</v>
      </c>
      <c r="K43" s="205">
        <f>일위대가목록!H22</f>
        <v>0</v>
      </c>
      <c r="L43" s="205">
        <f t="shared" si="4"/>
        <v>0</v>
      </c>
      <c r="M43" s="20" t="s">
        <v>6232</v>
      </c>
      <c r="N43" t="s">
        <v>6232</v>
      </c>
      <c r="P43" t="s">
        <v>409</v>
      </c>
      <c r="Q43" t="s">
        <v>6232</v>
      </c>
      <c r="R43" t="s">
        <v>667</v>
      </c>
      <c r="T43" t="s">
        <v>3860</v>
      </c>
      <c r="BI43" s="33" t="str">
        <f>HYPERLINK("#일위대가목록!A954","SZN000001 →")</f>
        <v>SZN000001 →</v>
      </c>
    </row>
    <row r="44" spans="1:61" ht="18.399999999999999" customHeight="1">
      <c r="A44" s="11" t="s">
        <v>5358</v>
      </c>
      <c r="B44" s="2" t="s">
        <v>4894</v>
      </c>
      <c r="C44" s="2">
        <v>1</v>
      </c>
      <c r="D44" s="2" t="s">
        <v>3909</v>
      </c>
      <c r="E44" s="205">
        <f t="shared" si="1"/>
        <v>730018</v>
      </c>
      <c r="F44" s="205">
        <f t="shared" si="0"/>
        <v>730018</v>
      </c>
      <c r="G44" s="205">
        <f>일위대가목록!F24</f>
        <v>37374</v>
      </c>
      <c r="H44" s="205">
        <f t="shared" si="2"/>
        <v>37374</v>
      </c>
      <c r="I44" s="205">
        <f>일위대가목록!G24</f>
        <v>682148</v>
      </c>
      <c r="J44" s="205">
        <f t="shared" si="3"/>
        <v>682148</v>
      </c>
      <c r="K44" s="205">
        <f>일위대가목록!H24</f>
        <v>10496</v>
      </c>
      <c r="L44" s="205">
        <f t="shared" si="4"/>
        <v>10496</v>
      </c>
      <c r="M44" s="20" t="s">
        <v>6232</v>
      </c>
      <c r="N44" t="s">
        <v>6232</v>
      </c>
      <c r="P44" t="s">
        <v>1915</v>
      </c>
      <c r="Q44" t="s">
        <v>6232</v>
      </c>
      <c r="R44" t="s">
        <v>4467</v>
      </c>
      <c r="T44" t="s">
        <v>3860</v>
      </c>
      <c r="BI44" s="33" t="str">
        <f>HYPERLINK("#일위대가목록!A970","SZG0001-300 →")</f>
        <v>SZG0001-300 →</v>
      </c>
    </row>
    <row r="45" spans="1:61" ht="18.399999999999999" customHeight="1">
      <c r="A45" s="11" t="s">
        <v>4452</v>
      </c>
      <c r="B45" s="2" t="s">
        <v>4894</v>
      </c>
      <c r="C45" s="2">
        <v>1</v>
      </c>
      <c r="D45" s="2" t="s">
        <v>3909</v>
      </c>
      <c r="E45" s="205">
        <f t="shared" si="1"/>
        <v>730018</v>
      </c>
      <c r="F45" s="205">
        <f t="shared" si="0"/>
        <v>730018</v>
      </c>
      <c r="G45" s="205">
        <f>일위대가목록!F25</f>
        <v>37374</v>
      </c>
      <c r="H45" s="205">
        <f t="shared" si="2"/>
        <v>37374</v>
      </c>
      <c r="I45" s="205">
        <f>일위대가목록!G25</f>
        <v>682148</v>
      </c>
      <c r="J45" s="205">
        <f t="shared" si="3"/>
        <v>682148</v>
      </c>
      <c r="K45" s="205">
        <f>일위대가목록!H25</f>
        <v>10496</v>
      </c>
      <c r="L45" s="205">
        <f t="shared" si="4"/>
        <v>10496</v>
      </c>
      <c r="M45" s="20" t="s">
        <v>6232</v>
      </c>
      <c r="N45" t="s">
        <v>6232</v>
      </c>
      <c r="P45" t="s">
        <v>3548</v>
      </c>
      <c r="Q45" t="s">
        <v>6232</v>
      </c>
      <c r="R45" t="s">
        <v>2527</v>
      </c>
      <c r="T45" t="s">
        <v>3860</v>
      </c>
      <c r="BI45" s="33" t="str">
        <f>HYPERLINK("#일위대가목록!A971","SZH0001-300 →")</f>
        <v>SZH0001-300 →</v>
      </c>
    </row>
    <row r="46" spans="1:61" ht="18.399999999999999" customHeight="1">
      <c r="A46" s="11" t="s">
        <v>2994</v>
      </c>
      <c r="B46" s="2" t="s">
        <v>4836</v>
      </c>
      <c r="C46" s="2">
        <v>6.97</v>
      </c>
      <c r="D46" s="2" t="s">
        <v>5171</v>
      </c>
      <c r="E46" s="205">
        <f t="shared" si="1"/>
        <v>110678</v>
      </c>
      <c r="F46" s="205">
        <f t="shared" si="0"/>
        <v>771425.6</v>
      </c>
      <c r="G46" s="205">
        <f>중기사용료목록!E4</f>
        <v>0</v>
      </c>
      <c r="H46" s="205">
        <f t="shared" si="2"/>
        <v>0</v>
      </c>
      <c r="I46" s="205">
        <f>중기사용료목록!F4</f>
        <v>0</v>
      </c>
      <c r="J46" s="205">
        <f t="shared" si="3"/>
        <v>0</v>
      </c>
      <c r="K46" s="205">
        <f>중기사용료목록!G4</f>
        <v>110678</v>
      </c>
      <c r="L46" s="205">
        <f t="shared" si="4"/>
        <v>771425.6</v>
      </c>
      <c r="M46" s="20" t="s">
        <v>6232</v>
      </c>
      <c r="N46" t="s">
        <v>6232</v>
      </c>
      <c r="P46" t="s">
        <v>5089</v>
      </c>
      <c r="Q46" t="s">
        <v>6232</v>
      </c>
      <c r="R46" t="s">
        <v>5304</v>
      </c>
      <c r="BI46" s="33" t="str">
        <f>HYPERLINK("#중기사용료목록!A5","E00002104001500000 →")</f>
        <v>E00002104001500000 →</v>
      </c>
    </row>
    <row r="47" spans="1:61" ht="18.399999999999999" customHeight="1">
      <c r="A47" s="47"/>
      <c r="B47" s="1"/>
      <c r="C47" s="1"/>
      <c r="D47" s="1"/>
      <c r="E47" s="206"/>
      <c r="F47" s="206"/>
      <c r="G47" s="206"/>
      <c r="H47" s="206"/>
      <c r="I47" s="206"/>
      <c r="J47" s="206"/>
      <c r="K47" s="206"/>
      <c r="L47" s="206"/>
      <c r="M47" s="50"/>
    </row>
    <row r="48" spans="1:61" ht="18.399999999999999" customHeight="1">
      <c r="A48" s="11" t="s">
        <v>2400</v>
      </c>
      <c r="B48" s="2" t="s">
        <v>3764</v>
      </c>
      <c r="C48" s="2">
        <v>1</v>
      </c>
      <c r="D48" s="2" t="s">
        <v>1055</v>
      </c>
      <c r="E48" s="204"/>
      <c r="F48" s="205">
        <f t="shared" ref="F48:F63" si="5">H48+J48+L48</f>
        <v>27947103</v>
      </c>
      <c r="G48" s="204"/>
      <c r="H48" s="205">
        <f>TRUNC(H49+H52+H53+H54+H55+H56+H57+H58+H59+H60+H61+H62+H63,0)</f>
        <v>23778166</v>
      </c>
      <c r="I48" s="204"/>
      <c r="J48" s="205">
        <f>TRUNC(J49+J52+J53+J54+J55+J56+J57+J58+J59+J60+J61+J62+J63,0)</f>
        <v>3281840</v>
      </c>
      <c r="K48" s="204"/>
      <c r="L48" s="205">
        <f>TRUNC(L49+L52+L53+L54+L55+L56+L57+L58+L59+L60+L61+L62+L63,0)</f>
        <v>887097</v>
      </c>
      <c r="M48" s="20" t="s">
        <v>6232</v>
      </c>
      <c r="N48" t="s">
        <v>6232</v>
      </c>
      <c r="O48" t="s">
        <v>5366</v>
      </c>
    </row>
    <row r="49" spans="1:61" ht="18.399999999999999" customHeight="1">
      <c r="A49" s="11" t="s">
        <v>4012</v>
      </c>
      <c r="B49" s="2" t="s">
        <v>3764</v>
      </c>
      <c r="C49" s="2">
        <v>1</v>
      </c>
      <c r="D49" s="2" t="s">
        <v>1055</v>
      </c>
      <c r="E49" s="205">
        <f t="shared" ref="E49:E63" si="6">G49+I49+K49</f>
        <v>20780000</v>
      </c>
      <c r="F49" s="205">
        <f t="shared" si="5"/>
        <v>20780000</v>
      </c>
      <c r="G49" s="205">
        <f>자재조서!E747</f>
        <v>20780000</v>
      </c>
      <c r="H49" s="205">
        <f>TRUNC(G49*C49,1)</f>
        <v>20780000</v>
      </c>
      <c r="I49" s="205">
        <v>0</v>
      </c>
      <c r="J49" s="205"/>
      <c r="K49" s="205">
        <v>0</v>
      </c>
      <c r="L49" s="205"/>
      <c r="M49" s="20" t="s">
        <v>6232</v>
      </c>
      <c r="N49" t="s">
        <v>6232</v>
      </c>
      <c r="P49" t="s">
        <v>742</v>
      </c>
      <c r="Q49" t="s">
        <v>6232</v>
      </c>
      <c r="R49" t="s">
        <v>3571</v>
      </c>
      <c r="BI49" s="33" t="str">
        <f>HYPERLINK("#자재조서!A747","MV-9960-001-450 →")</f>
        <v>MV-9960-001-450 →</v>
      </c>
    </row>
    <row r="50" spans="1:61" ht="18.399999999999999" customHeight="1">
      <c r="A50" s="11" t="s">
        <v>1257</v>
      </c>
      <c r="B50" s="2" t="s">
        <v>3764</v>
      </c>
      <c r="C50" s="2">
        <v>1</v>
      </c>
      <c r="D50" s="2" t="s">
        <v>1055</v>
      </c>
      <c r="E50" s="205">
        <f t="shared" si="6"/>
        <v>7776000</v>
      </c>
      <c r="F50" s="205">
        <f t="shared" si="5"/>
        <v>7776000</v>
      </c>
      <c r="G50" s="205">
        <f>자재조서!E762</f>
        <v>7776000</v>
      </c>
      <c r="H50" s="205">
        <f>TRUNC(G50*C50,1)</f>
        <v>7776000</v>
      </c>
      <c r="I50" s="205">
        <v>0</v>
      </c>
      <c r="J50" s="205"/>
      <c r="K50" s="205">
        <v>0</v>
      </c>
      <c r="L50" s="205"/>
      <c r="M50" s="20" t="s">
        <v>6232</v>
      </c>
      <c r="N50" t="s">
        <v>6232</v>
      </c>
      <c r="P50" t="s">
        <v>5372</v>
      </c>
      <c r="Q50" t="s">
        <v>4009</v>
      </c>
      <c r="R50" t="s">
        <v>5510</v>
      </c>
      <c r="BI50" s="33" t="str">
        <f>HYPERLINK("#자재조서!A762","MV-9960-004-450 →")</f>
        <v>MV-9960-004-450 →</v>
      </c>
    </row>
    <row r="51" spans="1:61" ht="18.399999999999999" customHeight="1">
      <c r="A51" s="11" t="s">
        <v>1499</v>
      </c>
      <c r="B51" s="2" t="s">
        <v>3764</v>
      </c>
      <c r="C51" s="2">
        <v>1</v>
      </c>
      <c r="D51" s="2" t="s">
        <v>1055</v>
      </c>
      <c r="E51" s="205">
        <f t="shared" si="6"/>
        <v>541000</v>
      </c>
      <c r="F51" s="205">
        <f t="shared" si="5"/>
        <v>541000</v>
      </c>
      <c r="G51" s="205">
        <f>자재조서!E777</f>
        <v>541000</v>
      </c>
      <c r="H51" s="205">
        <f>TRUNC(G51*C51,1)</f>
        <v>541000</v>
      </c>
      <c r="I51" s="205">
        <v>0</v>
      </c>
      <c r="J51" s="205"/>
      <c r="K51" s="205">
        <v>0</v>
      </c>
      <c r="L51" s="205"/>
      <c r="M51" s="20" t="s">
        <v>6232</v>
      </c>
      <c r="N51" t="s">
        <v>6232</v>
      </c>
      <c r="P51" t="s">
        <v>3792</v>
      </c>
      <c r="Q51" t="s">
        <v>4009</v>
      </c>
      <c r="R51" t="s">
        <v>1241</v>
      </c>
      <c r="BI51" s="33" t="str">
        <f>HYPERLINK("#자재조서!A777","MV-9960-007-450 →")</f>
        <v>MV-9960-007-450 →</v>
      </c>
    </row>
    <row r="52" spans="1:61" ht="18.399999999999999" customHeight="1">
      <c r="A52" s="11" t="s">
        <v>1168</v>
      </c>
      <c r="B52" s="2" t="s">
        <v>3764</v>
      </c>
      <c r="C52" s="2">
        <v>1</v>
      </c>
      <c r="D52" s="2" t="s">
        <v>1055</v>
      </c>
      <c r="E52" s="205">
        <f t="shared" si="6"/>
        <v>1892000</v>
      </c>
      <c r="F52" s="205">
        <f t="shared" si="5"/>
        <v>1892000</v>
      </c>
      <c r="G52" s="205">
        <f>자재조서!E792</f>
        <v>1892000</v>
      </c>
      <c r="H52" s="205">
        <f>TRUNC(G52*C52,1)</f>
        <v>1892000</v>
      </c>
      <c r="I52" s="205">
        <v>0</v>
      </c>
      <c r="J52" s="205"/>
      <c r="K52" s="205">
        <v>0</v>
      </c>
      <c r="L52" s="205"/>
      <c r="M52" s="20" t="s">
        <v>6232</v>
      </c>
      <c r="N52" t="s">
        <v>6232</v>
      </c>
      <c r="P52" t="s">
        <v>2184</v>
      </c>
      <c r="Q52" t="s">
        <v>6232</v>
      </c>
      <c r="R52" t="s">
        <v>3237</v>
      </c>
      <c r="AA52" s="40" t="s">
        <v>4592</v>
      </c>
      <c r="AB52" s="8">
        <f>((일위대가_호표!H50+일위대가_호표!J50+일위대가_호표!L50)+(일위대가_호표!H51+일위대가_호표!J51+일위대가_호표!L51))*0.12</f>
        <v>998040</v>
      </c>
      <c r="AC52" s="40" t="s">
        <v>5149</v>
      </c>
      <c r="AD52" s="7">
        <f>$AB52</f>
        <v>998040</v>
      </c>
      <c r="BI52" s="33" t="str">
        <f>HYPERLINK("#자재조서!A792","MV-9960-010-450 →")</f>
        <v>MV-9960-010-450 →</v>
      </c>
    </row>
    <row r="53" spans="1:61" ht="18.399999999999999" customHeight="1">
      <c r="A53" s="11" t="s">
        <v>4164</v>
      </c>
      <c r="B53" s="2" t="s">
        <v>2972</v>
      </c>
      <c r="C53" s="2">
        <v>7</v>
      </c>
      <c r="D53" s="2" t="s">
        <v>1282</v>
      </c>
      <c r="E53" s="205">
        <f t="shared" si="6"/>
        <v>0</v>
      </c>
      <c r="F53" s="205">
        <f t="shared" si="5"/>
        <v>998040</v>
      </c>
      <c r="G53" s="206"/>
      <c r="H53" s="205">
        <f>TRUNC((((H50+J50+L50)+(H51+J51+L51))*0.12),1)</f>
        <v>998040</v>
      </c>
      <c r="I53" s="206"/>
      <c r="J53" s="205">
        <v>0</v>
      </c>
      <c r="K53" s="206"/>
      <c r="L53" s="205">
        <v>0</v>
      </c>
      <c r="M53" s="20" t="s">
        <v>1001</v>
      </c>
      <c r="N53" t="s">
        <v>6232</v>
      </c>
      <c r="P53" t="s">
        <v>637</v>
      </c>
      <c r="Q53" t="s">
        <v>6232</v>
      </c>
      <c r="R53" t="s">
        <v>5235</v>
      </c>
      <c r="X53" t="s">
        <v>643</v>
      </c>
    </row>
    <row r="54" spans="1:61" ht="18.399999999999999" customHeight="1">
      <c r="A54" s="11" t="s">
        <v>5658</v>
      </c>
      <c r="B54" s="2" t="s">
        <v>3764</v>
      </c>
      <c r="C54" s="2">
        <v>1</v>
      </c>
      <c r="D54" s="2" t="s">
        <v>3909</v>
      </c>
      <c r="E54" s="205">
        <f t="shared" si="6"/>
        <v>982063</v>
      </c>
      <c r="F54" s="205">
        <f t="shared" si="5"/>
        <v>982063</v>
      </c>
      <c r="G54" s="205">
        <f>일위대가목록!F26</f>
        <v>0</v>
      </c>
      <c r="H54" s="205">
        <f t="shared" ref="H54:H63" si="7">TRUNC(G54*C54,1)</f>
        <v>0</v>
      </c>
      <c r="I54" s="205">
        <f>일위대가목록!G26</f>
        <v>982063</v>
      </c>
      <c r="J54" s="205">
        <f t="shared" ref="J54:J63" si="8">TRUNC(I54*C54,1)</f>
        <v>982063</v>
      </c>
      <c r="K54" s="205">
        <f>일위대가목록!H26</f>
        <v>0</v>
      </c>
      <c r="L54" s="205">
        <f t="shared" ref="L54:L63" si="9">TRUNC(K54*C54,1)</f>
        <v>0</v>
      </c>
      <c r="M54" s="20" t="s">
        <v>6232</v>
      </c>
      <c r="N54" t="s">
        <v>6232</v>
      </c>
      <c r="P54" t="s">
        <v>3710</v>
      </c>
      <c r="Q54" t="s">
        <v>6232</v>
      </c>
      <c r="R54" t="s">
        <v>6185</v>
      </c>
      <c r="T54" t="s">
        <v>3860</v>
      </c>
      <c r="BI54" s="33" t="str">
        <f>HYPERLINK("#일위대가목록!A978","SZE0001-450 →")</f>
        <v>SZE0001-450 →</v>
      </c>
    </row>
    <row r="55" spans="1:61" ht="18.399999999999999" customHeight="1">
      <c r="A55" s="11" t="s">
        <v>4893</v>
      </c>
      <c r="B55" s="2" t="s">
        <v>4396</v>
      </c>
      <c r="C55" s="199" t="s">
        <v>6500</v>
      </c>
      <c r="D55" s="2" t="s">
        <v>2084</v>
      </c>
      <c r="E55" s="205">
        <f t="shared" si="6"/>
        <v>999605</v>
      </c>
      <c r="F55" s="205">
        <f t="shared" si="5"/>
        <v>39984.199999999997</v>
      </c>
      <c r="G55" s="205">
        <f>일위대가목록!F17</f>
        <v>0</v>
      </c>
      <c r="H55" s="205">
        <f t="shared" si="7"/>
        <v>0</v>
      </c>
      <c r="I55" s="205">
        <f>일위대가목록!G17</f>
        <v>999605</v>
      </c>
      <c r="J55" s="205">
        <f t="shared" si="8"/>
        <v>39984.199999999997</v>
      </c>
      <c r="K55" s="205">
        <f>일위대가목록!H17</f>
        <v>0</v>
      </c>
      <c r="L55" s="205">
        <f t="shared" si="9"/>
        <v>0</v>
      </c>
      <c r="M55" s="20" t="s">
        <v>6232</v>
      </c>
      <c r="N55" t="s">
        <v>6232</v>
      </c>
      <c r="P55" t="s">
        <v>549</v>
      </c>
      <c r="Q55" t="s">
        <v>6232</v>
      </c>
      <c r="R55" t="s">
        <v>3630</v>
      </c>
      <c r="T55" t="s">
        <v>3860</v>
      </c>
      <c r="BI55" s="33" t="str">
        <f>HYPERLINK("#일위대가목록!A949","SZI000001 →")</f>
        <v>SZI000001 →</v>
      </c>
    </row>
    <row r="56" spans="1:61" ht="18.399999999999999" customHeight="1">
      <c r="A56" s="11" t="s">
        <v>2567</v>
      </c>
      <c r="B56" s="2" t="s">
        <v>4396</v>
      </c>
      <c r="C56" s="199" t="s">
        <v>6501</v>
      </c>
      <c r="D56" s="2" t="s">
        <v>2084</v>
      </c>
      <c r="E56" s="205">
        <f t="shared" si="6"/>
        <v>999605</v>
      </c>
      <c r="F56" s="205">
        <f t="shared" si="5"/>
        <v>139944.70000000001</v>
      </c>
      <c r="G56" s="205">
        <f>일위대가목록!F18</f>
        <v>0</v>
      </c>
      <c r="H56" s="205">
        <f t="shared" si="7"/>
        <v>0</v>
      </c>
      <c r="I56" s="205">
        <f>일위대가목록!G18</f>
        <v>999605</v>
      </c>
      <c r="J56" s="205">
        <f t="shared" si="8"/>
        <v>139944.70000000001</v>
      </c>
      <c r="K56" s="205">
        <f>일위대가목록!H18</f>
        <v>0</v>
      </c>
      <c r="L56" s="205">
        <f t="shared" si="9"/>
        <v>0</v>
      </c>
      <c r="M56" s="20" t="s">
        <v>6232</v>
      </c>
      <c r="N56" t="s">
        <v>6232</v>
      </c>
      <c r="P56" t="s">
        <v>528</v>
      </c>
      <c r="Q56" t="s">
        <v>6232</v>
      </c>
      <c r="R56" t="s">
        <v>196</v>
      </c>
      <c r="T56" t="s">
        <v>3860</v>
      </c>
      <c r="BI56" s="33" t="str">
        <f>HYPERLINK("#일위대가목록!A950","SZJ000001 →")</f>
        <v>SZJ000001 →</v>
      </c>
    </row>
    <row r="57" spans="1:61" ht="18.399999999999999" customHeight="1">
      <c r="A57" s="11" t="s">
        <v>5496</v>
      </c>
      <c r="B57" s="2" t="s">
        <v>4396</v>
      </c>
      <c r="C57" s="199" t="s">
        <v>6502</v>
      </c>
      <c r="D57" s="2" t="s">
        <v>2084</v>
      </c>
      <c r="E57" s="205">
        <f t="shared" si="6"/>
        <v>999605</v>
      </c>
      <c r="F57" s="205">
        <f t="shared" si="5"/>
        <v>49980.2</v>
      </c>
      <c r="G57" s="205">
        <f>일위대가목록!F19</f>
        <v>0</v>
      </c>
      <c r="H57" s="205">
        <f t="shared" si="7"/>
        <v>0</v>
      </c>
      <c r="I57" s="205">
        <f>일위대가목록!G19</f>
        <v>999605</v>
      </c>
      <c r="J57" s="205">
        <f t="shared" si="8"/>
        <v>49980.2</v>
      </c>
      <c r="K57" s="205">
        <f>일위대가목록!H19</f>
        <v>0</v>
      </c>
      <c r="L57" s="205">
        <f t="shared" si="9"/>
        <v>0</v>
      </c>
      <c r="M57" s="20" t="s">
        <v>6232</v>
      </c>
      <c r="N57" t="s">
        <v>6232</v>
      </c>
      <c r="P57" t="s">
        <v>2024</v>
      </c>
      <c r="Q57" t="s">
        <v>6232</v>
      </c>
      <c r="R57" t="s">
        <v>4562</v>
      </c>
      <c r="T57" t="s">
        <v>3860</v>
      </c>
      <c r="BI57" s="33" t="str">
        <f>HYPERLINK("#일위대가목록!A951","SZK000001 →")</f>
        <v>SZK000001 →</v>
      </c>
    </row>
    <row r="58" spans="1:61" ht="18.399999999999999" customHeight="1">
      <c r="A58" s="11" t="s">
        <v>4990</v>
      </c>
      <c r="B58" s="2" t="s">
        <v>2393</v>
      </c>
      <c r="C58" s="198">
        <v>1</v>
      </c>
      <c r="D58" s="2" t="s">
        <v>3909</v>
      </c>
      <c r="E58" s="205">
        <f t="shared" si="6"/>
        <v>59958</v>
      </c>
      <c r="F58" s="205">
        <f t="shared" si="5"/>
        <v>59958</v>
      </c>
      <c r="G58" s="205">
        <f>일위대가목록!F20</f>
        <v>0</v>
      </c>
      <c r="H58" s="205">
        <f t="shared" si="7"/>
        <v>0</v>
      </c>
      <c r="I58" s="205">
        <f>일위대가목록!G20</f>
        <v>59958</v>
      </c>
      <c r="J58" s="205">
        <f t="shared" si="8"/>
        <v>59958</v>
      </c>
      <c r="K58" s="205">
        <f>일위대가목록!H20</f>
        <v>0</v>
      </c>
      <c r="L58" s="205">
        <f t="shared" si="9"/>
        <v>0</v>
      </c>
      <c r="M58" s="20" t="s">
        <v>6232</v>
      </c>
      <c r="N58" t="s">
        <v>6232</v>
      </c>
      <c r="P58" t="s">
        <v>3689</v>
      </c>
      <c r="Q58" t="s">
        <v>6232</v>
      </c>
      <c r="R58" t="s">
        <v>1221</v>
      </c>
      <c r="T58" t="s">
        <v>3860</v>
      </c>
      <c r="BI58" s="33" t="str">
        <f>HYPERLINK("#일위대가목록!A952","SZL000001 →")</f>
        <v>SZL000001 →</v>
      </c>
    </row>
    <row r="59" spans="1:61" ht="18.399999999999999" customHeight="1">
      <c r="A59" s="11" t="s">
        <v>2366</v>
      </c>
      <c r="B59" s="2" t="s">
        <v>3414</v>
      </c>
      <c r="C59" s="199" t="s">
        <v>6504</v>
      </c>
      <c r="D59" s="2" t="s">
        <v>2084</v>
      </c>
      <c r="E59" s="205">
        <f t="shared" si="6"/>
        <v>1199526</v>
      </c>
      <c r="F59" s="205">
        <f t="shared" si="5"/>
        <v>35985.699999999997</v>
      </c>
      <c r="G59" s="205">
        <f>일위대가목록!F21</f>
        <v>0</v>
      </c>
      <c r="H59" s="205">
        <f t="shared" si="7"/>
        <v>0</v>
      </c>
      <c r="I59" s="205">
        <f>일위대가목록!G21</f>
        <v>1199526</v>
      </c>
      <c r="J59" s="205">
        <f t="shared" si="8"/>
        <v>35985.699999999997</v>
      </c>
      <c r="K59" s="205">
        <f>일위대가목록!H21</f>
        <v>0</v>
      </c>
      <c r="L59" s="205">
        <f t="shared" si="9"/>
        <v>0</v>
      </c>
      <c r="M59" s="20" t="s">
        <v>6232</v>
      </c>
      <c r="N59" t="s">
        <v>6232</v>
      </c>
      <c r="P59" t="s">
        <v>5215</v>
      </c>
      <c r="Q59" t="s">
        <v>6232</v>
      </c>
      <c r="R59" t="s">
        <v>3250</v>
      </c>
      <c r="T59" t="s">
        <v>3860</v>
      </c>
      <c r="BI59" s="33" t="str">
        <f>HYPERLINK("#일위대가목록!A953","SZM000001 →")</f>
        <v>SZM000001 →</v>
      </c>
    </row>
    <row r="60" spans="1:61" ht="18.399999999999999" customHeight="1">
      <c r="A60" s="11" t="s">
        <v>5139</v>
      </c>
      <c r="B60" s="2" t="s">
        <v>3414</v>
      </c>
      <c r="C60" s="199" t="s">
        <v>6503</v>
      </c>
      <c r="D60" s="2" t="s">
        <v>2084</v>
      </c>
      <c r="E60" s="205">
        <f t="shared" si="6"/>
        <v>999605</v>
      </c>
      <c r="F60" s="205">
        <f t="shared" si="5"/>
        <v>59976.3</v>
      </c>
      <c r="G60" s="205">
        <f>일위대가목록!F22</f>
        <v>0</v>
      </c>
      <c r="H60" s="205">
        <f t="shared" si="7"/>
        <v>0</v>
      </c>
      <c r="I60" s="205">
        <f>일위대가목록!G22</f>
        <v>999605</v>
      </c>
      <c r="J60" s="205">
        <f t="shared" si="8"/>
        <v>59976.3</v>
      </c>
      <c r="K60" s="205">
        <f>일위대가목록!H22</f>
        <v>0</v>
      </c>
      <c r="L60" s="205">
        <f t="shared" si="9"/>
        <v>0</v>
      </c>
      <c r="M60" s="20" t="s">
        <v>6232</v>
      </c>
      <c r="N60" t="s">
        <v>6232</v>
      </c>
      <c r="P60" t="s">
        <v>409</v>
      </c>
      <c r="Q60" t="s">
        <v>6232</v>
      </c>
      <c r="R60" t="s">
        <v>667</v>
      </c>
      <c r="T60" t="s">
        <v>3860</v>
      </c>
      <c r="BI60" s="33" t="str">
        <f>HYPERLINK("#일위대가목록!A954","SZN000001 →")</f>
        <v>SZN000001 →</v>
      </c>
    </row>
    <row r="61" spans="1:61" ht="18.399999999999999" customHeight="1">
      <c r="A61" s="11" t="s">
        <v>5358</v>
      </c>
      <c r="B61" s="2" t="s">
        <v>3764</v>
      </c>
      <c r="C61" s="2">
        <v>1</v>
      </c>
      <c r="D61" s="2" t="s">
        <v>3909</v>
      </c>
      <c r="E61" s="205">
        <f t="shared" si="6"/>
        <v>1026220</v>
      </c>
      <c r="F61" s="205">
        <f t="shared" si="5"/>
        <v>1026220</v>
      </c>
      <c r="G61" s="205">
        <f>일위대가목록!F27</f>
        <v>54063</v>
      </c>
      <c r="H61" s="205">
        <f t="shared" si="7"/>
        <v>54063</v>
      </c>
      <c r="I61" s="205">
        <f>일위대가목록!G27</f>
        <v>956974</v>
      </c>
      <c r="J61" s="205">
        <f t="shared" si="8"/>
        <v>956974</v>
      </c>
      <c r="K61" s="205">
        <f>일위대가목록!H27</f>
        <v>15183</v>
      </c>
      <c r="L61" s="205">
        <f t="shared" si="9"/>
        <v>15183</v>
      </c>
      <c r="M61" s="20" t="s">
        <v>6232</v>
      </c>
      <c r="N61" t="s">
        <v>6232</v>
      </c>
      <c r="P61" t="s">
        <v>1915</v>
      </c>
      <c r="Q61" t="s">
        <v>6232</v>
      </c>
      <c r="R61" t="s">
        <v>2887</v>
      </c>
      <c r="T61" t="s">
        <v>3860</v>
      </c>
      <c r="BI61" s="33" t="str">
        <f>HYPERLINK("#일위대가목록!A979","SZG0001-450 →")</f>
        <v>SZG0001-450 →</v>
      </c>
    </row>
    <row r="62" spans="1:61" ht="18.399999999999999" customHeight="1">
      <c r="A62" s="11" t="s">
        <v>4452</v>
      </c>
      <c r="B62" s="2" t="s">
        <v>3764</v>
      </c>
      <c r="C62" s="2">
        <v>1</v>
      </c>
      <c r="D62" s="2" t="s">
        <v>3909</v>
      </c>
      <c r="E62" s="205">
        <f t="shared" si="6"/>
        <v>1026220</v>
      </c>
      <c r="F62" s="205">
        <f t="shared" si="5"/>
        <v>1026220</v>
      </c>
      <c r="G62" s="205">
        <f>일위대가목록!F28</f>
        <v>54063</v>
      </c>
      <c r="H62" s="205">
        <f t="shared" si="7"/>
        <v>54063</v>
      </c>
      <c r="I62" s="205">
        <f>일위대가목록!G28</f>
        <v>956974</v>
      </c>
      <c r="J62" s="205">
        <f t="shared" si="8"/>
        <v>956974</v>
      </c>
      <c r="K62" s="205">
        <f>일위대가목록!H28</f>
        <v>15183</v>
      </c>
      <c r="L62" s="205">
        <f t="shared" si="9"/>
        <v>15183</v>
      </c>
      <c r="M62" s="20" t="s">
        <v>6232</v>
      </c>
      <c r="N62" t="s">
        <v>6232</v>
      </c>
      <c r="P62" t="s">
        <v>3548</v>
      </c>
      <c r="Q62" t="s">
        <v>6232</v>
      </c>
      <c r="R62" t="s">
        <v>4128</v>
      </c>
      <c r="T62" t="s">
        <v>3860</v>
      </c>
      <c r="BI62" s="33" t="str">
        <f>HYPERLINK("#일위대가목록!A980","SZH0001-450 →")</f>
        <v>SZH0001-450 →</v>
      </c>
    </row>
    <row r="63" spans="1:61" ht="18.399999999999999" customHeight="1">
      <c r="A63" s="11" t="s">
        <v>2994</v>
      </c>
      <c r="B63" s="2" t="s">
        <v>6199</v>
      </c>
      <c r="C63" s="2">
        <v>6.97</v>
      </c>
      <c r="D63" s="2" t="s">
        <v>5171</v>
      </c>
      <c r="E63" s="205">
        <f t="shared" si="6"/>
        <v>122917</v>
      </c>
      <c r="F63" s="205">
        <f t="shared" si="5"/>
        <v>856731.4</v>
      </c>
      <c r="G63" s="205">
        <f>중기사용료목록!E5</f>
        <v>0</v>
      </c>
      <c r="H63" s="205">
        <f t="shared" si="7"/>
        <v>0</v>
      </c>
      <c r="I63" s="205">
        <f>중기사용료목록!F5</f>
        <v>0</v>
      </c>
      <c r="J63" s="205">
        <f t="shared" si="8"/>
        <v>0</v>
      </c>
      <c r="K63" s="205">
        <f>중기사용료목록!G5</f>
        <v>122917</v>
      </c>
      <c r="L63" s="205">
        <f t="shared" si="9"/>
        <v>856731.4</v>
      </c>
      <c r="M63" s="20" t="s">
        <v>6232</v>
      </c>
      <c r="N63" t="s">
        <v>6232</v>
      </c>
      <c r="P63" t="s">
        <v>5089</v>
      </c>
      <c r="Q63" t="s">
        <v>6232</v>
      </c>
      <c r="R63" t="s">
        <v>5945</v>
      </c>
      <c r="BI63" s="33" t="str">
        <f>HYPERLINK("#중기사용료목록!A6","E00002104002000000 →")</f>
        <v>E00002104002000000 →</v>
      </c>
    </row>
    <row r="64" spans="1:61" ht="18.399999999999999" customHeight="1">
      <c r="A64" s="47"/>
      <c r="B64" s="1"/>
      <c r="C64" s="1"/>
      <c r="D64" s="1"/>
      <c r="E64" s="206"/>
      <c r="F64" s="206"/>
      <c r="G64" s="206"/>
      <c r="H64" s="206"/>
      <c r="I64" s="206"/>
      <c r="J64" s="206"/>
      <c r="K64" s="206"/>
      <c r="L64" s="206"/>
      <c r="M64" s="50"/>
    </row>
    <row r="65" spans="1:61" ht="18.399999999999999" customHeight="1">
      <c r="A65" s="11" t="s">
        <v>1332</v>
      </c>
      <c r="B65" s="2" t="s">
        <v>6105</v>
      </c>
      <c r="C65" s="2">
        <v>1</v>
      </c>
      <c r="D65" s="2" t="s">
        <v>1055</v>
      </c>
      <c r="E65" s="204"/>
      <c r="F65" s="205">
        <f t="shared" ref="F65:F80" si="10">H65+J65+L65</f>
        <v>41838818</v>
      </c>
      <c r="G65" s="204"/>
      <c r="H65" s="205">
        <f>TRUNC(H66+H69+H70+H71+H72+H73+H74+H75+H76+H77+H78+H79+H80,0)</f>
        <v>36518302</v>
      </c>
      <c r="I65" s="204"/>
      <c r="J65" s="205">
        <f>TRUNC(J66+J69+J70+J71+J72+J73+J74+J75+J76+J77+J78+J79+J80,0)</f>
        <v>4421203</v>
      </c>
      <c r="K65" s="204"/>
      <c r="L65" s="205">
        <f>TRUNC(L66+L69+L70+L71+L72+L73+L74+L75+L76+L77+L78+L79+L80,0)</f>
        <v>899313</v>
      </c>
      <c r="M65" s="20" t="s">
        <v>6232</v>
      </c>
      <c r="N65" t="s">
        <v>6232</v>
      </c>
      <c r="O65" t="s">
        <v>5977</v>
      </c>
    </row>
    <row r="66" spans="1:61" ht="18.399999999999999" customHeight="1">
      <c r="A66" s="11" t="s">
        <v>4012</v>
      </c>
      <c r="B66" s="2" t="s">
        <v>6105</v>
      </c>
      <c r="C66" s="2">
        <v>1</v>
      </c>
      <c r="D66" s="2" t="s">
        <v>1055</v>
      </c>
      <c r="E66" s="205">
        <f t="shared" ref="E66:E80" si="11">G66+I66+K66</f>
        <v>31331000</v>
      </c>
      <c r="F66" s="205">
        <f t="shared" si="10"/>
        <v>31331000</v>
      </c>
      <c r="G66" s="205">
        <f>자재조서!E750</f>
        <v>31331000</v>
      </c>
      <c r="H66" s="205">
        <f>TRUNC(G66*C66,1)</f>
        <v>31331000</v>
      </c>
      <c r="I66" s="205">
        <v>0</v>
      </c>
      <c r="J66" s="205"/>
      <c r="K66" s="205">
        <v>0</v>
      </c>
      <c r="L66" s="205"/>
      <c r="M66" s="20" t="s">
        <v>6232</v>
      </c>
      <c r="N66" t="s">
        <v>6232</v>
      </c>
      <c r="P66" t="s">
        <v>742</v>
      </c>
      <c r="Q66" t="s">
        <v>6232</v>
      </c>
      <c r="R66" t="s">
        <v>4465</v>
      </c>
      <c r="BI66" s="33" t="str">
        <f>HYPERLINK("#자재조서!A750","MV-9960-001-600 →")</f>
        <v>MV-9960-001-600 →</v>
      </c>
    </row>
    <row r="67" spans="1:61" ht="18.399999999999999" customHeight="1">
      <c r="A67" s="11" t="s">
        <v>1257</v>
      </c>
      <c r="B67" s="2" t="s">
        <v>6105</v>
      </c>
      <c r="C67" s="2">
        <v>1</v>
      </c>
      <c r="D67" s="2" t="s">
        <v>1055</v>
      </c>
      <c r="E67" s="205">
        <f t="shared" si="11"/>
        <v>10638000</v>
      </c>
      <c r="F67" s="205">
        <f t="shared" si="10"/>
        <v>10638000</v>
      </c>
      <c r="G67" s="205">
        <f>자재조서!E765</f>
        <v>10638000</v>
      </c>
      <c r="H67" s="205">
        <f>TRUNC(G67*C67,1)</f>
        <v>10638000</v>
      </c>
      <c r="I67" s="205">
        <v>0</v>
      </c>
      <c r="J67" s="205"/>
      <c r="K67" s="205">
        <v>0</v>
      </c>
      <c r="L67" s="205"/>
      <c r="M67" s="20" t="s">
        <v>6232</v>
      </c>
      <c r="N67" t="s">
        <v>6232</v>
      </c>
      <c r="P67" t="s">
        <v>5372</v>
      </c>
      <c r="Q67" t="s">
        <v>4009</v>
      </c>
      <c r="R67" t="s">
        <v>4848</v>
      </c>
      <c r="BI67" s="33" t="str">
        <f>HYPERLINK("#자재조서!A765","MV-9960-004-600 →")</f>
        <v>MV-9960-004-600 →</v>
      </c>
    </row>
    <row r="68" spans="1:61" ht="18.399999999999999" customHeight="1">
      <c r="A68" s="11" t="s">
        <v>1499</v>
      </c>
      <c r="B68" s="2" t="s">
        <v>6105</v>
      </c>
      <c r="C68" s="2">
        <v>1</v>
      </c>
      <c r="D68" s="2" t="s">
        <v>1055</v>
      </c>
      <c r="E68" s="205">
        <f t="shared" si="11"/>
        <v>1826000</v>
      </c>
      <c r="F68" s="205">
        <f t="shared" si="10"/>
        <v>1826000</v>
      </c>
      <c r="G68" s="205">
        <f>자재조서!E780</f>
        <v>1826000</v>
      </c>
      <c r="H68" s="205">
        <f>TRUNC(G68*C68,1)</f>
        <v>1826000</v>
      </c>
      <c r="I68" s="205">
        <v>0</v>
      </c>
      <c r="J68" s="205"/>
      <c r="K68" s="205">
        <v>0</v>
      </c>
      <c r="L68" s="205"/>
      <c r="M68" s="20" t="s">
        <v>6232</v>
      </c>
      <c r="N68" t="s">
        <v>6232</v>
      </c>
      <c r="P68" t="s">
        <v>3792</v>
      </c>
      <c r="Q68" t="s">
        <v>4009</v>
      </c>
      <c r="R68" t="s">
        <v>598</v>
      </c>
      <c r="BI68" s="33" t="str">
        <f>HYPERLINK("#자재조서!A780","MV-9960-007-600 →")</f>
        <v>MV-9960-007-600 →</v>
      </c>
    </row>
    <row r="69" spans="1:61" ht="18.399999999999999" customHeight="1">
      <c r="A69" s="11" t="s">
        <v>1168</v>
      </c>
      <c r="B69" s="2" t="s">
        <v>6105</v>
      </c>
      <c r="C69" s="2">
        <v>1</v>
      </c>
      <c r="D69" s="2" t="s">
        <v>1055</v>
      </c>
      <c r="E69" s="205">
        <f t="shared" si="11"/>
        <v>3540000</v>
      </c>
      <c r="F69" s="205">
        <f t="shared" si="10"/>
        <v>3540000</v>
      </c>
      <c r="G69" s="205">
        <f>자재조서!E795</f>
        <v>3540000</v>
      </c>
      <c r="H69" s="205">
        <f>TRUNC(G69*C69,1)</f>
        <v>3540000</v>
      </c>
      <c r="I69" s="205">
        <v>0</v>
      </c>
      <c r="J69" s="205"/>
      <c r="K69" s="205">
        <v>0</v>
      </c>
      <c r="L69" s="205"/>
      <c r="M69" s="20" t="s">
        <v>6232</v>
      </c>
      <c r="N69" t="s">
        <v>6232</v>
      </c>
      <c r="P69" t="s">
        <v>2184</v>
      </c>
      <c r="Q69" t="s">
        <v>6232</v>
      </c>
      <c r="R69" t="s">
        <v>4205</v>
      </c>
      <c r="AA69" s="40" t="s">
        <v>4592</v>
      </c>
      <c r="AB69" s="8">
        <f>((일위대가_호표!H67+일위대가_호표!J67+일위대가_호표!L67)+(일위대가_호표!H68+일위대가_호표!J68+일위대가_호표!L68))*0.12</f>
        <v>1495680</v>
      </c>
      <c r="AC69" s="40" t="s">
        <v>5149</v>
      </c>
      <c r="AD69" s="7">
        <f>$AB69</f>
        <v>1495680</v>
      </c>
      <c r="BI69" s="33" t="str">
        <f>HYPERLINK("#자재조서!A795","MV-9960-010-600 →")</f>
        <v>MV-9960-010-600 →</v>
      </c>
    </row>
    <row r="70" spans="1:61" ht="18.399999999999999" customHeight="1">
      <c r="A70" s="11" t="s">
        <v>4164</v>
      </c>
      <c r="B70" s="2" t="s">
        <v>2972</v>
      </c>
      <c r="C70" s="2">
        <v>7</v>
      </c>
      <c r="D70" s="2" t="s">
        <v>1282</v>
      </c>
      <c r="E70" s="205">
        <f t="shared" si="11"/>
        <v>0</v>
      </c>
      <c r="F70" s="205">
        <f t="shared" si="10"/>
        <v>1495680</v>
      </c>
      <c r="G70" s="206"/>
      <c r="H70" s="205">
        <f>TRUNC((((H67+J67+L67)+(H68+J68+L68))*0.12),1)</f>
        <v>1495680</v>
      </c>
      <c r="I70" s="206"/>
      <c r="J70" s="205">
        <v>0</v>
      </c>
      <c r="K70" s="206"/>
      <c r="L70" s="205">
        <v>0</v>
      </c>
      <c r="M70" s="20" t="s">
        <v>1001</v>
      </c>
      <c r="N70" t="s">
        <v>6232</v>
      </c>
      <c r="P70" t="s">
        <v>637</v>
      </c>
      <c r="Q70" t="s">
        <v>6232</v>
      </c>
      <c r="R70" t="s">
        <v>5235</v>
      </c>
      <c r="X70" t="s">
        <v>643</v>
      </c>
    </row>
    <row r="71" spans="1:61" ht="18.399999999999999" customHeight="1">
      <c r="A71" s="11" t="s">
        <v>5658</v>
      </c>
      <c r="B71" s="2" t="s">
        <v>6105</v>
      </c>
      <c r="C71" s="2">
        <v>1</v>
      </c>
      <c r="D71" s="2" t="s">
        <v>3909</v>
      </c>
      <c r="E71" s="205">
        <f t="shared" si="11"/>
        <v>1366784</v>
      </c>
      <c r="F71" s="205">
        <f t="shared" si="10"/>
        <v>1366784</v>
      </c>
      <c r="G71" s="205">
        <f>일위대가목록!F29</f>
        <v>0</v>
      </c>
      <c r="H71" s="205">
        <f t="shared" ref="H71:H80" si="12">TRUNC(G71*C71,1)</f>
        <v>0</v>
      </c>
      <c r="I71" s="205">
        <f>일위대가목록!G29</f>
        <v>1366784</v>
      </c>
      <c r="J71" s="205">
        <f t="shared" ref="J71:J80" si="13">TRUNC(I71*C71,1)</f>
        <v>1366784</v>
      </c>
      <c r="K71" s="205">
        <f>일위대가목록!H29</f>
        <v>0</v>
      </c>
      <c r="L71" s="205">
        <f t="shared" ref="L71:L80" si="14">TRUNC(K71*C71,1)</f>
        <v>0</v>
      </c>
      <c r="M71" s="20" t="s">
        <v>6232</v>
      </c>
      <c r="N71" t="s">
        <v>6232</v>
      </c>
      <c r="P71" t="s">
        <v>3710</v>
      </c>
      <c r="Q71" t="s">
        <v>6232</v>
      </c>
      <c r="R71" t="s">
        <v>5175</v>
      </c>
      <c r="T71" t="s">
        <v>3860</v>
      </c>
      <c r="BI71" s="33" t="str">
        <f>HYPERLINK("#일위대가목록!A987","SZE0001-600 →")</f>
        <v>SZE0001-600 →</v>
      </c>
    </row>
    <row r="72" spans="1:61" ht="18.399999999999999" customHeight="1">
      <c r="A72" s="11" t="s">
        <v>4893</v>
      </c>
      <c r="B72" s="2" t="s">
        <v>4396</v>
      </c>
      <c r="C72" s="199" t="s">
        <v>6500</v>
      </c>
      <c r="D72" s="2" t="s">
        <v>2084</v>
      </c>
      <c r="E72" s="205">
        <f t="shared" si="11"/>
        <v>999605</v>
      </c>
      <c r="F72" s="205">
        <f t="shared" si="10"/>
        <v>39984.199999999997</v>
      </c>
      <c r="G72" s="205">
        <f>일위대가목록!F17</f>
        <v>0</v>
      </c>
      <c r="H72" s="205">
        <f t="shared" si="12"/>
        <v>0</v>
      </c>
      <c r="I72" s="205">
        <f>일위대가목록!G17</f>
        <v>999605</v>
      </c>
      <c r="J72" s="205">
        <f t="shared" si="13"/>
        <v>39984.199999999997</v>
      </c>
      <c r="K72" s="205">
        <f>일위대가목록!H17</f>
        <v>0</v>
      </c>
      <c r="L72" s="205">
        <f t="shared" si="14"/>
        <v>0</v>
      </c>
      <c r="M72" s="20" t="s">
        <v>6232</v>
      </c>
      <c r="N72" t="s">
        <v>6232</v>
      </c>
      <c r="P72" t="s">
        <v>549</v>
      </c>
      <c r="Q72" t="s">
        <v>6232</v>
      </c>
      <c r="R72" t="s">
        <v>3630</v>
      </c>
      <c r="T72" t="s">
        <v>3860</v>
      </c>
      <c r="BI72" s="33" t="str">
        <f>HYPERLINK("#일위대가목록!A949","SZI000001 →")</f>
        <v>SZI000001 →</v>
      </c>
    </row>
    <row r="73" spans="1:61" ht="18.399999999999999" customHeight="1">
      <c r="A73" s="11" t="s">
        <v>2567</v>
      </c>
      <c r="B73" s="2" t="s">
        <v>4396</v>
      </c>
      <c r="C73" s="199" t="s">
        <v>6501</v>
      </c>
      <c r="D73" s="2" t="s">
        <v>2084</v>
      </c>
      <c r="E73" s="205">
        <f t="shared" si="11"/>
        <v>999605</v>
      </c>
      <c r="F73" s="205">
        <f t="shared" si="10"/>
        <v>139944.70000000001</v>
      </c>
      <c r="G73" s="205">
        <f>일위대가목록!F18</f>
        <v>0</v>
      </c>
      <c r="H73" s="205">
        <f t="shared" si="12"/>
        <v>0</v>
      </c>
      <c r="I73" s="205">
        <f>일위대가목록!G18</f>
        <v>999605</v>
      </c>
      <c r="J73" s="205">
        <f t="shared" si="13"/>
        <v>139944.70000000001</v>
      </c>
      <c r="K73" s="205">
        <f>일위대가목록!H18</f>
        <v>0</v>
      </c>
      <c r="L73" s="205">
        <f t="shared" si="14"/>
        <v>0</v>
      </c>
      <c r="M73" s="20" t="s">
        <v>6232</v>
      </c>
      <c r="N73" t="s">
        <v>6232</v>
      </c>
      <c r="P73" t="s">
        <v>528</v>
      </c>
      <c r="Q73" t="s">
        <v>6232</v>
      </c>
      <c r="R73" t="s">
        <v>196</v>
      </c>
      <c r="T73" t="s">
        <v>3860</v>
      </c>
      <c r="BI73" s="33" t="str">
        <f>HYPERLINK("#일위대가목록!A950","SZJ000001 →")</f>
        <v>SZJ000001 →</v>
      </c>
    </row>
    <row r="74" spans="1:61" ht="18.399999999999999" customHeight="1">
      <c r="A74" s="11" t="s">
        <v>5496</v>
      </c>
      <c r="B74" s="2" t="s">
        <v>4396</v>
      </c>
      <c r="C74" s="199" t="s">
        <v>6502</v>
      </c>
      <c r="D74" s="2" t="s">
        <v>2084</v>
      </c>
      <c r="E74" s="205">
        <f t="shared" si="11"/>
        <v>999605</v>
      </c>
      <c r="F74" s="205">
        <f t="shared" si="10"/>
        <v>49980.2</v>
      </c>
      <c r="G74" s="205">
        <f>일위대가목록!F19</f>
        <v>0</v>
      </c>
      <c r="H74" s="205">
        <f t="shared" si="12"/>
        <v>0</v>
      </c>
      <c r="I74" s="205">
        <f>일위대가목록!G19</f>
        <v>999605</v>
      </c>
      <c r="J74" s="205">
        <f t="shared" si="13"/>
        <v>49980.2</v>
      </c>
      <c r="K74" s="205">
        <f>일위대가목록!H19</f>
        <v>0</v>
      </c>
      <c r="L74" s="205">
        <f t="shared" si="14"/>
        <v>0</v>
      </c>
      <c r="M74" s="20" t="s">
        <v>6232</v>
      </c>
      <c r="N74" t="s">
        <v>6232</v>
      </c>
      <c r="P74" t="s">
        <v>2024</v>
      </c>
      <c r="Q74" t="s">
        <v>6232</v>
      </c>
      <c r="R74" t="s">
        <v>4562</v>
      </c>
      <c r="T74" t="s">
        <v>3860</v>
      </c>
      <c r="BI74" s="33" t="str">
        <f>HYPERLINK("#일위대가목록!A951","SZK000001 →")</f>
        <v>SZK000001 →</v>
      </c>
    </row>
    <row r="75" spans="1:61" ht="18.399999999999999" customHeight="1">
      <c r="A75" s="11" t="s">
        <v>4990</v>
      </c>
      <c r="B75" s="2" t="s">
        <v>2393</v>
      </c>
      <c r="C75" s="198">
        <v>1</v>
      </c>
      <c r="D75" s="2" t="s">
        <v>3909</v>
      </c>
      <c r="E75" s="205">
        <f t="shared" si="11"/>
        <v>59958</v>
      </c>
      <c r="F75" s="205">
        <f t="shared" si="10"/>
        <v>59958</v>
      </c>
      <c r="G75" s="205">
        <f>일위대가목록!F20</f>
        <v>0</v>
      </c>
      <c r="H75" s="205">
        <f t="shared" si="12"/>
        <v>0</v>
      </c>
      <c r="I75" s="205">
        <f>일위대가목록!G20</f>
        <v>59958</v>
      </c>
      <c r="J75" s="205">
        <f t="shared" si="13"/>
        <v>59958</v>
      </c>
      <c r="K75" s="205">
        <f>일위대가목록!H20</f>
        <v>0</v>
      </c>
      <c r="L75" s="205">
        <f t="shared" si="14"/>
        <v>0</v>
      </c>
      <c r="M75" s="20" t="s">
        <v>6232</v>
      </c>
      <c r="N75" t="s">
        <v>6232</v>
      </c>
      <c r="P75" t="s">
        <v>3689</v>
      </c>
      <c r="Q75" t="s">
        <v>6232</v>
      </c>
      <c r="R75" t="s">
        <v>1221</v>
      </c>
      <c r="T75" t="s">
        <v>3860</v>
      </c>
      <c r="BI75" s="33" t="str">
        <f>HYPERLINK("#일위대가목록!A952","SZL000001 →")</f>
        <v>SZL000001 →</v>
      </c>
    </row>
    <row r="76" spans="1:61" ht="18.399999999999999" customHeight="1">
      <c r="A76" s="11" t="s">
        <v>2366</v>
      </c>
      <c r="B76" s="2" t="s">
        <v>3414</v>
      </c>
      <c r="C76" s="199" t="s">
        <v>6504</v>
      </c>
      <c r="D76" s="2" t="s">
        <v>2084</v>
      </c>
      <c r="E76" s="205">
        <f t="shared" si="11"/>
        <v>1199526</v>
      </c>
      <c r="F76" s="205">
        <f t="shared" si="10"/>
        <v>35985.699999999997</v>
      </c>
      <c r="G76" s="205">
        <f>일위대가목록!F21</f>
        <v>0</v>
      </c>
      <c r="H76" s="205">
        <f t="shared" si="12"/>
        <v>0</v>
      </c>
      <c r="I76" s="205">
        <f>일위대가목록!G21</f>
        <v>1199526</v>
      </c>
      <c r="J76" s="205">
        <f t="shared" si="13"/>
        <v>35985.699999999997</v>
      </c>
      <c r="K76" s="205">
        <f>일위대가목록!H21</f>
        <v>0</v>
      </c>
      <c r="L76" s="205">
        <f t="shared" si="14"/>
        <v>0</v>
      </c>
      <c r="M76" s="20" t="s">
        <v>6232</v>
      </c>
      <c r="N76" t="s">
        <v>6232</v>
      </c>
      <c r="P76" t="s">
        <v>5215</v>
      </c>
      <c r="Q76" t="s">
        <v>6232</v>
      </c>
      <c r="R76" t="s">
        <v>3250</v>
      </c>
      <c r="T76" t="s">
        <v>3860</v>
      </c>
      <c r="BI76" s="33" t="str">
        <f>HYPERLINK("#일위대가목록!A953","SZM000001 →")</f>
        <v>SZM000001 →</v>
      </c>
    </row>
    <row r="77" spans="1:61" ht="18.399999999999999" customHeight="1">
      <c r="A77" s="11" t="s">
        <v>5139</v>
      </c>
      <c r="B77" s="2" t="s">
        <v>3414</v>
      </c>
      <c r="C77" s="199" t="s">
        <v>6503</v>
      </c>
      <c r="D77" s="2" t="s">
        <v>2084</v>
      </c>
      <c r="E77" s="205">
        <f t="shared" si="11"/>
        <v>999605</v>
      </c>
      <c r="F77" s="205">
        <f t="shared" si="10"/>
        <v>59976.3</v>
      </c>
      <c r="G77" s="205">
        <f>일위대가목록!F22</f>
        <v>0</v>
      </c>
      <c r="H77" s="205">
        <f t="shared" si="12"/>
        <v>0</v>
      </c>
      <c r="I77" s="205">
        <f>일위대가목록!G22</f>
        <v>999605</v>
      </c>
      <c r="J77" s="205">
        <f t="shared" si="13"/>
        <v>59976.3</v>
      </c>
      <c r="K77" s="205">
        <f>일위대가목록!H22</f>
        <v>0</v>
      </c>
      <c r="L77" s="205">
        <f t="shared" si="14"/>
        <v>0</v>
      </c>
      <c r="M77" s="20" t="s">
        <v>6232</v>
      </c>
      <c r="N77" t="s">
        <v>6232</v>
      </c>
      <c r="P77" t="s">
        <v>409</v>
      </c>
      <c r="Q77" t="s">
        <v>6232</v>
      </c>
      <c r="R77" t="s">
        <v>667</v>
      </c>
      <c r="T77" t="s">
        <v>3860</v>
      </c>
      <c r="BI77" s="33" t="str">
        <f>HYPERLINK("#일위대가목록!A954","SZN000001 →")</f>
        <v>SZN000001 →</v>
      </c>
    </row>
    <row r="78" spans="1:61" ht="18.399999999999999" customHeight="1">
      <c r="A78" s="11" t="s">
        <v>5358</v>
      </c>
      <c r="B78" s="2" t="s">
        <v>6105</v>
      </c>
      <c r="C78" s="2">
        <v>1</v>
      </c>
      <c r="D78" s="2" t="s">
        <v>3909</v>
      </c>
      <c r="E78" s="205">
        <f t="shared" si="11"/>
        <v>1431397</v>
      </c>
      <c r="F78" s="205">
        <f t="shared" si="10"/>
        <v>1431397</v>
      </c>
      <c r="G78" s="205">
        <f>일위대가목록!F30</f>
        <v>75811</v>
      </c>
      <c r="H78" s="205">
        <f t="shared" si="12"/>
        <v>75811</v>
      </c>
      <c r="I78" s="205">
        <f>일위대가목록!G30</f>
        <v>1334295</v>
      </c>
      <c r="J78" s="205">
        <f t="shared" si="13"/>
        <v>1334295</v>
      </c>
      <c r="K78" s="205">
        <f>일위대가목록!H30</f>
        <v>21291</v>
      </c>
      <c r="L78" s="205">
        <f t="shared" si="14"/>
        <v>21291</v>
      </c>
      <c r="M78" s="20" t="s">
        <v>6232</v>
      </c>
      <c r="N78" t="s">
        <v>6232</v>
      </c>
      <c r="P78" t="s">
        <v>1915</v>
      </c>
      <c r="Q78" t="s">
        <v>6232</v>
      </c>
      <c r="R78" t="s">
        <v>1980</v>
      </c>
      <c r="T78" t="s">
        <v>3860</v>
      </c>
      <c r="BI78" s="33" t="str">
        <f>HYPERLINK("#일위대가목록!A988","SZG0001-600 →")</f>
        <v>SZG0001-600 →</v>
      </c>
    </row>
    <row r="79" spans="1:61" ht="18.399999999999999" customHeight="1">
      <c r="A79" s="11" t="s">
        <v>4452</v>
      </c>
      <c r="B79" s="2" t="s">
        <v>6105</v>
      </c>
      <c r="C79" s="2">
        <v>1</v>
      </c>
      <c r="D79" s="2" t="s">
        <v>3909</v>
      </c>
      <c r="E79" s="205">
        <f t="shared" si="11"/>
        <v>1431397</v>
      </c>
      <c r="F79" s="205">
        <f t="shared" si="10"/>
        <v>1431397</v>
      </c>
      <c r="G79" s="205">
        <f>일위대가목록!F31</f>
        <v>75811</v>
      </c>
      <c r="H79" s="205">
        <f t="shared" si="12"/>
        <v>75811</v>
      </c>
      <c r="I79" s="205">
        <f>일위대가목록!G31</f>
        <v>1334295</v>
      </c>
      <c r="J79" s="205">
        <f t="shared" si="13"/>
        <v>1334295</v>
      </c>
      <c r="K79" s="205">
        <f>일위대가목록!H31</f>
        <v>21291</v>
      </c>
      <c r="L79" s="205">
        <f t="shared" si="14"/>
        <v>21291</v>
      </c>
      <c r="M79" s="20" t="s">
        <v>6232</v>
      </c>
      <c r="N79" t="s">
        <v>6232</v>
      </c>
      <c r="P79" t="s">
        <v>3548</v>
      </c>
      <c r="Q79" t="s">
        <v>6232</v>
      </c>
      <c r="R79" t="s">
        <v>3142</v>
      </c>
      <c r="T79" t="s">
        <v>3860</v>
      </c>
      <c r="BI79" s="33" t="str">
        <f>HYPERLINK("#일위대가목록!A989","SZH0001-600 →")</f>
        <v>SZH0001-600 →</v>
      </c>
    </row>
    <row r="80" spans="1:61" ht="18.399999999999999" customHeight="1">
      <c r="A80" s="11" t="s">
        <v>2994</v>
      </c>
      <c r="B80" s="2" t="s">
        <v>6199</v>
      </c>
      <c r="C80" s="2">
        <v>6.97</v>
      </c>
      <c r="D80" s="2" t="s">
        <v>5171</v>
      </c>
      <c r="E80" s="205">
        <f t="shared" si="11"/>
        <v>122917</v>
      </c>
      <c r="F80" s="205">
        <f t="shared" si="10"/>
        <v>856731.4</v>
      </c>
      <c r="G80" s="205">
        <f>중기사용료목록!E5</f>
        <v>0</v>
      </c>
      <c r="H80" s="205">
        <f t="shared" si="12"/>
        <v>0</v>
      </c>
      <c r="I80" s="205">
        <f>중기사용료목록!F5</f>
        <v>0</v>
      </c>
      <c r="J80" s="205">
        <f t="shared" si="13"/>
        <v>0</v>
      </c>
      <c r="K80" s="205">
        <f>중기사용료목록!G5</f>
        <v>122917</v>
      </c>
      <c r="L80" s="205">
        <f t="shared" si="14"/>
        <v>856731.4</v>
      </c>
      <c r="M80" s="20" t="s">
        <v>6232</v>
      </c>
      <c r="N80" t="s">
        <v>6232</v>
      </c>
      <c r="P80" t="s">
        <v>5089</v>
      </c>
      <c r="Q80" t="s">
        <v>6232</v>
      </c>
      <c r="R80" t="s">
        <v>5945</v>
      </c>
      <c r="BI80" s="33" t="str">
        <f>HYPERLINK("#중기사용료목록!A6","E00002104002000000 →")</f>
        <v>E00002104002000000 →</v>
      </c>
    </row>
    <row r="81" spans="1:61" ht="18.399999999999999" customHeight="1">
      <c r="A81" s="47"/>
      <c r="B81" s="1"/>
      <c r="C81" s="1"/>
      <c r="D81" s="1"/>
      <c r="E81" s="206"/>
      <c r="F81" s="206"/>
      <c r="G81" s="206"/>
      <c r="H81" s="206"/>
      <c r="I81" s="206"/>
      <c r="J81" s="206"/>
      <c r="K81" s="206"/>
      <c r="L81" s="206"/>
      <c r="M81" s="50"/>
    </row>
    <row r="82" spans="1:61" ht="18.399999999999999" customHeight="1">
      <c r="A82" s="11" t="s">
        <v>1878</v>
      </c>
      <c r="B82" s="2" t="s">
        <v>397</v>
      </c>
      <c r="C82" s="2">
        <v>1</v>
      </c>
      <c r="D82" s="2" t="s">
        <v>1055</v>
      </c>
      <c r="E82" s="204"/>
      <c r="F82" s="205">
        <f t="shared" ref="F82:F97" si="15">H82+J82+L82</f>
        <v>44555886</v>
      </c>
      <c r="G82" s="204"/>
      <c r="H82" s="205">
        <f>TRUNC(H83+H86+H87+H88+H89+H90+H91+H92+H93+H94+H95+H96+H97,0)</f>
        <v>38960204</v>
      </c>
      <c r="I82" s="204"/>
      <c r="J82" s="205">
        <f>TRUNC(J83+J86+J87+J88+J89+J90+J91+J92+J93+J94+J95+J96+J97,0)</f>
        <v>4693837</v>
      </c>
      <c r="K82" s="204"/>
      <c r="L82" s="205">
        <f>TRUNC(L83+L86+L87+L88+L89+L90+L91+L92+L93+L94+L95+L96+L97,0)</f>
        <v>901845</v>
      </c>
      <c r="M82" s="20" t="s">
        <v>6232</v>
      </c>
      <c r="N82" t="s">
        <v>6232</v>
      </c>
      <c r="O82" t="s">
        <v>4359</v>
      </c>
    </row>
    <row r="83" spans="1:61" ht="18.399999999999999" customHeight="1">
      <c r="A83" s="11" t="s">
        <v>4012</v>
      </c>
      <c r="B83" s="2" t="s">
        <v>397</v>
      </c>
      <c r="C83" s="2">
        <v>1</v>
      </c>
      <c r="D83" s="2" t="s">
        <v>1055</v>
      </c>
      <c r="E83" s="205">
        <f t="shared" ref="E83:E97" si="16">G83+I83+K83</f>
        <v>33632000</v>
      </c>
      <c r="F83" s="205">
        <f t="shared" si="15"/>
        <v>33632000</v>
      </c>
      <c r="G83" s="205">
        <f>자재조서!E751</f>
        <v>33632000</v>
      </c>
      <c r="H83" s="205">
        <f>TRUNC(G83*C83,1)</f>
        <v>33632000</v>
      </c>
      <c r="I83" s="205">
        <v>0</v>
      </c>
      <c r="J83" s="205"/>
      <c r="K83" s="205">
        <v>0</v>
      </c>
      <c r="L83" s="205"/>
      <c r="M83" s="20" t="s">
        <v>6232</v>
      </c>
      <c r="N83" t="s">
        <v>6232</v>
      </c>
      <c r="P83" t="s">
        <v>742</v>
      </c>
      <c r="Q83" t="s">
        <v>6232</v>
      </c>
      <c r="R83" t="s">
        <v>6162</v>
      </c>
      <c r="BI83" s="33" t="str">
        <f>HYPERLINK("#자재조서!A751","MV-9960-001-650 →")</f>
        <v>MV-9960-001-650 →</v>
      </c>
    </row>
    <row r="84" spans="1:61" ht="18.399999999999999" customHeight="1">
      <c r="A84" s="11" t="s">
        <v>1257</v>
      </c>
      <c r="B84" s="2" t="s">
        <v>397</v>
      </c>
      <c r="C84" s="2">
        <v>1</v>
      </c>
      <c r="D84" s="2" t="s">
        <v>1055</v>
      </c>
      <c r="E84" s="205">
        <f t="shared" si="16"/>
        <v>10749000</v>
      </c>
      <c r="F84" s="205">
        <f t="shared" si="15"/>
        <v>10749000</v>
      </c>
      <c r="G84" s="205">
        <f>자재조서!E766</f>
        <v>10749000</v>
      </c>
      <c r="H84" s="205">
        <f>TRUNC(G84*C84,1)</f>
        <v>10749000</v>
      </c>
      <c r="I84" s="205">
        <v>0</v>
      </c>
      <c r="J84" s="205"/>
      <c r="K84" s="205">
        <v>0</v>
      </c>
      <c r="L84" s="205"/>
      <c r="M84" s="20" t="s">
        <v>6232</v>
      </c>
      <c r="N84" t="s">
        <v>6232</v>
      </c>
      <c r="P84" t="s">
        <v>5372</v>
      </c>
      <c r="Q84" t="s">
        <v>4009</v>
      </c>
      <c r="R84" t="s">
        <v>3415</v>
      </c>
      <c r="BI84" s="33" t="str">
        <f>HYPERLINK("#자재조서!A766","MV-9960-004-650 →")</f>
        <v>MV-9960-004-650 →</v>
      </c>
    </row>
    <row r="85" spans="1:61" ht="18.399999999999999" customHeight="1">
      <c r="A85" s="11" t="s">
        <v>1499</v>
      </c>
      <c r="B85" s="2" t="s">
        <v>397</v>
      </c>
      <c r="C85" s="2">
        <v>1</v>
      </c>
      <c r="D85" s="2" t="s">
        <v>1055</v>
      </c>
      <c r="E85" s="205">
        <f t="shared" si="16"/>
        <v>2289000</v>
      </c>
      <c r="F85" s="205">
        <f t="shared" si="15"/>
        <v>2289000</v>
      </c>
      <c r="G85" s="205">
        <f>자재조서!E781</f>
        <v>2289000</v>
      </c>
      <c r="H85" s="205">
        <f>TRUNC(G85*C85,1)</f>
        <v>2289000</v>
      </c>
      <c r="I85" s="205">
        <v>0</v>
      </c>
      <c r="J85" s="205"/>
      <c r="K85" s="205">
        <v>0</v>
      </c>
      <c r="L85" s="205"/>
      <c r="M85" s="20" t="s">
        <v>6232</v>
      </c>
      <c r="N85" t="s">
        <v>6232</v>
      </c>
      <c r="P85" t="s">
        <v>3792</v>
      </c>
      <c r="Q85" t="s">
        <v>4009</v>
      </c>
      <c r="R85" t="s">
        <v>2256</v>
      </c>
      <c r="BI85" s="33" t="str">
        <f>HYPERLINK("#자재조서!A781","MV-9960-007-650 →")</f>
        <v>MV-9960-007-650 →</v>
      </c>
    </row>
    <row r="86" spans="1:61" ht="18.399999999999999" customHeight="1">
      <c r="A86" s="11" t="s">
        <v>1168</v>
      </c>
      <c r="B86" s="2" t="s">
        <v>397</v>
      </c>
      <c r="C86" s="2">
        <v>1</v>
      </c>
      <c r="D86" s="2" t="s">
        <v>1055</v>
      </c>
      <c r="E86" s="205">
        <f t="shared" si="16"/>
        <v>3603000</v>
      </c>
      <c r="F86" s="205">
        <f t="shared" si="15"/>
        <v>3603000</v>
      </c>
      <c r="G86" s="205">
        <f>자재조서!E796</f>
        <v>3603000</v>
      </c>
      <c r="H86" s="205">
        <f>TRUNC(G86*C86,1)</f>
        <v>3603000</v>
      </c>
      <c r="I86" s="205">
        <v>0</v>
      </c>
      <c r="J86" s="205"/>
      <c r="K86" s="205">
        <v>0</v>
      </c>
      <c r="L86" s="205"/>
      <c r="M86" s="20" t="s">
        <v>6232</v>
      </c>
      <c r="N86" t="s">
        <v>6232</v>
      </c>
      <c r="P86" t="s">
        <v>2184</v>
      </c>
      <c r="Q86" t="s">
        <v>6232</v>
      </c>
      <c r="R86" t="s">
        <v>5665</v>
      </c>
      <c r="AA86" s="40" t="s">
        <v>4592</v>
      </c>
      <c r="AB86" s="8">
        <f>((일위대가_호표!H84+일위대가_호표!J84+일위대가_호표!L84)+(일위대가_호표!H85+일위대가_호표!J85+일위대가_호표!L85))*0.12</f>
        <v>1564560</v>
      </c>
      <c r="AC86" s="40" t="s">
        <v>5149</v>
      </c>
      <c r="AD86" s="7">
        <f>$AB86</f>
        <v>1564560</v>
      </c>
      <c r="BI86" s="33" t="str">
        <f>HYPERLINK("#자재조서!A796","MV-9960-010-650 →")</f>
        <v>MV-9960-010-650 →</v>
      </c>
    </row>
    <row r="87" spans="1:61" ht="18.399999999999999" customHeight="1">
      <c r="A87" s="11" t="s">
        <v>4164</v>
      </c>
      <c r="B87" s="2" t="s">
        <v>2972</v>
      </c>
      <c r="C87" s="2">
        <v>7</v>
      </c>
      <c r="D87" s="2" t="s">
        <v>1282</v>
      </c>
      <c r="E87" s="205">
        <f t="shared" si="16"/>
        <v>0</v>
      </c>
      <c r="F87" s="205">
        <f t="shared" si="15"/>
        <v>1564560</v>
      </c>
      <c r="G87" s="206"/>
      <c r="H87" s="205">
        <f>TRUNC((((H84+J84+L84)+(H85+J85+L85))*0.12),1)</f>
        <v>1564560</v>
      </c>
      <c r="I87" s="206"/>
      <c r="J87" s="205">
        <v>0</v>
      </c>
      <c r="K87" s="206"/>
      <c r="L87" s="205">
        <v>0</v>
      </c>
      <c r="M87" s="20" t="s">
        <v>1001</v>
      </c>
      <c r="N87" t="s">
        <v>6232</v>
      </c>
      <c r="P87" t="s">
        <v>637</v>
      </c>
      <c r="Q87" t="s">
        <v>6232</v>
      </c>
      <c r="R87" t="s">
        <v>5235</v>
      </c>
      <c r="X87" t="s">
        <v>643</v>
      </c>
    </row>
    <row r="88" spans="1:61" ht="18.399999999999999" customHeight="1">
      <c r="A88" s="11" t="s">
        <v>5658</v>
      </c>
      <c r="B88" s="2" t="s">
        <v>397</v>
      </c>
      <c r="C88" s="2">
        <v>1</v>
      </c>
      <c r="D88" s="2" t="s">
        <v>3909</v>
      </c>
      <c r="E88" s="205">
        <f t="shared" si="16"/>
        <v>1483840</v>
      </c>
      <c r="F88" s="205">
        <f t="shared" si="15"/>
        <v>1483840</v>
      </c>
      <c r="G88" s="205">
        <f>일위대가목록!F32</f>
        <v>0</v>
      </c>
      <c r="H88" s="205">
        <f t="shared" ref="H88:H97" si="17">TRUNC(G88*C88,1)</f>
        <v>0</v>
      </c>
      <c r="I88" s="205">
        <f>일위대가목록!G32</f>
        <v>1483840</v>
      </c>
      <c r="J88" s="205">
        <f t="shared" ref="J88:J97" si="18">TRUNC(I88*C88,1)</f>
        <v>1483840</v>
      </c>
      <c r="K88" s="205">
        <f>일위대가목록!H32</f>
        <v>0</v>
      </c>
      <c r="L88" s="205">
        <f t="shared" ref="L88:L97" si="19">TRUNC(K88*C88,1)</f>
        <v>0</v>
      </c>
      <c r="M88" s="20" t="s">
        <v>6232</v>
      </c>
      <c r="N88" t="s">
        <v>6232</v>
      </c>
      <c r="P88" t="s">
        <v>3710</v>
      </c>
      <c r="Q88" t="s">
        <v>6232</v>
      </c>
      <c r="R88" t="s">
        <v>3491</v>
      </c>
      <c r="T88" t="s">
        <v>3860</v>
      </c>
      <c r="BI88" s="33" t="str">
        <f>HYPERLINK("#일위대가목록!A990","SZE0001-650 →")</f>
        <v>SZE0001-650 →</v>
      </c>
    </row>
    <row r="89" spans="1:61" ht="18.399999999999999" customHeight="1">
      <c r="A89" s="11" t="s">
        <v>4893</v>
      </c>
      <c r="B89" s="2" t="s">
        <v>4396</v>
      </c>
      <c r="C89" s="199" t="s">
        <v>6500</v>
      </c>
      <c r="D89" s="2" t="s">
        <v>2084</v>
      </c>
      <c r="E89" s="205">
        <f t="shared" si="16"/>
        <v>999605</v>
      </c>
      <c r="F89" s="205">
        <f t="shared" si="15"/>
        <v>39984.199999999997</v>
      </c>
      <c r="G89" s="205">
        <f>일위대가목록!F17</f>
        <v>0</v>
      </c>
      <c r="H89" s="205">
        <f t="shared" si="17"/>
        <v>0</v>
      </c>
      <c r="I89" s="205">
        <f>일위대가목록!G17</f>
        <v>999605</v>
      </c>
      <c r="J89" s="205">
        <f t="shared" si="18"/>
        <v>39984.199999999997</v>
      </c>
      <c r="K89" s="205">
        <f>일위대가목록!H17</f>
        <v>0</v>
      </c>
      <c r="L89" s="205">
        <f t="shared" si="19"/>
        <v>0</v>
      </c>
      <c r="M89" s="20" t="s">
        <v>6232</v>
      </c>
      <c r="N89" t="s">
        <v>6232</v>
      </c>
      <c r="P89" t="s">
        <v>549</v>
      </c>
      <c r="Q89" t="s">
        <v>6232</v>
      </c>
      <c r="R89" t="s">
        <v>3630</v>
      </c>
      <c r="T89" t="s">
        <v>3860</v>
      </c>
      <c r="BI89" s="33" t="str">
        <f>HYPERLINK("#일위대가목록!A949","SZI000001 →")</f>
        <v>SZI000001 →</v>
      </c>
    </row>
    <row r="90" spans="1:61" ht="18.399999999999999" customHeight="1">
      <c r="A90" s="11" t="s">
        <v>2567</v>
      </c>
      <c r="B90" s="2" t="s">
        <v>4396</v>
      </c>
      <c r="C90" s="199" t="s">
        <v>6501</v>
      </c>
      <c r="D90" s="2" t="s">
        <v>2084</v>
      </c>
      <c r="E90" s="205">
        <f t="shared" si="16"/>
        <v>999605</v>
      </c>
      <c r="F90" s="205">
        <f t="shared" si="15"/>
        <v>139944.70000000001</v>
      </c>
      <c r="G90" s="205">
        <f>일위대가목록!F18</f>
        <v>0</v>
      </c>
      <c r="H90" s="205">
        <f t="shared" si="17"/>
        <v>0</v>
      </c>
      <c r="I90" s="205">
        <f>일위대가목록!G18</f>
        <v>999605</v>
      </c>
      <c r="J90" s="205">
        <f t="shared" si="18"/>
        <v>139944.70000000001</v>
      </c>
      <c r="K90" s="205">
        <f>일위대가목록!H18</f>
        <v>0</v>
      </c>
      <c r="L90" s="205">
        <f t="shared" si="19"/>
        <v>0</v>
      </c>
      <c r="M90" s="20" t="s">
        <v>6232</v>
      </c>
      <c r="N90" t="s">
        <v>6232</v>
      </c>
      <c r="P90" t="s">
        <v>528</v>
      </c>
      <c r="Q90" t="s">
        <v>6232</v>
      </c>
      <c r="R90" t="s">
        <v>196</v>
      </c>
      <c r="T90" t="s">
        <v>3860</v>
      </c>
      <c r="BI90" s="33" t="str">
        <f>HYPERLINK("#일위대가목록!A950","SZJ000001 →")</f>
        <v>SZJ000001 →</v>
      </c>
    </row>
    <row r="91" spans="1:61" ht="18.399999999999999" customHeight="1">
      <c r="A91" s="11" t="s">
        <v>5496</v>
      </c>
      <c r="B91" s="2" t="s">
        <v>4396</v>
      </c>
      <c r="C91" s="199" t="s">
        <v>6502</v>
      </c>
      <c r="D91" s="2" t="s">
        <v>2084</v>
      </c>
      <c r="E91" s="205">
        <f t="shared" si="16"/>
        <v>999605</v>
      </c>
      <c r="F91" s="205">
        <f t="shared" si="15"/>
        <v>49980.2</v>
      </c>
      <c r="G91" s="205">
        <f>일위대가목록!F19</f>
        <v>0</v>
      </c>
      <c r="H91" s="205">
        <f t="shared" si="17"/>
        <v>0</v>
      </c>
      <c r="I91" s="205">
        <f>일위대가목록!G19</f>
        <v>999605</v>
      </c>
      <c r="J91" s="205">
        <f t="shared" si="18"/>
        <v>49980.2</v>
      </c>
      <c r="K91" s="205">
        <f>일위대가목록!H19</f>
        <v>0</v>
      </c>
      <c r="L91" s="205">
        <f t="shared" si="19"/>
        <v>0</v>
      </c>
      <c r="M91" s="20" t="s">
        <v>6232</v>
      </c>
      <c r="N91" t="s">
        <v>6232</v>
      </c>
      <c r="P91" t="s">
        <v>2024</v>
      </c>
      <c r="Q91" t="s">
        <v>6232</v>
      </c>
      <c r="R91" t="s">
        <v>4562</v>
      </c>
      <c r="T91" t="s">
        <v>3860</v>
      </c>
      <c r="BI91" s="33" t="str">
        <f>HYPERLINK("#일위대가목록!A951","SZK000001 →")</f>
        <v>SZK000001 →</v>
      </c>
    </row>
    <row r="92" spans="1:61" ht="18.399999999999999" customHeight="1">
      <c r="A92" s="11" t="s">
        <v>4990</v>
      </c>
      <c r="B92" s="2" t="s">
        <v>2393</v>
      </c>
      <c r="C92" s="198">
        <v>1</v>
      </c>
      <c r="D92" s="2" t="s">
        <v>3909</v>
      </c>
      <c r="E92" s="205">
        <f t="shared" si="16"/>
        <v>59958</v>
      </c>
      <c r="F92" s="205">
        <f t="shared" si="15"/>
        <v>59958</v>
      </c>
      <c r="G92" s="205">
        <f>일위대가목록!F20</f>
        <v>0</v>
      </c>
      <c r="H92" s="205">
        <f t="shared" si="17"/>
        <v>0</v>
      </c>
      <c r="I92" s="205">
        <f>일위대가목록!G20</f>
        <v>59958</v>
      </c>
      <c r="J92" s="205">
        <f t="shared" si="18"/>
        <v>59958</v>
      </c>
      <c r="K92" s="205">
        <f>일위대가목록!H20</f>
        <v>0</v>
      </c>
      <c r="L92" s="205">
        <f t="shared" si="19"/>
        <v>0</v>
      </c>
      <c r="M92" s="20" t="s">
        <v>6232</v>
      </c>
      <c r="N92" t="s">
        <v>6232</v>
      </c>
      <c r="P92" t="s">
        <v>3689</v>
      </c>
      <c r="Q92" t="s">
        <v>6232</v>
      </c>
      <c r="R92" t="s">
        <v>1221</v>
      </c>
      <c r="T92" t="s">
        <v>3860</v>
      </c>
      <c r="BI92" s="33" t="str">
        <f>HYPERLINK("#일위대가목록!A952","SZL000001 →")</f>
        <v>SZL000001 →</v>
      </c>
    </row>
    <row r="93" spans="1:61" ht="18.399999999999999" customHeight="1">
      <c r="A93" s="11" t="s">
        <v>2366</v>
      </c>
      <c r="B93" s="2" t="s">
        <v>3414</v>
      </c>
      <c r="C93" s="199" t="s">
        <v>6504</v>
      </c>
      <c r="D93" s="2" t="s">
        <v>2084</v>
      </c>
      <c r="E93" s="205">
        <f t="shared" si="16"/>
        <v>1199526</v>
      </c>
      <c r="F93" s="205">
        <f t="shared" si="15"/>
        <v>35985.699999999997</v>
      </c>
      <c r="G93" s="205">
        <f>일위대가목록!F21</f>
        <v>0</v>
      </c>
      <c r="H93" s="205">
        <f t="shared" si="17"/>
        <v>0</v>
      </c>
      <c r="I93" s="205">
        <f>일위대가목록!G21</f>
        <v>1199526</v>
      </c>
      <c r="J93" s="205">
        <f t="shared" si="18"/>
        <v>35985.699999999997</v>
      </c>
      <c r="K93" s="205">
        <f>일위대가목록!H21</f>
        <v>0</v>
      </c>
      <c r="L93" s="205">
        <f t="shared" si="19"/>
        <v>0</v>
      </c>
      <c r="M93" s="20" t="s">
        <v>6232</v>
      </c>
      <c r="N93" t="s">
        <v>6232</v>
      </c>
      <c r="P93" t="s">
        <v>5215</v>
      </c>
      <c r="Q93" t="s">
        <v>6232</v>
      </c>
      <c r="R93" t="s">
        <v>3250</v>
      </c>
      <c r="T93" t="s">
        <v>3860</v>
      </c>
      <c r="BI93" s="33" t="str">
        <f>HYPERLINK("#일위대가목록!A953","SZM000001 →")</f>
        <v>SZM000001 →</v>
      </c>
    </row>
    <row r="94" spans="1:61" ht="18.399999999999999" customHeight="1">
      <c r="A94" s="11" t="s">
        <v>5139</v>
      </c>
      <c r="B94" s="2" t="s">
        <v>3414</v>
      </c>
      <c r="C94" s="199" t="s">
        <v>6503</v>
      </c>
      <c r="D94" s="2" t="s">
        <v>2084</v>
      </c>
      <c r="E94" s="205">
        <f t="shared" si="16"/>
        <v>999605</v>
      </c>
      <c r="F94" s="205">
        <f t="shared" si="15"/>
        <v>59976.3</v>
      </c>
      <c r="G94" s="205">
        <f>일위대가목록!F22</f>
        <v>0</v>
      </c>
      <c r="H94" s="205">
        <f t="shared" si="17"/>
        <v>0</v>
      </c>
      <c r="I94" s="205">
        <f>일위대가목록!G22</f>
        <v>999605</v>
      </c>
      <c r="J94" s="205">
        <f t="shared" si="18"/>
        <v>59976.3</v>
      </c>
      <c r="K94" s="205">
        <f>일위대가목록!H22</f>
        <v>0</v>
      </c>
      <c r="L94" s="205">
        <f t="shared" si="19"/>
        <v>0</v>
      </c>
      <c r="M94" s="20" t="s">
        <v>6232</v>
      </c>
      <c r="N94" t="s">
        <v>6232</v>
      </c>
      <c r="P94" t="s">
        <v>409</v>
      </c>
      <c r="Q94" t="s">
        <v>6232</v>
      </c>
      <c r="R94" t="s">
        <v>667</v>
      </c>
      <c r="T94" t="s">
        <v>3860</v>
      </c>
      <c r="BI94" s="33" t="str">
        <f>HYPERLINK("#일위대가목록!A954","SZN000001 →")</f>
        <v>SZN000001 →</v>
      </c>
    </row>
    <row r="95" spans="1:61" ht="18.399999999999999" customHeight="1">
      <c r="A95" s="11" t="s">
        <v>5358</v>
      </c>
      <c r="B95" s="2" t="s">
        <v>397</v>
      </c>
      <c r="C95" s="2">
        <v>1</v>
      </c>
      <c r="D95" s="2" t="s">
        <v>3909</v>
      </c>
      <c r="E95" s="205">
        <f t="shared" si="16"/>
        <v>1514963</v>
      </c>
      <c r="F95" s="205">
        <f t="shared" si="15"/>
        <v>1514963</v>
      </c>
      <c r="G95" s="205">
        <f>일위대가목록!F33</f>
        <v>80322</v>
      </c>
      <c r="H95" s="205">
        <f t="shared" si="17"/>
        <v>80322</v>
      </c>
      <c r="I95" s="205">
        <f>일위대가목록!G33</f>
        <v>1412084</v>
      </c>
      <c r="J95" s="205">
        <f t="shared" si="18"/>
        <v>1412084</v>
      </c>
      <c r="K95" s="205">
        <f>일위대가목록!H33</f>
        <v>22557</v>
      </c>
      <c r="L95" s="205">
        <f t="shared" si="19"/>
        <v>22557</v>
      </c>
      <c r="M95" s="20" t="s">
        <v>6232</v>
      </c>
      <c r="N95" t="s">
        <v>6232</v>
      </c>
      <c r="P95" t="s">
        <v>1915</v>
      </c>
      <c r="Q95" t="s">
        <v>6232</v>
      </c>
      <c r="R95" t="s">
        <v>567</v>
      </c>
      <c r="T95" t="s">
        <v>3860</v>
      </c>
      <c r="BI95" s="33" t="str">
        <f>HYPERLINK("#일위대가목록!A991","SZG0001-650 →")</f>
        <v>SZG0001-650 →</v>
      </c>
    </row>
    <row r="96" spans="1:61" ht="18.399999999999999" customHeight="1">
      <c r="A96" s="11" t="s">
        <v>4452</v>
      </c>
      <c r="B96" s="2" t="s">
        <v>397</v>
      </c>
      <c r="C96" s="2">
        <v>1</v>
      </c>
      <c r="D96" s="2" t="s">
        <v>3909</v>
      </c>
      <c r="E96" s="205">
        <f t="shared" si="16"/>
        <v>1514963</v>
      </c>
      <c r="F96" s="205">
        <f t="shared" si="15"/>
        <v>1514963</v>
      </c>
      <c r="G96" s="205">
        <f>일위대가목록!F34</f>
        <v>80322</v>
      </c>
      <c r="H96" s="205">
        <f t="shared" si="17"/>
        <v>80322</v>
      </c>
      <c r="I96" s="205">
        <f>일위대가목록!G34</f>
        <v>1412084</v>
      </c>
      <c r="J96" s="205">
        <f t="shared" si="18"/>
        <v>1412084</v>
      </c>
      <c r="K96" s="205">
        <f>일위대가목록!H34</f>
        <v>22557</v>
      </c>
      <c r="L96" s="205">
        <f t="shared" si="19"/>
        <v>22557</v>
      </c>
      <c r="M96" s="20" t="s">
        <v>6232</v>
      </c>
      <c r="N96" t="s">
        <v>6232</v>
      </c>
      <c r="P96" t="s">
        <v>3548</v>
      </c>
      <c r="Q96" t="s">
        <v>6232</v>
      </c>
      <c r="R96" t="s">
        <v>4828</v>
      </c>
      <c r="T96" t="s">
        <v>3860</v>
      </c>
      <c r="BI96" s="33" t="str">
        <f>HYPERLINK("#일위대가목록!A992","SZH0001-650 →")</f>
        <v>SZH0001-650 →</v>
      </c>
    </row>
    <row r="97" spans="1:61" ht="18.399999999999999" customHeight="1">
      <c r="A97" s="11" t="s">
        <v>2994</v>
      </c>
      <c r="B97" s="2" t="s">
        <v>6199</v>
      </c>
      <c r="C97" s="2">
        <v>6.97</v>
      </c>
      <c r="D97" s="2" t="s">
        <v>5171</v>
      </c>
      <c r="E97" s="205">
        <f t="shared" si="16"/>
        <v>122917</v>
      </c>
      <c r="F97" s="205">
        <f t="shared" si="15"/>
        <v>856731.4</v>
      </c>
      <c r="G97" s="205">
        <f>중기사용료목록!E5</f>
        <v>0</v>
      </c>
      <c r="H97" s="205">
        <f t="shared" si="17"/>
        <v>0</v>
      </c>
      <c r="I97" s="205">
        <f>중기사용료목록!F5</f>
        <v>0</v>
      </c>
      <c r="J97" s="205">
        <f t="shared" si="18"/>
        <v>0</v>
      </c>
      <c r="K97" s="205">
        <f>중기사용료목록!G5</f>
        <v>122917</v>
      </c>
      <c r="L97" s="205">
        <f t="shared" si="19"/>
        <v>856731.4</v>
      </c>
      <c r="M97" s="20" t="s">
        <v>6232</v>
      </c>
      <c r="N97" t="s">
        <v>6232</v>
      </c>
      <c r="P97" t="s">
        <v>5089</v>
      </c>
      <c r="Q97" t="s">
        <v>6232</v>
      </c>
      <c r="R97" t="s">
        <v>5945</v>
      </c>
      <c r="BI97" s="33" t="str">
        <f>HYPERLINK("#중기사용료목록!A6","E00002104002000000 →")</f>
        <v>E00002104002000000 →</v>
      </c>
    </row>
    <row r="98" spans="1:61" ht="18.399999999999999" customHeight="1">
      <c r="A98" s="47"/>
      <c r="B98" s="1"/>
      <c r="C98" s="1"/>
      <c r="D98" s="1"/>
      <c r="E98" s="206"/>
      <c r="F98" s="206"/>
      <c r="G98" s="206"/>
      <c r="H98" s="206"/>
      <c r="I98" s="206"/>
      <c r="J98" s="206"/>
      <c r="K98" s="206"/>
      <c r="L98" s="206"/>
      <c r="M98" s="50"/>
    </row>
    <row r="99" spans="1:61" ht="18.399999999999999" customHeight="1">
      <c r="A99" s="11" t="s">
        <v>2873</v>
      </c>
      <c r="B99" s="2" t="s">
        <v>3826</v>
      </c>
      <c r="C99" s="2">
        <v>1</v>
      </c>
      <c r="D99" s="2" t="s">
        <v>1055</v>
      </c>
      <c r="E99" s="204"/>
      <c r="F99" s="205">
        <f t="shared" ref="F99:F114" si="20">H99+J99+L99</f>
        <v>49210609</v>
      </c>
      <c r="G99" s="204"/>
      <c r="H99" s="205">
        <f>TRUNC(H100+H103+H104+H105+H106+H107+H108+H109+H110+H111+H112+H113+H114,0)</f>
        <v>43301084</v>
      </c>
      <c r="I99" s="204"/>
      <c r="J99" s="205">
        <f>TRUNC(J100+J103+J104+J105+J106+J107+J108+J109+J110+J111+J112+J113+J114,0)</f>
        <v>4956685</v>
      </c>
      <c r="K99" s="204"/>
      <c r="L99" s="205">
        <f>TRUNC(L100+L103+L104+L105+L106+L107+L108+L109+L110+L111+L112+L113+L114,0)</f>
        <v>952840</v>
      </c>
      <c r="M99" s="20" t="s">
        <v>6232</v>
      </c>
      <c r="N99" t="s">
        <v>6232</v>
      </c>
      <c r="O99" t="s">
        <v>4672</v>
      </c>
    </row>
    <row r="100" spans="1:61" ht="18.399999999999999" customHeight="1">
      <c r="A100" s="11" t="s">
        <v>4012</v>
      </c>
      <c r="B100" s="2" t="s">
        <v>3826</v>
      </c>
      <c r="C100" s="2">
        <v>1</v>
      </c>
      <c r="D100" s="2" t="s">
        <v>1055</v>
      </c>
      <c r="E100" s="205">
        <f t="shared" ref="E100:E114" si="21">G100+I100+K100</f>
        <v>37556000</v>
      </c>
      <c r="F100" s="205">
        <f t="shared" si="20"/>
        <v>37556000</v>
      </c>
      <c r="G100" s="205">
        <f>자재조서!E752</f>
        <v>37556000</v>
      </c>
      <c r="H100" s="205">
        <f>TRUNC(G100*C100,1)</f>
        <v>37556000</v>
      </c>
      <c r="I100" s="205">
        <v>0</v>
      </c>
      <c r="J100" s="205"/>
      <c r="K100" s="205">
        <v>0</v>
      </c>
      <c r="L100" s="205"/>
      <c r="M100" s="20" t="s">
        <v>6232</v>
      </c>
      <c r="N100" t="s">
        <v>6232</v>
      </c>
      <c r="P100" t="s">
        <v>742</v>
      </c>
      <c r="Q100" t="s">
        <v>6232</v>
      </c>
      <c r="R100" t="s">
        <v>3470</v>
      </c>
      <c r="BI100" s="33" t="str">
        <f>HYPERLINK("#자재조서!A752","MV-9960-001-700 →")</f>
        <v>MV-9960-001-700 →</v>
      </c>
    </row>
    <row r="101" spans="1:61" ht="18.399999999999999" customHeight="1">
      <c r="A101" s="11" t="s">
        <v>1257</v>
      </c>
      <c r="B101" s="2" t="s">
        <v>3826</v>
      </c>
      <c r="C101" s="2">
        <v>1</v>
      </c>
      <c r="D101" s="2" t="s">
        <v>1055</v>
      </c>
      <c r="E101" s="205">
        <f t="shared" si="21"/>
        <v>11521000</v>
      </c>
      <c r="F101" s="205">
        <f t="shared" si="20"/>
        <v>11521000</v>
      </c>
      <c r="G101" s="205">
        <f>자재조서!E767</f>
        <v>11521000</v>
      </c>
      <c r="H101" s="205">
        <f>TRUNC(G101*C101,1)</f>
        <v>11521000</v>
      </c>
      <c r="I101" s="205">
        <v>0</v>
      </c>
      <c r="J101" s="205"/>
      <c r="K101" s="205">
        <v>0</v>
      </c>
      <c r="L101" s="205"/>
      <c r="M101" s="20" t="s">
        <v>6232</v>
      </c>
      <c r="N101" t="s">
        <v>6232</v>
      </c>
      <c r="P101" t="s">
        <v>5372</v>
      </c>
      <c r="Q101" t="s">
        <v>4009</v>
      </c>
      <c r="R101" t="s">
        <v>6216</v>
      </c>
      <c r="BI101" s="33" t="str">
        <f>HYPERLINK("#자재조서!A767","MV-9960-004-700 →")</f>
        <v>MV-9960-004-700 →</v>
      </c>
    </row>
    <row r="102" spans="1:61" ht="18.399999999999999" customHeight="1">
      <c r="A102" s="11" t="s">
        <v>1499</v>
      </c>
      <c r="B102" s="2" t="s">
        <v>3826</v>
      </c>
      <c r="C102" s="2">
        <v>1</v>
      </c>
      <c r="D102" s="2" t="s">
        <v>1055</v>
      </c>
      <c r="E102" s="205">
        <f t="shared" si="21"/>
        <v>2604000</v>
      </c>
      <c r="F102" s="205">
        <f t="shared" si="20"/>
        <v>2604000</v>
      </c>
      <c r="G102" s="205">
        <f>자재조서!E782</f>
        <v>2604000</v>
      </c>
      <c r="H102" s="205">
        <f>TRUNC(G102*C102,1)</f>
        <v>2604000</v>
      </c>
      <c r="I102" s="205">
        <v>0</v>
      </c>
      <c r="J102" s="205"/>
      <c r="K102" s="205">
        <v>0</v>
      </c>
      <c r="L102" s="205"/>
      <c r="M102" s="20" t="s">
        <v>6232</v>
      </c>
      <c r="N102" t="s">
        <v>6232</v>
      </c>
      <c r="P102" t="s">
        <v>3792</v>
      </c>
      <c r="Q102" t="s">
        <v>4009</v>
      </c>
      <c r="R102" t="s">
        <v>1115</v>
      </c>
      <c r="BI102" s="33" t="str">
        <f>HYPERLINK("#자재조서!A782","MV-9960-007-700 →")</f>
        <v>MV-9960-007-700 →</v>
      </c>
    </row>
    <row r="103" spans="1:61" ht="18.399999999999999" customHeight="1">
      <c r="A103" s="11" t="s">
        <v>1168</v>
      </c>
      <c r="B103" s="2" t="s">
        <v>3826</v>
      </c>
      <c r="C103" s="2">
        <v>1</v>
      </c>
      <c r="D103" s="2" t="s">
        <v>1055</v>
      </c>
      <c r="E103" s="205">
        <f t="shared" si="21"/>
        <v>3881000</v>
      </c>
      <c r="F103" s="205">
        <f t="shared" si="20"/>
        <v>3881000</v>
      </c>
      <c r="G103" s="205">
        <f>자재조서!E797</f>
        <v>3881000</v>
      </c>
      <c r="H103" s="205">
        <f>TRUNC(G103*C103,1)</f>
        <v>3881000</v>
      </c>
      <c r="I103" s="205">
        <v>0</v>
      </c>
      <c r="J103" s="205"/>
      <c r="K103" s="205">
        <v>0</v>
      </c>
      <c r="L103" s="205"/>
      <c r="M103" s="20" t="s">
        <v>6232</v>
      </c>
      <c r="N103" t="s">
        <v>6232</v>
      </c>
      <c r="P103" t="s">
        <v>2184</v>
      </c>
      <c r="Q103" t="s">
        <v>6232</v>
      </c>
      <c r="R103" t="s">
        <v>3742</v>
      </c>
      <c r="AA103" s="40" t="s">
        <v>4592</v>
      </c>
      <c r="AB103" s="8">
        <f>((일위대가_호표!H101+일위대가_호표!J101+일위대가_호표!L101)+(일위대가_호표!H102+일위대가_호표!J102+일위대가_호표!L102))*0.12</f>
        <v>1695000</v>
      </c>
      <c r="AC103" s="40" t="s">
        <v>5149</v>
      </c>
      <c r="AD103" s="7">
        <f>$AB103</f>
        <v>1695000</v>
      </c>
      <c r="BI103" s="33" t="str">
        <f>HYPERLINK("#자재조서!A797","MV-9960-010-700 →")</f>
        <v>MV-9960-010-700 →</v>
      </c>
    </row>
    <row r="104" spans="1:61" ht="18.399999999999999" customHeight="1">
      <c r="A104" s="11" t="s">
        <v>4164</v>
      </c>
      <c r="B104" s="2" t="s">
        <v>2972</v>
      </c>
      <c r="C104" s="2">
        <v>7</v>
      </c>
      <c r="D104" s="2" t="s">
        <v>1282</v>
      </c>
      <c r="E104" s="205">
        <f t="shared" si="21"/>
        <v>0</v>
      </c>
      <c r="F104" s="205">
        <f t="shared" si="20"/>
        <v>1695000</v>
      </c>
      <c r="G104" s="206"/>
      <c r="H104" s="205">
        <f>TRUNC((((H101+J101+L101)+(H102+J102+L102))*0.12),1)</f>
        <v>1695000</v>
      </c>
      <c r="I104" s="206"/>
      <c r="J104" s="205">
        <v>0</v>
      </c>
      <c r="K104" s="206"/>
      <c r="L104" s="205">
        <v>0</v>
      </c>
      <c r="M104" s="20" t="s">
        <v>1001</v>
      </c>
      <c r="N104" t="s">
        <v>6232</v>
      </c>
      <c r="P104" t="s">
        <v>637</v>
      </c>
      <c r="Q104" t="s">
        <v>6232</v>
      </c>
      <c r="R104" t="s">
        <v>5235</v>
      </c>
      <c r="X104" t="s">
        <v>643</v>
      </c>
    </row>
    <row r="105" spans="1:61" ht="18.399999999999999" customHeight="1">
      <c r="A105" s="11" t="s">
        <v>5658</v>
      </c>
      <c r="B105" s="2" t="s">
        <v>3826</v>
      </c>
      <c r="C105" s="2">
        <v>1</v>
      </c>
      <c r="D105" s="2" t="s">
        <v>3909</v>
      </c>
      <c r="E105" s="205">
        <f t="shared" si="21"/>
        <v>1600896</v>
      </c>
      <c r="F105" s="205">
        <f t="shared" si="20"/>
        <v>1600896</v>
      </c>
      <c r="G105" s="205">
        <f>일위대가목록!F35</f>
        <v>0</v>
      </c>
      <c r="H105" s="205">
        <f t="shared" ref="H105:H114" si="22">TRUNC(G105*C105,1)</f>
        <v>0</v>
      </c>
      <c r="I105" s="205">
        <f>일위대가목록!G35</f>
        <v>1600896</v>
      </c>
      <c r="J105" s="205">
        <f t="shared" ref="J105:J114" si="23">TRUNC(I105*C105,1)</f>
        <v>1600896</v>
      </c>
      <c r="K105" s="205">
        <f>일위대가목록!H35</f>
        <v>0</v>
      </c>
      <c r="L105" s="205">
        <f t="shared" ref="L105:L114" si="24">TRUNC(K105*C105,1)</f>
        <v>0</v>
      </c>
      <c r="M105" s="20" t="s">
        <v>6232</v>
      </c>
      <c r="N105" t="s">
        <v>6232</v>
      </c>
      <c r="P105" t="s">
        <v>3710</v>
      </c>
      <c r="Q105" t="s">
        <v>6232</v>
      </c>
      <c r="R105" t="s">
        <v>5481</v>
      </c>
      <c r="T105" t="s">
        <v>3860</v>
      </c>
      <c r="BI105" s="33" t="str">
        <f>HYPERLINK("#일위대가목록!A993","SZE0001-700 →")</f>
        <v>SZE0001-700 →</v>
      </c>
    </row>
    <row r="106" spans="1:61" ht="18.399999999999999" customHeight="1">
      <c r="A106" s="11" t="s">
        <v>4893</v>
      </c>
      <c r="B106" s="2" t="s">
        <v>4396</v>
      </c>
      <c r="C106" s="199" t="s">
        <v>6500</v>
      </c>
      <c r="D106" s="2" t="s">
        <v>2084</v>
      </c>
      <c r="E106" s="205">
        <f t="shared" si="21"/>
        <v>999605</v>
      </c>
      <c r="F106" s="205">
        <f t="shared" si="20"/>
        <v>39984.199999999997</v>
      </c>
      <c r="G106" s="205">
        <f>일위대가목록!F17</f>
        <v>0</v>
      </c>
      <c r="H106" s="205">
        <f t="shared" si="22"/>
        <v>0</v>
      </c>
      <c r="I106" s="205">
        <f>일위대가목록!G17</f>
        <v>999605</v>
      </c>
      <c r="J106" s="205">
        <f t="shared" si="23"/>
        <v>39984.199999999997</v>
      </c>
      <c r="K106" s="205">
        <f>일위대가목록!H17</f>
        <v>0</v>
      </c>
      <c r="L106" s="205">
        <f t="shared" si="24"/>
        <v>0</v>
      </c>
      <c r="M106" s="20" t="s">
        <v>6232</v>
      </c>
      <c r="N106" t="s">
        <v>6232</v>
      </c>
      <c r="P106" t="s">
        <v>549</v>
      </c>
      <c r="Q106" t="s">
        <v>6232</v>
      </c>
      <c r="R106" t="s">
        <v>3630</v>
      </c>
      <c r="T106" t="s">
        <v>3860</v>
      </c>
      <c r="BI106" s="33" t="str">
        <f>HYPERLINK("#일위대가목록!A949","SZI000001 →")</f>
        <v>SZI000001 →</v>
      </c>
    </row>
    <row r="107" spans="1:61" ht="18.399999999999999" customHeight="1">
      <c r="A107" s="11" t="s">
        <v>2567</v>
      </c>
      <c r="B107" s="2" t="s">
        <v>4396</v>
      </c>
      <c r="C107" s="199" t="s">
        <v>6501</v>
      </c>
      <c r="D107" s="2" t="s">
        <v>2084</v>
      </c>
      <c r="E107" s="205">
        <f t="shared" si="21"/>
        <v>999605</v>
      </c>
      <c r="F107" s="205">
        <f t="shared" si="20"/>
        <v>139944.70000000001</v>
      </c>
      <c r="G107" s="205">
        <f>일위대가목록!F18</f>
        <v>0</v>
      </c>
      <c r="H107" s="205">
        <f t="shared" si="22"/>
        <v>0</v>
      </c>
      <c r="I107" s="205">
        <f>일위대가목록!G18</f>
        <v>999605</v>
      </c>
      <c r="J107" s="205">
        <f t="shared" si="23"/>
        <v>139944.70000000001</v>
      </c>
      <c r="K107" s="205">
        <f>일위대가목록!H18</f>
        <v>0</v>
      </c>
      <c r="L107" s="205">
        <f t="shared" si="24"/>
        <v>0</v>
      </c>
      <c r="M107" s="20" t="s">
        <v>6232</v>
      </c>
      <c r="N107" t="s">
        <v>6232</v>
      </c>
      <c r="P107" t="s">
        <v>528</v>
      </c>
      <c r="Q107" t="s">
        <v>6232</v>
      </c>
      <c r="R107" t="s">
        <v>196</v>
      </c>
      <c r="T107" t="s">
        <v>3860</v>
      </c>
      <c r="BI107" s="33" t="str">
        <f>HYPERLINK("#일위대가목록!A950","SZJ000001 →")</f>
        <v>SZJ000001 →</v>
      </c>
    </row>
    <row r="108" spans="1:61" ht="18.399999999999999" customHeight="1">
      <c r="A108" s="11" t="s">
        <v>5496</v>
      </c>
      <c r="B108" s="2" t="s">
        <v>4396</v>
      </c>
      <c r="C108" s="199" t="s">
        <v>6502</v>
      </c>
      <c r="D108" s="2" t="s">
        <v>2084</v>
      </c>
      <c r="E108" s="205">
        <f t="shared" si="21"/>
        <v>999605</v>
      </c>
      <c r="F108" s="205">
        <f t="shared" si="20"/>
        <v>49980.2</v>
      </c>
      <c r="G108" s="205">
        <f>일위대가목록!F19</f>
        <v>0</v>
      </c>
      <c r="H108" s="205">
        <f t="shared" si="22"/>
        <v>0</v>
      </c>
      <c r="I108" s="205">
        <f>일위대가목록!G19</f>
        <v>999605</v>
      </c>
      <c r="J108" s="205">
        <f t="shared" si="23"/>
        <v>49980.2</v>
      </c>
      <c r="K108" s="205">
        <f>일위대가목록!H19</f>
        <v>0</v>
      </c>
      <c r="L108" s="205">
        <f t="shared" si="24"/>
        <v>0</v>
      </c>
      <c r="M108" s="20" t="s">
        <v>6232</v>
      </c>
      <c r="N108" t="s">
        <v>6232</v>
      </c>
      <c r="P108" t="s">
        <v>2024</v>
      </c>
      <c r="Q108" t="s">
        <v>6232</v>
      </c>
      <c r="R108" t="s">
        <v>4562</v>
      </c>
      <c r="T108" t="s">
        <v>3860</v>
      </c>
      <c r="BI108" s="33" t="str">
        <f>HYPERLINK("#일위대가목록!A951","SZK000001 →")</f>
        <v>SZK000001 →</v>
      </c>
    </row>
    <row r="109" spans="1:61" ht="18.399999999999999" customHeight="1">
      <c r="A109" s="11" t="s">
        <v>4990</v>
      </c>
      <c r="B109" s="2" t="s">
        <v>2393</v>
      </c>
      <c r="C109" s="198">
        <v>1</v>
      </c>
      <c r="D109" s="2" t="s">
        <v>3909</v>
      </c>
      <c r="E109" s="205">
        <f t="shared" si="21"/>
        <v>59958</v>
      </c>
      <c r="F109" s="205">
        <f t="shared" si="20"/>
        <v>59958</v>
      </c>
      <c r="G109" s="205">
        <f>일위대가목록!F20</f>
        <v>0</v>
      </c>
      <c r="H109" s="205">
        <f t="shared" si="22"/>
        <v>0</v>
      </c>
      <c r="I109" s="205">
        <f>일위대가목록!G20</f>
        <v>59958</v>
      </c>
      <c r="J109" s="205">
        <f t="shared" si="23"/>
        <v>59958</v>
      </c>
      <c r="K109" s="205">
        <f>일위대가목록!H20</f>
        <v>0</v>
      </c>
      <c r="L109" s="205">
        <f t="shared" si="24"/>
        <v>0</v>
      </c>
      <c r="M109" s="20" t="s">
        <v>6232</v>
      </c>
      <c r="N109" t="s">
        <v>6232</v>
      </c>
      <c r="P109" t="s">
        <v>3689</v>
      </c>
      <c r="Q109" t="s">
        <v>6232</v>
      </c>
      <c r="R109" t="s">
        <v>1221</v>
      </c>
      <c r="T109" t="s">
        <v>3860</v>
      </c>
      <c r="BI109" s="33" t="str">
        <f>HYPERLINK("#일위대가목록!A952","SZL000001 →")</f>
        <v>SZL000001 →</v>
      </c>
    </row>
    <row r="110" spans="1:61" ht="18.399999999999999" customHeight="1">
      <c r="A110" s="11" t="s">
        <v>2366</v>
      </c>
      <c r="B110" s="2" t="s">
        <v>3414</v>
      </c>
      <c r="C110" s="199" t="s">
        <v>6504</v>
      </c>
      <c r="D110" s="2" t="s">
        <v>2084</v>
      </c>
      <c r="E110" s="205">
        <f t="shared" si="21"/>
        <v>1199526</v>
      </c>
      <c r="F110" s="205">
        <f t="shared" si="20"/>
        <v>35985.699999999997</v>
      </c>
      <c r="G110" s="205">
        <f>일위대가목록!F21</f>
        <v>0</v>
      </c>
      <c r="H110" s="205">
        <f t="shared" si="22"/>
        <v>0</v>
      </c>
      <c r="I110" s="205">
        <f>일위대가목록!G21</f>
        <v>1199526</v>
      </c>
      <c r="J110" s="205">
        <f t="shared" si="23"/>
        <v>35985.699999999997</v>
      </c>
      <c r="K110" s="205">
        <f>일위대가목록!H21</f>
        <v>0</v>
      </c>
      <c r="L110" s="205">
        <f t="shared" si="24"/>
        <v>0</v>
      </c>
      <c r="M110" s="20" t="s">
        <v>6232</v>
      </c>
      <c r="N110" t="s">
        <v>6232</v>
      </c>
      <c r="P110" t="s">
        <v>5215</v>
      </c>
      <c r="Q110" t="s">
        <v>6232</v>
      </c>
      <c r="R110" t="s">
        <v>3250</v>
      </c>
      <c r="T110" t="s">
        <v>3860</v>
      </c>
      <c r="BI110" s="33" t="str">
        <f>HYPERLINK("#일위대가목록!A953","SZM000001 →")</f>
        <v>SZM000001 →</v>
      </c>
    </row>
    <row r="111" spans="1:61" ht="18.399999999999999" customHeight="1">
      <c r="A111" s="11" t="s">
        <v>5139</v>
      </c>
      <c r="B111" s="2" t="s">
        <v>3414</v>
      </c>
      <c r="C111" s="199" t="s">
        <v>6503</v>
      </c>
      <c r="D111" s="2" t="s">
        <v>2084</v>
      </c>
      <c r="E111" s="205">
        <f t="shared" si="21"/>
        <v>999605</v>
      </c>
      <c r="F111" s="205">
        <f t="shared" si="20"/>
        <v>59976.3</v>
      </c>
      <c r="G111" s="205">
        <f>일위대가목록!F22</f>
        <v>0</v>
      </c>
      <c r="H111" s="205">
        <f t="shared" si="22"/>
        <v>0</v>
      </c>
      <c r="I111" s="205">
        <f>일위대가목록!G22</f>
        <v>999605</v>
      </c>
      <c r="J111" s="205">
        <f t="shared" si="23"/>
        <v>59976.3</v>
      </c>
      <c r="K111" s="205">
        <f>일위대가목록!H22</f>
        <v>0</v>
      </c>
      <c r="L111" s="205">
        <f t="shared" si="24"/>
        <v>0</v>
      </c>
      <c r="M111" s="20" t="s">
        <v>6232</v>
      </c>
      <c r="N111" t="s">
        <v>6232</v>
      </c>
      <c r="P111" t="s">
        <v>409</v>
      </c>
      <c r="Q111" t="s">
        <v>6232</v>
      </c>
      <c r="R111" t="s">
        <v>667</v>
      </c>
      <c r="T111" t="s">
        <v>3860</v>
      </c>
      <c r="BI111" s="33" t="str">
        <f>HYPERLINK("#일위대가목록!A954","SZN000001 →")</f>
        <v>SZN000001 →</v>
      </c>
    </row>
    <row r="112" spans="1:61" ht="18.399999999999999" customHeight="1">
      <c r="A112" s="11" t="s">
        <v>5358</v>
      </c>
      <c r="B112" s="2" t="s">
        <v>3826</v>
      </c>
      <c r="C112" s="2">
        <v>1</v>
      </c>
      <c r="D112" s="2" t="s">
        <v>3909</v>
      </c>
      <c r="E112" s="205">
        <f t="shared" si="21"/>
        <v>1593265</v>
      </c>
      <c r="F112" s="205">
        <f t="shared" si="20"/>
        <v>1593265</v>
      </c>
      <c r="G112" s="205">
        <f>일위대가목록!F36</f>
        <v>84542</v>
      </c>
      <c r="H112" s="205">
        <f t="shared" si="22"/>
        <v>84542</v>
      </c>
      <c r="I112" s="205">
        <f>일위대가목록!G36</f>
        <v>1484980</v>
      </c>
      <c r="J112" s="205">
        <f t="shared" si="23"/>
        <v>1484980</v>
      </c>
      <c r="K112" s="205">
        <f>일위대가목록!H36</f>
        <v>23743</v>
      </c>
      <c r="L112" s="205">
        <f t="shared" si="24"/>
        <v>23743</v>
      </c>
      <c r="M112" s="20" t="s">
        <v>6232</v>
      </c>
      <c r="N112" t="s">
        <v>6232</v>
      </c>
      <c r="P112" t="s">
        <v>1915</v>
      </c>
      <c r="Q112" t="s">
        <v>6232</v>
      </c>
      <c r="R112" t="s">
        <v>2420</v>
      </c>
      <c r="T112" t="s">
        <v>3860</v>
      </c>
      <c r="BI112" s="33" t="str">
        <f>HYPERLINK("#일위대가목록!A994","SZG0001-700 →")</f>
        <v>SZG0001-700 →</v>
      </c>
    </row>
    <row r="113" spans="1:61" ht="18.399999999999999" customHeight="1">
      <c r="A113" s="11" t="s">
        <v>4452</v>
      </c>
      <c r="B113" s="2" t="s">
        <v>3826</v>
      </c>
      <c r="C113" s="2">
        <v>1</v>
      </c>
      <c r="D113" s="2" t="s">
        <v>3909</v>
      </c>
      <c r="E113" s="205">
        <f t="shared" si="21"/>
        <v>1593265</v>
      </c>
      <c r="F113" s="205">
        <f t="shared" si="20"/>
        <v>1593265</v>
      </c>
      <c r="G113" s="205">
        <f>일위대가목록!F37</f>
        <v>84542</v>
      </c>
      <c r="H113" s="205">
        <f t="shared" si="22"/>
        <v>84542</v>
      </c>
      <c r="I113" s="205">
        <f>일위대가목록!G37</f>
        <v>1484980</v>
      </c>
      <c r="J113" s="205">
        <f t="shared" si="23"/>
        <v>1484980</v>
      </c>
      <c r="K113" s="205">
        <f>일위대가목록!H37</f>
        <v>23743</v>
      </c>
      <c r="L113" s="205">
        <f t="shared" si="24"/>
        <v>23743</v>
      </c>
      <c r="M113" s="20" t="s">
        <v>6232</v>
      </c>
      <c r="N113" t="s">
        <v>6232</v>
      </c>
      <c r="P113" t="s">
        <v>3548</v>
      </c>
      <c r="Q113" t="s">
        <v>6232</v>
      </c>
      <c r="R113" t="s">
        <v>4389</v>
      </c>
      <c r="T113" t="s">
        <v>3860</v>
      </c>
      <c r="BI113" s="33" t="str">
        <f>HYPERLINK("#일위대가목록!A995","SZH0001-700 →")</f>
        <v>SZH0001-700 →</v>
      </c>
    </row>
    <row r="114" spans="1:61" ht="18.399999999999999" customHeight="1">
      <c r="A114" s="11" t="s">
        <v>2994</v>
      </c>
      <c r="B114" s="2" t="s">
        <v>2550</v>
      </c>
      <c r="C114" s="2">
        <v>6.97</v>
      </c>
      <c r="D114" s="2" t="s">
        <v>5171</v>
      </c>
      <c r="E114" s="205">
        <f t="shared" si="21"/>
        <v>129893</v>
      </c>
      <c r="F114" s="205">
        <f t="shared" si="20"/>
        <v>905354.2</v>
      </c>
      <c r="G114" s="205">
        <f>중기사용료목록!E6</f>
        <v>0</v>
      </c>
      <c r="H114" s="205">
        <f t="shared" si="22"/>
        <v>0</v>
      </c>
      <c r="I114" s="205">
        <f>중기사용료목록!F6</f>
        <v>0</v>
      </c>
      <c r="J114" s="205">
        <f t="shared" si="23"/>
        <v>0</v>
      </c>
      <c r="K114" s="205">
        <f>중기사용료목록!G6</f>
        <v>129893</v>
      </c>
      <c r="L114" s="205">
        <f t="shared" si="24"/>
        <v>905354.2</v>
      </c>
      <c r="M114" s="20" t="s">
        <v>6232</v>
      </c>
      <c r="N114" t="s">
        <v>6232</v>
      </c>
      <c r="P114" t="s">
        <v>5089</v>
      </c>
      <c r="Q114" t="s">
        <v>6232</v>
      </c>
      <c r="R114" t="s">
        <v>1702</v>
      </c>
      <c r="BI114" s="33" t="str">
        <f>HYPERLINK("#중기사용료목록!A7","E00002104002500000 →")</f>
        <v>E00002104002500000 →</v>
      </c>
    </row>
    <row r="115" spans="1:61" ht="18.399999999999999" customHeight="1">
      <c r="A115" s="47"/>
      <c r="B115" s="1"/>
      <c r="C115" s="1"/>
      <c r="D115" s="1"/>
      <c r="E115" s="206"/>
      <c r="F115" s="206"/>
      <c r="G115" s="206"/>
      <c r="H115" s="206"/>
      <c r="I115" s="206"/>
      <c r="J115" s="206"/>
      <c r="K115" s="206"/>
      <c r="L115" s="206"/>
      <c r="M115" s="50"/>
    </row>
    <row r="116" spans="1:61" ht="18.399999999999999" customHeight="1">
      <c r="A116" s="11" t="s">
        <v>40</v>
      </c>
      <c r="B116" s="2" t="s">
        <v>2823</v>
      </c>
      <c r="C116" s="2">
        <v>1</v>
      </c>
      <c r="D116" s="2" t="s">
        <v>1055</v>
      </c>
      <c r="E116" s="204"/>
      <c r="F116" s="205">
        <f t="shared" ref="F116:F131" si="25">H116+J116+L116</f>
        <v>56070268</v>
      </c>
      <c r="G116" s="204"/>
      <c r="H116" s="205">
        <f>TRUNC(H117+H120+H121+H122+H123+H124+H125+H126+H127+H128+H129+H130+H131,0)</f>
        <v>49894706</v>
      </c>
      <c r="I116" s="204"/>
      <c r="J116" s="205">
        <f>TRUNC(J117+J120+J121+J122+J123+J124+J125+J126+J127+J128+J129+J130+J131,0)</f>
        <v>5220344</v>
      </c>
      <c r="K116" s="204"/>
      <c r="L116" s="205">
        <f>TRUNC(L117+L120+L121+L122+L123+L124+L125+L126+L127+L128+L129+L130+L131,0)</f>
        <v>955218</v>
      </c>
      <c r="M116" s="20" t="s">
        <v>6232</v>
      </c>
      <c r="N116" t="s">
        <v>6232</v>
      </c>
      <c r="O116" t="s">
        <v>3201</v>
      </c>
    </row>
    <row r="117" spans="1:61" ht="18.399999999999999" customHeight="1">
      <c r="A117" s="11" t="s">
        <v>4012</v>
      </c>
      <c r="B117" s="2" t="s">
        <v>2823</v>
      </c>
      <c r="C117" s="2">
        <v>1</v>
      </c>
      <c r="D117" s="2" t="s">
        <v>1055</v>
      </c>
      <c r="E117" s="205">
        <f t="shared" ref="E117:E131" si="26">G117+I117+K117</f>
        <v>42887000</v>
      </c>
      <c r="F117" s="205">
        <f t="shared" si="25"/>
        <v>42887000</v>
      </c>
      <c r="G117" s="205">
        <f>자재조서!E753</f>
        <v>42887000</v>
      </c>
      <c r="H117" s="205">
        <f>TRUNC(G117*C117,1)</f>
        <v>42887000</v>
      </c>
      <c r="I117" s="205">
        <v>0</v>
      </c>
      <c r="J117" s="205"/>
      <c r="K117" s="205">
        <v>0</v>
      </c>
      <c r="L117" s="205"/>
      <c r="M117" s="20" t="s">
        <v>6232</v>
      </c>
      <c r="N117" t="s">
        <v>6232</v>
      </c>
      <c r="P117" t="s">
        <v>742</v>
      </c>
      <c r="Q117" t="s">
        <v>6232</v>
      </c>
      <c r="R117" t="s">
        <v>4903</v>
      </c>
      <c r="BI117" s="33" t="str">
        <f>HYPERLINK("#자재조서!A753","MV-9960-001-750 →")</f>
        <v>MV-9960-001-750 →</v>
      </c>
    </row>
    <row r="118" spans="1:61" ht="18.399999999999999" customHeight="1">
      <c r="A118" s="11" t="s">
        <v>1257</v>
      </c>
      <c r="B118" s="2" t="s">
        <v>2823</v>
      </c>
      <c r="C118" s="2">
        <v>1</v>
      </c>
      <c r="D118" s="2" t="s">
        <v>1055</v>
      </c>
      <c r="E118" s="205">
        <f t="shared" si="26"/>
        <v>13989000</v>
      </c>
      <c r="F118" s="205">
        <f t="shared" si="25"/>
        <v>13989000</v>
      </c>
      <c r="G118" s="205">
        <f>자재조서!E768</f>
        <v>13989000</v>
      </c>
      <c r="H118" s="205">
        <f>TRUNC(G118*C118,1)</f>
        <v>13989000</v>
      </c>
      <c r="I118" s="205">
        <v>0</v>
      </c>
      <c r="J118" s="205"/>
      <c r="K118" s="205">
        <v>0</v>
      </c>
      <c r="L118" s="205"/>
      <c r="M118" s="20" t="s">
        <v>6232</v>
      </c>
      <c r="N118" t="s">
        <v>6232</v>
      </c>
      <c r="P118" t="s">
        <v>5372</v>
      </c>
      <c r="Q118" t="s">
        <v>4009</v>
      </c>
      <c r="R118" t="s">
        <v>4508</v>
      </c>
      <c r="BI118" s="33" t="str">
        <f>HYPERLINK("#자재조서!A768","MV-9960-004-750 →")</f>
        <v>MV-9960-004-750 →</v>
      </c>
    </row>
    <row r="119" spans="1:61" ht="18.399999999999999" customHeight="1">
      <c r="A119" s="11" t="s">
        <v>1499</v>
      </c>
      <c r="B119" s="2" t="s">
        <v>2823</v>
      </c>
      <c r="C119" s="2">
        <v>1</v>
      </c>
      <c r="D119" s="2" t="s">
        <v>1055</v>
      </c>
      <c r="E119" s="205">
        <f t="shared" si="26"/>
        <v>2792000</v>
      </c>
      <c r="F119" s="205">
        <f t="shared" si="25"/>
        <v>2792000</v>
      </c>
      <c r="G119" s="205">
        <f>자재조서!E783</f>
        <v>2792000</v>
      </c>
      <c r="H119" s="205">
        <f>TRUNC(G119*C119,1)</f>
        <v>2792000</v>
      </c>
      <c r="I119" s="205">
        <v>0</v>
      </c>
      <c r="J119" s="205"/>
      <c r="K119" s="205">
        <v>0</v>
      </c>
      <c r="L119" s="205"/>
      <c r="M119" s="20" t="s">
        <v>6232</v>
      </c>
      <c r="N119" t="s">
        <v>6232</v>
      </c>
      <c r="P119" t="s">
        <v>3792</v>
      </c>
      <c r="Q119" t="s">
        <v>4009</v>
      </c>
      <c r="R119" t="s">
        <v>2579</v>
      </c>
      <c r="BI119" s="33" t="str">
        <f>HYPERLINK("#자재조서!A783","MV-9960-007-750 →")</f>
        <v>MV-9960-007-750 →</v>
      </c>
    </row>
    <row r="120" spans="1:61" ht="18.399999999999999" customHeight="1">
      <c r="A120" s="11" t="s">
        <v>1168</v>
      </c>
      <c r="B120" s="2" t="s">
        <v>2823</v>
      </c>
      <c r="C120" s="2">
        <v>1</v>
      </c>
      <c r="D120" s="2" t="s">
        <v>1055</v>
      </c>
      <c r="E120" s="205">
        <f t="shared" si="26"/>
        <v>4313000</v>
      </c>
      <c r="F120" s="205">
        <f t="shared" si="25"/>
        <v>4313000</v>
      </c>
      <c r="G120" s="205">
        <f>자재조서!E798</f>
        <v>4313000</v>
      </c>
      <c r="H120" s="205">
        <f>TRUNC(G120*C120,1)</f>
        <v>4313000</v>
      </c>
      <c r="I120" s="205">
        <v>0</v>
      </c>
      <c r="J120" s="205"/>
      <c r="K120" s="205">
        <v>0</v>
      </c>
      <c r="L120" s="205"/>
      <c r="M120" s="20" t="s">
        <v>6232</v>
      </c>
      <c r="N120" t="s">
        <v>6232</v>
      </c>
      <c r="P120" t="s">
        <v>2184</v>
      </c>
      <c r="Q120" t="s">
        <v>6232</v>
      </c>
      <c r="R120" t="s">
        <v>5427</v>
      </c>
      <c r="AA120" s="40" t="s">
        <v>4592</v>
      </c>
      <c r="AB120" s="8">
        <f>((일위대가_호표!H118+일위대가_호표!J118+일위대가_호표!L118)+(일위대가_호표!H119+일위대가_호표!J119+일위대가_호표!L119))*0.15</f>
        <v>2517150</v>
      </c>
      <c r="AC120" s="40" t="s">
        <v>5149</v>
      </c>
      <c r="AD120" s="7">
        <f>$AB120</f>
        <v>2517150</v>
      </c>
      <c r="BI120" s="33" t="str">
        <f>HYPERLINK("#자재조서!A798","MV-9960-010-750 →")</f>
        <v>MV-9960-010-750 →</v>
      </c>
    </row>
    <row r="121" spans="1:61" ht="18.399999999999999" customHeight="1">
      <c r="A121" s="11" t="s">
        <v>4164</v>
      </c>
      <c r="B121" s="2" t="s">
        <v>2972</v>
      </c>
      <c r="C121" s="2">
        <v>7</v>
      </c>
      <c r="D121" s="2" t="s">
        <v>1282</v>
      </c>
      <c r="E121" s="205">
        <f t="shared" si="26"/>
        <v>0</v>
      </c>
      <c r="F121" s="205">
        <f t="shared" si="25"/>
        <v>2517150</v>
      </c>
      <c r="G121" s="206"/>
      <c r="H121" s="205">
        <f>TRUNC((((H118+J118+L118)+(H119+J119+L119))*0.15),1)</f>
        <v>2517150</v>
      </c>
      <c r="I121" s="206"/>
      <c r="J121" s="205">
        <v>0</v>
      </c>
      <c r="K121" s="206"/>
      <c r="L121" s="205">
        <v>0</v>
      </c>
      <c r="M121" s="20" t="s">
        <v>1001</v>
      </c>
      <c r="N121" t="s">
        <v>6232</v>
      </c>
      <c r="P121" t="s">
        <v>637</v>
      </c>
      <c r="Q121" t="s">
        <v>6232</v>
      </c>
      <c r="R121" t="s">
        <v>5235</v>
      </c>
      <c r="X121" t="s">
        <v>4496</v>
      </c>
    </row>
    <row r="122" spans="1:61" ht="18.399999999999999" customHeight="1">
      <c r="A122" s="11" t="s">
        <v>5658</v>
      </c>
      <c r="B122" s="2" t="s">
        <v>2823</v>
      </c>
      <c r="C122" s="2">
        <v>1</v>
      </c>
      <c r="D122" s="2" t="s">
        <v>3909</v>
      </c>
      <c r="E122" s="205">
        <f t="shared" si="26"/>
        <v>1687035</v>
      </c>
      <c r="F122" s="205">
        <f t="shared" si="25"/>
        <v>1687035</v>
      </c>
      <c r="G122" s="205">
        <f>일위대가목록!F38</f>
        <v>0</v>
      </c>
      <c r="H122" s="205">
        <f t="shared" ref="H122:H131" si="27">TRUNC(G122*C122,1)</f>
        <v>0</v>
      </c>
      <c r="I122" s="205">
        <f>일위대가목록!G38</f>
        <v>1687035</v>
      </c>
      <c r="J122" s="205">
        <f t="shared" ref="J122:J131" si="28">TRUNC(I122*C122,1)</f>
        <v>1687035</v>
      </c>
      <c r="K122" s="205">
        <f>일위대가목록!H38</f>
        <v>0</v>
      </c>
      <c r="L122" s="205">
        <f t="shared" ref="L122:L131" si="29">TRUNC(K122*C122,1)</f>
        <v>0</v>
      </c>
      <c r="M122" s="20" t="s">
        <v>6232</v>
      </c>
      <c r="N122" t="s">
        <v>6232</v>
      </c>
      <c r="P122" t="s">
        <v>3710</v>
      </c>
      <c r="Q122" t="s">
        <v>6232</v>
      </c>
      <c r="R122" t="s">
        <v>4079</v>
      </c>
      <c r="T122" t="s">
        <v>3860</v>
      </c>
      <c r="BI122" s="33" t="str">
        <f>HYPERLINK("#일위대가목록!A996","SZE0001-750 →")</f>
        <v>SZE0001-750 →</v>
      </c>
    </row>
    <row r="123" spans="1:61" ht="18.399999999999999" customHeight="1">
      <c r="A123" s="11" t="s">
        <v>4893</v>
      </c>
      <c r="B123" s="2" t="s">
        <v>4396</v>
      </c>
      <c r="C123" s="199" t="s">
        <v>6500</v>
      </c>
      <c r="D123" s="2" t="s">
        <v>2084</v>
      </c>
      <c r="E123" s="205">
        <f t="shared" si="26"/>
        <v>999605</v>
      </c>
      <c r="F123" s="205">
        <f t="shared" si="25"/>
        <v>39984.199999999997</v>
      </c>
      <c r="G123" s="205">
        <f>일위대가목록!F17</f>
        <v>0</v>
      </c>
      <c r="H123" s="205">
        <f t="shared" si="27"/>
        <v>0</v>
      </c>
      <c r="I123" s="205">
        <f>일위대가목록!G17</f>
        <v>999605</v>
      </c>
      <c r="J123" s="205">
        <f t="shared" si="28"/>
        <v>39984.199999999997</v>
      </c>
      <c r="K123" s="205">
        <f>일위대가목록!H17</f>
        <v>0</v>
      </c>
      <c r="L123" s="205">
        <f t="shared" si="29"/>
        <v>0</v>
      </c>
      <c r="M123" s="20" t="s">
        <v>6232</v>
      </c>
      <c r="N123" t="s">
        <v>6232</v>
      </c>
      <c r="P123" t="s">
        <v>549</v>
      </c>
      <c r="Q123" t="s">
        <v>6232</v>
      </c>
      <c r="R123" t="s">
        <v>3630</v>
      </c>
      <c r="T123" t="s">
        <v>3860</v>
      </c>
      <c r="BI123" s="33" t="str">
        <f>HYPERLINK("#일위대가목록!A949","SZI000001 →")</f>
        <v>SZI000001 →</v>
      </c>
    </row>
    <row r="124" spans="1:61" ht="18.399999999999999" customHeight="1">
      <c r="A124" s="11" t="s">
        <v>2567</v>
      </c>
      <c r="B124" s="2" t="s">
        <v>4396</v>
      </c>
      <c r="C124" s="199" t="s">
        <v>6501</v>
      </c>
      <c r="D124" s="2" t="s">
        <v>2084</v>
      </c>
      <c r="E124" s="205">
        <f t="shared" si="26"/>
        <v>999605</v>
      </c>
      <c r="F124" s="205">
        <f t="shared" si="25"/>
        <v>139944.70000000001</v>
      </c>
      <c r="G124" s="205">
        <f>일위대가목록!F18</f>
        <v>0</v>
      </c>
      <c r="H124" s="205">
        <f t="shared" si="27"/>
        <v>0</v>
      </c>
      <c r="I124" s="205">
        <f>일위대가목록!G18</f>
        <v>999605</v>
      </c>
      <c r="J124" s="205">
        <f t="shared" si="28"/>
        <v>139944.70000000001</v>
      </c>
      <c r="K124" s="205">
        <f>일위대가목록!H18</f>
        <v>0</v>
      </c>
      <c r="L124" s="205">
        <f t="shared" si="29"/>
        <v>0</v>
      </c>
      <c r="M124" s="20" t="s">
        <v>6232</v>
      </c>
      <c r="N124" t="s">
        <v>6232</v>
      </c>
      <c r="P124" t="s">
        <v>528</v>
      </c>
      <c r="Q124" t="s">
        <v>6232</v>
      </c>
      <c r="R124" t="s">
        <v>196</v>
      </c>
      <c r="T124" t="s">
        <v>3860</v>
      </c>
      <c r="BI124" s="33" t="str">
        <f>HYPERLINK("#일위대가목록!A950","SZJ000001 →")</f>
        <v>SZJ000001 →</v>
      </c>
    </row>
    <row r="125" spans="1:61" ht="18.399999999999999" customHeight="1">
      <c r="A125" s="11" t="s">
        <v>5496</v>
      </c>
      <c r="B125" s="2" t="s">
        <v>4396</v>
      </c>
      <c r="C125" s="199" t="s">
        <v>6502</v>
      </c>
      <c r="D125" s="2" t="s">
        <v>2084</v>
      </c>
      <c r="E125" s="205">
        <f t="shared" si="26"/>
        <v>999605</v>
      </c>
      <c r="F125" s="205">
        <f t="shared" si="25"/>
        <v>49980.2</v>
      </c>
      <c r="G125" s="205">
        <f>일위대가목록!F19</f>
        <v>0</v>
      </c>
      <c r="H125" s="205">
        <f t="shared" si="27"/>
        <v>0</v>
      </c>
      <c r="I125" s="205">
        <f>일위대가목록!G19</f>
        <v>999605</v>
      </c>
      <c r="J125" s="205">
        <f t="shared" si="28"/>
        <v>49980.2</v>
      </c>
      <c r="K125" s="205">
        <f>일위대가목록!H19</f>
        <v>0</v>
      </c>
      <c r="L125" s="205">
        <f t="shared" si="29"/>
        <v>0</v>
      </c>
      <c r="M125" s="20" t="s">
        <v>6232</v>
      </c>
      <c r="N125" t="s">
        <v>6232</v>
      </c>
      <c r="P125" t="s">
        <v>2024</v>
      </c>
      <c r="Q125" t="s">
        <v>6232</v>
      </c>
      <c r="R125" t="s">
        <v>4562</v>
      </c>
      <c r="T125" t="s">
        <v>3860</v>
      </c>
      <c r="BI125" s="33" t="str">
        <f>HYPERLINK("#일위대가목록!A951","SZK000001 →")</f>
        <v>SZK000001 →</v>
      </c>
    </row>
    <row r="126" spans="1:61" ht="18.399999999999999" customHeight="1">
      <c r="A126" s="11" t="s">
        <v>4990</v>
      </c>
      <c r="B126" s="2" t="s">
        <v>2393</v>
      </c>
      <c r="C126" s="198">
        <v>1</v>
      </c>
      <c r="D126" s="2" t="s">
        <v>3909</v>
      </c>
      <c r="E126" s="205">
        <f t="shared" si="26"/>
        <v>59958</v>
      </c>
      <c r="F126" s="205">
        <f t="shared" si="25"/>
        <v>59958</v>
      </c>
      <c r="G126" s="205">
        <f>일위대가목록!F20</f>
        <v>0</v>
      </c>
      <c r="H126" s="205">
        <f t="shared" si="27"/>
        <v>0</v>
      </c>
      <c r="I126" s="205">
        <f>일위대가목록!G20</f>
        <v>59958</v>
      </c>
      <c r="J126" s="205">
        <f t="shared" si="28"/>
        <v>59958</v>
      </c>
      <c r="K126" s="205">
        <f>일위대가목록!H20</f>
        <v>0</v>
      </c>
      <c r="L126" s="205">
        <f t="shared" si="29"/>
        <v>0</v>
      </c>
      <c r="M126" s="20" t="s">
        <v>6232</v>
      </c>
      <c r="N126" t="s">
        <v>6232</v>
      </c>
      <c r="P126" t="s">
        <v>3689</v>
      </c>
      <c r="Q126" t="s">
        <v>6232</v>
      </c>
      <c r="R126" t="s">
        <v>1221</v>
      </c>
      <c r="T126" t="s">
        <v>3860</v>
      </c>
      <c r="BI126" s="33" t="str">
        <f>HYPERLINK("#일위대가목록!A952","SZL000001 →")</f>
        <v>SZL000001 →</v>
      </c>
    </row>
    <row r="127" spans="1:61" ht="18.399999999999999" customHeight="1">
      <c r="A127" s="11" t="s">
        <v>2366</v>
      </c>
      <c r="B127" s="2" t="s">
        <v>3414</v>
      </c>
      <c r="C127" s="199" t="s">
        <v>6504</v>
      </c>
      <c r="D127" s="2" t="s">
        <v>2084</v>
      </c>
      <c r="E127" s="205">
        <f t="shared" si="26"/>
        <v>1199526</v>
      </c>
      <c r="F127" s="205">
        <f t="shared" si="25"/>
        <v>35985.699999999997</v>
      </c>
      <c r="G127" s="205">
        <f>일위대가목록!F21</f>
        <v>0</v>
      </c>
      <c r="H127" s="205">
        <f t="shared" si="27"/>
        <v>0</v>
      </c>
      <c r="I127" s="205">
        <f>일위대가목록!G21</f>
        <v>1199526</v>
      </c>
      <c r="J127" s="205">
        <f t="shared" si="28"/>
        <v>35985.699999999997</v>
      </c>
      <c r="K127" s="205">
        <f>일위대가목록!H21</f>
        <v>0</v>
      </c>
      <c r="L127" s="205">
        <f t="shared" si="29"/>
        <v>0</v>
      </c>
      <c r="M127" s="20" t="s">
        <v>6232</v>
      </c>
      <c r="N127" t="s">
        <v>6232</v>
      </c>
      <c r="P127" t="s">
        <v>5215</v>
      </c>
      <c r="Q127" t="s">
        <v>6232</v>
      </c>
      <c r="R127" t="s">
        <v>3250</v>
      </c>
      <c r="T127" t="s">
        <v>3860</v>
      </c>
      <c r="BI127" s="33" t="str">
        <f>HYPERLINK("#일위대가목록!A953","SZM000001 →")</f>
        <v>SZM000001 →</v>
      </c>
    </row>
    <row r="128" spans="1:61" ht="18.399999999999999" customHeight="1">
      <c r="A128" s="11" t="s">
        <v>5139</v>
      </c>
      <c r="B128" s="2" t="s">
        <v>3414</v>
      </c>
      <c r="C128" s="199" t="s">
        <v>6503</v>
      </c>
      <c r="D128" s="2" t="s">
        <v>2084</v>
      </c>
      <c r="E128" s="205">
        <f t="shared" si="26"/>
        <v>999605</v>
      </c>
      <c r="F128" s="205">
        <f t="shared" si="25"/>
        <v>59976.3</v>
      </c>
      <c r="G128" s="205">
        <f>일위대가목록!F22</f>
        <v>0</v>
      </c>
      <c r="H128" s="205">
        <f t="shared" si="27"/>
        <v>0</v>
      </c>
      <c r="I128" s="205">
        <f>일위대가목록!G22</f>
        <v>999605</v>
      </c>
      <c r="J128" s="205">
        <f t="shared" si="28"/>
        <v>59976.3</v>
      </c>
      <c r="K128" s="205">
        <f>일위대가목록!H22</f>
        <v>0</v>
      </c>
      <c r="L128" s="205">
        <f t="shared" si="29"/>
        <v>0</v>
      </c>
      <c r="M128" s="20" t="s">
        <v>6232</v>
      </c>
      <c r="N128" t="s">
        <v>6232</v>
      </c>
      <c r="P128" t="s">
        <v>409</v>
      </c>
      <c r="Q128" t="s">
        <v>6232</v>
      </c>
      <c r="R128" t="s">
        <v>667</v>
      </c>
      <c r="T128" t="s">
        <v>3860</v>
      </c>
      <c r="BI128" s="33" t="str">
        <f>HYPERLINK("#일위대가목록!A954","SZN000001 →")</f>
        <v>SZN000001 →</v>
      </c>
    </row>
    <row r="129" spans="1:61" ht="18.399999999999999" customHeight="1">
      <c r="A129" s="11" t="s">
        <v>5358</v>
      </c>
      <c r="B129" s="2" t="s">
        <v>2823</v>
      </c>
      <c r="C129" s="2">
        <v>1</v>
      </c>
      <c r="D129" s="2" t="s">
        <v>3909</v>
      </c>
      <c r="E129" s="205">
        <f t="shared" si="26"/>
        <v>1687450</v>
      </c>
      <c r="F129" s="205">
        <f t="shared" si="25"/>
        <v>1687450</v>
      </c>
      <c r="G129" s="205">
        <f>일위대가목록!F39</f>
        <v>88778</v>
      </c>
      <c r="H129" s="205">
        <f t="shared" si="27"/>
        <v>88778</v>
      </c>
      <c r="I129" s="205">
        <f>일위대가목록!G39</f>
        <v>1573740</v>
      </c>
      <c r="J129" s="205">
        <f t="shared" si="28"/>
        <v>1573740</v>
      </c>
      <c r="K129" s="205">
        <f>일위대가목록!H39</f>
        <v>24932</v>
      </c>
      <c r="L129" s="205">
        <f t="shared" si="29"/>
        <v>24932</v>
      </c>
      <c r="M129" s="20" t="s">
        <v>6232</v>
      </c>
      <c r="N129" t="s">
        <v>6232</v>
      </c>
      <c r="P129" t="s">
        <v>1915</v>
      </c>
      <c r="Q129" t="s">
        <v>6232</v>
      </c>
      <c r="R129" t="s">
        <v>796</v>
      </c>
      <c r="T129" t="s">
        <v>3860</v>
      </c>
      <c r="BI129" s="33" t="str">
        <f>HYPERLINK("#일위대가목록!A997","SZG0001-750 →")</f>
        <v>SZG0001-750 →</v>
      </c>
    </row>
    <row r="130" spans="1:61" ht="18.399999999999999" customHeight="1">
      <c r="A130" s="11" t="s">
        <v>4452</v>
      </c>
      <c r="B130" s="2" t="s">
        <v>2823</v>
      </c>
      <c r="C130" s="2">
        <v>1</v>
      </c>
      <c r="D130" s="2" t="s">
        <v>3909</v>
      </c>
      <c r="E130" s="205">
        <f t="shared" si="26"/>
        <v>1687450</v>
      </c>
      <c r="F130" s="205">
        <f t="shared" si="25"/>
        <v>1687450</v>
      </c>
      <c r="G130" s="205">
        <f>일위대가목록!F40</f>
        <v>88778</v>
      </c>
      <c r="H130" s="205">
        <f t="shared" si="27"/>
        <v>88778</v>
      </c>
      <c r="I130" s="205">
        <f>일위대가목록!G40</f>
        <v>1573740</v>
      </c>
      <c r="J130" s="205">
        <f t="shared" si="28"/>
        <v>1573740</v>
      </c>
      <c r="K130" s="205">
        <f>일위대가목록!H40</f>
        <v>24932</v>
      </c>
      <c r="L130" s="205">
        <f t="shared" si="29"/>
        <v>24932</v>
      </c>
      <c r="M130" s="20" t="s">
        <v>6232</v>
      </c>
      <c r="N130" t="s">
        <v>6232</v>
      </c>
      <c r="P130" t="s">
        <v>3548</v>
      </c>
      <c r="Q130" t="s">
        <v>6232</v>
      </c>
      <c r="R130" t="s">
        <v>5831</v>
      </c>
      <c r="T130" t="s">
        <v>3860</v>
      </c>
      <c r="BI130" s="33" t="str">
        <f>HYPERLINK("#일위대가목록!A998","SZH0001-750 →")</f>
        <v>SZH0001-750 →</v>
      </c>
    </row>
    <row r="131" spans="1:61" ht="18.399999999999999" customHeight="1">
      <c r="A131" s="11" t="s">
        <v>2994</v>
      </c>
      <c r="B131" s="2" t="s">
        <v>2550</v>
      </c>
      <c r="C131" s="2">
        <v>6.97</v>
      </c>
      <c r="D131" s="2" t="s">
        <v>5171</v>
      </c>
      <c r="E131" s="205">
        <f t="shared" si="26"/>
        <v>129893</v>
      </c>
      <c r="F131" s="205">
        <f t="shared" si="25"/>
        <v>905354.2</v>
      </c>
      <c r="G131" s="205">
        <f>중기사용료목록!E6</f>
        <v>0</v>
      </c>
      <c r="H131" s="205">
        <f t="shared" si="27"/>
        <v>0</v>
      </c>
      <c r="I131" s="205">
        <f>중기사용료목록!F6</f>
        <v>0</v>
      </c>
      <c r="J131" s="205">
        <f t="shared" si="28"/>
        <v>0</v>
      </c>
      <c r="K131" s="205">
        <f>중기사용료목록!G6</f>
        <v>129893</v>
      </c>
      <c r="L131" s="205">
        <f t="shared" si="29"/>
        <v>905354.2</v>
      </c>
      <c r="M131" s="20" t="s">
        <v>6232</v>
      </c>
      <c r="N131" t="s">
        <v>6232</v>
      </c>
      <c r="P131" t="s">
        <v>5089</v>
      </c>
      <c r="Q131" t="s">
        <v>6232</v>
      </c>
      <c r="R131" t="s">
        <v>1702</v>
      </c>
      <c r="BI131" s="33" t="str">
        <f>HYPERLINK("#중기사용료목록!A7","E00002104002500000 →")</f>
        <v>E00002104002500000 →</v>
      </c>
    </row>
    <row r="132" spans="1:61" ht="18.399999999999999" customHeight="1">
      <c r="A132" s="47"/>
      <c r="B132" s="1"/>
      <c r="C132" s="1"/>
      <c r="D132" s="1"/>
      <c r="E132" s="206"/>
      <c r="F132" s="206"/>
      <c r="G132" s="206"/>
      <c r="H132" s="206"/>
      <c r="I132" s="206"/>
      <c r="J132" s="206"/>
      <c r="K132" s="206"/>
      <c r="L132" s="206"/>
      <c r="M132" s="50"/>
    </row>
    <row r="133" spans="1:61" ht="18.399999999999999" customHeight="1">
      <c r="A133" s="11" t="s">
        <v>5154</v>
      </c>
      <c r="B133" s="2" t="s">
        <v>1572</v>
      </c>
      <c r="C133" s="2">
        <v>1</v>
      </c>
      <c r="D133" s="2" t="s">
        <v>3909</v>
      </c>
      <c r="E133" s="204"/>
      <c r="F133" s="205">
        <f>H133+J133+L133</f>
        <v>219918</v>
      </c>
      <c r="G133" s="204"/>
      <c r="H133" s="205">
        <f>TRUNC(H134+H135+H136+H137,0)</f>
        <v>0</v>
      </c>
      <c r="I133" s="204"/>
      <c r="J133" s="205">
        <f>TRUNC(J134+J135+J136+J137,0)</f>
        <v>219918</v>
      </c>
      <c r="K133" s="204"/>
      <c r="L133" s="205">
        <f>TRUNC(L134+L135+L136+L137,0)</f>
        <v>0</v>
      </c>
      <c r="M133" s="20" t="s">
        <v>6232</v>
      </c>
      <c r="N133" t="s">
        <v>6232</v>
      </c>
      <c r="O133" t="s">
        <v>1913</v>
      </c>
    </row>
    <row r="134" spans="1:61" ht="18.399999999999999" customHeight="1">
      <c r="A134" s="11" t="s">
        <v>3936</v>
      </c>
      <c r="B134" s="2" t="s">
        <v>3311</v>
      </c>
      <c r="C134" s="2">
        <v>0.22</v>
      </c>
      <c r="D134" s="2" t="s">
        <v>5766</v>
      </c>
      <c r="E134" s="205">
        <f>G134+I134+K134</f>
        <v>320480</v>
      </c>
      <c r="F134" s="205">
        <f>H134+J134+L134</f>
        <v>70505.600000000006</v>
      </c>
      <c r="G134" s="205">
        <v>0</v>
      </c>
      <c r="H134" s="205"/>
      <c r="I134" s="205">
        <f>노임!D11</f>
        <v>320480</v>
      </c>
      <c r="J134" s="205">
        <f>TRUNC(I134*C134,1)</f>
        <v>70505.600000000006</v>
      </c>
      <c r="K134" s="205">
        <v>0</v>
      </c>
      <c r="L134" s="205"/>
      <c r="M134" s="20" t="s">
        <v>6232</v>
      </c>
      <c r="N134" t="s">
        <v>6232</v>
      </c>
      <c r="P134" t="s">
        <v>742</v>
      </c>
      <c r="Q134" t="s">
        <v>6232</v>
      </c>
      <c r="R134" t="s">
        <v>3298</v>
      </c>
      <c r="BI134" s="33" t="str">
        <f>HYPERLINK("#노임!A11","L001010101000056 →")</f>
        <v>L001010101000056 →</v>
      </c>
    </row>
    <row r="135" spans="1:61" ht="18.399999999999999" customHeight="1">
      <c r="A135" s="11" t="s">
        <v>1986</v>
      </c>
      <c r="B135" s="2" t="s">
        <v>3311</v>
      </c>
      <c r="C135" s="2">
        <v>0.11</v>
      </c>
      <c r="D135" s="2" t="s">
        <v>5766</v>
      </c>
      <c r="E135" s="205">
        <f>G135+I135+K135</f>
        <v>226122</v>
      </c>
      <c r="F135" s="205">
        <f>H135+J135+L135</f>
        <v>24873.4</v>
      </c>
      <c r="G135" s="205">
        <v>0</v>
      </c>
      <c r="H135" s="205"/>
      <c r="I135" s="205">
        <f>노임!D4</f>
        <v>226122</v>
      </c>
      <c r="J135" s="205">
        <f>TRUNC(I135*C135,1)</f>
        <v>24873.4</v>
      </c>
      <c r="K135" s="205">
        <v>0</v>
      </c>
      <c r="L135" s="205"/>
      <c r="M135" s="20" t="s">
        <v>6232</v>
      </c>
      <c r="N135" t="s">
        <v>6232</v>
      </c>
      <c r="P135" t="s">
        <v>5372</v>
      </c>
      <c r="Q135" t="s">
        <v>6232</v>
      </c>
      <c r="R135" t="s">
        <v>1597</v>
      </c>
      <c r="BI135" s="33" t="str">
        <f>HYPERLINK("#노임!A4","L001010101000003 →")</f>
        <v>L001010101000003 →</v>
      </c>
    </row>
    <row r="136" spans="1:61" ht="18.399999999999999" customHeight="1">
      <c r="A136" s="11" t="s">
        <v>3936</v>
      </c>
      <c r="B136" s="2" t="s">
        <v>3311</v>
      </c>
      <c r="C136" s="2">
        <v>0.28699999999999998</v>
      </c>
      <c r="D136" s="2" t="s">
        <v>5766</v>
      </c>
      <c r="E136" s="205">
        <f>G136+I136+K136</f>
        <v>320480</v>
      </c>
      <c r="F136" s="205">
        <f>H136+J136+L136</f>
        <v>91977.7</v>
      </c>
      <c r="G136" s="205">
        <v>0</v>
      </c>
      <c r="H136" s="205"/>
      <c r="I136" s="205">
        <f>노임!D11</f>
        <v>320480</v>
      </c>
      <c r="J136" s="205">
        <f>TRUNC(I136*C136,1)</f>
        <v>91977.7</v>
      </c>
      <c r="K136" s="205">
        <v>0</v>
      </c>
      <c r="L136" s="205"/>
      <c r="M136" s="20" t="s">
        <v>6232</v>
      </c>
      <c r="N136" t="s">
        <v>6232</v>
      </c>
      <c r="P136" t="s">
        <v>3792</v>
      </c>
      <c r="Q136" t="s">
        <v>6232</v>
      </c>
      <c r="R136" t="s">
        <v>3298</v>
      </c>
      <c r="BI136" s="33" t="str">
        <f>HYPERLINK("#노임!A11","L001010101000056 →")</f>
        <v>L001010101000056 →</v>
      </c>
    </row>
    <row r="137" spans="1:61" ht="18.399999999999999" customHeight="1">
      <c r="A137" s="11" t="s">
        <v>1986</v>
      </c>
      <c r="B137" s="2" t="s">
        <v>3311</v>
      </c>
      <c r="C137" s="2">
        <v>0.14399999999999999</v>
      </c>
      <c r="D137" s="2" t="s">
        <v>5766</v>
      </c>
      <c r="E137" s="205">
        <f>G137+I137+K137</f>
        <v>226122</v>
      </c>
      <c r="F137" s="205">
        <f>H137+J137+L137</f>
        <v>32561.5</v>
      </c>
      <c r="G137" s="205">
        <v>0</v>
      </c>
      <c r="H137" s="205"/>
      <c r="I137" s="205">
        <f>노임!D4</f>
        <v>226122</v>
      </c>
      <c r="J137" s="205">
        <f>TRUNC(I137*C137,1)</f>
        <v>32561.5</v>
      </c>
      <c r="K137" s="205">
        <v>0</v>
      </c>
      <c r="L137" s="205"/>
      <c r="M137" s="20" t="s">
        <v>6232</v>
      </c>
      <c r="N137" t="s">
        <v>6232</v>
      </c>
      <c r="P137" t="s">
        <v>2184</v>
      </c>
      <c r="Q137" t="s">
        <v>6232</v>
      </c>
      <c r="R137" t="s">
        <v>1597</v>
      </c>
      <c r="BI137" s="33" t="str">
        <f>HYPERLINK("#노임!A4","L001010101000003 →")</f>
        <v>L001010101000003 →</v>
      </c>
    </row>
    <row r="138" spans="1:61" ht="18.399999999999999" customHeight="1">
      <c r="A138" s="47"/>
      <c r="B138" s="1"/>
      <c r="C138" s="1"/>
      <c r="D138" s="1"/>
      <c r="E138" s="206"/>
      <c r="F138" s="206"/>
      <c r="G138" s="206"/>
      <c r="H138" s="206"/>
      <c r="I138" s="206"/>
      <c r="J138" s="206"/>
      <c r="K138" s="206"/>
      <c r="L138" s="206"/>
      <c r="M138" s="50"/>
    </row>
    <row r="139" spans="1:61" ht="18.399999999999999" customHeight="1">
      <c r="A139" s="11" t="s">
        <v>912</v>
      </c>
      <c r="B139" s="2" t="s">
        <v>2393</v>
      </c>
      <c r="C139" s="2">
        <v>1</v>
      </c>
      <c r="D139" s="2" t="s">
        <v>2084</v>
      </c>
      <c r="E139" s="204"/>
      <c r="F139" s="205">
        <f>H139+J139+L139</f>
        <v>999605</v>
      </c>
      <c r="G139" s="204"/>
      <c r="H139" s="205">
        <f>TRUNC(H140+H141,0)</f>
        <v>0</v>
      </c>
      <c r="I139" s="204"/>
      <c r="J139" s="205">
        <f>TRUNC(J140+J141,0)</f>
        <v>999605</v>
      </c>
      <c r="K139" s="204"/>
      <c r="L139" s="205">
        <f>TRUNC(L140+L141,0)</f>
        <v>0</v>
      </c>
      <c r="M139" s="20" t="s">
        <v>6232</v>
      </c>
      <c r="N139" t="s">
        <v>6232</v>
      </c>
      <c r="O139" t="s">
        <v>3630</v>
      </c>
    </row>
    <row r="140" spans="1:61" ht="18.399999999999999" customHeight="1">
      <c r="A140" s="11" t="s">
        <v>1700</v>
      </c>
      <c r="B140" s="2" t="s">
        <v>4169</v>
      </c>
      <c r="C140" s="2">
        <v>0.5</v>
      </c>
      <c r="D140" s="2" t="s">
        <v>5766</v>
      </c>
      <c r="E140" s="205">
        <f>G140+I140+K140</f>
        <v>235459</v>
      </c>
      <c r="F140" s="205">
        <f>H140+J140+L140</f>
        <v>117729.5</v>
      </c>
      <c r="G140" s="205">
        <v>0</v>
      </c>
      <c r="H140" s="205"/>
      <c r="I140" s="205">
        <f>노임!D19</f>
        <v>235459</v>
      </c>
      <c r="J140" s="205">
        <f>TRUNC(I140*C140,1)</f>
        <v>117729.5</v>
      </c>
      <c r="K140" s="205">
        <v>0</v>
      </c>
      <c r="L140" s="205"/>
      <c r="M140" s="20" t="s">
        <v>6232</v>
      </c>
      <c r="N140" t="s">
        <v>6232</v>
      </c>
      <c r="P140" t="s">
        <v>742</v>
      </c>
      <c r="Q140" t="s">
        <v>6232</v>
      </c>
      <c r="R140" t="s">
        <v>2334</v>
      </c>
      <c r="BI140" s="33" t="str">
        <f>HYPERLINK("#노임!A19","L001020101000122 →")</f>
        <v>L001020101000122 →</v>
      </c>
    </row>
    <row r="141" spans="1:61" ht="18.399999999999999" customHeight="1">
      <c r="A141" s="11" t="s">
        <v>1986</v>
      </c>
      <c r="B141" s="2" t="s">
        <v>3311</v>
      </c>
      <c r="C141" s="2">
        <v>3.9</v>
      </c>
      <c r="D141" s="2" t="s">
        <v>5766</v>
      </c>
      <c r="E141" s="205">
        <f>G141+I141+K141</f>
        <v>226122</v>
      </c>
      <c r="F141" s="205">
        <f>H141+J141+L141</f>
        <v>881875.8</v>
      </c>
      <c r="G141" s="205">
        <v>0</v>
      </c>
      <c r="H141" s="205"/>
      <c r="I141" s="205">
        <f>노임!D4</f>
        <v>226122</v>
      </c>
      <c r="J141" s="205">
        <f>TRUNC(I141*C141,1)</f>
        <v>881875.8</v>
      </c>
      <c r="K141" s="205">
        <v>0</v>
      </c>
      <c r="L141" s="205"/>
      <c r="M141" s="20" t="s">
        <v>6232</v>
      </c>
      <c r="N141" t="s">
        <v>6232</v>
      </c>
      <c r="P141" t="s">
        <v>5372</v>
      </c>
      <c r="Q141" t="s">
        <v>6232</v>
      </c>
      <c r="R141" t="s">
        <v>1597</v>
      </c>
      <c r="BI141" s="33" t="str">
        <f>HYPERLINK("#노임!A4","L001010101000003 →")</f>
        <v>L001010101000003 →</v>
      </c>
    </row>
    <row r="142" spans="1:61" ht="18.399999999999999" customHeight="1">
      <c r="A142" s="47"/>
      <c r="B142" s="1"/>
      <c r="C142" s="1"/>
      <c r="D142" s="1"/>
      <c r="E142" s="206"/>
      <c r="F142" s="206"/>
      <c r="G142" s="206"/>
      <c r="H142" s="206"/>
      <c r="I142" s="206"/>
      <c r="J142" s="206"/>
      <c r="K142" s="206"/>
      <c r="L142" s="206"/>
      <c r="M142" s="50"/>
    </row>
    <row r="143" spans="1:61" ht="18.399999999999999" customHeight="1">
      <c r="A143" s="11" t="s">
        <v>3032</v>
      </c>
      <c r="B143" s="2" t="s">
        <v>6232</v>
      </c>
      <c r="C143" s="2">
        <v>1</v>
      </c>
      <c r="D143" s="2" t="s">
        <v>2084</v>
      </c>
      <c r="E143" s="204"/>
      <c r="F143" s="205">
        <f>H143+J143+L143</f>
        <v>999605</v>
      </c>
      <c r="G143" s="204"/>
      <c r="H143" s="205">
        <f>TRUNC(H144+H145,0)</f>
        <v>0</v>
      </c>
      <c r="I143" s="204"/>
      <c r="J143" s="205">
        <f>TRUNC(J144+J145,0)</f>
        <v>999605</v>
      </c>
      <c r="K143" s="204"/>
      <c r="L143" s="205">
        <f>TRUNC(L144+L145,0)</f>
        <v>0</v>
      </c>
      <c r="M143" s="20" t="s">
        <v>6232</v>
      </c>
      <c r="N143" t="s">
        <v>6232</v>
      </c>
      <c r="O143" t="s">
        <v>196</v>
      </c>
    </row>
    <row r="144" spans="1:61" ht="18.399999999999999" customHeight="1">
      <c r="A144" s="11" t="s">
        <v>1700</v>
      </c>
      <c r="B144" s="2" t="s">
        <v>4169</v>
      </c>
      <c r="C144" s="2">
        <v>0.5</v>
      </c>
      <c r="D144" s="2" t="s">
        <v>5766</v>
      </c>
      <c r="E144" s="205">
        <f>G144+I144+K144</f>
        <v>235459</v>
      </c>
      <c r="F144" s="205">
        <f>H144+J144+L144</f>
        <v>117729.5</v>
      </c>
      <c r="G144" s="205">
        <v>0</v>
      </c>
      <c r="H144" s="205"/>
      <c r="I144" s="205">
        <f>노임!D19</f>
        <v>235459</v>
      </c>
      <c r="J144" s="205">
        <f>TRUNC(I144*C144,1)</f>
        <v>117729.5</v>
      </c>
      <c r="K144" s="205">
        <v>0</v>
      </c>
      <c r="L144" s="205"/>
      <c r="M144" s="20" t="s">
        <v>6232</v>
      </c>
      <c r="N144" t="s">
        <v>6232</v>
      </c>
      <c r="P144" t="s">
        <v>742</v>
      </c>
      <c r="Q144" t="s">
        <v>6232</v>
      </c>
      <c r="R144" t="s">
        <v>2334</v>
      </c>
      <c r="BI144" s="33" t="str">
        <f>HYPERLINK("#노임!A19","L001020101000122 →")</f>
        <v>L001020101000122 →</v>
      </c>
    </row>
    <row r="145" spans="1:61" ht="18.399999999999999" customHeight="1">
      <c r="A145" s="11" t="s">
        <v>1986</v>
      </c>
      <c r="B145" s="2" t="s">
        <v>3311</v>
      </c>
      <c r="C145" s="2">
        <v>3.9</v>
      </c>
      <c r="D145" s="2" t="s">
        <v>5766</v>
      </c>
      <c r="E145" s="205">
        <f>G145+I145+K145</f>
        <v>226122</v>
      </c>
      <c r="F145" s="205">
        <f>H145+J145+L145</f>
        <v>881875.8</v>
      </c>
      <c r="G145" s="205">
        <v>0</v>
      </c>
      <c r="H145" s="205"/>
      <c r="I145" s="205">
        <f>노임!D4</f>
        <v>226122</v>
      </c>
      <c r="J145" s="205">
        <f>TRUNC(I145*C145,1)</f>
        <v>881875.8</v>
      </c>
      <c r="K145" s="205">
        <v>0</v>
      </c>
      <c r="L145" s="205"/>
      <c r="M145" s="20" t="s">
        <v>6232</v>
      </c>
      <c r="N145" t="s">
        <v>6232</v>
      </c>
      <c r="P145" t="s">
        <v>5372</v>
      </c>
      <c r="Q145" t="s">
        <v>6232</v>
      </c>
      <c r="R145" t="s">
        <v>1597</v>
      </c>
      <c r="BI145" s="33" t="str">
        <f>HYPERLINK("#노임!A4","L001010101000003 →")</f>
        <v>L001010101000003 →</v>
      </c>
    </row>
    <row r="146" spans="1:61" ht="18.399999999999999" customHeight="1">
      <c r="A146" s="47"/>
      <c r="B146" s="1"/>
      <c r="C146" s="1"/>
      <c r="D146" s="1"/>
      <c r="E146" s="206"/>
      <c r="F146" s="206"/>
      <c r="G146" s="206"/>
      <c r="H146" s="206"/>
      <c r="I146" s="206"/>
      <c r="J146" s="206"/>
      <c r="K146" s="206"/>
      <c r="L146" s="206"/>
      <c r="M146" s="50"/>
    </row>
    <row r="147" spans="1:61" ht="18.399999999999999" customHeight="1">
      <c r="A147" s="11" t="s">
        <v>1060</v>
      </c>
      <c r="B147" s="2" t="s">
        <v>6232</v>
      </c>
      <c r="C147" s="2">
        <v>1</v>
      </c>
      <c r="D147" s="2" t="s">
        <v>2084</v>
      </c>
      <c r="E147" s="204"/>
      <c r="F147" s="205">
        <f>H147+J147+L147</f>
        <v>999605</v>
      </c>
      <c r="G147" s="204"/>
      <c r="H147" s="205">
        <f>TRUNC(H148+H149,0)</f>
        <v>0</v>
      </c>
      <c r="I147" s="204"/>
      <c r="J147" s="205">
        <f>TRUNC(J148+J149,0)</f>
        <v>999605</v>
      </c>
      <c r="K147" s="204"/>
      <c r="L147" s="205">
        <f>TRUNC(L148+L149,0)</f>
        <v>0</v>
      </c>
      <c r="M147" s="20" t="s">
        <v>6232</v>
      </c>
      <c r="N147" t="s">
        <v>6232</v>
      </c>
      <c r="O147" t="s">
        <v>4562</v>
      </c>
    </row>
    <row r="148" spans="1:61" ht="18.399999999999999" customHeight="1">
      <c r="A148" s="11" t="s">
        <v>1700</v>
      </c>
      <c r="B148" s="2" t="s">
        <v>4169</v>
      </c>
      <c r="C148" s="2">
        <v>0.5</v>
      </c>
      <c r="D148" s="2" t="s">
        <v>5766</v>
      </c>
      <c r="E148" s="205">
        <f>G148+I148+K148</f>
        <v>235459</v>
      </c>
      <c r="F148" s="205">
        <f>H148+J148+L148</f>
        <v>117729.5</v>
      </c>
      <c r="G148" s="205">
        <v>0</v>
      </c>
      <c r="H148" s="205"/>
      <c r="I148" s="205">
        <f>노임!D19</f>
        <v>235459</v>
      </c>
      <c r="J148" s="205">
        <f>TRUNC(I148*C148,1)</f>
        <v>117729.5</v>
      </c>
      <c r="K148" s="205">
        <v>0</v>
      </c>
      <c r="L148" s="205"/>
      <c r="M148" s="20" t="s">
        <v>6232</v>
      </c>
      <c r="N148" t="s">
        <v>6232</v>
      </c>
      <c r="P148" t="s">
        <v>742</v>
      </c>
      <c r="Q148" t="s">
        <v>6232</v>
      </c>
      <c r="R148" t="s">
        <v>2334</v>
      </c>
      <c r="BI148" s="33" t="str">
        <f>HYPERLINK("#노임!A19","L001020101000122 →")</f>
        <v>L001020101000122 →</v>
      </c>
    </row>
    <row r="149" spans="1:61" ht="18.399999999999999" customHeight="1">
      <c r="A149" s="11" t="s">
        <v>1986</v>
      </c>
      <c r="B149" s="2" t="s">
        <v>3311</v>
      </c>
      <c r="C149" s="2">
        <v>3.9</v>
      </c>
      <c r="D149" s="2" t="s">
        <v>5766</v>
      </c>
      <c r="E149" s="205">
        <f>G149+I149+K149</f>
        <v>226122</v>
      </c>
      <c r="F149" s="205">
        <f>H149+J149+L149</f>
        <v>881875.8</v>
      </c>
      <c r="G149" s="205">
        <v>0</v>
      </c>
      <c r="H149" s="205"/>
      <c r="I149" s="205">
        <f>노임!D4</f>
        <v>226122</v>
      </c>
      <c r="J149" s="205">
        <f>TRUNC(I149*C149,1)</f>
        <v>881875.8</v>
      </c>
      <c r="K149" s="205">
        <v>0</v>
      </c>
      <c r="L149" s="205"/>
      <c r="M149" s="20" t="s">
        <v>6232</v>
      </c>
      <c r="N149" t="s">
        <v>6232</v>
      </c>
      <c r="P149" t="s">
        <v>5372</v>
      </c>
      <c r="Q149" t="s">
        <v>6232</v>
      </c>
      <c r="R149" t="s">
        <v>1597</v>
      </c>
      <c r="BI149" s="33" t="str">
        <f>HYPERLINK("#노임!A4","L001010101000003 →")</f>
        <v>L001010101000003 →</v>
      </c>
    </row>
    <row r="150" spans="1:61" ht="18.399999999999999" customHeight="1">
      <c r="A150" s="47"/>
      <c r="B150" s="1"/>
      <c r="C150" s="1"/>
      <c r="D150" s="1"/>
      <c r="E150" s="206"/>
      <c r="F150" s="206"/>
      <c r="G150" s="206"/>
      <c r="H150" s="206"/>
      <c r="I150" s="206"/>
      <c r="J150" s="206"/>
      <c r="K150" s="206"/>
      <c r="L150" s="206"/>
      <c r="M150" s="50"/>
    </row>
    <row r="151" spans="1:61" ht="18.399999999999999" customHeight="1">
      <c r="A151" s="11" t="s">
        <v>4397</v>
      </c>
      <c r="B151" s="2" t="s">
        <v>2393</v>
      </c>
      <c r="C151" s="2">
        <v>1</v>
      </c>
      <c r="D151" s="2" t="s">
        <v>3909</v>
      </c>
      <c r="E151" s="204"/>
      <c r="F151" s="205">
        <f>H151+J151+L151</f>
        <v>59958</v>
      </c>
      <c r="G151" s="204"/>
      <c r="H151" s="205">
        <f>TRUNC(H152+H153+H154,0)</f>
        <v>0</v>
      </c>
      <c r="I151" s="204"/>
      <c r="J151" s="205">
        <f>TRUNC(J152+J153+J154,0)</f>
        <v>59958</v>
      </c>
      <c r="K151" s="204"/>
      <c r="L151" s="205">
        <f>TRUNC(L152+L153+L154,0)</f>
        <v>0</v>
      </c>
      <c r="M151" s="20" t="s">
        <v>6232</v>
      </c>
      <c r="N151" t="s">
        <v>6232</v>
      </c>
      <c r="O151" t="s">
        <v>1221</v>
      </c>
    </row>
    <row r="152" spans="1:61" ht="18.399999999999999" customHeight="1">
      <c r="A152" s="11" t="s">
        <v>3936</v>
      </c>
      <c r="B152" s="2" t="s">
        <v>3311</v>
      </c>
      <c r="C152" s="2">
        <v>0.06</v>
      </c>
      <c r="D152" s="2" t="s">
        <v>5766</v>
      </c>
      <c r="E152" s="205">
        <f>G152+I152+K152</f>
        <v>320480</v>
      </c>
      <c r="F152" s="205">
        <f>H152+J152+L152</f>
        <v>19228.8</v>
      </c>
      <c r="G152" s="205">
        <v>0</v>
      </c>
      <c r="H152" s="205"/>
      <c r="I152" s="205">
        <f>노임!D11</f>
        <v>320480</v>
      </c>
      <c r="J152" s="205">
        <f>TRUNC(I152*C152,1)</f>
        <v>19228.8</v>
      </c>
      <c r="K152" s="205">
        <v>0</v>
      </c>
      <c r="L152" s="205"/>
      <c r="M152" s="20" t="s">
        <v>6232</v>
      </c>
      <c r="N152" t="s">
        <v>6232</v>
      </c>
      <c r="P152" t="s">
        <v>742</v>
      </c>
      <c r="Q152" t="s">
        <v>6232</v>
      </c>
      <c r="R152" t="s">
        <v>3298</v>
      </c>
      <c r="BI152" s="33" t="str">
        <f>HYPERLINK("#노임!A11","L001010101000056 →")</f>
        <v>L001010101000056 →</v>
      </c>
    </row>
    <row r="153" spans="1:61" ht="18.399999999999999" customHeight="1">
      <c r="A153" s="11" t="s">
        <v>1986</v>
      </c>
      <c r="B153" s="2" t="s">
        <v>3311</v>
      </c>
      <c r="C153" s="2">
        <v>0.03</v>
      </c>
      <c r="D153" s="2" t="s">
        <v>5766</v>
      </c>
      <c r="E153" s="205">
        <f>G153+I153+K153</f>
        <v>226122</v>
      </c>
      <c r="F153" s="205">
        <f>H153+J153+L153</f>
        <v>6783.6</v>
      </c>
      <c r="G153" s="205">
        <v>0</v>
      </c>
      <c r="H153" s="205"/>
      <c r="I153" s="205">
        <f>노임!D4</f>
        <v>226122</v>
      </c>
      <c r="J153" s="205">
        <f>TRUNC(I153*C153,1)</f>
        <v>6783.6</v>
      </c>
      <c r="K153" s="205">
        <v>0</v>
      </c>
      <c r="L153" s="205"/>
      <c r="M153" s="20" t="s">
        <v>6232</v>
      </c>
      <c r="N153" t="s">
        <v>6232</v>
      </c>
      <c r="P153" t="s">
        <v>5372</v>
      </c>
      <c r="Q153" t="s">
        <v>6232</v>
      </c>
      <c r="R153" t="s">
        <v>1597</v>
      </c>
      <c r="BI153" s="33" t="str">
        <f>HYPERLINK("#노임!A4","L001010101000003 →")</f>
        <v>L001010101000003 →</v>
      </c>
    </row>
    <row r="154" spans="1:61" ht="18.399999999999999" customHeight="1">
      <c r="A154" s="11" t="s">
        <v>2851</v>
      </c>
      <c r="B154" s="2" t="s">
        <v>3311</v>
      </c>
      <c r="C154" s="2">
        <v>0.11600000000000001</v>
      </c>
      <c r="D154" s="2" t="s">
        <v>5766</v>
      </c>
      <c r="E154" s="205">
        <f>G154+I154+K154</f>
        <v>292640</v>
      </c>
      <c r="F154" s="205">
        <f>H154+J154+L154</f>
        <v>33946.199999999997</v>
      </c>
      <c r="G154" s="205">
        <v>0</v>
      </c>
      <c r="H154" s="205"/>
      <c r="I154" s="205">
        <f>노임!D12</f>
        <v>292640</v>
      </c>
      <c r="J154" s="205">
        <f>TRUNC(I154*C154,1)</f>
        <v>33946.199999999997</v>
      </c>
      <c r="K154" s="205">
        <v>0</v>
      </c>
      <c r="L154" s="205"/>
      <c r="M154" s="20" t="s">
        <v>6232</v>
      </c>
      <c r="N154" t="s">
        <v>6232</v>
      </c>
      <c r="P154" t="s">
        <v>3792</v>
      </c>
      <c r="Q154" t="s">
        <v>6232</v>
      </c>
      <c r="R154" t="s">
        <v>3463</v>
      </c>
      <c r="BI154" s="33" t="str">
        <f>HYPERLINK("#노임!A12","L001010101000058 →")</f>
        <v>L001010101000058 →</v>
      </c>
    </row>
    <row r="155" spans="1:61" ht="18.399999999999999" customHeight="1">
      <c r="A155" s="47"/>
      <c r="B155" s="1"/>
      <c r="C155" s="1"/>
      <c r="D155" s="1"/>
      <c r="E155" s="206"/>
      <c r="F155" s="206"/>
      <c r="G155" s="206"/>
      <c r="H155" s="206"/>
      <c r="I155" s="206"/>
      <c r="J155" s="206"/>
      <c r="K155" s="206"/>
      <c r="L155" s="206"/>
      <c r="M155" s="50"/>
    </row>
    <row r="156" spans="1:61" ht="18.399999999999999" customHeight="1">
      <c r="A156" s="11" t="s">
        <v>209</v>
      </c>
      <c r="B156" s="2" t="s">
        <v>2393</v>
      </c>
      <c r="C156" s="2">
        <v>1</v>
      </c>
      <c r="D156" s="2" t="s">
        <v>2084</v>
      </c>
      <c r="E156" s="204"/>
      <c r="F156" s="205">
        <f>H156+J156+L156</f>
        <v>1199526</v>
      </c>
      <c r="G156" s="204"/>
      <c r="H156" s="205">
        <f>TRUNC(H157+H158,0)</f>
        <v>0</v>
      </c>
      <c r="I156" s="204"/>
      <c r="J156" s="205">
        <f>TRUNC(J157+J158,0)</f>
        <v>1199526</v>
      </c>
      <c r="K156" s="204"/>
      <c r="L156" s="205">
        <f>TRUNC(L157+L158,0)</f>
        <v>0</v>
      </c>
      <c r="M156" s="20" t="s">
        <v>6232</v>
      </c>
      <c r="N156" t="s">
        <v>6232</v>
      </c>
      <c r="O156" t="s">
        <v>3250</v>
      </c>
    </row>
    <row r="157" spans="1:61" ht="18.399999999999999" customHeight="1">
      <c r="A157" s="11" t="s">
        <v>1700</v>
      </c>
      <c r="B157" s="2" t="s">
        <v>4169</v>
      </c>
      <c r="C157" s="2">
        <v>0.6</v>
      </c>
      <c r="D157" s="2" t="s">
        <v>5766</v>
      </c>
      <c r="E157" s="205">
        <f>G157+I157+K157</f>
        <v>235459</v>
      </c>
      <c r="F157" s="205">
        <f>H157+J157+L157</f>
        <v>141275.4</v>
      </c>
      <c r="G157" s="205">
        <v>0</v>
      </c>
      <c r="H157" s="205"/>
      <c r="I157" s="205">
        <f>노임!D19</f>
        <v>235459</v>
      </c>
      <c r="J157" s="205">
        <f>TRUNC(I157*C157,1)</f>
        <v>141275.4</v>
      </c>
      <c r="K157" s="205">
        <v>0</v>
      </c>
      <c r="L157" s="205"/>
      <c r="M157" s="20" t="s">
        <v>6232</v>
      </c>
      <c r="N157" t="s">
        <v>6232</v>
      </c>
      <c r="P157" t="s">
        <v>742</v>
      </c>
      <c r="Q157" t="s">
        <v>6232</v>
      </c>
      <c r="R157" t="s">
        <v>2334</v>
      </c>
      <c r="BI157" s="33" t="str">
        <f>HYPERLINK("#노임!A19","L001020101000122 →")</f>
        <v>L001020101000122 →</v>
      </c>
    </row>
    <row r="158" spans="1:61" ht="18.399999999999999" customHeight="1">
      <c r="A158" s="11" t="s">
        <v>1986</v>
      </c>
      <c r="B158" s="2" t="s">
        <v>3311</v>
      </c>
      <c r="C158" s="2">
        <v>4.68</v>
      </c>
      <c r="D158" s="2" t="s">
        <v>5766</v>
      </c>
      <c r="E158" s="205">
        <f>G158+I158+K158</f>
        <v>226122</v>
      </c>
      <c r="F158" s="205">
        <f>H158+J158+L158</f>
        <v>1058250.8999999999</v>
      </c>
      <c r="G158" s="205">
        <v>0</v>
      </c>
      <c r="H158" s="205"/>
      <c r="I158" s="205">
        <f>노임!D4</f>
        <v>226122</v>
      </c>
      <c r="J158" s="205">
        <f>TRUNC(I158*C158,1)</f>
        <v>1058250.8999999999</v>
      </c>
      <c r="K158" s="205">
        <v>0</v>
      </c>
      <c r="L158" s="205"/>
      <c r="M158" s="20" t="s">
        <v>6232</v>
      </c>
      <c r="N158" t="s">
        <v>6232</v>
      </c>
      <c r="P158" t="s">
        <v>5372</v>
      </c>
      <c r="Q158" t="s">
        <v>6232</v>
      </c>
      <c r="R158" t="s">
        <v>1597</v>
      </c>
      <c r="BI158" s="33" t="str">
        <f>HYPERLINK("#노임!A4","L001010101000003 →")</f>
        <v>L001010101000003 →</v>
      </c>
    </row>
    <row r="159" spans="1:61" ht="18.399999999999999" customHeight="1">
      <c r="A159" s="47"/>
      <c r="B159" s="1"/>
      <c r="C159" s="1"/>
      <c r="D159" s="1"/>
      <c r="E159" s="206"/>
      <c r="F159" s="206"/>
      <c r="G159" s="206"/>
      <c r="H159" s="206"/>
      <c r="I159" s="206"/>
      <c r="J159" s="206"/>
      <c r="K159" s="206"/>
      <c r="L159" s="206"/>
      <c r="M159" s="50"/>
    </row>
    <row r="160" spans="1:61" ht="18.399999999999999" customHeight="1">
      <c r="A160" s="11" t="s">
        <v>3702</v>
      </c>
      <c r="B160" s="2" t="s">
        <v>2393</v>
      </c>
      <c r="C160" s="2">
        <v>1</v>
      </c>
      <c r="D160" s="2" t="s">
        <v>2084</v>
      </c>
      <c r="E160" s="204"/>
      <c r="F160" s="205">
        <f>H160+J160+L160</f>
        <v>999605</v>
      </c>
      <c r="G160" s="204"/>
      <c r="H160" s="205">
        <f>TRUNC(H161+H162,0)</f>
        <v>0</v>
      </c>
      <c r="I160" s="204"/>
      <c r="J160" s="205">
        <f>TRUNC(J161+J162,0)</f>
        <v>999605</v>
      </c>
      <c r="K160" s="204"/>
      <c r="L160" s="205">
        <f>TRUNC(L161+L162,0)</f>
        <v>0</v>
      </c>
      <c r="M160" s="20" t="s">
        <v>6232</v>
      </c>
      <c r="N160" t="s">
        <v>6232</v>
      </c>
      <c r="O160" t="s">
        <v>667</v>
      </c>
    </row>
    <row r="161" spans="1:61" ht="18.399999999999999" customHeight="1">
      <c r="A161" s="11" t="s">
        <v>1700</v>
      </c>
      <c r="B161" s="2" t="s">
        <v>4169</v>
      </c>
      <c r="C161" s="2">
        <v>0.5</v>
      </c>
      <c r="D161" s="2" t="s">
        <v>5766</v>
      </c>
      <c r="E161" s="205">
        <f>G161+I161+K161</f>
        <v>235459</v>
      </c>
      <c r="F161" s="205">
        <f>H161+J161+L161</f>
        <v>117729.5</v>
      </c>
      <c r="G161" s="205">
        <v>0</v>
      </c>
      <c r="H161" s="205"/>
      <c r="I161" s="205">
        <f>노임!D19</f>
        <v>235459</v>
      </c>
      <c r="J161" s="205">
        <f>TRUNC(I161*C161,1)</f>
        <v>117729.5</v>
      </c>
      <c r="K161" s="205">
        <v>0</v>
      </c>
      <c r="L161" s="205"/>
      <c r="M161" s="20" t="s">
        <v>6232</v>
      </c>
      <c r="N161" t="s">
        <v>6232</v>
      </c>
      <c r="P161" t="s">
        <v>742</v>
      </c>
      <c r="Q161" t="s">
        <v>6232</v>
      </c>
      <c r="R161" t="s">
        <v>2334</v>
      </c>
      <c r="BI161" s="33" t="str">
        <f>HYPERLINK("#노임!A19","L001020101000122 →")</f>
        <v>L001020101000122 →</v>
      </c>
    </row>
    <row r="162" spans="1:61" ht="18.399999999999999" customHeight="1">
      <c r="A162" s="11" t="s">
        <v>1986</v>
      </c>
      <c r="B162" s="2" t="s">
        <v>3311</v>
      </c>
      <c r="C162" s="2">
        <v>3.9</v>
      </c>
      <c r="D162" s="2" t="s">
        <v>5766</v>
      </c>
      <c r="E162" s="205">
        <f>G162+I162+K162</f>
        <v>226122</v>
      </c>
      <c r="F162" s="205">
        <f>H162+J162+L162</f>
        <v>881875.8</v>
      </c>
      <c r="G162" s="205">
        <v>0</v>
      </c>
      <c r="H162" s="205"/>
      <c r="I162" s="205">
        <f>노임!D4</f>
        <v>226122</v>
      </c>
      <c r="J162" s="205">
        <f>TRUNC(I162*C162,1)</f>
        <v>881875.8</v>
      </c>
      <c r="K162" s="205">
        <v>0</v>
      </c>
      <c r="L162" s="205"/>
      <c r="M162" s="20" t="s">
        <v>6232</v>
      </c>
      <c r="N162" t="s">
        <v>6232</v>
      </c>
      <c r="P162" t="s">
        <v>5372</v>
      </c>
      <c r="Q162" t="s">
        <v>6232</v>
      </c>
      <c r="R162" t="s">
        <v>1597</v>
      </c>
      <c r="BI162" s="33" t="str">
        <f>HYPERLINK("#노임!A4","L001010101000003 →")</f>
        <v>L001010101000003 →</v>
      </c>
    </row>
    <row r="163" spans="1:61" ht="18.399999999999999" customHeight="1">
      <c r="A163" s="47"/>
      <c r="B163" s="1"/>
      <c r="C163" s="1"/>
      <c r="D163" s="1"/>
      <c r="E163" s="206"/>
      <c r="F163" s="206"/>
      <c r="G163" s="206"/>
      <c r="H163" s="206"/>
      <c r="I163" s="206"/>
      <c r="J163" s="206"/>
      <c r="K163" s="206"/>
      <c r="L163" s="206"/>
      <c r="M163" s="50"/>
    </row>
    <row r="164" spans="1:61" ht="18.399999999999999" customHeight="1">
      <c r="A164" s="11" t="s">
        <v>3049</v>
      </c>
      <c r="B164" s="2" t="s">
        <v>4894</v>
      </c>
      <c r="C164" s="2">
        <v>1</v>
      </c>
      <c r="D164" s="2" t="s">
        <v>3909</v>
      </c>
      <c r="E164" s="204"/>
      <c r="F164" s="205">
        <f>H164+J164+L164</f>
        <v>624298</v>
      </c>
      <c r="G164" s="204"/>
      <c r="H164" s="205">
        <f>TRUNC(H165+H166+H167+H168,0)</f>
        <v>0</v>
      </c>
      <c r="I164" s="204"/>
      <c r="J164" s="205">
        <f>TRUNC(J165+J166+J167+J168,0)</f>
        <v>624298</v>
      </c>
      <c r="K164" s="204"/>
      <c r="L164" s="205">
        <f>TRUNC(L165+L166+L167+L168,0)</f>
        <v>0</v>
      </c>
      <c r="M164" s="20" t="s">
        <v>6232</v>
      </c>
      <c r="N164" t="s">
        <v>6232</v>
      </c>
      <c r="O164" t="s">
        <v>1498</v>
      </c>
    </row>
    <row r="165" spans="1:61" ht="18.399999999999999" customHeight="1">
      <c r="A165" s="11" t="s">
        <v>3936</v>
      </c>
      <c r="B165" s="2" t="s">
        <v>3311</v>
      </c>
      <c r="C165" s="2">
        <v>0.69399999999999995</v>
      </c>
      <c r="D165" s="2" t="s">
        <v>5766</v>
      </c>
      <c r="E165" s="205">
        <f>G165+I165+K165</f>
        <v>320480</v>
      </c>
      <c r="F165" s="205">
        <f>H165+J165+L165</f>
        <v>222413.1</v>
      </c>
      <c r="G165" s="205">
        <v>0</v>
      </c>
      <c r="H165" s="205"/>
      <c r="I165" s="205">
        <f>노임!D11</f>
        <v>320480</v>
      </c>
      <c r="J165" s="205">
        <f>TRUNC(I165*C165,1)</f>
        <v>222413.1</v>
      </c>
      <c r="K165" s="205">
        <v>0</v>
      </c>
      <c r="L165" s="205"/>
      <c r="M165" s="20" t="s">
        <v>6232</v>
      </c>
      <c r="N165" t="s">
        <v>6232</v>
      </c>
      <c r="P165" t="s">
        <v>742</v>
      </c>
      <c r="Q165" t="s">
        <v>6232</v>
      </c>
      <c r="R165" t="s">
        <v>3298</v>
      </c>
      <c r="BI165" s="33" t="str">
        <f>HYPERLINK("#노임!A11","L001010101000056 →")</f>
        <v>L001010101000056 →</v>
      </c>
    </row>
    <row r="166" spans="1:61" ht="18.399999999999999" customHeight="1">
      <c r="A166" s="11" t="s">
        <v>1986</v>
      </c>
      <c r="B166" s="2" t="s">
        <v>3311</v>
      </c>
      <c r="C166" s="2">
        <v>0.34699999999999998</v>
      </c>
      <c r="D166" s="2" t="s">
        <v>5766</v>
      </c>
      <c r="E166" s="205">
        <f>G166+I166+K166</f>
        <v>226122</v>
      </c>
      <c r="F166" s="205">
        <f>H166+J166+L166</f>
        <v>78464.3</v>
      </c>
      <c r="G166" s="205">
        <v>0</v>
      </c>
      <c r="H166" s="205"/>
      <c r="I166" s="205">
        <f>노임!D4</f>
        <v>226122</v>
      </c>
      <c r="J166" s="205">
        <f>TRUNC(I166*C166,1)</f>
        <v>78464.3</v>
      </c>
      <c r="K166" s="205">
        <v>0</v>
      </c>
      <c r="L166" s="205"/>
      <c r="M166" s="20" t="s">
        <v>6232</v>
      </c>
      <c r="N166" t="s">
        <v>6232</v>
      </c>
      <c r="P166" t="s">
        <v>5372</v>
      </c>
      <c r="Q166" t="s">
        <v>6232</v>
      </c>
      <c r="R166" t="s">
        <v>1597</v>
      </c>
      <c r="BI166" s="33" t="str">
        <f>HYPERLINK("#노임!A4","L001010101000003 →")</f>
        <v>L001010101000003 →</v>
      </c>
    </row>
    <row r="167" spans="1:61" ht="18.399999999999999" customHeight="1">
      <c r="A167" s="11" t="s">
        <v>3936</v>
      </c>
      <c r="B167" s="2" t="s">
        <v>3311</v>
      </c>
      <c r="C167" s="2">
        <v>0.746</v>
      </c>
      <c r="D167" s="2" t="s">
        <v>5766</v>
      </c>
      <c r="E167" s="205">
        <f>G167+I167+K167</f>
        <v>320480</v>
      </c>
      <c r="F167" s="205">
        <f>H167+J167+L167</f>
        <v>239078</v>
      </c>
      <c r="G167" s="205">
        <v>0</v>
      </c>
      <c r="H167" s="205"/>
      <c r="I167" s="205">
        <f>노임!D11</f>
        <v>320480</v>
      </c>
      <c r="J167" s="205">
        <f>TRUNC(I167*C167,1)</f>
        <v>239078</v>
      </c>
      <c r="K167" s="205">
        <v>0</v>
      </c>
      <c r="L167" s="205"/>
      <c r="M167" s="20" t="s">
        <v>6232</v>
      </c>
      <c r="N167" t="s">
        <v>6232</v>
      </c>
      <c r="P167" t="s">
        <v>3792</v>
      </c>
      <c r="Q167" t="s">
        <v>6232</v>
      </c>
      <c r="R167" t="s">
        <v>3298</v>
      </c>
      <c r="BI167" s="33" t="str">
        <f>HYPERLINK("#노임!A11","L001010101000056 →")</f>
        <v>L001010101000056 →</v>
      </c>
    </row>
    <row r="168" spans="1:61" ht="18.399999999999999" customHeight="1">
      <c r="A168" s="11" t="s">
        <v>1986</v>
      </c>
      <c r="B168" s="2" t="s">
        <v>3311</v>
      </c>
      <c r="C168" s="2">
        <v>0.373</v>
      </c>
      <c r="D168" s="2" t="s">
        <v>5766</v>
      </c>
      <c r="E168" s="205">
        <f>G168+I168+K168</f>
        <v>226122</v>
      </c>
      <c r="F168" s="205">
        <f>H168+J168+L168</f>
        <v>84343.5</v>
      </c>
      <c r="G168" s="205">
        <v>0</v>
      </c>
      <c r="H168" s="205"/>
      <c r="I168" s="205">
        <f>노임!D4</f>
        <v>226122</v>
      </c>
      <c r="J168" s="205">
        <f>TRUNC(I168*C168,1)</f>
        <v>84343.5</v>
      </c>
      <c r="K168" s="205">
        <v>0</v>
      </c>
      <c r="L168" s="205"/>
      <c r="M168" s="20" t="s">
        <v>6232</v>
      </c>
      <c r="N168" t="s">
        <v>6232</v>
      </c>
      <c r="P168" t="s">
        <v>2184</v>
      </c>
      <c r="Q168" t="s">
        <v>6232</v>
      </c>
      <c r="R168" t="s">
        <v>1597</v>
      </c>
      <c r="BI168" s="33" t="str">
        <f>HYPERLINK("#노임!A4","L001010101000003 →")</f>
        <v>L001010101000003 →</v>
      </c>
    </row>
    <row r="169" spans="1:61" ht="18.399999999999999" customHeight="1">
      <c r="A169" s="47"/>
      <c r="B169" s="1"/>
      <c r="C169" s="1"/>
      <c r="D169" s="1"/>
      <c r="E169" s="206"/>
      <c r="F169" s="206"/>
      <c r="G169" s="206"/>
      <c r="H169" s="206"/>
      <c r="I169" s="206"/>
      <c r="J169" s="206"/>
      <c r="K169" s="206"/>
      <c r="L169" s="206"/>
      <c r="M169" s="50"/>
    </row>
    <row r="170" spans="1:61" ht="18.399999999999999" customHeight="1">
      <c r="A170" s="11" t="s">
        <v>1820</v>
      </c>
      <c r="B170" s="2" t="s">
        <v>4894</v>
      </c>
      <c r="C170" s="2">
        <v>1</v>
      </c>
      <c r="D170" s="2" t="s">
        <v>3909</v>
      </c>
      <c r="E170" s="204"/>
      <c r="F170" s="205">
        <f>H170+J170+L170</f>
        <v>730018</v>
      </c>
      <c r="G170" s="204"/>
      <c r="H170" s="205">
        <f>TRUNC(H171+H172+H173+H174,0)</f>
        <v>37374</v>
      </c>
      <c r="I170" s="204"/>
      <c r="J170" s="205">
        <f>TRUNC(J171+J172+J173+J174,0)</f>
        <v>682148</v>
      </c>
      <c r="K170" s="204"/>
      <c r="L170" s="205">
        <f>TRUNC(L171+L172+L173+L174,0)</f>
        <v>10496</v>
      </c>
      <c r="M170" s="20" t="s">
        <v>6232</v>
      </c>
      <c r="N170" t="s">
        <v>6232</v>
      </c>
      <c r="O170" t="s">
        <v>4467</v>
      </c>
    </row>
    <row r="171" spans="1:61" ht="18.399999999999999" customHeight="1">
      <c r="A171" s="11" t="s">
        <v>2851</v>
      </c>
      <c r="B171" s="2" t="s">
        <v>3311</v>
      </c>
      <c r="C171" s="2">
        <v>1.3620000000000001</v>
      </c>
      <c r="D171" s="2" t="s">
        <v>5766</v>
      </c>
      <c r="E171" s="205">
        <f>G171+I171+K171</f>
        <v>292640</v>
      </c>
      <c r="F171" s="205">
        <f>H171+J171+L171</f>
        <v>398575.6</v>
      </c>
      <c r="G171" s="205">
        <v>0</v>
      </c>
      <c r="H171" s="205"/>
      <c r="I171" s="205">
        <f>노임!D12</f>
        <v>292640</v>
      </c>
      <c r="J171" s="205">
        <f>TRUNC(I171*C171,1)</f>
        <v>398575.6</v>
      </c>
      <c r="K171" s="205">
        <v>0</v>
      </c>
      <c r="L171" s="205"/>
      <c r="M171" s="20" t="s">
        <v>6232</v>
      </c>
      <c r="N171" t="s">
        <v>6232</v>
      </c>
      <c r="P171" t="s">
        <v>742</v>
      </c>
      <c r="Q171" t="s">
        <v>6232</v>
      </c>
      <c r="R171" t="s">
        <v>3463</v>
      </c>
      <c r="BI171" s="33" t="str">
        <f>HYPERLINK("#노임!A12","L001010101000058 →")</f>
        <v>L001010101000058 →</v>
      </c>
    </row>
    <row r="172" spans="1:61" ht="18.399999999999999" customHeight="1">
      <c r="A172" s="11" t="s">
        <v>1986</v>
      </c>
      <c r="B172" s="2" t="s">
        <v>3311</v>
      </c>
      <c r="C172" s="2">
        <v>0.90800000000000003</v>
      </c>
      <c r="D172" s="2" t="s">
        <v>5766</v>
      </c>
      <c r="E172" s="205">
        <f>G172+I172+K172</f>
        <v>226122</v>
      </c>
      <c r="F172" s="205">
        <f>H172+J172+L172</f>
        <v>205318.7</v>
      </c>
      <c r="G172" s="205">
        <v>0</v>
      </c>
      <c r="H172" s="205"/>
      <c r="I172" s="205">
        <f>노임!D4</f>
        <v>226122</v>
      </c>
      <c r="J172" s="205">
        <f>TRUNC(I172*C172,1)</f>
        <v>205318.7</v>
      </c>
      <c r="K172" s="205">
        <v>0</v>
      </c>
      <c r="L172" s="205"/>
      <c r="M172" s="20" t="s">
        <v>6232</v>
      </c>
      <c r="N172" t="s">
        <v>6232</v>
      </c>
      <c r="P172" t="s">
        <v>5372</v>
      </c>
      <c r="Q172" t="s">
        <v>6232</v>
      </c>
      <c r="R172" t="s">
        <v>1597</v>
      </c>
      <c r="BI172" s="33" t="str">
        <f>HYPERLINK("#노임!A4","L001010101000003 →")</f>
        <v>L001010101000003 →</v>
      </c>
    </row>
    <row r="173" spans="1:61" ht="18.399999999999999" customHeight="1">
      <c r="A173" s="11" t="s">
        <v>4090</v>
      </c>
      <c r="B173" s="2" t="s">
        <v>4952</v>
      </c>
      <c r="C173" s="2">
        <v>2.1789999999999998</v>
      </c>
      <c r="D173" s="2" t="s">
        <v>5171</v>
      </c>
      <c r="E173" s="205">
        <f>G173+I173+K173</f>
        <v>57650</v>
      </c>
      <c r="F173" s="205">
        <f>H173+J173+L173</f>
        <v>125619.29999999999</v>
      </c>
      <c r="G173" s="205">
        <f>중기사용료목록!E8</f>
        <v>17152</v>
      </c>
      <c r="H173" s="205">
        <f>TRUNC(G173*C173,1)</f>
        <v>37374.199999999997</v>
      </c>
      <c r="I173" s="205">
        <f>중기사용료목록!F8</f>
        <v>35913</v>
      </c>
      <c r="J173" s="205">
        <f>TRUNC(I173*C173,1)</f>
        <v>78254.399999999994</v>
      </c>
      <c r="K173" s="205">
        <f>중기사용료목록!G8</f>
        <v>4585</v>
      </c>
      <c r="L173" s="205">
        <f>TRUNC(K173*C173,1)</f>
        <v>9990.7000000000007</v>
      </c>
      <c r="M173" s="20" t="s">
        <v>6232</v>
      </c>
      <c r="N173" t="s">
        <v>6232</v>
      </c>
      <c r="P173" t="s">
        <v>2184</v>
      </c>
      <c r="Q173" t="s">
        <v>6232</v>
      </c>
      <c r="R173" t="s">
        <v>975</v>
      </c>
      <c r="BI173" s="33" t="str">
        <f>HYPERLINK("#중기사용료목록!A13","E00007505005000000 →")</f>
        <v>E00007505005000000 →</v>
      </c>
    </row>
    <row r="174" spans="1:61" ht="18.399999999999999" customHeight="1">
      <c r="A174" s="11" t="s">
        <v>4216</v>
      </c>
      <c r="B174" s="2" t="s">
        <v>365</v>
      </c>
      <c r="C174" s="2">
        <v>4.3579999999999997</v>
      </c>
      <c r="D174" s="2" t="s">
        <v>5171</v>
      </c>
      <c r="E174" s="205">
        <f>G174+I174+K174</f>
        <v>116</v>
      </c>
      <c r="F174" s="205">
        <f>H174+J174+L174</f>
        <v>505.5</v>
      </c>
      <c r="G174" s="205">
        <f>중기사용료목록!E9</f>
        <v>0</v>
      </c>
      <c r="H174" s="205">
        <f>TRUNC(G174*C174,1)</f>
        <v>0</v>
      </c>
      <c r="I174" s="205">
        <f>중기사용료목록!F9</f>
        <v>0</v>
      </c>
      <c r="J174" s="205">
        <f>TRUNC(I174*C174,1)</f>
        <v>0</v>
      </c>
      <c r="K174" s="205">
        <f>중기사용료목록!G9</f>
        <v>116</v>
      </c>
      <c r="L174" s="205">
        <f>TRUNC(K174*C174,1)</f>
        <v>505.5</v>
      </c>
      <c r="M174" s="20" t="s">
        <v>6232</v>
      </c>
      <c r="N174" t="s">
        <v>6232</v>
      </c>
      <c r="P174" t="s">
        <v>5265</v>
      </c>
      <c r="Q174" t="s">
        <v>6232</v>
      </c>
      <c r="R174" t="s">
        <v>932</v>
      </c>
      <c r="BI174" s="33" t="str">
        <f>HYPERLINK("#중기사용료목록!A16","E00007611030000000 →")</f>
        <v>E00007611030000000 →</v>
      </c>
    </row>
    <row r="175" spans="1:61" ht="18.399999999999999" customHeight="1">
      <c r="A175" s="47"/>
      <c r="B175" s="1"/>
      <c r="C175" s="1"/>
      <c r="D175" s="1"/>
      <c r="E175" s="206"/>
      <c r="F175" s="206"/>
      <c r="G175" s="206"/>
      <c r="H175" s="206"/>
      <c r="I175" s="206"/>
      <c r="J175" s="206"/>
      <c r="K175" s="206"/>
      <c r="L175" s="206"/>
      <c r="M175" s="50"/>
    </row>
    <row r="176" spans="1:61" ht="18.399999999999999" customHeight="1">
      <c r="A176" s="11" t="s">
        <v>3785</v>
      </c>
      <c r="B176" s="2" t="s">
        <v>4894</v>
      </c>
      <c r="C176" s="2">
        <v>1</v>
      </c>
      <c r="D176" s="2" t="s">
        <v>3909</v>
      </c>
      <c r="E176" s="204"/>
      <c r="F176" s="205">
        <f>H176+J176+L176</f>
        <v>730018</v>
      </c>
      <c r="G176" s="204"/>
      <c r="H176" s="205">
        <f>TRUNC(H177+H178+H179+H180,0)</f>
        <v>37374</v>
      </c>
      <c r="I176" s="204"/>
      <c r="J176" s="205">
        <f>TRUNC(J177+J178+J179+J180,0)</f>
        <v>682148</v>
      </c>
      <c r="K176" s="204"/>
      <c r="L176" s="205">
        <f>TRUNC(L177+L178+L179+L180,0)</f>
        <v>10496</v>
      </c>
      <c r="M176" s="20" t="s">
        <v>6232</v>
      </c>
      <c r="N176" t="s">
        <v>6232</v>
      </c>
      <c r="O176" t="s">
        <v>2527</v>
      </c>
    </row>
    <row r="177" spans="1:61" ht="18.399999999999999" customHeight="1">
      <c r="A177" s="11" t="s">
        <v>2851</v>
      </c>
      <c r="B177" s="2" t="s">
        <v>3311</v>
      </c>
      <c r="C177" s="2">
        <v>1.3620000000000001</v>
      </c>
      <c r="D177" s="2" t="s">
        <v>5766</v>
      </c>
      <c r="E177" s="205">
        <f>G177+I177+K177</f>
        <v>292640</v>
      </c>
      <c r="F177" s="205">
        <f>H177+J177+L177</f>
        <v>398575.6</v>
      </c>
      <c r="G177" s="205">
        <v>0</v>
      </c>
      <c r="H177" s="205"/>
      <c r="I177" s="205">
        <f>노임!D12</f>
        <v>292640</v>
      </c>
      <c r="J177" s="205">
        <f>TRUNC(I177*C177,1)</f>
        <v>398575.6</v>
      </c>
      <c r="K177" s="205">
        <v>0</v>
      </c>
      <c r="L177" s="205"/>
      <c r="M177" s="20" t="s">
        <v>6232</v>
      </c>
      <c r="N177" t="s">
        <v>6232</v>
      </c>
      <c r="P177" t="s">
        <v>742</v>
      </c>
      <c r="Q177" t="s">
        <v>6232</v>
      </c>
      <c r="R177" t="s">
        <v>3463</v>
      </c>
      <c r="BI177" s="33" t="str">
        <f>HYPERLINK("#노임!A12","L001010101000058 →")</f>
        <v>L001010101000058 →</v>
      </c>
    </row>
    <row r="178" spans="1:61" ht="18.399999999999999" customHeight="1">
      <c r="A178" s="11" t="s">
        <v>1986</v>
      </c>
      <c r="B178" s="2" t="s">
        <v>3311</v>
      </c>
      <c r="C178" s="2">
        <v>0.90800000000000003</v>
      </c>
      <c r="D178" s="2" t="s">
        <v>5766</v>
      </c>
      <c r="E178" s="205">
        <f>G178+I178+K178</f>
        <v>226122</v>
      </c>
      <c r="F178" s="205">
        <f>H178+J178+L178</f>
        <v>205318.7</v>
      </c>
      <c r="G178" s="205">
        <v>0</v>
      </c>
      <c r="H178" s="205"/>
      <c r="I178" s="205">
        <f>노임!D4</f>
        <v>226122</v>
      </c>
      <c r="J178" s="205">
        <f>TRUNC(I178*C178,1)</f>
        <v>205318.7</v>
      </c>
      <c r="K178" s="205">
        <v>0</v>
      </c>
      <c r="L178" s="205"/>
      <c r="M178" s="20" t="s">
        <v>6232</v>
      </c>
      <c r="N178" t="s">
        <v>6232</v>
      </c>
      <c r="P178" t="s">
        <v>5372</v>
      </c>
      <c r="Q178" t="s">
        <v>6232</v>
      </c>
      <c r="R178" t="s">
        <v>1597</v>
      </c>
      <c r="BI178" s="33" t="str">
        <f>HYPERLINK("#노임!A4","L001010101000003 →")</f>
        <v>L001010101000003 →</v>
      </c>
    </row>
    <row r="179" spans="1:61" ht="18.399999999999999" customHeight="1">
      <c r="A179" s="11" t="s">
        <v>4090</v>
      </c>
      <c r="B179" s="2" t="s">
        <v>4952</v>
      </c>
      <c r="C179" s="2">
        <v>2.1789999999999998</v>
      </c>
      <c r="D179" s="2" t="s">
        <v>5171</v>
      </c>
      <c r="E179" s="205">
        <f>G179+I179+K179</f>
        <v>57650</v>
      </c>
      <c r="F179" s="205">
        <f>H179+J179+L179</f>
        <v>125619.29999999999</v>
      </c>
      <c r="G179" s="205">
        <f>중기사용료목록!E8</f>
        <v>17152</v>
      </c>
      <c r="H179" s="205">
        <f>TRUNC(G179*C179,1)</f>
        <v>37374.199999999997</v>
      </c>
      <c r="I179" s="205">
        <f>중기사용료목록!F8</f>
        <v>35913</v>
      </c>
      <c r="J179" s="205">
        <f>TRUNC(I179*C179,1)</f>
        <v>78254.399999999994</v>
      </c>
      <c r="K179" s="205">
        <f>중기사용료목록!G8</f>
        <v>4585</v>
      </c>
      <c r="L179" s="205">
        <f>TRUNC(K179*C179,1)</f>
        <v>9990.7000000000007</v>
      </c>
      <c r="M179" s="20" t="s">
        <v>6232</v>
      </c>
      <c r="N179" t="s">
        <v>6232</v>
      </c>
      <c r="P179" t="s">
        <v>2184</v>
      </c>
      <c r="Q179" t="s">
        <v>6232</v>
      </c>
      <c r="R179" t="s">
        <v>975</v>
      </c>
      <c r="BI179" s="33" t="str">
        <f>HYPERLINK("#중기사용료목록!A13","E00007505005000000 →")</f>
        <v>E00007505005000000 →</v>
      </c>
    </row>
    <row r="180" spans="1:61" ht="18.399999999999999" customHeight="1">
      <c r="A180" s="11" t="s">
        <v>4216</v>
      </c>
      <c r="B180" s="2" t="s">
        <v>365</v>
      </c>
      <c r="C180" s="2">
        <v>4.3579999999999997</v>
      </c>
      <c r="D180" s="2" t="s">
        <v>5171</v>
      </c>
      <c r="E180" s="205">
        <f>G180+I180+K180</f>
        <v>116</v>
      </c>
      <c r="F180" s="205">
        <f>H180+J180+L180</f>
        <v>505.5</v>
      </c>
      <c r="G180" s="205">
        <f>중기사용료목록!E9</f>
        <v>0</v>
      </c>
      <c r="H180" s="205">
        <f>TRUNC(G180*C180,1)</f>
        <v>0</v>
      </c>
      <c r="I180" s="205">
        <f>중기사용료목록!F9</f>
        <v>0</v>
      </c>
      <c r="J180" s="205">
        <f>TRUNC(I180*C180,1)</f>
        <v>0</v>
      </c>
      <c r="K180" s="205">
        <f>중기사용료목록!G9</f>
        <v>116</v>
      </c>
      <c r="L180" s="205">
        <f>TRUNC(K180*C180,1)</f>
        <v>505.5</v>
      </c>
      <c r="M180" s="20" t="s">
        <v>6232</v>
      </c>
      <c r="N180" t="s">
        <v>6232</v>
      </c>
      <c r="P180" t="s">
        <v>5265</v>
      </c>
      <c r="Q180" t="s">
        <v>6232</v>
      </c>
      <c r="R180" t="s">
        <v>932</v>
      </c>
      <c r="BI180" s="33" t="str">
        <f>HYPERLINK("#중기사용료목록!A16","E00007611030000000 →")</f>
        <v>E00007611030000000 →</v>
      </c>
    </row>
    <row r="181" spans="1:61" ht="18.399999999999999" customHeight="1">
      <c r="A181" s="47"/>
      <c r="B181" s="1"/>
      <c r="C181" s="1"/>
      <c r="D181" s="1"/>
      <c r="E181" s="206"/>
      <c r="F181" s="206"/>
      <c r="G181" s="206"/>
      <c r="H181" s="206"/>
      <c r="I181" s="206"/>
      <c r="J181" s="206"/>
      <c r="K181" s="206"/>
      <c r="L181" s="206"/>
      <c r="M181" s="50"/>
    </row>
    <row r="182" spans="1:61" ht="18.399999999999999" customHeight="1">
      <c r="A182" s="11" t="s">
        <v>5125</v>
      </c>
      <c r="B182" s="2" t="s">
        <v>3764</v>
      </c>
      <c r="C182" s="2">
        <v>1</v>
      </c>
      <c r="D182" s="2" t="s">
        <v>3909</v>
      </c>
      <c r="E182" s="204"/>
      <c r="F182" s="205">
        <f>H182+J182+L182</f>
        <v>982063</v>
      </c>
      <c r="G182" s="204"/>
      <c r="H182" s="205">
        <f>TRUNC(H183+H184+H185+H186,0)</f>
        <v>0</v>
      </c>
      <c r="I182" s="204"/>
      <c r="J182" s="205">
        <f>TRUNC(J183+J184+J185+J186,0)</f>
        <v>982063</v>
      </c>
      <c r="K182" s="204"/>
      <c r="L182" s="205">
        <f>TRUNC(L183+L184+L185+L186,0)</f>
        <v>0</v>
      </c>
      <c r="M182" s="20" t="s">
        <v>6232</v>
      </c>
      <c r="N182" t="s">
        <v>6232</v>
      </c>
      <c r="O182" t="s">
        <v>6185</v>
      </c>
    </row>
    <row r="183" spans="1:61" ht="18.399999999999999" customHeight="1">
      <c r="A183" s="11" t="s">
        <v>3936</v>
      </c>
      <c r="B183" s="2" t="s">
        <v>3311</v>
      </c>
      <c r="C183" s="2">
        <v>1.1299999999999999</v>
      </c>
      <c r="D183" s="2" t="s">
        <v>5766</v>
      </c>
      <c r="E183" s="205">
        <f>G183+I183+K183</f>
        <v>320480</v>
      </c>
      <c r="F183" s="205">
        <f>H183+J183+L183</f>
        <v>362142.4</v>
      </c>
      <c r="G183" s="205">
        <v>0</v>
      </c>
      <c r="H183" s="205"/>
      <c r="I183" s="205">
        <f>노임!D11</f>
        <v>320480</v>
      </c>
      <c r="J183" s="205">
        <f>TRUNC(I183*C183,1)</f>
        <v>362142.4</v>
      </c>
      <c r="K183" s="205">
        <v>0</v>
      </c>
      <c r="L183" s="205"/>
      <c r="M183" s="20" t="s">
        <v>6232</v>
      </c>
      <c r="N183" t="s">
        <v>6232</v>
      </c>
      <c r="P183" t="s">
        <v>742</v>
      </c>
      <c r="Q183" t="s">
        <v>6232</v>
      </c>
      <c r="R183" t="s">
        <v>3298</v>
      </c>
      <c r="BI183" s="33" t="str">
        <f>HYPERLINK("#노임!A11","L001010101000056 →")</f>
        <v>L001010101000056 →</v>
      </c>
    </row>
    <row r="184" spans="1:61" ht="18.399999999999999" customHeight="1">
      <c r="A184" s="11" t="s">
        <v>1986</v>
      </c>
      <c r="B184" s="2" t="s">
        <v>3311</v>
      </c>
      <c r="C184" s="2">
        <v>0.56999999999999995</v>
      </c>
      <c r="D184" s="2" t="s">
        <v>5766</v>
      </c>
      <c r="E184" s="205">
        <f>G184+I184+K184</f>
        <v>226122</v>
      </c>
      <c r="F184" s="205">
        <f>H184+J184+L184</f>
        <v>128889.5</v>
      </c>
      <c r="G184" s="205">
        <v>0</v>
      </c>
      <c r="H184" s="205"/>
      <c r="I184" s="205">
        <f>노임!D4</f>
        <v>226122</v>
      </c>
      <c r="J184" s="205">
        <f>TRUNC(I184*C184,1)</f>
        <v>128889.5</v>
      </c>
      <c r="K184" s="205">
        <v>0</v>
      </c>
      <c r="L184" s="205"/>
      <c r="M184" s="20" t="s">
        <v>6232</v>
      </c>
      <c r="N184" t="s">
        <v>6232</v>
      </c>
      <c r="P184" t="s">
        <v>5372</v>
      </c>
      <c r="Q184" t="s">
        <v>6232</v>
      </c>
      <c r="R184" t="s">
        <v>1597</v>
      </c>
      <c r="BI184" s="33" t="str">
        <f>HYPERLINK("#노임!A4","L001010101000003 →")</f>
        <v>L001010101000003 →</v>
      </c>
    </row>
    <row r="185" spans="1:61" ht="18.399999999999999" customHeight="1">
      <c r="A185" s="11" t="s">
        <v>3936</v>
      </c>
      <c r="B185" s="2" t="s">
        <v>3311</v>
      </c>
      <c r="C185" s="2">
        <v>1.1299999999999999</v>
      </c>
      <c r="D185" s="2" t="s">
        <v>5766</v>
      </c>
      <c r="E185" s="205">
        <f>G185+I185+K185</f>
        <v>320480</v>
      </c>
      <c r="F185" s="205">
        <f>H185+J185+L185</f>
        <v>362142.4</v>
      </c>
      <c r="G185" s="205">
        <v>0</v>
      </c>
      <c r="H185" s="205"/>
      <c r="I185" s="205">
        <f>노임!D11</f>
        <v>320480</v>
      </c>
      <c r="J185" s="205">
        <f>TRUNC(I185*C185,1)</f>
        <v>362142.4</v>
      </c>
      <c r="K185" s="205">
        <v>0</v>
      </c>
      <c r="L185" s="205"/>
      <c r="M185" s="20" t="s">
        <v>6232</v>
      </c>
      <c r="N185" t="s">
        <v>6232</v>
      </c>
      <c r="P185" t="s">
        <v>3792</v>
      </c>
      <c r="Q185" t="s">
        <v>6232</v>
      </c>
      <c r="R185" t="s">
        <v>3298</v>
      </c>
      <c r="BI185" s="33" t="str">
        <f>HYPERLINK("#노임!A11","L001010101000056 →")</f>
        <v>L001010101000056 →</v>
      </c>
    </row>
    <row r="186" spans="1:61" ht="18.399999999999999" customHeight="1">
      <c r="A186" s="11" t="s">
        <v>1986</v>
      </c>
      <c r="B186" s="2" t="s">
        <v>3311</v>
      </c>
      <c r="C186" s="2">
        <v>0.56999999999999995</v>
      </c>
      <c r="D186" s="2" t="s">
        <v>5766</v>
      </c>
      <c r="E186" s="205">
        <f>G186+I186+K186</f>
        <v>226122</v>
      </c>
      <c r="F186" s="205">
        <f>H186+J186+L186</f>
        <v>128889.5</v>
      </c>
      <c r="G186" s="205">
        <v>0</v>
      </c>
      <c r="H186" s="205"/>
      <c r="I186" s="205">
        <f>노임!D4</f>
        <v>226122</v>
      </c>
      <c r="J186" s="205">
        <f>TRUNC(I186*C186,1)</f>
        <v>128889.5</v>
      </c>
      <c r="K186" s="205">
        <v>0</v>
      </c>
      <c r="L186" s="205"/>
      <c r="M186" s="20" t="s">
        <v>6232</v>
      </c>
      <c r="N186" t="s">
        <v>6232</v>
      </c>
      <c r="P186" t="s">
        <v>2184</v>
      </c>
      <c r="Q186" t="s">
        <v>6232</v>
      </c>
      <c r="R186" t="s">
        <v>1597</v>
      </c>
      <c r="BI186" s="33" t="str">
        <f>HYPERLINK("#노임!A4","L001010101000003 →")</f>
        <v>L001010101000003 →</v>
      </c>
    </row>
    <row r="187" spans="1:61" ht="18.399999999999999" customHeight="1">
      <c r="A187" s="47"/>
      <c r="B187" s="1"/>
      <c r="C187" s="1"/>
      <c r="D187" s="1"/>
      <c r="E187" s="206"/>
      <c r="F187" s="206"/>
      <c r="G187" s="206"/>
      <c r="H187" s="206"/>
      <c r="I187" s="206"/>
      <c r="J187" s="206"/>
      <c r="K187" s="206"/>
      <c r="L187" s="206"/>
      <c r="M187" s="50"/>
    </row>
    <row r="188" spans="1:61" ht="18.399999999999999" customHeight="1">
      <c r="A188" s="11" t="s">
        <v>97</v>
      </c>
      <c r="B188" s="2" t="s">
        <v>3764</v>
      </c>
      <c r="C188" s="2">
        <v>1</v>
      </c>
      <c r="D188" s="2" t="s">
        <v>3909</v>
      </c>
      <c r="E188" s="204"/>
      <c r="F188" s="205">
        <f>H188+J188+L188</f>
        <v>1026220</v>
      </c>
      <c r="G188" s="204"/>
      <c r="H188" s="205">
        <f>TRUNC(H189+H190+H191+H192,0)</f>
        <v>54063</v>
      </c>
      <c r="I188" s="204"/>
      <c r="J188" s="205">
        <f>TRUNC(J189+J190+J191+J192,0)</f>
        <v>956974</v>
      </c>
      <c r="K188" s="204"/>
      <c r="L188" s="205">
        <f>TRUNC(L189+L190+L191+L192,0)</f>
        <v>15183</v>
      </c>
      <c r="M188" s="20" t="s">
        <v>6232</v>
      </c>
      <c r="N188" t="s">
        <v>6232</v>
      </c>
      <c r="O188" t="s">
        <v>2887</v>
      </c>
    </row>
    <row r="189" spans="1:61" ht="18.399999999999999" customHeight="1">
      <c r="A189" s="11" t="s">
        <v>2851</v>
      </c>
      <c r="B189" s="2" t="s">
        <v>3311</v>
      </c>
      <c r="C189" s="2">
        <v>1.97</v>
      </c>
      <c r="D189" s="2" t="s">
        <v>5766</v>
      </c>
      <c r="E189" s="205">
        <f>G189+I189+K189</f>
        <v>292640</v>
      </c>
      <c r="F189" s="205">
        <f>H189+J189+L189</f>
        <v>576500.80000000005</v>
      </c>
      <c r="G189" s="205">
        <v>0</v>
      </c>
      <c r="H189" s="205"/>
      <c r="I189" s="205">
        <f>노임!D12</f>
        <v>292640</v>
      </c>
      <c r="J189" s="205">
        <f>TRUNC(I189*C189,1)</f>
        <v>576500.80000000005</v>
      </c>
      <c r="K189" s="205">
        <v>0</v>
      </c>
      <c r="L189" s="205"/>
      <c r="M189" s="20" t="s">
        <v>6232</v>
      </c>
      <c r="N189" t="s">
        <v>6232</v>
      </c>
      <c r="P189" t="s">
        <v>742</v>
      </c>
      <c r="Q189" t="s">
        <v>6232</v>
      </c>
      <c r="R189" t="s">
        <v>3463</v>
      </c>
      <c r="BI189" s="33" t="str">
        <f>HYPERLINK("#노임!A12","L001010101000058 →")</f>
        <v>L001010101000058 →</v>
      </c>
    </row>
    <row r="190" spans="1:61" ht="18.399999999999999" customHeight="1">
      <c r="A190" s="11" t="s">
        <v>1986</v>
      </c>
      <c r="B190" s="2" t="s">
        <v>3311</v>
      </c>
      <c r="C190" s="2">
        <v>1.1819999999999999</v>
      </c>
      <c r="D190" s="2" t="s">
        <v>5766</v>
      </c>
      <c r="E190" s="205">
        <f>G190+I190+K190</f>
        <v>226122</v>
      </c>
      <c r="F190" s="205">
        <f>H190+J190+L190</f>
        <v>267276.2</v>
      </c>
      <c r="G190" s="205">
        <v>0</v>
      </c>
      <c r="H190" s="205"/>
      <c r="I190" s="205">
        <f>노임!D4</f>
        <v>226122</v>
      </c>
      <c r="J190" s="205">
        <f>TRUNC(I190*C190,1)</f>
        <v>267276.2</v>
      </c>
      <c r="K190" s="205">
        <v>0</v>
      </c>
      <c r="L190" s="205"/>
      <c r="M190" s="20" t="s">
        <v>6232</v>
      </c>
      <c r="N190" t="s">
        <v>6232</v>
      </c>
      <c r="P190" t="s">
        <v>5372</v>
      </c>
      <c r="Q190" t="s">
        <v>6232</v>
      </c>
      <c r="R190" t="s">
        <v>1597</v>
      </c>
      <c r="BI190" s="33" t="str">
        <f>HYPERLINK("#노임!A4","L001010101000003 →")</f>
        <v>L001010101000003 →</v>
      </c>
    </row>
    <row r="191" spans="1:61" ht="18.399999999999999" customHeight="1">
      <c r="A191" s="11" t="s">
        <v>4090</v>
      </c>
      <c r="B191" s="2" t="s">
        <v>4952</v>
      </c>
      <c r="C191" s="2">
        <v>3.1520000000000001</v>
      </c>
      <c r="D191" s="2" t="s">
        <v>5171</v>
      </c>
      <c r="E191" s="205">
        <f>G191+I191+K191</f>
        <v>57650</v>
      </c>
      <c r="F191" s="205">
        <f>H191+J191+L191</f>
        <v>181712.69999999998</v>
      </c>
      <c r="G191" s="205">
        <f>중기사용료목록!E8</f>
        <v>17152</v>
      </c>
      <c r="H191" s="205">
        <f>TRUNC(G191*C191,1)</f>
        <v>54063.1</v>
      </c>
      <c r="I191" s="205">
        <f>중기사용료목록!F8</f>
        <v>35913</v>
      </c>
      <c r="J191" s="205">
        <f>TRUNC(I191*C191,1)</f>
        <v>113197.7</v>
      </c>
      <c r="K191" s="205">
        <f>중기사용료목록!G8</f>
        <v>4585</v>
      </c>
      <c r="L191" s="205">
        <f>TRUNC(K191*C191,1)</f>
        <v>14451.9</v>
      </c>
      <c r="M191" s="20" t="s">
        <v>6232</v>
      </c>
      <c r="N191" t="s">
        <v>6232</v>
      </c>
      <c r="P191" t="s">
        <v>2184</v>
      </c>
      <c r="Q191" t="s">
        <v>6232</v>
      </c>
      <c r="R191" t="s">
        <v>975</v>
      </c>
      <c r="BI191" s="33" t="str">
        <f>HYPERLINK("#중기사용료목록!A13","E00007505005000000 →")</f>
        <v>E00007505005000000 →</v>
      </c>
    </row>
    <row r="192" spans="1:61" ht="18.399999999999999" customHeight="1">
      <c r="A192" s="11" t="s">
        <v>4216</v>
      </c>
      <c r="B192" s="2" t="s">
        <v>365</v>
      </c>
      <c r="C192" s="2">
        <v>6.3040000000000003</v>
      </c>
      <c r="D192" s="2" t="s">
        <v>5171</v>
      </c>
      <c r="E192" s="205">
        <f>G192+I192+K192</f>
        <v>116</v>
      </c>
      <c r="F192" s="205">
        <f>H192+J192+L192</f>
        <v>731.2</v>
      </c>
      <c r="G192" s="205">
        <f>중기사용료목록!E9</f>
        <v>0</v>
      </c>
      <c r="H192" s="205">
        <f>TRUNC(G192*C192,1)</f>
        <v>0</v>
      </c>
      <c r="I192" s="205">
        <f>중기사용료목록!F9</f>
        <v>0</v>
      </c>
      <c r="J192" s="205">
        <f>TRUNC(I192*C192,1)</f>
        <v>0</v>
      </c>
      <c r="K192" s="205">
        <f>중기사용료목록!G9</f>
        <v>116</v>
      </c>
      <c r="L192" s="205">
        <f>TRUNC(K192*C192,1)</f>
        <v>731.2</v>
      </c>
      <c r="M192" s="20" t="s">
        <v>6232</v>
      </c>
      <c r="N192" t="s">
        <v>6232</v>
      </c>
      <c r="P192" t="s">
        <v>5265</v>
      </c>
      <c r="Q192" t="s">
        <v>6232</v>
      </c>
      <c r="R192" t="s">
        <v>932</v>
      </c>
      <c r="BI192" s="33" t="str">
        <f>HYPERLINK("#중기사용료목록!A16","E00007611030000000 →")</f>
        <v>E00007611030000000 →</v>
      </c>
    </row>
    <row r="193" spans="1:61" ht="18.399999999999999" customHeight="1">
      <c r="A193" s="47"/>
      <c r="B193" s="1"/>
      <c r="C193" s="1"/>
      <c r="D193" s="1"/>
      <c r="E193" s="206"/>
      <c r="F193" s="206"/>
      <c r="G193" s="206"/>
      <c r="H193" s="206"/>
      <c r="I193" s="206"/>
      <c r="J193" s="206"/>
      <c r="K193" s="206"/>
      <c r="L193" s="206"/>
      <c r="M193" s="50"/>
    </row>
    <row r="194" spans="1:61" ht="18.399999999999999" customHeight="1">
      <c r="A194" s="11" t="s">
        <v>114</v>
      </c>
      <c r="B194" s="2" t="s">
        <v>3764</v>
      </c>
      <c r="C194" s="2">
        <v>1</v>
      </c>
      <c r="D194" s="2" t="s">
        <v>3909</v>
      </c>
      <c r="E194" s="204"/>
      <c r="F194" s="205">
        <f>H194+J194+L194</f>
        <v>1026220</v>
      </c>
      <c r="G194" s="204"/>
      <c r="H194" s="205">
        <f>TRUNC(H195+H196+H197+H198,0)</f>
        <v>54063</v>
      </c>
      <c r="I194" s="204"/>
      <c r="J194" s="205">
        <f>TRUNC(J195+J196+J197+J198,0)</f>
        <v>956974</v>
      </c>
      <c r="K194" s="204"/>
      <c r="L194" s="205">
        <f>TRUNC(L195+L196+L197+L198,0)</f>
        <v>15183</v>
      </c>
      <c r="M194" s="20" t="s">
        <v>6232</v>
      </c>
      <c r="N194" t="s">
        <v>6232</v>
      </c>
      <c r="O194" t="s">
        <v>4128</v>
      </c>
    </row>
    <row r="195" spans="1:61" ht="18.399999999999999" customHeight="1">
      <c r="A195" s="11" t="s">
        <v>2851</v>
      </c>
      <c r="B195" s="2" t="s">
        <v>3311</v>
      </c>
      <c r="C195" s="2">
        <v>1.97</v>
      </c>
      <c r="D195" s="2" t="s">
        <v>5766</v>
      </c>
      <c r="E195" s="205">
        <f>G195+I195+K195</f>
        <v>292640</v>
      </c>
      <c r="F195" s="205">
        <f>H195+J195+L195</f>
        <v>576500.80000000005</v>
      </c>
      <c r="G195" s="205">
        <v>0</v>
      </c>
      <c r="H195" s="205"/>
      <c r="I195" s="205">
        <f>노임!D12</f>
        <v>292640</v>
      </c>
      <c r="J195" s="205">
        <f>TRUNC(I195*C195,1)</f>
        <v>576500.80000000005</v>
      </c>
      <c r="K195" s="205">
        <v>0</v>
      </c>
      <c r="L195" s="205"/>
      <c r="M195" s="20" t="s">
        <v>6232</v>
      </c>
      <c r="N195" t="s">
        <v>6232</v>
      </c>
      <c r="P195" t="s">
        <v>742</v>
      </c>
      <c r="Q195" t="s">
        <v>6232</v>
      </c>
      <c r="R195" t="s">
        <v>3463</v>
      </c>
      <c r="BI195" s="33" t="str">
        <f>HYPERLINK("#노임!A12","L001010101000058 →")</f>
        <v>L001010101000058 →</v>
      </c>
    </row>
    <row r="196" spans="1:61" ht="18.399999999999999" customHeight="1">
      <c r="A196" s="11" t="s">
        <v>1986</v>
      </c>
      <c r="B196" s="2" t="s">
        <v>3311</v>
      </c>
      <c r="C196" s="2">
        <v>1.1819999999999999</v>
      </c>
      <c r="D196" s="2" t="s">
        <v>5766</v>
      </c>
      <c r="E196" s="205">
        <f>G196+I196+K196</f>
        <v>226122</v>
      </c>
      <c r="F196" s="205">
        <f>H196+J196+L196</f>
        <v>267276.2</v>
      </c>
      <c r="G196" s="205">
        <v>0</v>
      </c>
      <c r="H196" s="205"/>
      <c r="I196" s="205">
        <f>노임!D4</f>
        <v>226122</v>
      </c>
      <c r="J196" s="205">
        <f>TRUNC(I196*C196,1)</f>
        <v>267276.2</v>
      </c>
      <c r="K196" s="205">
        <v>0</v>
      </c>
      <c r="L196" s="205"/>
      <c r="M196" s="20" t="s">
        <v>6232</v>
      </c>
      <c r="N196" t="s">
        <v>6232</v>
      </c>
      <c r="P196" t="s">
        <v>5372</v>
      </c>
      <c r="Q196" t="s">
        <v>6232</v>
      </c>
      <c r="R196" t="s">
        <v>1597</v>
      </c>
      <c r="BI196" s="33" t="str">
        <f>HYPERLINK("#노임!A4","L001010101000003 →")</f>
        <v>L001010101000003 →</v>
      </c>
    </row>
    <row r="197" spans="1:61" ht="18.399999999999999" customHeight="1">
      <c r="A197" s="11" t="s">
        <v>4090</v>
      </c>
      <c r="B197" s="2" t="s">
        <v>4952</v>
      </c>
      <c r="C197" s="2">
        <v>3.1520000000000001</v>
      </c>
      <c r="D197" s="2" t="s">
        <v>5171</v>
      </c>
      <c r="E197" s="205">
        <f>G197+I197+K197</f>
        <v>57650</v>
      </c>
      <c r="F197" s="205">
        <f>H197+J197+L197</f>
        <v>181712.69999999998</v>
      </c>
      <c r="G197" s="205">
        <f>중기사용료목록!E8</f>
        <v>17152</v>
      </c>
      <c r="H197" s="205">
        <f>TRUNC(G197*C197,1)</f>
        <v>54063.1</v>
      </c>
      <c r="I197" s="205">
        <f>중기사용료목록!F8</f>
        <v>35913</v>
      </c>
      <c r="J197" s="205">
        <f>TRUNC(I197*C197,1)</f>
        <v>113197.7</v>
      </c>
      <c r="K197" s="205">
        <f>중기사용료목록!G8</f>
        <v>4585</v>
      </c>
      <c r="L197" s="205">
        <f>TRUNC(K197*C197,1)</f>
        <v>14451.9</v>
      </c>
      <c r="M197" s="20" t="s">
        <v>6232</v>
      </c>
      <c r="N197" t="s">
        <v>6232</v>
      </c>
      <c r="P197" t="s">
        <v>2184</v>
      </c>
      <c r="Q197" t="s">
        <v>6232</v>
      </c>
      <c r="R197" t="s">
        <v>975</v>
      </c>
      <c r="BI197" s="33" t="str">
        <f>HYPERLINK("#중기사용료목록!A13","E00007505005000000 →")</f>
        <v>E00007505005000000 →</v>
      </c>
    </row>
    <row r="198" spans="1:61" ht="18.399999999999999" customHeight="1">
      <c r="A198" s="11" t="s">
        <v>4216</v>
      </c>
      <c r="B198" s="2" t="s">
        <v>365</v>
      </c>
      <c r="C198" s="2">
        <v>6.3040000000000003</v>
      </c>
      <c r="D198" s="2" t="s">
        <v>5171</v>
      </c>
      <c r="E198" s="205">
        <f>G198+I198+K198</f>
        <v>116</v>
      </c>
      <c r="F198" s="205">
        <f>H198+J198+L198</f>
        <v>731.2</v>
      </c>
      <c r="G198" s="205">
        <f>중기사용료목록!E9</f>
        <v>0</v>
      </c>
      <c r="H198" s="205">
        <f>TRUNC(G198*C198,1)</f>
        <v>0</v>
      </c>
      <c r="I198" s="205">
        <f>중기사용료목록!F9</f>
        <v>0</v>
      </c>
      <c r="J198" s="205">
        <f>TRUNC(I198*C198,1)</f>
        <v>0</v>
      </c>
      <c r="K198" s="205">
        <f>중기사용료목록!G9</f>
        <v>116</v>
      </c>
      <c r="L198" s="205">
        <f>TRUNC(K198*C198,1)</f>
        <v>731.2</v>
      </c>
      <c r="M198" s="20" t="s">
        <v>6232</v>
      </c>
      <c r="N198" t="s">
        <v>6232</v>
      </c>
      <c r="P198" t="s">
        <v>5265</v>
      </c>
      <c r="Q198" t="s">
        <v>6232</v>
      </c>
      <c r="R198" t="s">
        <v>932</v>
      </c>
      <c r="BI198" s="33" t="str">
        <f>HYPERLINK("#중기사용료목록!A16","E00007611030000000 →")</f>
        <v>E00007611030000000 →</v>
      </c>
    </row>
    <row r="199" spans="1:61" ht="18.399999999999999" customHeight="1">
      <c r="A199" s="47"/>
      <c r="B199" s="1"/>
      <c r="C199" s="1"/>
      <c r="D199" s="1"/>
      <c r="E199" s="206"/>
      <c r="F199" s="206"/>
      <c r="G199" s="206"/>
      <c r="H199" s="206"/>
      <c r="I199" s="206"/>
      <c r="J199" s="206"/>
      <c r="K199" s="206"/>
      <c r="L199" s="206"/>
      <c r="M199" s="50"/>
    </row>
    <row r="200" spans="1:61" ht="18.399999999999999" customHeight="1">
      <c r="A200" s="11" t="s">
        <v>1065</v>
      </c>
      <c r="B200" s="2" t="s">
        <v>6105</v>
      </c>
      <c r="C200" s="2">
        <v>1</v>
      </c>
      <c r="D200" s="2" t="s">
        <v>3909</v>
      </c>
      <c r="E200" s="204"/>
      <c r="F200" s="205">
        <f>H200+J200+L200</f>
        <v>1366784</v>
      </c>
      <c r="G200" s="204"/>
      <c r="H200" s="205">
        <f>TRUNC(H201+H202+H203+H204,0)</f>
        <v>0</v>
      </c>
      <c r="I200" s="204"/>
      <c r="J200" s="205">
        <f>TRUNC(J201+J202+J203+J204,0)</f>
        <v>1366784</v>
      </c>
      <c r="K200" s="204"/>
      <c r="L200" s="205">
        <f>TRUNC(L201+L202+L203+L204,0)</f>
        <v>0</v>
      </c>
      <c r="M200" s="20" t="s">
        <v>6232</v>
      </c>
      <c r="N200" t="s">
        <v>6232</v>
      </c>
      <c r="O200" t="s">
        <v>5175</v>
      </c>
    </row>
    <row r="201" spans="1:61" ht="18.399999999999999" customHeight="1">
      <c r="A201" s="11" t="s">
        <v>3936</v>
      </c>
      <c r="B201" s="2" t="s">
        <v>3311</v>
      </c>
      <c r="C201" s="2">
        <v>1.67</v>
      </c>
      <c r="D201" s="2" t="s">
        <v>5766</v>
      </c>
      <c r="E201" s="205">
        <f>G201+I201+K201</f>
        <v>320480</v>
      </c>
      <c r="F201" s="205">
        <f>H201+J201+L201</f>
        <v>535201.6</v>
      </c>
      <c r="G201" s="205">
        <v>0</v>
      </c>
      <c r="H201" s="205"/>
      <c r="I201" s="205">
        <f>노임!D11</f>
        <v>320480</v>
      </c>
      <c r="J201" s="205">
        <f>TRUNC(I201*C201,1)</f>
        <v>535201.6</v>
      </c>
      <c r="K201" s="205">
        <v>0</v>
      </c>
      <c r="L201" s="205"/>
      <c r="M201" s="20" t="s">
        <v>6232</v>
      </c>
      <c r="N201" t="s">
        <v>6232</v>
      </c>
      <c r="P201" t="s">
        <v>3792</v>
      </c>
      <c r="Q201" t="s">
        <v>6232</v>
      </c>
      <c r="R201" t="s">
        <v>3298</v>
      </c>
      <c r="BI201" s="33" t="str">
        <f>HYPERLINK("#노임!A11","L001010101000056 →")</f>
        <v>L001010101000056 →</v>
      </c>
    </row>
    <row r="202" spans="1:61" ht="18.399999999999999" customHeight="1">
      <c r="A202" s="11" t="s">
        <v>1986</v>
      </c>
      <c r="B202" s="2" t="s">
        <v>3311</v>
      </c>
      <c r="C202" s="2">
        <v>0.84</v>
      </c>
      <c r="D202" s="2" t="s">
        <v>5766</v>
      </c>
      <c r="E202" s="205">
        <f>G202+I202+K202</f>
        <v>226122</v>
      </c>
      <c r="F202" s="205">
        <f>H202+J202+L202</f>
        <v>189942.39999999999</v>
      </c>
      <c r="G202" s="205">
        <v>0</v>
      </c>
      <c r="H202" s="205"/>
      <c r="I202" s="205">
        <f>노임!D4</f>
        <v>226122</v>
      </c>
      <c r="J202" s="205">
        <f>TRUNC(I202*C202,1)</f>
        <v>189942.39999999999</v>
      </c>
      <c r="K202" s="205">
        <v>0</v>
      </c>
      <c r="L202" s="205"/>
      <c r="M202" s="20" t="s">
        <v>6232</v>
      </c>
      <c r="N202" t="s">
        <v>6232</v>
      </c>
      <c r="P202" t="s">
        <v>2184</v>
      </c>
      <c r="Q202" t="s">
        <v>6232</v>
      </c>
      <c r="R202" t="s">
        <v>1597</v>
      </c>
      <c r="BI202" s="33" t="str">
        <f>HYPERLINK("#노임!A4","L001010101000003 →")</f>
        <v>L001010101000003 →</v>
      </c>
    </row>
    <row r="203" spans="1:61" ht="18.399999999999999" customHeight="1">
      <c r="A203" s="11" t="s">
        <v>3936</v>
      </c>
      <c r="B203" s="2" t="s">
        <v>3311</v>
      </c>
      <c r="C203" s="2">
        <v>1.48</v>
      </c>
      <c r="D203" s="2" t="s">
        <v>5766</v>
      </c>
      <c r="E203" s="205">
        <f>G203+I203+K203</f>
        <v>320480</v>
      </c>
      <c r="F203" s="205">
        <f>H203+J203+L203</f>
        <v>474310.40000000002</v>
      </c>
      <c r="G203" s="205">
        <v>0</v>
      </c>
      <c r="H203" s="205"/>
      <c r="I203" s="205">
        <f>노임!D11</f>
        <v>320480</v>
      </c>
      <c r="J203" s="205">
        <f>TRUNC(I203*C203,1)</f>
        <v>474310.40000000002</v>
      </c>
      <c r="K203" s="205">
        <v>0</v>
      </c>
      <c r="L203" s="205"/>
      <c r="M203" s="20" t="s">
        <v>6232</v>
      </c>
      <c r="N203" t="s">
        <v>6232</v>
      </c>
      <c r="P203" t="s">
        <v>637</v>
      </c>
      <c r="Q203" t="s">
        <v>6232</v>
      </c>
      <c r="R203" t="s">
        <v>3298</v>
      </c>
      <c r="BI203" s="33" t="str">
        <f>HYPERLINK("#노임!A11","L001010101000056 →")</f>
        <v>L001010101000056 →</v>
      </c>
    </row>
    <row r="204" spans="1:61" ht="18.399999999999999" customHeight="1">
      <c r="A204" s="11" t="s">
        <v>1986</v>
      </c>
      <c r="B204" s="2" t="s">
        <v>3311</v>
      </c>
      <c r="C204" s="2">
        <v>0.74</v>
      </c>
      <c r="D204" s="2" t="s">
        <v>5766</v>
      </c>
      <c r="E204" s="205">
        <f>G204+I204+K204</f>
        <v>226122</v>
      </c>
      <c r="F204" s="205">
        <f>H204+J204+L204</f>
        <v>167330.20000000001</v>
      </c>
      <c r="G204" s="205">
        <v>0</v>
      </c>
      <c r="H204" s="205"/>
      <c r="I204" s="205">
        <f>노임!D4</f>
        <v>226122</v>
      </c>
      <c r="J204" s="205">
        <f>TRUNC(I204*C204,1)</f>
        <v>167330.20000000001</v>
      </c>
      <c r="K204" s="205">
        <v>0</v>
      </c>
      <c r="L204" s="205"/>
      <c r="M204" s="20" t="s">
        <v>6232</v>
      </c>
      <c r="N204" t="s">
        <v>6232</v>
      </c>
      <c r="P204" t="s">
        <v>5265</v>
      </c>
      <c r="Q204" t="s">
        <v>6232</v>
      </c>
      <c r="R204" t="s">
        <v>1597</v>
      </c>
      <c r="BI204" s="33" t="str">
        <f>HYPERLINK("#노임!A4","L001010101000003 →")</f>
        <v>L001010101000003 →</v>
      </c>
    </row>
    <row r="205" spans="1:61" ht="18.399999999999999" customHeight="1">
      <c r="A205" s="47"/>
      <c r="B205" s="1"/>
      <c r="C205" s="1"/>
      <c r="D205" s="1"/>
      <c r="E205" s="206"/>
      <c r="F205" s="206"/>
      <c r="G205" s="206"/>
      <c r="H205" s="206"/>
      <c r="I205" s="206"/>
      <c r="J205" s="206"/>
      <c r="K205" s="206"/>
      <c r="L205" s="206"/>
      <c r="M205" s="50"/>
    </row>
    <row r="206" spans="1:61" ht="18.399999999999999" customHeight="1">
      <c r="A206" s="11" t="s">
        <v>2655</v>
      </c>
      <c r="B206" s="2" t="s">
        <v>6105</v>
      </c>
      <c r="C206" s="2">
        <v>1</v>
      </c>
      <c r="D206" s="2" t="s">
        <v>3909</v>
      </c>
      <c r="E206" s="204"/>
      <c r="F206" s="205">
        <f>H206+J206+L206</f>
        <v>1431397</v>
      </c>
      <c r="G206" s="204"/>
      <c r="H206" s="205">
        <f>TRUNC(H207+H208+H209+H210,0)</f>
        <v>75811</v>
      </c>
      <c r="I206" s="204"/>
      <c r="J206" s="205">
        <f>TRUNC(J207+J208+J209+J210,0)</f>
        <v>1334295</v>
      </c>
      <c r="K206" s="204"/>
      <c r="L206" s="205">
        <f>TRUNC(L207+L208+L209+L210,0)</f>
        <v>21291</v>
      </c>
      <c r="M206" s="20" t="s">
        <v>6232</v>
      </c>
      <c r="N206" t="s">
        <v>6232</v>
      </c>
      <c r="O206" t="s">
        <v>1980</v>
      </c>
    </row>
    <row r="207" spans="1:61" ht="18.399999999999999" customHeight="1">
      <c r="A207" s="11" t="s">
        <v>2851</v>
      </c>
      <c r="B207" s="2" t="s">
        <v>3311</v>
      </c>
      <c r="C207" s="2">
        <v>2.7629999999999999</v>
      </c>
      <c r="D207" s="2" t="s">
        <v>5766</v>
      </c>
      <c r="E207" s="205">
        <f>G207+I207+K207</f>
        <v>292640</v>
      </c>
      <c r="F207" s="205">
        <f>H207+J207+L207</f>
        <v>808564.3</v>
      </c>
      <c r="G207" s="205">
        <v>0</v>
      </c>
      <c r="H207" s="205"/>
      <c r="I207" s="205">
        <f>노임!D12</f>
        <v>292640</v>
      </c>
      <c r="J207" s="205">
        <f>TRUNC(I207*C207,1)</f>
        <v>808564.3</v>
      </c>
      <c r="K207" s="205">
        <v>0</v>
      </c>
      <c r="L207" s="205"/>
      <c r="M207" s="20" t="s">
        <v>6232</v>
      </c>
      <c r="N207" t="s">
        <v>6232</v>
      </c>
      <c r="P207" t="s">
        <v>742</v>
      </c>
      <c r="Q207" t="s">
        <v>6232</v>
      </c>
      <c r="R207" t="s">
        <v>3463</v>
      </c>
      <c r="BI207" s="33" t="str">
        <f>HYPERLINK("#노임!A12","L001010101000058 →")</f>
        <v>L001010101000058 →</v>
      </c>
    </row>
    <row r="208" spans="1:61" ht="18.399999999999999" customHeight="1">
      <c r="A208" s="11" t="s">
        <v>1986</v>
      </c>
      <c r="B208" s="2" t="s">
        <v>3311</v>
      </c>
      <c r="C208" s="2">
        <v>1.623</v>
      </c>
      <c r="D208" s="2" t="s">
        <v>5766</v>
      </c>
      <c r="E208" s="205">
        <f>G208+I208+K208</f>
        <v>226122</v>
      </c>
      <c r="F208" s="205">
        <f>H208+J208+L208</f>
        <v>366996</v>
      </c>
      <c r="G208" s="205">
        <v>0</v>
      </c>
      <c r="H208" s="205"/>
      <c r="I208" s="205">
        <f>노임!D4</f>
        <v>226122</v>
      </c>
      <c r="J208" s="205">
        <f>TRUNC(I208*C208,1)</f>
        <v>366996</v>
      </c>
      <c r="K208" s="205">
        <v>0</v>
      </c>
      <c r="L208" s="205"/>
      <c r="M208" s="20" t="s">
        <v>6232</v>
      </c>
      <c r="N208" t="s">
        <v>6232</v>
      </c>
      <c r="P208" t="s">
        <v>5372</v>
      </c>
      <c r="Q208" t="s">
        <v>6232</v>
      </c>
      <c r="R208" t="s">
        <v>1597</v>
      </c>
      <c r="BI208" s="33" t="str">
        <f>HYPERLINK("#노임!A4","L001010101000003 →")</f>
        <v>L001010101000003 →</v>
      </c>
    </row>
    <row r="209" spans="1:61" ht="18.399999999999999" customHeight="1">
      <c r="A209" s="11" t="s">
        <v>4090</v>
      </c>
      <c r="B209" s="2" t="s">
        <v>4952</v>
      </c>
      <c r="C209" s="2">
        <v>4.42</v>
      </c>
      <c r="D209" s="2" t="s">
        <v>5171</v>
      </c>
      <c r="E209" s="205">
        <f>G209+I209+K209</f>
        <v>57650</v>
      </c>
      <c r="F209" s="205">
        <f>H209+J209+L209</f>
        <v>254812.90000000002</v>
      </c>
      <c r="G209" s="205">
        <f>중기사용료목록!E8</f>
        <v>17152</v>
      </c>
      <c r="H209" s="205">
        <f>TRUNC(G209*C209,1)</f>
        <v>75811.8</v>
      </c>
      <c r="I209" s="205">
        <f>중기사용료목록!F8</f>
        <v>35913</v>
      </c>
      <c r="J209" s="205">
        <f>TRUNC(I209*C209,1)</f>
        <v>158735.4</v>
      </c>
      <c r="K209" s="205">
        <f>중기사용료목록!G8</f>
        <v>4585</v>
      </c>
      <c r="L209" s="205">
        <f>TRUNC(K209*C209,1)</f>
        <v>20265.7</v>
      </c>
      <c r="M209" s="20" t="s">
        <v>6232</v>
      </c>
      <c r="N209" t="s">
        <v>6232</v>
      </c>
      <c r="P209" t="s">
        <v>2184</v>
      </c>
      <c r="Q209" t="s">
        <v>6232</v>
      </c>
      <c r="R209" t="s">
        <v>975</v>
      </c>
      <c r="BI209" s="33" t="str">
        <f>HYPERLINK("#중기사용료목록!A13","E00007505005000000 →")</f>
        <v>E00007505005000000 →</v>
      </c>
    </row>
    <row r="210" spans="1:61" ht="18.399999999999999" customHeight="1">
      <c r="A210" s="11" t="s">
        <v>4216</v>
      </c>
      <c r="B210" s="2" t="s">
        <v>365</v>
      </c>
      <c r="C210" s="2">
        <v>8.8409999999999993</v>
      </c>
      <c r="D210" s="2" t="s">
        <v>5171</v>
      </c>
      <c r="E210" s="205">
        <f>G210+I210+K210</f>
        <v>116</v>
      </c>
      <c r="F210" s="205">
        <f>H210+J210+L210</f>
        <v>1025.5</v>
      </c>
      <c r="G210" s="205">
        <f>중기사용료목록!E9</f>
        <v>0</v>
      </c>
      <c r="H210" s="205">
        <f>TRUNC(G210*C210,1)</f>
        <v>0</v>
      </c>
      <c r="I210" s="205">
        <f>중기사용료목록!F9</f>
        <v>0</v>
      </c>
      <c r="J210" s="205">
        <f>TRUNC(I210*C210,1)</f>
        <v>0</v>
      </c>
      <c r="K210" s="205">
        <f>중기사용료목록!G9</f>
        <v>116</v>
      </c>
      <c r="L210" s="205">
        <f>TRUNC(K210*C210,1)</f>
        <v>1025.5</v>
      </c>
      <c r="M210" s="20" t="s">
        <v>6232</v>
      </c>
      <c r="N210" t="s">
        <v>6232</v>
      </c>
      <c r="P210" t="s">
        <v>5265</v>
      </c>
      <c r="Q210" t="s">
        <v>6232</v>
      </c>
      <c r="R210" t="s">
        <v>932</v>
      </c>
      <c r="BI210" s="33" t="str">
        <f>HYPERLINK("#중기사용료목록!A16","E00007611030000000 →")</f>
        <v>E00007611030000000 →</v>
      </c>
    </row>
    <row r="211" spans="1:61" ht="18.399999999999999" customHeight="1">
      <c r="A211" s="47"/>
      <c r="B211" s="1"/>
      <c r="C211" s="1"/>
      <c r="D211" s="1"/>
      <c r="E211" s="206"/>
      <c r="F211" s="206"/>
      <c r="G211" s="206"/>
      <c r="H211" s="206"/>
      <c r="I211" s="206"/>
      <c r="J211" s="206"/>
      <c r="K211" s="206"/>
      <c r="L211" s="206"/>
      <c r="M211" s="50"/>
    </row>
    <row r="212" spans="1:61" ht="18.399999999999999" customHeight="1">
      <c r="A212" s="11" t="s">
        <v>2744</v>
      </c>
      <c r="B212" s="2" t="s">
        <v>6105</v>
      </c>
      <c r="C212" s="2">
        <v>1</v>
      </c>
      <c r="D212" s="2" t="s">
        <v>3909</v>
      </c>
      <c r="E212" s="204"/>
      <c r="F212" s="205">
        <f>H212+J212+L212</f>
        <v>1431397</v>
      </c>
      <c r="G212" s="204"/>
      <c r="H212" s="205">
        <f>TRUNC(H213+H214+H215+H216,0)</f>
        <v>75811</v>
      </c>
      <c r="I212" s="204"/>
      <c r="J212" s="205">
        <f>TRUNC(J213+J214+J215+J216,0)</f>
        <v>1334295</v>
      </c>
      <c r="K212" s="204"/>
      <c r="L212" s="205">
        <f>TRUNC(L213+L214+L215+L216,0)</f>
        <v>21291</v>
      </c>
      <c r="M212" s="20" t="s">
        <v>6232</v>
      </c>
      <c r="N212" t="s">
        <v>6232</v>
      </c>
      <c r="O212" t="s">
        <v>3142</v>
      </c>
    </row>
    <row r="213" spans="1:61" ht="18.399999999999999" customHeight="1">
      <c r="A213" s="11" t="s">
        <v>2851</v>
      </c>
      <c r="B213" s="2" t="s">
        <v>3311</v>
      </c>
      <c r="C213" s="2">
        <v>2.7629999999999999</v>
      </c>
      <c r="D213" s="2" t="s">
        <v>5766</v>
      </c>
      <c r="E213" s="205">
        <f>G213+I213+K213</f>
        <v>292640</v>
      </c>
      <c r="F213" s="205">
        <f>H213+J213+L213</f>
        <v>808564.3</v>
      </c>
      <c r="G213" s="205">
        <v>0</v>
      </c>
      <c r="H213" s="205"/>
      <c r="I213" s="205">
        <f>노임!D12</f>
        <v>292640</v>
      </c>
      <c r="J213" s="205">
        <f>TRUNC(I213*C213,1)</f>
        <v>808564.3</v>
      </c>
      <c r="K213" s="205">
        <v>0</v>
      </c>
      <c r="L213" s="205"/>
      <c r="M213" s="20" t="s">
        <v>6232</v>
      </c>
      <c r="N213" t="s">
        <v>6232</v>
      </c>
      <c r="P213" t="s">
        <v>742</v>
      </c>
      <c r="Q213" t="s">
        <v>6232</v>
      </c>
      <c r="R213" t="s">
        <v>3463</v>
      </c>
      <c r="BI213" s="33" t="str">
        <f>HYPERLINK("#노임!A12","L001010101000058 →")</f>
        <v>L001010101000058 →</v>
      </c>
    </row>
    <row r="214" spans="1:61" ht="18.399999999999999" customHeight="1">
      <c r="A214" s="11" t="s">
        <v>1986</v>
      </c>
      <c r="B214" s="2" t="s">
        <v>3311</v>
      </c>
      <c r="C214" s="2">
        <v>1.623</v>
      </c>
      <c r="D214" s="2" t="s">
        <v>5766</v>
      </c>
      <c r="E214" s="205">
        <f>G214+I214+K214</f>
        <v>226122</v>
      </c>
      <c r="F214" s="205">
        <f>H214+J214+L214</f>
        <v>366996</v>
      </c>
      <c r="G214" s="205">
        <v>0</v>
      </c>
      <c r="H214" s="205"/>
      <c r="I214" s="205">
        <f>노임!D4</f>
        <v>226122</v>
      </c>
      <c r="J214" s="205">
        <f>TRUNC(I214*C214,1)</f>
        <v>366996</v>
      </c>
      <c r="K214" s="205">
        <v>0</v>
      </c>
      <c r="L214" s="205"/>
      <c r="M214" s="20" t="s">
        <v>6232</v>
      </c>
      <c r="N214" t="s">
        <v>6232</v>
      </c>
      <c r="P214" t="s">
        <v>5372</v>
      </c>
      <c r="Q214" t="s">
        <v>6232</v>
      </c>
      <c r="R214" t="s">
        <v>1597</v>
      </c>
      <c r="BI214" s="33" t="str">
        <f>HYPERLINK("#노임!A4","L001010101000003 →")</f>
        <v>L001010101000003 →</v>
      </c>
    </row>
    <row r="215" spans="1:61" ht="18.399999999999999" customHeight="1">
      <c r="A215" s="11" t="s">
        <v>4090</v>
      </c>
      <c r="B215" s="2" t="s">
        <v>4952</v>
      </c>
      <c r="C215" s="2">
        <v>4.42</v>
      </c>
      <c r="D215" s="2" t="s">
        <v>5171</v>
      </c>
      <c r="E215" s="205">
        <f>G215+I215+K215</f>
        <v>57650</v>
      </c>
      <c r="F215" s="205">
        <f>H215+J215+L215</f>
        <v>254812.90000000002</v>
      </c>
      <c r="G215" s="205">
        <f>중기사용료목록!E8</f>
        <v>17152</v>
      </c>
      <c r="H215" s="205">
        <f>TRUNC(G215*C215,1)</f>
        <v>75811.8</v>
      </c>
      <c r="I215" s="205">
        <f>중기사용료목록!F8</f>
        <v>35913</v>
      </c>
      <c r="J215" s="205">
        <f>TRUNC(I215*C215,1)</f>
        <v>158735.4</v>
      </c>
      <c r="K215" s="205">
        <f>중기사용료목록!G8</f>
        <v>4585</v>
      </c>
      <c r="L215" s="205">
        <f>TRUNC(K215*C215,1)</f>
        <v>20265.7</v>
      </c>
      <c r="M215" s="20" t="s">
        <v>6232</v>
      </c>
      <c r="N215" t="s">
        <v>6232</v>
      </c>
      <c r="P215" t="s">
        <v>2184</v>
      </c>
      <c r="Q215" t="s">
        <v>6232</v>
      </c>
      <c r="R215" t="s">
        <v>975</v>
      </c>
      <c r="BI215" s="33" t="str">
        <f>HYPERLINK("#중기사용료목록!A13","E00007505005000000 →")</f>
        <v>E00007505005000000 →</v>
      </c>
    </row>
    <row r="216" spans="1:61" ht="18.399999999999999" customHeight="1">
      <c r="A216" s="11" t="s">
        <v>4216</v>
      </c>
      <c r="B216" s="2" t="s">
        <v>365</v>
      </c>
      <c r="C216" s="2">
        <v>8.8409999999999993</v>
      </c>
      <c r="D216" s="2" t="s">
        <v>5171</v>
      </c>
      <c r="E216" s="205">
        <f>G216+I216+K216</f>
        <v>116</v>
      </c>
      <c r="F216" s="205">
        <f>H216+J216+L216</f>
        <v>1025.5</v>
      </c>
      <c r="G216" s="205">
        <f>중기사용료목록!E9</f>
        <v>0</v>
      </c>
      <c r="H216" s="205">
        <f>TRUNC(G216*C216,1)</f>
        <v>0</v>
      </c>
      <c r="I216" s="205">
        <f>중기사용료목록!F9</f>
        <v>0</v>
      </c>
      <c r="J216" s="205">
        <f>TRUNC(I216*C216,1)</f>
        <v>0</v>
      </c>
      <c r="K216" s="205">
        <f>중기사용료목록!G9</f>
        <v>116</v>
      </c>
      <c r="L216" s="205">
        <f>TRUNC(K216*C216,1)</f>
        <v>1025.5</v>
      </c>
      <c r="M216" s="20" t="s">
        <v>6232</v>
      </c>
      <c r="N216" t="s">
        <v>6232</v>
      </c>
      <c r="P216" t="s">
        <v>5265</v>
      </c>
      <c r="Q216" t="s">
        <v>6232</v>
      </c>
      <c r="R216" t="s">
        <v>932</v>
      </c>
      <c r="BI216" s="33" t="str">
        <f>HYPERLINK("#중기사용료목록!A16","E00007611030000000 →")</f>
        <v>E00007611030000000 →</v>
      </c>
    </row>
    <row r="217" spans="1:61" ht="18.399999999999999" customHeight="1">
      <c r="A217" s="47"/>
      <c r="B217" s="1"/>
      <c r="C217" s="1"/>
      <c r="D217" s="1"/>
      <c r="E217" s="206"/>
      <c r="F217" s="206"/>
      <c r="G217" s="206"/>
      <c r="H217" s="206"/>
      <c r="I217" s="206"/>
      <c r="J217" s="206"/>
      <c r="K217" s="206"/>
      <c r="L217" s="206"/>
      <c r="M217" s="50"/>
    </row>
    <row r="218" spans="1:61" ht="18.399999999999999" customHeight="1">
      <c r="A218" s="11" t="s">
        <v>2974</v>
      </c>
      <c r="B218" s="2" t="s">
        <v>397</v>
      </c>
      <c r="C218" s="2">
        <v>1</v>
      </c>
      <c r="D218" s="2" t="s">
        <v>3909</v>
      </c>
      <c r="E218" s="204"/>
      <c r="F218" s="205">
        <f>H218+J218+L218</f>
        <v>1483840</v>
      </c>
      <c r="G218" s="204"/>
      <c r="H218" s="205">
        <f>TRUNC(H219+H220+H221+H222,0)</f>
        <v>0</v>
      </c>
      <c r="I218" s="204"/>
      <c r="J218" s="205">
        <f>TRUNC(J219+J220+J221+J222,0)</f>
        <v>1483840</v>
      </c>
      <c r="K218" s="204"/>
      <c r="L218" s="205">
        <f>TRUNC(L219+L220+L221+L222,0)</f>
        <v>0</v>
      </c>
      <c r="M218" s="20" t="s">
        <v>6232</v>
      </c>
      <c r="N218" t="s">
        <v>6232</v>
      </c>
      <c r="O218" t="s">
        <v>3491</v>
      </c>
    </row>
    <row r="219" spans="1:61" ht="18.399999999999999" customHeight="1">
      <c r="A219" s="11" t="s">
        <v>3936</v>
      </c>
      <c r="B219" s="2" t="s">
        <v>3311</v>
      </c>
      <c r="C219" s="2">
        <v>1.84</v>
      </c>
      <c r="D219" s="2" t="s">
        <v>5766</v>
      </c>
      <c r="E219" s="205">
        <f>G219+I219+K219</f>
        <v>320480</v>
      </c>
      <c r="F219" s="205">
        <f>H219+J219+L219</f>
        <v>589683.19999999995</v>
      </c>
      <c r="G219" s="205">
        <v>0</v>
      </c>
      <c r="H219" s="205"/>
      <c r="I219" s="205">
        <f>노임!D11</f>
        <v>320480</v>
      </c>
      <c r="J219" s="205">
        <f>TRUNC(I219*C219,1)</f>
        <v>589683.19999999995</v>
      </c>
      <c r="K219" s="205">
        <v>0</v>
      </c>
      <c r="L219" s="205"/>
      <c r="M219" s="20" t="s">
        <v>6232</v>
      </c>
      <c r="N219" t="s">
        <v>6232</v>
      </c>
      <c r="P219" t="s">
        <v>742</v>
      </c>
      <c r="Q219" t="s">
        <v>6232</v>
      </c>
      <c r="R219" t="s">
        <v>3298</v>
      </c>
      <c r="BI219" s="33" t="str">
        <f>HYPERLINK("#노임!A11","L001010101000056 →")</f>
        <v>L001010101000056 →</v>
      </c>
    </row>
    <row r="220" spans="1:61" ht="18.399999999999999" customHeight="1">
      <c r="A220" s="11" t="s">
        <v>1986</v>
      </c>
      <c r="B220" s="2" t="s">
        <v>3311</v>
      </c>
      <c r="C220" s="2">
        <v>0.92500000000000004</v>
      </c>
      <c r="D220" s="2" t="s">
        <v>5766</v>
      </c>
      <c r="E220" s="205">
        <f>G220+I220+K220</f>
        <v>226122</v>
      </c>
      <c r="F220" s="205">
        <f>H220+J220+L220</f>
        <v>209162.8</v>
      </c>
      <c r="G220" s="205">
        <v>0</v>
      </c>
      <c r="H220" s="205"/>
      <c r="I220" s="205">
        <f>노임!D4</f>
        <v>226122</v>
      </c>
      <c r="J220" s="205">
        <f>TRUNC(I220*C220,1)</f>
        <v>209162.8</v>
      </c>
      <c r="K220" s="205">
        <v>0</v>
      </c>
      <c r="L220" s="205"/>
      <c r="M220" s="20" t="s">
        <v>6232</v>
      </c>
      <c r="N220" t="s">
        <v>6232</v>
      </c>
      <c r="P220" t="s">
        <v>5372</v>
      </c>
      <c r="Q220" t="s">
        <v>6232</v>
      </c>
      <c r="R220" t="s">
        <v>1597</v>
      </c>
      <c r="BI220" s="33" t="str">
        <f>HYPERLINK("#노임!A4","L001010101000003 →")</f>
        <v>L001010101000003 →</v>
      </c>
    </row>
    <row r="221" spans="1:61" ht="18.399999999999999" customHeight="1">
      <c r="A221" s="11" t="s">
        <v>3936</v>
      </c>
      <c r="B221" s="2" t="s">
        <v>3311</v>
      </c>
      <c r="C221" s="2">
        <v>1.58</v>
      </c>
      <c r="D221" s="2" t="s">
        <v>5766</v>
      </c>
      <c r="E221" s="205">
        <f>G221+I221+K221</f>
        <v>320480</v>
      </c>
      <c r="F221" s="205">
        <f>H221+J221+L221</f>
        <v>506358.4</v>
      </c>
      <c r="G221" s="205">
        <v>0</v>
      </c>
      <c r="H221" s="205"/>
      <c r="I221" s="205">
        <f>노임!D11</f>
        <v>320480</v>
      </c>
      <c r="J221" s="205">
        <f>TRUNC(I221*C221,1)</f>
        <v>506358.4</v>
      </c>
      <c r="K221" s="205">
        <v>0</v>
      </c>
      <c r="L221" s="205"/>
      <c r="M221" s="20" t="s">
        <v>6232</v>
      </c>
      <c r="N221" t="s">
        <v>6232</v>
      </c>
      <c r="P221" t="s">
        <v>3792</v>
      </c>
      <c r="Q221" t="s">
        <v>6232</v>
      </c>
      <c r="R221" t="s">
        <v>3298</v>
      </c>
      <c r="BI221" s="33" t="str">
        <f>HYPERLINK("#노임!A11","L001010101000056 →")</f>
        <v>L001010101000056 →</v>
      </c>
    </row>
    <row r="222" spans="1:61" ht="18.399999999999999" customHeight="1">
      <c r="A222" s="11" t="s">
        <v>1986</v>
      </c>
      <c r="B222" s="2" t="s">
        <v>3311</v>
      </c>
      <c r="C222" s="2">
        <v>0.79</v>
      </c>
      <c r="D222" s="2" t="s">
        <v>5766</v>
      </c>
      <c r="E222" s="205">
        <f>G222+I222+K222</f>
        <v>226122</v>
      </c>
      <c r="F222" s="205">
        <f>H222+J222+L222</f>
        <v>178636.3</v>
      </c>
      <c r="G222" s="205">
        <v>0</v>
      </c>
      <c r="H222" s="205"/>
      <c r="I222" s="205">
        <f>노임!D4</f>
        <v>226122</v>
      </c>
      <c r="J222" s="205">
        <f>TRUNC(I222*C222,1)</f>
        <v>178636.3</v>
      </c>
      <c r="K222" s="205">
        <v>0</v>
      </c>
      <c r="L222" s="205"/>
      <c r="M222" s="20" t="s">
        <v>6232</v>
      </c>
      <c r="N222" t="s">
        <v>6232</v>
      </c>
      <c r="P222" t="s">
        <v>2184</v>
      </c>
      <c r="Q222" t="s">
        <v>6232</v>
      </c>
      <c r="R222" t="s">
        <v>1597</v>
      </c>
      <c r="BI222" s="33" t="str">
        <f>HYPERLINK("#노임!A4","L001010101000003 →")</f>
        <v>L001010101000003 →</v>
      </c>
    </row>
    <row r="223" spans="1:61" ht="18.399999999999999" customHeight="1">
      <c r="A223" s="47"/>
      <c r="B223" s="1"/>
      <c r="C223" s="1"/>
      <c r="D223" s="1"/>
      <c r="E223" s="206"/>
      <c r="F223" s="206"/>
      <c r="G223" s="206"/>
      <c r="H223" s="206"/>
      <c r="I223" s="206"/>
      <c r="J223" s="206"/>
      <c r="K223" s="206"/>
      <c r="L223" s="206"/>
      <c r="M223" s="50"/>
    </row>
    <row r="224" spans="1:61" ht="18.399999999999999" customHeight="1">
      <c r="A224" s="11" t="s">
        <v>6124</v>
      </c>
      <c r="B224" s="2" t="s">
        <v>397</v>
      </c>
      <c r="C224" s="2">
        <v>1</v>
      </c>
      <c r="D224" s="2" t="s">
        <v>3909</v>
      </c>
      <c r="E224" s="204"/>
      <c r="F224" s="205">
        <f>H224+J224+L224</f>
        <v>1514963</v>
      </c>
      <c r="G224" s="204"/>
      <c r="H224" s="205">
        <f>TRUNC(H225+H226+H227+H228,0)</f>
        <v>80322</v>
      </c>
      <c r="I224" s="204"/>
      <c r="J224" s="205">
        <f>TRUNC(J225+J226+J227+J228,0)</f>
        <v>1412084</v>
      </c>
      <c r="K224" s="204"/>
      <c r="L224" s="205">
        <f>TRUNC(L225+L226+L227+L228,0)</f>
        <v>22557</v>
      </c>
      <c r="M224" s="20" t="s">
        <v>6232</v>
      </c>
      <c r="N224" t="s">
        <v>6232</v>
      </c>
      <c r="O224" t="s">
        <v>567</v>
      </c>
    </row>
    <row r="225" spans="1:61" ht="18.399999999999999" customHeight="1">
      <c r="A225" s="11" t="s">
        <v>2851</v>
      </c>
      <c r="B225" s="2" t="s">
        <v>3311</v>
      </c>
      <c r="C225" s="2">
        <v>2.927</v>
      </c>
      <c r="D225" s="2" t="s">
        <v>5766</v>
      </c>
      <c r="E225" s="205">
        <f>G225+I225+K225</f>
        <v>292640</v>
      </c>
      <c r="F225" s="205">
        <f>H225+J225+L225</f>
        <v>856557.2</v>
      </c>
      <c r="G225" s="205">
        <v>0</v>
      </c>
      <c r="H225" s="205"/>
      <c r="I225" s="205">
        <f>노임!D12</f>
        <v>292640</v>
      </c>
      <c r="J225" s="205">
        <f>TRUNC(I225*C225,1)</f>
        <v>856557.2</v>
      </c>
      <c r="K225" s="205">
        <v>0</v>
      </c>
      <c r="L225" s="205"/>
      <c r="M225" s="20" t="s">
        <v>6232</v>
      </c>
      <c r="N225" t="s">
        <v>6232</v>
      </c>
      <c r="P225" t="s">
        <v>742</v>
      </c>
      <c r="Q225" t="s">
        <v>6232</v>
      </c>
      <c r="R225" t="s">
        <v>3463</v>
      </c>
      <c r="BI225" s="33" t="str">
        <f>HYPERLINK("#노임!A12","L001010101000058 →")</f>
        <v>L001010101000058 →</v>
      </c>
    </row>
    <row r="226" spans="1:61" ht="18.399999999999999" customHeight="1">
      <c r="A226" s="11" t="s">
        <v>1986</v>
      </c>
      <c r="B226" s="2" t="s">
        <v>3311</v>
      </c>
      <c r="C226" s="2">
        <v>1.7130000000000001</v>
      </c>
      <c r="D226" s="2" t="s">
        <v>5766</v>
      </c>
      <c r="E226" s="205">
        <f>G226+I226+K226</f>
        <v>226122</v>
      </c>
      <c r="F226" s="205">
        <f>H226+J226+L226</f>
        <v>387346.9</v>
      </c>
      <c r="G226" s="205">
        <v>0</v>
      </c>
      <c r="H226" s="205"/>
      <c r="I226" s="205">
        <f>노임!D4</f>
        <v>226122</v>
      </c>
      <c r="J226" s="205">
        <f>TRUNC(I226*C226,1)</f>
        <v>387346.9</v>
      </c>
      <c r="K226" s="205">
        <v>0</v>
      </c>
      <c r="L226" s="205"/>
      <c r="M226" s="20" t="s">
        <v>6232</v>
      </c>
      <c r="N226" t="s">
        <v>6232</v>
      </c>
      <c r="P226" t="s">
        <v>5372</v>
      </c>
      <c r="Q226" t="s">
        <v>6232</v>
      </c>
      <c r="R226" t="s">
        <v>1597</v>
      </c>
      <c r="BI226" s="33" t="str">
        <f>HYPERLINK("#노임!A4","L001010101000003 →")</f>
        <v>L001010101000003 →</v>
      </c>
    </row>
    <row r="227" spans="1:61" ht="18.399999999999999" customHeight="1">
      <c r="A227" s="11" t="s">
        <v>4090</v>
      </c>
      <c r="B227" s="2" t="s">
        <v>4952</v>
      </c>
      <c r="C227" s="2">
        <v>4.6829999999999998</v>
      </c>
      <c r="D227" s="2" t="s">
        <v>5171</v>
      </c>
      <c r="E227" s="205">
        <f>G227+I227+K227</f>
        <v>57650</v>
      </c>
      <c r="F227" s="205">
        <f>H227+J227+L227</f>
        <v>269974.8</v>
      </c>
      <c r="G227" s="205">
        <f>중기사용료목록!E8</f>
        <v>17152</v>
      </c>
      <c r="H227" s="205">
        <f>TRUNC(G227*C227,1)</f>
        <v>80322.8</v>
      </c>
      <c r="I227" s="205">
        <f>중기사용료목록!F8</f>
        <v>35913</v>
      </c>
      <c r="J227" s="205">
        <f>TRUNC(I227*C227,1)</f>
        <v>168180.5</v>
      </c>
      <c r="K227" s="205">
        <f>중기사용료목록!G8</f>
        <v>4585</v>
      </c>
      <c r="L227" s="205">
        <f>TRUNC(K227*C227,1)</f>
        <v>21471.5</v>
      </c>
      <c r="M227" s="20" t="s">
        <v>6232</v>
      </c>
      <c r="N227" t="s">
        <v>6232</v>
      </c>
      <c r="P227" t="s">
        <v>2184</v>
      </c>
      <c r="Q227" t="s">
        <v>6232</v>
      </c>
      <c r="R227" t="s">
        <v>975</v>
      </c>
      <c r="BI227" s="33" t="str">
        <f>HYPERLINK("#중기사용료목록!A13","E00007505005000000 →")</f>
        <v>E00007505005000000 →</v>
      </c>
    </row>
    <row r="228" spans="1:61" ht="18.399999999999999" customHeight="1">
      <c r="A228" s="11" t="s">
        <v>4216</v>
      </c>
      <c r="B228" s="2" t="s">
        <v>365</v>
      </c>
      <c r="C228" s="2">
        <v>9.3659999999999997</v>
      </c>
      <c r="D228" s="2" t="s">
        <v>5171</v>
      </c>
      <c r="E228" s="205">
        <f>G228+I228+K228</f>
        <v>116</v>
      </c>
      <c r="F228" s="205">
        <f>H228+J228+L228</f>
        <v>1086.4000000000001</v>
      </c>
      <c r="G228" s="205">
        <f>중기사용료목록!E9</f>
        <v>0</v>
      </c>
      <c r="H228" s="205">
        <f>TRUNC(G228*C228,1)</f>
        <v>0</v>
      </c>
      <c r="I228" s="205">
        <f>중기사용료목록!F9</f>
        <v>0</v>
      </c>
      <c r="J228" s="205">
        <f>TRUNC(I228*C228,1)</f>
        <v>0</v>
      </c>
      <c r="K228" s="205">
        <f>중기사용료목록!G9</f>
        <v>116</v>
      </c>
      <c r="L228" s="205">
        <f>TRUNC(K228*C228,1)</f>
        <v>1086.4000000000001</v>
      </c>
      <c r="M228" s="20" t="s">
        <v>6232</v>
      </c>
      <c r="N228" t="s">
        <v>6232</v>
      </c>
      <c r="P228" t="s">
        <v>5265</v>
      </c>
      <c r="Q228" t="s">
        <v>6232</v>
      </c>
      <c r="R228" t="s">
        <v>932</v>
      </c>
      <c r="BI228" s="33" t="str">
        <f>HYPERLINK("#중기사용료목록!A16","E00007611030000000 →")</f>
        <v>E00007611030000000 →</v>
      </c>
    </row>
    <row r="229" spans="1:61" ht="18.399999999999999" customHeight="1">
      <c r="A229" s="47"/>
      <c r="B229" s="1"/>
      <c r="C229" s="1"/>
      <c r="D229" s="1"/>
      <c r="E229" s="206"/>
      <c r="F229" s="206"/>
      <c r="G229" s="206"/>
      <c r="H229" s="206"/>
      <c r="I229" s="206"/>
      <c r="J229" s="206"/>
      <c r="K229" s="206"/>
      <c r="L229" s="206"/>
      <c r="M229" s="50"/>
    </row>
    <row r="230" spans="1:61" ht="18.399999999999999" customHeight="1">
      <c r="A230" s="11" t="s">
        <v>3386</v>
      </c>
      <c r="B230" s="2" t="s">
        <v>397</v>
      </c>
      <c r="C230" s="2">
        <v>1</v>
      </c>
      <c r="D230" s="2" t="s">
        <v>3909</v>
      </c>
      <c r="E230" s="204"/>
      <c r="F230" s="205">
        <f>H230+J230+L230</f>
        <v>1514963</v>
      </c>
      <c r="G230" s="204"/>
      <c r="H230" s="205">
        <f>TRUNC(H231+H232+H233+H234,0)</f>
        <v>80322</v>
      </c>
      <c r="I230" s="204"/>
      <c r="J230" s="205">
        <f>TRUNC(J231+J232+J233+J234,0)</f>
        <v>1412084</v>
      </c>
      <c r="K230" s="204"/>
      <c r="L230" s="205">
        <f>TRUNC(L231+L232+L233+L234,0)</f>
        <v>22557</v>
      </c>
      <c r="M230" s="20" t="s">
        <v>6232</v>
      </c>
      <c r="N230" t="s">
        <v>6232</v>
      </c>
      <c r="O230" t="s">
        <v>4828</v>
      </c>
    </row>
    <row r="231" spans="1:61" ht="18.399999999999999" customHeight="1">
      <c r="A231" s="11" t="s">
        <v>2851</v>
      </c>
      <c r="B231" s="2" t="s">
        <v>3311</v>
      </c>
      <c r="C231" s="2">
        <v>2.927</v>
      </c>
      <c r="D231" s="2" t="s">
        <v>5766</v>
      </c>
      <c r="E231" s="205">
        <f>G231+I231+K231</f>
        <v>292640</v>
      </c>
      <c r="F231" s="205">
        <f>H231+J231+L231</f>
        <v>856557.2</v>
      </c>
      <c r="G231" s="205">
        <v>0</v>
      </c>
      <c r="H231" s="205"/>
      <c r="I231" s="205">
        <f>노임!D12</f>
        <v>292640</v>
      </c>
      <c r="J231" s="205">
        <f>TRUNC(I231*C231,1)</f>
        <v>856557.2</v>
      </c>
      <c r="K231" s="205">
        <v>0</v>
      </c>
      <c r="L231" s="205"/>
      <c r="M231" s="20" t="s">
        <v>6232</v>
      </c>
      <c r="N231" t="s">
        <v>6232</v>
      </c>
      <c r="P231" t="s">
        <v>742</v>
      </c>
      <c r="Q231" t="s">
        <v>6232</v>
      </c>
      <c r="R231" t="s">
        <v>3463</v>
      </c>
      <c r="BI231" s="33" t="str">
        <f>HYPERLINK("#노임!A12","L001010101000058 →")</f>
        <v>L001010101000058 →</v>
      </c>
    </row>
    <row r="232" spans="1:61" ht="18.399999999999999" customHeight="1">
      <c r="A232" s="11" t="s">
        <v>1986</v>
      </c>
      <c r="B232" s="2" t="s">
        <v>3311</v>
      </c>
      <c r="C232" s="2">
        <v>1.7130000000000001</v>
      </c>
      <c r="D232" s="2" t="s">
        <v>5766</v>
      </c>
      <c r="E232" s="205">
        <f>G232+I232+K232</f>
        <v>226122</v>
      </c>
      <c r="F232" s="205">
        <f>H232+J232+L232</f>
        <v>387346.9</v>
      </c>
      <c r="G232" s="205">
        <v>0</v>
      </c>
      <c r="H232" s="205"/>
      <c r="I232" s="205">
        <f>노임!D4</f>
        <v>226122</v>
      </c>
      <c r="J232" s="205">
        <f>TRUNC(I232*C232,1)</f>
        <v>387346.9</v>
      </c>
      <c r="K232" s="205">
        <v>0</v>
      </c>
      <c r="L232" s="205"/>
      <c r="M232" s="20" t="s">
        <v>6232</v>
      </c>
      <c r="N232" t="s">
        <v>6232</v>
      </c>
      <c r="P232" t="s">
        <v>5372</v>
      </c>
      <c r="Q232" t="s">
        <v>6232</v>
      </c>
      <c r="R232" t="s">
        <v>1597</v>
      </c>
      <c r="BI232" s="33" t="str">
        <f>HYPERLINK("#노임!A4","L001010101000003 →")</f>
        <v>L001010101000003 →</v>
      </c>
    </row>
    <row r="233" spans="1:61" ht="18.399999999999999" customHeight="1">
      <c r="A233" s="11" t="s">
        <v>4090</v>
      </c>
      <c r="B233" s="2" t="s">
        <v>4952</v>
      </c>
      <c r="C233" s="2">
        <v>4.6829999999999998</v>
      </c>
      <c r="D233" s="2" t="s">
        <v>5171</v>
      </c>
      <c r="E233" s="205">
        <f>G233+I233+K233</f>
        <v>57650</v>
      </c>
      <c r="F233" s="205">
        <f>H233+J233+L233</f>
        <v>269974.8</v>
      </c>
      <c r="G233" s="205">
        <f>중기사용료목록!E8</f>
        <v>17152</v>
      </c>
      <c r="H233" s="205">
        <f>TRUNC(G233*C233,1)</f>
        <v>80322.8</v>
      </c>
      <c r="I233" s="205">
        <f>중기사용료목록!F8</f>
        <v>35913</v>
      </c>
      <c r="J233" s="205">
        <f>TRUNC(I233*C233,1)</f>
        <v>168180.5</v>
      </c>
      <c r="K233" s="205">
        <f>중기사용료목록!G8</f>
        <v>4585</v>
      </c>
      <c r="L233" s="205">
        <f>TRUNC(K233*C233,1)</f>
        <v>21471.5</v>
      </c>
      <c r="M233" s="20" t="s">
        <v>6232</v>
      </c>
      <c r="N233" t="s">
        <v>6232</v>
      </c>
      <c r="P233" t="s">
        <v>2184</v>
      </c>
      <c r="Q233" t="s">
        <v>6232</v>
      </c>
      <c r="R233" t="s">
        <v>975</v>
      </c>
      <c r="BI233" s="33" t="str">
        <f>HYPERLINK("#중기사용료목록!A13","E00007505005000000 →")</f>
        <v>E00007505005000000 →</v>
      </c>
    </row>
    <row r="234" spans="1:61" ht="18.399999999999999" customHeight="1">
      <c r="A234" s="11" t="s">
        <v>4216</v>
      </c>
      <c r="B234" s="2" t="s">
        <v>365</v>
      </c>
      <c r="C234" s="2">
        <v>9.3659999999999997</v>
      </c>
      <c r="D234" s="2" t="s">
        <v>5171</v>
      </c>
      <c r="E234" s="205">
        <f>G234+I234+K234</f>
        <v>116</v>
      </c>
      <c r="F234" s="205">
        <f>H234+J234+L234</f>
        <v>1086.4000000000001</v>
      </c>
      <c r="G234" s="205">
        <f>중기사용료목록!E9</f>
        <v>0</v>
      </c>
      <c r="H234" s="205">
        <f>TRUNC(G234*C234,1)</f>
        <v>0</v>
      </c>
      <c r="I234" s="205">
        <f>중기사용료목록!F9</f>
        <v>0</v>
      </c>
      <c r="J234" s="205">
        <f>TRUNC(I234*C234,1)</f>
        <v>0</v>
      </c>
      <c r="K234" s="205">
        <f>중기사용료목록!G9</f>
        <v>116</v>
      </c>
      <c r="L234" s="205">
        <f>TRUNC(K234*C234,1)</f>
        <v>1086.4000000000001</v>
      </c>
      <c r="M234" s="20" t="s">
        <v>6232</v>
      </c>
      <c r="N234" t="s">
        <v>6232</v>
      </c>
      <c r="P234" t="s">
        <v>5265</v>
      </c>
      <c r="Q234" t="s">
        <v>6232</v>
      </c>
      <c r="R234" t="s">
        <v>932</v>
      </c>
      <c r="BI234" s="33" t="str">
        <f>HYPERLINK("#중기사용료목록!A16","E00007611030000000 →")</f>
        <v>E00007611030000000 →</v>
      </c>
    </row>
    <row r="235" spans="1:61" ht="18.399999999999999" customHeight="1">
      <c r="A235" s="47"/>
      <c r="B235" s="1"/>
      <c r="C235" s="1"/>
      <c r="D235" s="1"/>
      <c r="E235" s="206"/>
      <c r="F235" s="206"/>
      <c r="G235" s="206"/>
      <c r="H235" s="206"/>
      <c r="I235" s="206"/>
      <c r="J235" s="206"/>
      <c r="K235" s="206"/>
      <c r="L235" s="206"/>
      <c r="M235" s="50"/>
    </row>
    <row r="236" spans="1:61" ht="18.399999999999999" customHeight="1">
      <c r="A236" s="11" t="s">
        <v>2345</v>
      </c>
      <c r="B236" s="2" t="s">
        <v>3826</v>
      </c>
      <c r="C236" s="2">
        <v>1</v>
      </c>
      <c r="D236" s="2" t="s">
        <v>3909</v>
      </c>
      <c r="E236" s="204"/>
      <c r="F236" s="205">
        <f>H236+J236+L236</f>
        <v>1600896</v>
      </c>
      <c r="G236" s="204"/>
      <c r="H236" s="205">
        <f>TRUNC(H237+H238+H239+H240,0)</f>
        <v>0</v>
      </c>
      <c r="I236" s="204"/>
      <c r="J236" s="205">
        <f>TRUNC(J237+J238+J239+J240,0)</f>
        <v>1600896</v>
      </c>
      <c r="K236" s="204"/>
      <c r="L236" s="205">
        <f>TRUNC(L237+L238+L239+L240,0)</f>
        <v>0</v>
      </c>
      <c r="M236" s="20" t="s">
        <v>6232</v>
      </c>
      <c r="N236" t="s">
        <v>6232</v>
      </c>
      <c r="O236" t="s">
        <v>5481</v>
      </c>
    </row>
    <row r="237" spans="1:61" ht="18.399999999999999" customHeight="1">
      <c r="A237" s="11" t="s">
        <v>3936</v>
      </c>
      <c r="B237" s="2" t="s">
        <v>3311</v>
      </c>
      <c r="C237" s="2">
        <v>2.0099999999999998</v>
      </c>
      <c r="D237" s="2" t="s">
        <v>5766</v>
      </c>
      <c r="E237" s="205">
        <f>G237+I237+K237</f>
        <v>320480</v>
      </c>
      <c r="F237" s="205">
        <f>H237+J237+L237</f>
        <v>644164.80000000005</v>
      </c>
      <c r="G237" s="205">
        <v>0</v>
      </c>
      <c r="H237" s="205"/>
      <c r="I237" s="205">
        <f>노임!D11</f>
        <v>320480</v>
      </c>
      <c r="J237" s="205">
        <f>TRUNC(I237*C237,1)</f>
        <v>644164.80000000005</v>
      </c>
      <c r="K237" s="205">
        <v>0</v>
      </c>
      <c r="L237" s="205"/>
      <c r="M237" s="20" t="s">
        <v>6232</v>
      </c>
      <c r="N237" t="s">
        <v>6232</v>
      </c>
      <c r="P237" t="s">
        <v>742</v>
      </c>
      <c r="Q237" t="s">
        <v>6232</v>
      </c>
      <c r="R237" t="s">
        <v>3298</v>
      </c>
      <c r="BI237" s="33" t="str">
        <f>HYPERLINK("#노임!A11","L001010101000056 →")</f>
        <v>L001010101000056 →</v>
      </c>
    </row>
    <row r="238" spans="1:61" ht="18.399999999999999" customHeight="1">
      <c r="A238" s="11" t="s">
        <v>1986</v>
      </c>
      <c r="B238" s="2" t="s">
        <v>3311</v>
      </c>
      <c r="C238" s="2">
        <v>1.01</v>
      </c>
      <c r="D238" s="2" t="s">
        <v>5766</v>
      </c>
      <c r="E238" s="205">
        <f>G238+I238+K238</f>
        <v>226122</v>
      </c>
      <c r="F238" s="205">
        <f>H238+J238+L238</f>
        <v>228383.2</v>
      </c>
      <c r="G238" s="205">
        <v>0</v>
      </c>
      <c r="H238" s="205"/>
      <c r="I238" s="205">
        <f>노임!D4</f>
        <v>226122</v>
      </c>
      <c r="J238" s="205">
        <f>TRUNC(I238*C238,1)</f>
        <v>228383.2</v>
      </c>
      <c r="K238" s="205">
        <v>0</v>
      </c>
      <c r="L238" s="205"/>
      <c r="M238" s="20" t="s">
        <v>6232</v>
      </c>
      <c r="N238" t="s">
        <v>6232</v>
      </c>
      <c r="P238" t="s">
        <v>5372</v>
      </c>
      <c r="Q238" t="s">
        <v>6232</v>
      </c>
      <c r="R238" t="s">
        <v>1597</v>
      </c>
      <c r="BI238" s="33" t="str">
        <f>HYPERLINK("#노임!A4","L001010101000003 →")</f>
        <v>L001010101000003 →</v>
      </c>
    </row>
    <row r="239" spans="1:61" ht="18.399999999999999" customHeight="1">
      <c r="A239" s="11" t="s">
        <v>3936</v>
      </c>
      <c r="B239" s="2" t="s">
        <v>3311</v>
      </c>
      <c r="C239" s="2">
        <v>1.68</v>
      </c>
      <c r="D239" s="2" t="s">
        <v>5766</v>
      </c>
      <c r="E239" s="205">
        <f>G239+I239+K239</f>
        <v>320480</v>
      </c>
      <c r="F239" s="205">
        <f>H239+J239+L239</f>
        <v>538406.40000000002</v>
      </c>
      <c r="G239" s="205">
        <v>0</v>
      </c>
      <c r="H239" s="205"/>
      <c r="I239" s="205">
        <f>노임!D11</f>
        <v>320480</v>
      </c>
      <c r="J239" s="205">
        <f>TRUNC(I239*C239,1)</f>
        <v>538406.40000000002</v>
      </c>
      <c r="K239" s="205">
        <v>0</v>
      </c>
      <c r="L239" s="205"/>
      <c r="M239" s="20" t="s">
        <v>6232</v>
      </c>
      <c r="N239" t="s">
        <v>6232</v>
      </c>
      <c r="P239" t="s">
        <v>3792</v>
      </c>
      <c r="Q239" t="s">
        <v>6232</v>
      </c>
      <c r="R239" t="s">
        <v>3298</v>
      </c>
      <c r="BI239" s="33" t="str">
        <f>HYPERLINK("#노임!A11","L001010101000056 →")</f>
        <v>L001010101000056 →</v>
      </c>
    </row>
    <row r="240" spans="1:61" ht="18.399999999999999" customHeight="1">
      <c r="A240" s="11" t="s">
        <v>1986</v>
      </c>
      <c r="B240" s="2" t="s">
        <v>3311</v>
      </c>
      <c r="C240" s="2">
        <v>0.84</v>
      </c>
      <c r="D240" s="2" t="s">
        <v>5766</v>
      </c>
      <c r="E240" s="205">
        <f>G240+I240+K240</f>
        <v>226122</v>
      </c>
      <c r="F240" s="205">
        <f>H240+J240+L240</f>
        <v>189942.39999999999</v>
      </c>
      <c r="G240" s="205">
        <v>0</v>
      </c>
      <c r="H240" s="205"/>
      <c r="I240" s="205">
        <f>노임!D4</f>
        <v>226122</v>
      </c>
      <c r="J240" s="205">
        <f>TRUNC(I240*C240,1)</f>
        <v>189942.39999999999</v>
      </c>
      <c r="K240" s="205">
        <v>0</v>
      </c>
      <c r="L240" s="205"/>
      <c r="M240" s="20" t="s">
        <v>6232</v>
      </c>
      <c r="N240" t="s">
        <v>6232</v>
      </c>
      <c r="P240" t="s">
        <v>2184</v>
      </c>
      <c r="Q240" t="s">
        <v>6232</v>
      </c>
      <c r="R240" t="s">
        <v>1597</v>
      </c>
      <c r="BI240" s="33" t="str">
        <f>HYPERLINK("#노임!A4","L001010101000003 →")</f>
        <v>L001010101000003 →</v>
      </c>
    </row>
    <row r="241" spans="1:61" ht="18.399999999999999" customHeight="1">
      <c r="A241" s="47"/>
      <c r="B241" s="1"/>
      <c r="C241" s="1"/>
      <c r="D241" s="1"/>
      <c r="E241" s="206"/>
      <c r="F241" s="206"/>
      <c r="G241" s="206"/>
      <c r="H241" s="206"/>
      <c r="I241" s="206"/>
      <c r="J241" s="206"/>
      <c r="K241" s="206"/>
      <c r="L241" s="206"/>
      <c r="M241" s="50"/>
    </row>
    <row r="242" spans="1:61" ht="18.399999999999999" customHeight="1">
      <c r="A242" s="11" t="s">
        <v>1621</v>
      </c>
      <c r="B242" s="2" t="s">
        <v>3826</v>
      </c>
      <c r="C242" s="2">
        <v>1</v>
      </c>
      <c r="D242" s="2" t="s">
        <v>3909</v>
      </c>
      <c r="E242" s="204"/>
      <c r="F242" s="205">
        <f>H242+J242+L242</f>
        <v>1593265</v>
      </c>
      <c r="G242" s="204"/>
      <c r="H242" s="205">
        <f>TRUNC(H243+H244+H245+H246,0)</f>
        <v>84542</v>
      </c>
      <c r="I242" s="204"/>
      <c r="J242" s="205">
        <f>TRUNC(J243+J244+J245+J246,0)</f>
        <v>1484980</v>
      </c>
      <c r="K242" s="204"/>
      <c r="L242" s="205">
        <f>TRUNC(L243+L244+L245+L246,0)</f>
        <v>23743</v>
      </c>
      <c r="M242" s="20" t="s">
        <v>6232</v>
      </c>
      <c r="N242" t="s">
        <v>6232</v>
      </c>
      <c r="O242" t="s">
        <v>2420</v>
      </c>
    </row>
    <row r="243" spans="1:61" ht="18.399999999999999" customHeight="1">
      <c r="A243" s="11" t="s">
        <v>2851</v>
      </c>
      <c r="B243" s="2" t="s">
        <v>3311</v>
      </c>
      <c r="C243" s="2">
        <v>3.081</v>
      </c>
      <c r="D243" s="2" t="s">
        <v>5766</v>
      </c>
      <c r="E243" s="205">
        <f>G243+I243+K243</f>
        <v>292640</v>
      </c>
      <c r="F243" s="205">
        <f>H243+J243+L243</f>
        <v>901623.8</v>
      </c>
      <c r="G243" s="205">
        <v>0</v>
      </c>
      <c r="H243" s="205"/>
      <c r="I243" s="205">
        <f>노임!D12</f>
        <v>292640</v>
      </c>
      <c r="J243" s="205">
        <f>TRUNC(I243*C243,1)</f>
        <v>901623.8</v>
      </c>
      <c r="K243" s="205">
        <v>0</v>
      </c>
      <c r="L243" s="205"/>
      <c r="M243" s="20" t="s">
        <v>6232</v>
      </c>
      <c r="N243" t="s">
        <v>6232</v>
      </c>
      <c r="P243" t="s">
        <v>742</v>
      </c>
      <c r="Q243" t="s">
        <v>6232</v>
      </c>
      <c r="R243" t="s">
        <v>3463</v>
      </c>
      <c r="BI243" s="33" t="str">
        <f>HYPERLINK("#노임!A12","L001010101000058 →")</f>
        <v>L001010101000058 →</v>
      </c>
    </row>
    <row r="244" spans="1:61" ht="18.399999999999999" customHeight="1">
      <c r="A244" s="11" t="s">
        <v>1986</v>
      </c>
      <c r="B244" s="2" t="s">
        <v>3311</v>
      </c>
      <c r="C244" s="2">
        <v>1.7969999999999999</v>
      </c>
      <c r="D244" s="2" t="s">
        <v>5766</v>
      </c>
      <c r="E244" s="205">
        <f>G244+I244+K244</f>
        <v>226122</v>
      </c>
      <c r="F244" s="205">
        <f>H244+J244+L244</f>
        <v>406341.2</v>
      </c>
      <c r="G244" s="205">
        <v>0</v>
      </c>
      <c r="H244" s="205"/>
      <c r="I244" s="205">
        <f>노임!D4</f>
        <v>226122</v>
      </c>
      <c r="J244" s="205">
        <f>TRUNC(I244*C244,1)</f>
        <v>406341.2</v>
      </c>
      <c r="K244" s="205">
        <v>0</v>
      </c>
      <c r="L244" s="205"/>
      <c r="M244" s="20" t="s">
        <v>6232</v>
      </c>
      <c r="N244" t="s">
        <v>6232</v>
      </c>
      <c r="P244" t="s">
        <v>5372</v>
      </c>
      <c r="Q244" t="s">
        <v>6232</v>
      </c>
      <c r="R244" t="s">
        <v>1597</v>
      </c>
      <c r="BI244" s="33" t="str">
        <f>HYPERLINK("#노임!A4","L001010101000003 →")</f>
        <v>L001010101000003 →</v>
      </c>
    </row>
    <row r="245" spans="1:61" ht="18.399999999999999" customHeight="1">
      <c r="A245" s="11" t="s">
        <v>4090</v>
      </c>
      <c r="B245" s="2" t="s">
        <v>4952</v>
      </c>
      <c r="C245" s="2">
        <v>4.9290000000000003</v>
      </c>
      <c r="D245" s="2" t="s">
        <v>5171</v>
      </c>
      <c r="E245" s="205">
        <f>G245+I245+K245</f>
        <v>57650</v>
      </c>
      <c r="F245" s="205">
        <f>H245+J245+L245</f>
        <v>284156.7</v>
      </c>
      <c r="G245" s="205">
        <f>중기사용료목록!E8</f>
        <v>17152</v>
      </c>
      <c r="H245" s="205">
        <f>TRUNC(G245*C245,1)</f>
        <v>84542.2</v>
      </c>
      <c r="I245" s="205">
        <f>중기사용료목록!F8</f>
        <v>35913</v>
      </c>
      <c r="J245" s="205">
        <f>TRUNC(I245*C245,1)</f>
        <v>177015.1</v>
      </c>
      <c r="K245" s="205">
        <f>중기사용료목록!G8</f>
        <v>4585</v>
      </c>
      <c r="L245" s="205">
        <f>TRUNC(K245*C245,1)</f>
        <v>22599.4</v>
      </c>
      <c r="M245" s="20" t="s">
        <v>6232</v>
      </c>
      <c r="N245" t="s">
        <v>6232</v>
      </c>
      <c r="P245" t="s">
        <v>2184</v>
      </c>
      <c r="Q245" t="s">
        <v>6232</v>
      </c>
      <c r="R245" t="s">
        <v>975</v>
      </c>
      <c r="BI245" s="33" t="str">
        <f>HYPERLINK("#중기사용료목록!A13","E00007505005000000 →")</f>
        <v>E00007505005000000 →</v>
      </c>
    </row>
    <row r="246" spans="1:61" ht="18.399999999999999" customHeight="1">
      <c r="A246" s="11" t="s">
        <v>4216</v>
      </c>
      <c r="B246" s="2" t="s">
        <v>365</v>
      </c>
      <c r="C246" s="2">
        <v>9.859</v>
      </c>
      <c r="D246" s="2" t="s">
        <v>5171</v>
      </c>
      <c r="E246" s="205">
        <f>G246+I246+K246</f>
        <v>116</v>
      </c>
      <c r="F246" s="205">
        <f>H246+J246+L246</f>
        <v>1143.5999999999999</v>
      </c>
      <c r="G246" s="205">
        <f>중기사용료목록!E9</f>
        <v>0</v>
      </c>
      <c r="H246" s="205">
        <f>TRUNC(G246*C246,1)</f>
        <v>0</v>
      </c>
      <c r="I246" s="205">
        <f>중기사용료목록!F9</f>
        <v>0</v>
      </c>
      <c r="J246" s="205">
        <f>TRUNC(I246*C246,1)</f>
        <v>0</v>
      </c>
      <c r="K246" s="205">
        <f>중기사용료목록!G9</f>
        <v>116</v>
      </c>
      <c r="L246" s="205">
        <f>TRUNC(K246*C246,1)</f>
        <v>1143.5999999999999</v>
      </c>
      <c r="M246" s="20" t="s">
        <v>6232</v>
      </c>
      <c r="N246" t="s">
        <v>6232</v>
      </c>
      <c r="P246" t="s">
        <v>5265</v>
      </c>
      <c r="Q246" t="s">
        <v>6232</v>
      </c>
      <c r="R246" t="s">
        <v>932</v>
      </c>
      <c r="BI246" s="33" t="str">
        <f>HYPERLINK("#중기사용료목록!A16","E00007611030000000 →")</f>
        <v>E00007611030000000 →</v>
      </c>
    </row>
    <row r="247" spans="1:61" ht="18.399999999999999" customHeight="1">
      <c r="A247" s="47"/>
      <c r="B247" s="1"/>
      <c r="C247" s="1"/>
      <c r="D247" s="1"/>
      <c r="E247" s="206"/>
      <c r="F247" s="206"/>
      <c r="G247" s="206"/>
      <c r="H247" s="206"/>
      <c r="I247" s="206"/>
      <c r="J247" s="206"/>
      <c r="K247" s="206"/>
      <c r="L247" s="206"/>
      <c r="M247" s="50"/>
    </row>
    <row r="248" spans="1:61" ht="18.399999999999999" customHeight="1">
      <c r="A248" s="11" t="s">
        <v>2288</v>
      </c>
      <c r="B248" s="2" t="s">
        <v>3826</v>
      </c>
      <c r="C248" s="2">
        <v>1</v>
      </c>
      <c r="D248" s="2" t="s">
        <v>3909</v>
      </c>
      <c r="E248" s="204"/>
      <c r="F248" s="205">
        <f>H248+J248+L248</f>
        <v>1593265</v>
      </c>
      <c r="G248" s="204"/>
      <c r="H248" s="205">
        <f>TRUNC(H249+H250+H251+H252,0)</f>
        <v>84542</v>
      </c>
      <c r="I248" s="204"/>
      <c r="J248" s="205">
        <f>TRUNC(J249+J250+J251+J252,0)</f>
        <v>1484980</v>
      </c>
      <c r="K248" s="204"/>
      <c r="L248" s="205">
        <f>TRUNC(L249+L250+L251+L252,0)</f>
        <v>23743</v>
      </c>
      <c r="M248" s="20" t="s">
        <v>6232</v>
      </c>
      <c r="N248" t="s">
        <v>6232</v>
      </c>
      <c r="O248" t="s">
        <v>4389</v>
      </c>
    </row>
    <row r="249" spans="1:61" ht="18.399999999999999" customHeight="1">
      <c r="A249" s="11" t="s">
        <v>2851</v>
      </c>
      <c r="B249" s="2" t="s">
        <v>3311</v>
      </c>
      <c r="C249" s="2">
        <v>3.081</v>
      </c>
      <c r="D249" s="2" t="s">
        <v>5766</v>
      </c>
      <c r="E249" s="205">
        <f>G249+I249+K249</f>
        <v>292640</v>
      </c>
      <c r="F249" s="205">
        <f>H249+J249+L249</f>
        <v>901623.8</v>
      </c>
      <c r="G249" s="205">
        <v>0</v>
      </c>
      <c r="H249" s="205"/>
      <c r="I249" s="205">
        <f>노임!D12</f>
        <v>292640</v>
      </c>
      <c r="J249" s="205">
        <f>TRUNC(I249*C249,1)</f>
        <v>901623.8</v>
      </c>
      <c r="K249" s="205">
        <v>0</v>
      </c>
      <c r="L249" s="205"/>
      <c r="M249" s="20" t="s">
        <v>6232</v>
      </c>
      <c r="N249" t="s">
        <v>6232</v>
      </c>
      <c r="P249" t="s">
        <v>742</v>
      </c>
      <c r="Q249" t="s">
        <v>6232</v>
      </c>
      <c r="R249" t="s">
        <v>3463</v>
      </c>
      <c r="BI249" s="33" t="str">
        <f>HYPERLINK("#노임!A12","L001010101000058 →")</f>
        <v>L001010101000058 →</v>
      </c>
    </row>
    <row r="250" spans="1:61" ht="18.399999999999999" customHeight="1">
      <c r="A250" s="11" t="s">
        <v>1986</v>
      </c>
      <c r="B250" s="2" t="s">
        <v>3311</v>
      </c>
      <c r="C250" s="2">
        <v>1.7969999999999999</v>
      </c>
      <c r="D250" s="2" t="s">
        <v>5766</v>
      </c>
      <c r="E250" s="205">
        <f>G250+I250+K250</f>
        <v>226122</v>
      </c>
      <c r="F250" s="205">
        <f>H250+J250+L250</f>
        <v>406341.2</v>
      </c>
      <c r="G250" s="205">
        <v>0</v>
      </c>
      <c r="H250" s="205"/>
      <c r="I250" s="205">
        <f>노임!D4</f>
        <v>226122</v>
      </c>
      <c r="J250" s="205">
        <f>TRUNC(I250*C250,1)</f>
        <v>406341.2</v>
      </c>
      <c r="K250" s="205">
        <v>0</v>
      </c>
      <c r="L250" s="205"/>
      <c r="M250" s="20" t="s">
        <v>6232</v>
      </c>
      <c r="N250" t="s">
        <v>6232</v>
      </c>
      <c r="P250" t="s">
        <v>5372</v>
      </c>
      <c r="Q250" t="s">
        <v>6232</v>
      </c>
      <c r="R250" t="s">
        <v>1597</v>
      </c>
      <c r="BI250" s="33" t="str">
        <f>HYPERLINK("#노임!A4","L001010101000003 →")</f>
        <v>L001010101000003 →</v>
      </c>
    </row>
    <row r="251" spans="1:61" ht="18.399999999999999" customHeight="1">
      <c r="A251" s="11" t="s">
        <v>4090</v>
      </c>
      <c r="B251" s="2" t="s">
        <v>4952</v>
      </c>
      <c r="C251" s="2">
        <v>4.9290000000000003</v>
      </c>
      <c r="D251" s="2" t="s">
        <v>5171</v>
      </c>
      <c r="E251" s="205">
        <f>G251+I251+K251</f>
        <v>57650</v>
      </c>
      <c r="F251" s="205">
        <f>H251+J251+L251</f>
        <v>284156.7</v>
      </c>
      <c r="G251" s="205">
        <f>중기사용료목록!E8</f>
        <v>17152</v>
      </c>
      <c r="H251" s="205">
        <f>TRUNC(G251*C251,1)</f>
        <v>84542.2</v>
      </c>
      <c r="I251" s="205">
        <f>중기사용료목록!F8</f>
        <v>35913</v>
      </c>
      <c r="J251" s="205">
        <f>TRUNC(I251*C251,1)</f>
        <v>177015.1</v>
      </c>
      <c r="K251" s="205">
        <f>중기사용료목록!G8</f>
        <v>4585</v>
      </c>
      <c r="L251" s="205">
        <f>TRUNC(K251*C251,1)</f>
        <v>22599.4</v>
      </c>
      <c r="M251" s="20" t="s">
        <v>6232</v>
      </c>
      <c r="N251" t="s">
        <v>6232</v>
      </c>
      <c r="P251" t="s">
        <v>2184</v>
      </c>
      <c r="Q251" t="s">
        <v>6232</v>
      </c>
      <c r="R251" t="s">
        <v>975</v>
      </c>
      <c r="BI251" s="33" t="str">
        <f>HYPERLINK("#중기사용료목록!A13","E00007505005000000 →")</f>
        <v>E00007505005000000 →</v>
      </c>
    </row>
    <row r="252" spans="1:61" ht="18.399999999999999" customHeight="1">
      <c r="A252" s="11" t="s">
        <v>4216</v>
      </c>
      <c r="B252" s="2" t="s">
        <v>365</v>
      </c>
      <c r="C252" s="2">
        <v>9.859</v>
      </c>
      <c r="D252" s="2" t="s">
        <v>5171</v>
      </c>
      <c r="E252" s="205">
        <f>G252+I252+K252</f>
        <v>116</v>
      </c>
      <c r="F252" s="205">
        <f>H252+J252+L252</f>
        <v>1143.5999999999999</v>
      </c>
      <c r="G252" s="205">
        <f>중기사용료목록!E9</f>
        <v>0</v>
      </c>
      <c r="H252" s="205">
        <f>TRUNC(G252*C252,1)</f>
        <v>0</v>
      </c>
      <c r="I252" s="205">
        <f>중기사용료목록!F9</f>
        <v>0</v>
      </c>
      <c r="J252" s="205">
        <f>TRUNC(I252*C252,1)</f>
        <v>0</v>
      </c>
      <c r="K252" s="205">
        <f>중기사용료목록!G9</f>
        <v>116</v>
      </c>
      <c r="L252" s="205">
        <f>TRUNC(K252*C252,1)</f>
        <v>1143.5999999999999</v>
      </c>
      <c r="M252" s="20" t="s">
        <v>6232</v>
      </c>
      <c r="N252" t="s">
        <v>6232</v>
      </c>
      <c r="P252" t="s">
        <v>5265</v>
      </c>
      <c r="Q252" t="s">
        <v>6232</v>
      </c>
      <c r="R252" t="s">
        <v>932</v>
      </c>
      <c r="BI252" s="33" t="str">
        <f>HYPERLINK("#중기사용료목록!A16","E00007611030000000 →")</f>
        <v>E00007611030000000 →</v>
      </c>
    </row>
    <row r="253" spans="1:61" ht="18.399999999999999" customHeight="1">
      <c r="A253" s="47"/>
      <c r="B253" s="1"/>
      <c r="C253" s="1"/>
      <c r="D253" s="1"/>
      <c r="E253" s="206"/>
      <c r="F253" s="206"/>
      <c r="G253" s="206"/>
      <c r="H253" s="206"/>
      <c r="I253" s="206"/>
      <c r="J253" s="206"/>
      <c r="K253" s="206"/>
      <c r="L253" s="206"/>
      <c r="M253" s="50"/>
    </row>
    <row r="254" spans="1:61" ht="18.399999999999999" customHeight="1">
      <c r="A254" s="11" t="s">
        <v>3713</v>
      </c>
      <c r="B254" s="2" t="s">
        <v>2823</v>
      </c>
      <c r="C254" s="2">
        <v>1</v>
      </c>
      <c r="D254" s="2" t="s">
        <v>3909</v>
      </c>
      <c r="E254" s="204"/>
      <c r="F254" s="205">
        <f>H254+J254+L254</f>
        <v>1687035</v>
      </c>
      <c r="G254" s="204"/>
      <c r="H254" s="205">
        <f>TRUNC(H255+H256+H257+H258,0)</f>
        <v>0</v>
      </c>
      <c r="I254" s="204"/>
      <c r="J254" s="205">
        <f>TRUNC(J255+J256+J257+J258,0)</f>
        <v>1687035</v>
      </c>
      <c r="K254" s="204"/>
      <c r="L254" s="205">
        <f>TRUNC(L255+L256+L257+L258,0)</f>
        <v>0</v>
      </c>
      <c r="M254" s="20" t="s">
        <v>6232</v>
      </c>
      <c r="N254" t="s">
        <v>6232</v>
      </c>
      <c r="O254" t="s">
        <v>4079</v>
      </c>
    </row>
    <row r="255" spans="1:61" ht="18.399999999999999" customHeight="1">
      <c r="A255" s="11" t="s">
        <v>3936</v>
      </c>
      <c r="B255" s="2" t="s">
        <v>3311</v>
      </c>
      <c r="C255" s="2">
        <v>2.08</v>
      </c>
      <c r="D255" s="2" t="s">
        <v>5766</v>
      </c>
      <c r="E255" s="205">
        <f>G255+I255+K255</f>
        <v>320480</v>
      </c>
      <c r="F255" s="205">
        <f>H255+J255+L255</f>
        <v>666598.40000000002</v>
      </c>
      <c r="G255" s="205">
        <v>0</v>
      </c>
      <c r="H255" s="205"/>
      <c r="I255" s="205">
        <f>노임!D11</f>
        <v>320480</v>
      </c>
      <c r="J255" s="205">
        <f>TRUNC(I255*C255,1)</f>
        <v>666598.40000000002</v>
      </c>
      <c r="K255" s="205">
        <v>0</v>
      </c>
      <c r="L255" s="205"/>
      <c r="M255" s="20" t="s">
        <v>6232</v>
      </c>
      <c r="N255" t="s">
        <v>6232</v>
      </c>
      <c r="P255" t="s">
        <v>742</v>
      </c>
      <c r="Q255" t="s">
        <v>6232</v>
      </c>
      <c r="R255" t="s">
        <v>3298</v>
      </c>
      <c r="BI255" s="33" t="str">
        <f>HYPERLINK("#노임!A11","L001010101000056 →")</f>
        <v>L001010101000056 →</v>
      </c>
    </row>
    <row r="256" spans="1:61" ht="18.399999999999999" customHeight="1">
      <c r="A256" s="11" t="s">
        <v>1986</v>
      </c>
      <c r="B256" s="2" t="s">
        <v>3311</v>
      </c>
      <c r="C256" s="2">
        <v>1.1000000000000001</v>
      </c>
      <c r="D256" s="2" t="s">
        <v>5766</v>
      </c>
      <c r="E256" s="205">
        <f>G256+I256+K256</f>
        <v>226122</v>
      </c>
      <c r="F256" s="205">
        <f>H256+J256+L256</f>
        <v>248734.2</v>
      </c>
      <c r="G256" s="205">
        <v>0</v>
      </c>
      <c r="H256" s="205"/>
      <c r="I256" s="205">
        <f>노임!D4</f>
        <v>226122</v>
      </c>
      <c r="J256" s="205">
        <f>TRUNC(I256*C256,1)</f>
        <v>248734.2</v>
      </c>
      <c r="K256" s="205">
        <v>0</v>
      </c>
      <c r="L256" s="205"/>
      <c r="M256" s="20" t="s">
        <v>6232</v>
      </c>
      <c r="N256" t="s">
        <v>6232</v>
      </c>
      <c r="P256" t="s">
        <v>5372</v>
      </c>
      <c r="Q256" t="s">
        <v>6232</v>
      </c>
      <c r="R256" t="s">
        <v>1597</v>
      </c>
      <c r="BI256" s="33" t="str">
        <f>HYPERLINK("#노임!A4","L001010101000003 →")</f>
        <v>L001010101000003 →</v>
      </c>
    </row>
    <row r="257" spans="1:61" ht="18.399999999999999" customHeight="1">
      <c r="A257" s="11" t="s">
        <v>3936</v>
      </c>
      <c r="B257" s="2" t="s">
        <v>3311</v>
      </c>
      <c r="C257" s="2">
        <v>1.78</v>
      </c>
      <c r="D257" s="2" t="s">
        <v>5766</v>
      </c>
      <c r="E257" s="205">
        <f>G257+I257+K257</f>
        <v>320480</v>
      </c>
      <c r="F257" s="205">
        <f>H257+J257+L257</f>
        <v>570454.4</v>
      </c>
      <c r="G257" s="205">
        <v>0</v>
      </c>
      <c r="H257" s="205"/>
      <c r="I257" s="205">
        <f>노임!D11</f>
        <v>320480</v>
      </c>
      <c r="J257" s="205">
        <f>TRUNC(I257*C257,1)</f>
        <v>570454.4</v>
      </c>
      <c r="K257" s="205">
        <v>0</v>
      </c>
      <c r="L257" s="205"/>
      <c r="M257" s="20" t="s">
        <v>6232</v>
      </c>
      <c r="N257" t="s">
        <v>6232</v>
      </c>
      <c r="P257" t="s">
        <v>3792</v>
      </c>
      <c r="Q257" t="s">
        <v>6232</v>
      </c>
      <c r="R257" t="s">
        <v>3298</v>
      </c>
      <c r="BI257" s="33" t="str">
        <f>HYPERLINK("#노임!A11","L001010101000056 →")</f>
        <v>L001010101000056 →</v>
      </c>
    </row>
    <row r="258" spans="1:61" ht="18.399999999999999" customHeight="1">
      <c r="A258" s="11" t="s">
        <v>1986</v>
      </c>
      <c r="B258" s="2" t="s">
        <v>3311</v>
      </c>
      <c r="C258" s="2">
        <v>0.89</v>
      </c>
      <c r="D258" s="2" t="s">
        <v>5766</v>
      </c>
      <c r="E258" s="205">
        <f>G258+I258+K258</f>
        <v>226122</v>
      </c>
      <c r="F258" s="205">
        <f>H258+J258+L258</f>
        <v>201248.5</v>
      </c>
      <c r="G258" s="205">
        <v>0</v>
      </c>
      <c r="H258" s="205"/>
      <c r="I258" s="205">
        <f>노임!D4</f>
        <v>226122</v>
      </c>
      <c r="J258" s="205">
        <f>TRUNC(I258*C258,1)</f>
        <v>201248.5</v>
      </c>
      <c r="K258" s="205">
        <v>0</v>
      </c>
      <c r="L258" s="205"/>
      <c r="M258" s="20" t="s">
        <v>6232</v>
      </c>
      <c r="N258" t="s">
        <v>6232</v>
      </c>
      <c r="P258" t="s">
        <v>2184</v>
      </c>
      <c r="Q258" t="s">
        <v>6232</v>
      </c>
      <c r="R258" t="s">
        <v>1597</v>
      </c>
      <c r="BI258" s="33" t="str">
        <f>HYPERLINK("#노임!A4","L001010101000003 →")</f>
        <v>L001010101000003 →</v>
      </c>
    </row>
    <row r="259" spans="1:61" ht="18.399999999999999" customHeight="1">
      <c r="A259" s="47"/>
      <c r="B259" s="1"/>
      <c r="C259" s="1"/>
      <c r="D259" s="1"/>
      <c r="E259" s="206"/>
      <c r="F259" s="206"/>
      <c r="G259" s="206"/>
      <c r="H259" s="206"/>
      <c r="I259" s="206"/>
      <c r="J259" s="206"/>
      <c r="K259" s="206"/>
      <c r="L259" s="206"/>
      <c r="M259" s="50"/>
    </row>
    <row r="260" spans="1:61" ht="18.399999999999999" customHeight="1">
      <c r="A260" s="11" t="s">
        <v>6230</v>
      </c>
      <c r="B260" s="2" t="s">
        <v>2823</v>
      </c>
      <c r="C260" s="2">
        <v>1</v>
      </c>
      <c r="D260" s="2" t="s">
        <v>3909</v>
      </c>
      <c r="E260" s="204"/>
      <c r="F260" s="205">
        <f>H260+J260+L260</f>
        <v>1687450</v>
      </c>
      <c r="G260" s="204"/>
      <c r="H260" s="205">
        <f>TRUNC(H261+H262+H263+H264,0)</f>
        <v>88778</v>
      </c>
      <c r="I260" s="204"/>
      <c r="J260" s="205">
        <f>TRUNC(J261+J262+J263+J264,0)</f>
        <v>1573740</v>
      </c>
      <c r="K260" s="204"/>
      <c r="L260" s="205">
        <f>TRUNC(L261+L262+L263+L264,0)</f>
        <v>24932</v>
      </c>
      <c r="M260" s="20" t="s">
        <v>6232</v>
      </c>
      <c r="N260" t="s">
        <v>6232</v>
      </c>
      <c r="O260" t="s">
        <v>796</v>
      </c>
    </row>
    <row r="261" spans="1:61" ht="18.399999999999999" customHeight="1">
      <c r="A261" s="11" t="s">
        <v>2851</v>
      </c>
      <c r="B261" s="2" t="s">
        <v>3311</v>
      </c>
      <c r="C261" s="2">
        <v>3.2349999999999999</v>
      </c>
      <c r="D261" s="2" t="s">
        <v>5766</v>
      </c>
      <c r="E261" s="205">
        <f>G261+I261+K261</f>
        <v>292640</v>
      </c>
      <c r="F261" s="205">
        <f>H261+J261+L261</f>
        <v>946690.4</v>
      </c>
      <c r="G261" s="205">
        <v>0</v>
      </c>
      <c r="H261" s="205"/>
      <c r="I261" s="205">
        <f>노임!D12</f>
        <v>292640</v>
      </c>
      <c r="J261" s="205">
        <f>TRUNC(I261*C261,1)</f>
        <v>946690.4</v>
      </c>
      <c r="K261" s="205">
        <v>0</v>
      </c>
      <c r="L261" s="205"/>
      <c r="M261" s="20" t="s">
        <v>6232</v>
      </c>
      <c r="N261" t="s">
        <v>6232</v>
      </c>
      <c r="P261" t="s">
        <v>742</v>
      </c>
      <c r="Q261" t="s">
        <v>6232</v>
      </c>
      <c r="R261" t="s">
        <v>3463</v>
      </c>
      <c r="BI261" s="33" t="str">
        <f>HYPERLINK("#노임!A12","L001010101000058 →")</f>
        <v>L001010101000058 →</v>
      </c>
    </row>
    <row r="262" spans="1:61" ht="18.399999999999999" customHeight="1">
      <c r="A262" s="11" t="s">
        <v>1986</v>
      </c>
      <c r="B262" s="2" t="s">
        <v>3311</v>
      </c>
      <c r="C262" s="2">
        <v>1.9510000000000001</v>
      </c>
      <c r="D262" s="2" t="s">
        <v>5766</v>
      </c>
      <c r="E262" s="205">
        <f>G262+I262+K262</f>
        <v>226122</v>
      </c>
      <c r="F262" s="205">
        <f>H262+J262+L262</f>
        <v>441164</v>
      </c>
      <c r="G262" s="205">
        <v>0</v>
      </c>
      <c r="H262" s="205"/>
      <c r="I262" s="205">
        <f>노임!D4</f>
        <v>226122</v>
      </c>
      <c r="J262" s="205">
        <f>TRUNC(I262*C262,1)</f>
        <v>441164</v>
      </c>
      <c r="K262" s="205">
        <v>0</v>
      </c>
      <c r="L262" s="205"/>
      <c r="M262" s="20" t="s">
        <v>6232</v>
      </c>
      <c r="N262" t="s">
        <v>6232</v>
      </c>
      <c r="P262" t="s">
        <v>5372</v>
      </c>
      <c r="Q262" t="s">
        <v>6232</v>
      </c>
      <c r="R262" t="s">
        <v>1597</v>
      </c>
      <c r="BI262" s="33" t="str">
        <f>HYPERLINK("#노임!A4","L001010101000003 →")</f>
        <v>L001010101000003 →</v>
      </c>
    </row>
    <row r="263" spans="1:61" ht="18.399999999999999" customHeight="1">
      <c r="A263" s="11" t="s">
        <v>4090</v>
      </c>
      <c r="B263" s="2" t="s">
        <v>4952</v>
      </c>
      <c r="C263" s="2">
        <v>5.1760000000000002</v>
      </c>
      <c r="D263" s="2" t="s">
        <v>5171</v>
      </c>
      <c r="E263" s="205">
        <f>G263+I263+K263</f>
        <v>57650</v>
      </c>
      <c r="F263" s="205">
        <f>H263+J263+L263</f>
        <v>298396.2</v>
      </c>
      <c r="G263" s="205">
        <f>중기사용료목록!E8</f>
        <v>17152</v>
      </c>
      <c r="H263" s="205">
        <f>TRUNC(G263*C263,1)</f>
        <v>88778.7</v>
      </c>
      <c r="I263" s="205">
        <f>중기사용료목록!F8</f>
        <v>35913</v>
      </c>
      <c r="J263" s="205">
        <f>TRUNC(I263*C263,1)</f>
        <v>185885.6</v>
      </c>
      <c r="K263" s="205">
        <f>중기사용료목록!G8</f>
        <v>4585</v>
      </c>
      <c r="L263" s="205">
        <f>TRUNC(K263*C263,1)</f>
        <v>23731.9</v>
      </c>
      <c r="M263" s="20" t="s">
        <v>6232</v>
      </c>
      <c r="N263" t="s">
        <v>6232</v>
      </c>
      <c r="P263" t="s">
        <v>2184</v>
      </c>
      <c r="Q263" t="s">
        <v>6232</v>
      </c>
      <c r="R263" t="s">
        <v>975</v>
      </c>
      <c r="BI263" s="33" t="str">
        <f>HYPERLINK("#중기사용료목록!A13","E00007505005000000 →")</f>
        <v>E00007505005000000 →</v>
      </c>
    </row>
    <row r="264" spans="1:61" ht="18.399999999999999" customHeight="1">
      <c r="A264" s="11" t="s">
        <v>4216</v>
      </c>
      <c r="B264" s="2" t="s">
        <v>365</v>
      </c>
      <c r="C264" s="2">
        <v>10.352</v>
      </c>
      <c r="D264" s="2" t="s">
        <v>5171</v>
      </c>
      <c r="E264" s="205">
        <f>G264+I264+K264</f>
        <v>116</v>
      </c>
      <c r="F264" s="205">
        <f>H264+J264+L264</f>
        <v>1200.8</v>
      </c>
      <c r="G264" s="205">
        <f>중기사용료목록!E9</f>
        <v>0</v>
      </c>
      <c r="H264" s="205">
        <f>TRUNC(G264*C264,1)</f>
        <v>0</v>
      </c>
      <c r="I264" s="205">
        <f>중기사용료목록!F9</f>
        <v>0</v>
      </c>
      <c r="J264" s="205">
        <f>TRUNC(I264*C264,1)</f>
        <v>0</v>
      </c>
      <c r="K264" s="205">
        <f>중기사용료목록!G9</f>
        <v>116</v>
      </c>
      <c r="L264" s="205">
        <f>TRUNC(K264*C264,1)</f>
        <v>1200.8</v>
      </c>
      <c r="M264" s="20" t="s">
        <v>6232</v>
      </c>
      <c r="N264" t="s">
        <v>6232</v>
      </c>
      <c r="P264" t="s">
        <v>5265</v>
      </c>
      <c r="Q264" t="s">
        <v>6232</v>
      </c>
      <c r="R264" t="s">
        <v>932</v>
      </c>
      <c r="BI264" s="33" t="str">
        <f>HYPERLINK("#중기사용료목록!A16","E00007611030000000 →")</f>
        <v>E00007611030000000 →</v>
      </c>
    </row>
    <row r="265" spans="1:61" ht="18.399999999999999" customHeight="1">
      <c r="A265" s="47"/>
      <c r="B265" s="1"/>
      <c r="C265" s="1"/>
      <c r="D265" s="1"/>
      <c r="E265" s="206"/>
      <c r="F265" s="206"/>
      <c r="G265" s="206"/>
      <c r="H265" s="206"/>
      <c r="I265" s="206"/>
      <c r="J265" s="206"/>
      <c r="K265" s="206"/>
      <c r="L265" s="206"/>
      <c r="M265" s="50"/>
    </row>
    <row r="266" spans="1:61" ht="18.399999999999999" customHeight="1">
      <c r="A266" s="11" t="s">
        <v>3913</v>
      </c>
      <c r="B266" s="2" t="s">
        <v>2823</v>
      </c>
      <c r="C266" s="2">
        <v>1</v>
      </c>
      <c r="D266" s="2" t="s">
        <v>3909</v>
      </c>
      <c r="E266" s="204"/>
      <c r="F266" s="205">
        <f>H266+J266+L266</f>
        <v>1687450</v>
      </c>
      <c r="G266" s="204"/>
      <c r="H266" s="205">
        <f>TRUNC(H267+H268+H269+H270,0)</f>
        <v>88778</v>
      </c>
      <c r="I266" s="204"/>
      <c r="J266" s="205">
        <f>TRUNC(J267+J268+J269+J270,0)</f>
        <v>1573740</v>
      </c>
      <c r="K266" s="204"/>
      <c r="L266" s="205">
        <f>TRUNC(L267+L268+L269+L270,0)</f>
        <v>24932</v>
      </c>
      <c r="M266" s="20" t="s">
        <v>6232</v>
      </c>
      <c r="N266" t="s">
        <v>6232</v>
      </c>
      <c r="O266" t="s">
        <v>5831</v>
      </c>
    </row>
    <row r="267" spans="1:61" ht="18.399999999999999" customHeight="1">
      <c r="A267" s="11" t="s">
        <v>2851</v>
      </c>
      <c r="B267" s="2" t="s">
        <v>3311</v>
      </c>
      <c r="C267" s="2">
        <v>3.2349999999999999</v>
      </c>
      <c r="D267" s="2" t="s">
        <v>5766</v>
      </c>
      <c r="E267" s="205">
        <f>G267+I267+K267</f>
        <v>292640</v>
      </c>
      <c r="F267" s="205">
        <f>H267+J267+L267</f>
        <v>946690.4</v>
      </c>
      <c r="G267" s="205">
        <v>0</v>
      </c>
      <c r="H267" s="205"/>
      <c r="I267" s="205">
        <f>노임!D12</f>
        <v>292640</v>
      </c>
      <c r="J267" s="205">
        <f>TRUNC(I267*C267,1)</f>
        <v>946690.4</v>
      </c>
      <c r="K267" s="205">
        <v>0</v>
      </c>
      <c r="L267" s="205"/>
      <c r="M267" s="20" t="s">
        <v>6232</v>
      </c>
      <c r="N267" t="s">
        <v>6232</v>
      </c>
      <c r="P267" t="s">
        <v>742</v>
      </c>
      <c r="Q267" t="s">
        <v>6232</v>
      </c>
      <c r="R267" t="s">
        <v>3463</v>
      </c>
      <c r="BI267" s="33" t="str">
        <f>HYPERLINK("#노임!A12","L001010101000058 →")</f>
        <v>L001010101000058 →</v>
      </c>
    </row>
    <row r="268" spans="1:61" ht="18.399999999999999" customHeight="1">
      <c r="A268" s="11" t="s">
        <v>1986</v>
      </c>
      <c r="B268" s="2" t="s">
        <v>3311</v>
      </c>
      <c r="C268" s="2">
        <v>1.9510000000000001</v>
      </c>
      <c r="D268" s="2" t="s">
        <v>5766</v>
      </c>
      <c r="E268" s="205">
        <f>G268+I268+K268</f>
        <v>226122</v>
      </c>
      <c r="F268" s="205">
        <f>H268+J268+L268</f>
        <v>441164</v>
      </c>
      <c r="G268" s="205">
        <v>0</v>
      </c>
      <c r="H268" s="205"/>
      <c r="I268" s="205">
        <f>노임!D4</f>
        <v>226122</v>
      </c>
      <c r="J268" s="205">
        <f>TRUNC(I268*C268,1)</f>
        <v>441164</v>
      </c>
      <c r="K268" s="205">
        <v>0</v>
      </c>
      <c r="L268" s="205"/>
      <c r="M268" s="20" t="s">
        <v>6232</v>
      </c>
      <c r="N268" t="s">
        <v>6232</v>
      </c>
      <c r="P268" t="s">
        <v>5372</v>
      </c>
      <c r="Q268" t="s">
        <v>6232</v>
      </c>
      <c r="R268" t="s">
        <v>1597</v>
      </c>
      <c r="BI268" s="33" t="str">
        <f>HYPERLINK("#노임!A4","L001010101000003 →")</f>
        <v>L001010101000003 →</v>
      </c>
    </row>
    <row r="269" spans="1:61" ht="18.399999999999999" customHeight="1">
      <c r="A269" s="11" t="s">
        <v>4090</v>
      </c>
      <c r="B269" s="2" t="s">
        <v>4952</v>
      </c>
      <c r="C269" s="2">
        <v>5.1760000000000002</v>
      </c>
      <c r="D269" s="2" t="s">
        <v>5171</v>
      </c>
      <c r="E269" s="205">
        <f>G269+I269+K269</f>
        <v>57650</v>
      </c>
      <c r="F269" s="205">
        <f>H269+J269+L269</f>
        <v>298396.2</v>
      </c>
      <c r="G269" s="205">
        <f>중기사용료목록!E8</f>
        <v>17152</v>
      </c>
      <c r="H269" s="205">
        <f>TRUNC(G269*C269,1)</f>
        <v>88778.7</v>
      </c>
      <c r="I269" s="205">
        <f>중기사용료목록!F8</f>
        <v>35913</v>
      </c>
      <c r="J269" s="205">
        <f>TRUNC(I269*C269,1)</f>
        <v>185885.6</v>
      </c>
      <c r="K269" s="205">
        <f>중기사용료목록!G8</f>
        <v>4585</v>
      </c>
      <c r="L269" s="205">
        <f>TRUNC(K269*C269,1)</f>
        <v>23731.9</v>
      </c>
      <c r="M269" s="20" t="s">
        <v>6232</v>
      </c>
      <c r="N269" t="s">
        <v>6232</v>
      </c>
      <c r="P269" t="s">
        <v>2184</v>
      </c>
      <c r="Q269" t="s">
        <v>6232</v>
      </c>
      <c r="R269" t="s">
        <v>975</v>
      </c>
      <c r="BI269" s="33" t="str">
        <f>HYPERLINK("#중기사용료목록!A13","E00007505005000000 →")</f>
        <v>E00007505005000000 →</v>
      </c>
    </row>
    <row r="270" spans="1:61" ht="18.399999999999999" customHeight="1">
      <c r="A270" s="11" t="s">
        <v>4216</v>
      </c>
      <c r="B270" s="2" t="s">
        <v>365</v>
      </c>
      <c r="C270" s="2">
        <v>10.352</v>
      </c>
      <c r="D270" s="2" t="s">
        <v>5171</v>
      </c>
      <c r="E270" s="205">
        <f>G270+I270+K270</f>
        <v>116</v>
      </c>
      <c r="F270" s="205">
        <f>H270+J270+L270</f>
        <v>1200.8</v>
      </c>
      <c r="G270" s="205">
        <f>중기사용료목록!E9</f>
        <v>0</v>
      </c>
      <c r="H270" s="205">
        <f>TRUNC(G270*C270,1)</f>
        <v>0</v>
      </c>
      <c r="I270" s="205">
        <f>중기사용료목록!F9</f>
        <v>0</v>
      </c>
      <c r="J270" s="205">
        <f>TRUNC(I270*C270,1)</f>
        <v>0</v>
      </c>
      <c r="K270" s="205">
        <f>중기사용료목록!G9</f>
        <v>116</v>
      </c>
      <c r="L270" s="205">
        <f>TRUNC(K270*C270,1)</f>
        <v>1200.8</v>
      </c>
      <c r="M270" s="20" t="s">
        <v>6232</v>
      </c>
      <c r="N270" t="s">
        <v>6232</v>
      </c>
      <c r="P270" t="s">
        <v>5265</v>
      </c>
      <c r="Q270" t="s">
        <v>6232</v>
      </c>
      <c r="R270" t="s">
        <v>932</v>
      </c>
      <c r="BI270" s="33" t="str">
        <f>HYPERLINK("#중기사용료목록!A16","E00007611030000000 →")</f>
        <v>E00007611030000000 →</v>
      </c>
    </row>
    <row r="271" spans="1:61" ht="18.399999999999999" customHeight="1">
      <c r="A271" s="48"/>
      <c r="B271" s="49"/>
      <c r="C271" s="49"/>
      <c r="D271" s="49"/>
      <c r="E271" s="207"/>
      <c r="F271" s="207"/>
      <c r="G271" s="207"/>
      <c r="H271" s="207"/>
      <c r="I271" s="207"/>
      <c r="J271" s="207"/>
      <c r="K271" s="207"/>
      <c r="L271" s="207"/>
      <c r="M271" s="51"/>
    </row>
  </sheetData>
  <mergeCells count="9">
    <mergeCell ref="K2:L2"/>
    <mergeCell ref="E2:F2"/>
    <mergeCell ref="M2:M3"/>
    <mergeCell ref="A2:A3"/>
    <mergeCell ref="B2:B3"/>
    <mergeCell ref="C2:C3"/>
    <mergeCell ref="D2:D3"/>
    <mergeCell ref="G2:H2"/>
    <mergeCell ref="I2:J2"/>
  </mergeCells>
  <phoneticPr fontId="7" type="noConversion"/>
  <pageMargins left="0.31496062992125984" right="0.31496062992125984" top="1" bottom="0.59055118110236215" header="0.5" footer="0.5"/>
  <pageSetup paperSize="9" scale="66" orientation="landscape" r:id="rId1"/>
  <headerFooter alignWithMargins="0">
    <oddHeader>&amp;RPage : 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L3580"/>
  <sheetViews>
    <sheetView view="pageBreakPreview" topLeftCell="A4" zoomScale="115" zoomScaleNormal="100" zoomScaleSheetLayoutView="115" workbookViewId="0">
      <selection activeCell="E12" sqref="E12"/>
    </sheetView>
  </sheetViews>
  <sheetFormatPr defaultRowHeight="18.399999999999999" customHeight="1"/>
  <cols>
    <col min="1" max="1" width="65" customWidth="1"/>
    <col min="2" max="2" width="11" customWidth="1"/>
    <col min="3" max="5" width="10" customWidth="1"/>
    <col min="6" max="6" width="56.6640625" bestFit="1" customWidth="1"/>
    <col min="7" max="23" width="0" hidden="1" customWidth="1"/>
  </cols>
  <sheetData>
    <row r="1" spans="1:38" ht="18.399999999999999" customHeight="1">
      <c r="A1" t="s">
        <v>2480</v>
      </c>
    </row>
    <row r="2" spans="1:38" ht="18.399999999999999" customHeight="1">
      <c r="A2" s="16" t="s">
        <v>1762</v>
      </c>
      <c r="B2" s="17" t="s">
        <v>6009</v>
      </c>
      <c r="C2" s="17" t="s">
        <v>4256</v>
      </c>
      <c r="D2" s="17" t="s">
        <v>2490</v>
      </c>
      <c r="E2" s="17" t="s">
        <v>422</v>
      </c>
      <c r="F2" s="19" t="s">
        <v>1571</v>
      </c>
    </row>
    <row r="3" spans="1:38" ht="18.399999999999999" customHeight="1">
      <c r="A3" s="41"/>
      <c r="B3" s="3"/>
      <c r="C3" s="3"/>
      <c r="D3" s="3"/>
      <c r="E3" s="3"/>
      <c r="F3" s="44"/>
      <c r="AA3" s="447" t="s">
        <v>1467</v>
      </c>
      <c r="AB3" s="447"/>
      <c r="AC3" s="447"/>
      <c r="AD3" s="447"/>
      <c r="AE3" s="447"/>
      <c r="AF3" s="447"/>
      <c r="AG3" s="447"/>
    </row>
    <row r="4" spans="1:38" ht="18.399999999999999" customHeight="1">
      <c r="A4" s="41" t="s">
        <v>2316</v>
      </c>
      <c r="B4" s="36">
        <f>$B78</f>
        <v>9610</v>
      </c>
      <c r="C4" s="36">
        <f>$C78</f>
        <v>0</v>
      </c>
      <c r="D4" s="36">
        <f>$D78</f>
        <v>1966</v>
      </c>
      <c r="E4" s="36">
        <f>$E78</f>
        <v>7644</v>
      </c>
      <c r="F4" s="44" t="s">
        <v>3378</v>
      </c>
      <c r="G4" t="s">
        <v>6232</v>
      </c>
      <c r="H4" t="s">
        <v>3648</v>
      </c>
      <c r="K4">
        <v>1</v>
      </c>
      <c r="Y4" s="7" t="b">
        <f>EXACT($Z4,$B78)</f>
        <v>0</v>
      </c>
      <c r="Z4" s="38">
        <v>8679</v>
      </c>
      <c r="AA4" s="447" t="s">
        <v>3234</v>
      </c>
      <c r="AB4" s="447"/>
      <c r="AC4" s="447"/>
      <c r="AD4" s="447"/>
      <c r="AE4" s="447"/>
      <c r="AF4" s="447"/>
      <c r="AG4" s="447"/>
    </row>
    <row r="5" spans="1:38" ht="18.399999999999999" customHeight="1">
      <c r="A5" s="41"/>
      <c r="B5" s="3"/>
      <c r="C5" s="3"/>
      <c r="D5" s="3"/>
      <c r="E5" s="3"/>
      <c r="F5" s="44"/>
    </row>
    <row r="6" spans="1:38" ht="18.399999999999999" customHeight="1">
      <c r="A6" s="41" t="s">
        <v>6232</v>
      </c>
      <c r="B6" s="3"/>
      <c r="C6" s="3"/>
      <c r="D6" s="3"/>
      <c r="E6" s="3"/>
      <c r="F6" s="44"/>
      <c r="G6" t="s">
        <v>6232</v>
      </c>
      <c r="I6" t="s">
        <v>742</v>
      </c>
      <c r="J6" t="s">
        <v>6232</v>
      </c>
      <c r="K6" t="s">
        <v>5235</v>
      </c>
    </row>
    <row r="7" spans="1:38" ht="18.399999999999999" customHeight="1">
      <c r="A7" s="41" t="s">
        <v>2274</v>
      </c>
      <c r="B7" s="37"/>
      <c r="C7" s="37"/>
      <c r="D7" s="37"/>
      <c r="E7" s="37"/>
      <c r="F7" s="45"/>
      <c r="K7" s="3" t="s">
        <v>2841</v>
      </c>
    </row>
    <row r="8" spans="1:38" ht="18.399999999999999" customHeight="1">
      <c r="A8" s="41" t="s">
        <v>6232</v>
      </c>
      <c r="B8" s="37"/>
      <c r="C8" s="37"/>
      <c r="D8" s="37"/>
      <c r="E8" s="37"/>
      <c r="F8" s="45"/>
      <c r="K8" s="3" t="s">
        <v>6232</v>
      </c>
    </row>
    <row r="9" spans="1:38" ht="18.399999999999999" customHeight="1">
      <c r="A9" s="42" t="str">
        <f>CONCATENATE("                L=",TEXT($AB9,"#,##0.0"),"   KM  실시공후 정산")</f>
        <v xml:space="preserve">                L=4.0   KM  실시공후 정산</v>
      </c>
      <c r="B9" s="37"/>
      <c r="C9" s="37"/>
      <c r="D9" s="37"/>
      <c r="E9" s="37"/>
      <c r="F9" s="45"/>
      <c r="K9" s="10" t="str">
        <f>SUBSTITUTE(SUBSTITUTE("                L = 4.0  _x001D_KM_x001D__x001D_실시공후 정산_x001D_","4.0",TEXT($AB9,"#,##0.0"),1),"_x001D_","'")</f>
        <v xml:space="preserve">                L = 4.0  'KM''실시공후 정산'</v>
      </c>
      <c r="AA9" s="39" t="s">
        <v>5842</v>
      </c>
      <c r="AB9" s="6">
        <v>4</v>
      </c>
      <c r="AC9" s="39" t="s">
        <v>5842</v>
      </c>
      <c r="AD9" s="7">
        <f>$AB9</f>
        <v>4</v>
      </c>
    </row>
    <row r="10" spans="1:38" ht="18.399999999999999" customHeight="1">
      <c r="A10" s="41" t="s">
        <v>6214</v>
      </c>
      <c r="B10" s="37"/>
      <c r="C10" s="37"/>
      <c r="D10" s="37"/>
      <c r="E10" s="37"/>
      <c r="F10" s="45"/>
      <c r="K10" s="3" t="s">
        <v>3965</v>
      </c>
    </row>
    <row r="11" spans="1:38" ht="18.399999999999999" customHeight="1">
      <c r="A11" s="42" t="str">
        <f>CONCATENATE("                V=",TEXT($AB11,"#,##0.0"),"  KM/hr")</f>
        <v xml:space="preserve">                V=30.0  KM/hr</v>
      </c>
      <c r="B11" s="37"/>
      <c r="C11" s="37"/>
      <c r="D11" s="37"/>
      <c r="E11" s="37"/>
      <c r="F11" s="45"/>
      <c r="K11" s="10" t="str">
        <f>SUBSTITUTE(SUBSTITUTE("                V = 30.0 _x001D_KM/hr_x001D_","30.0",TEXT($AB11,"#,##0.0"),1),"_x001D_","'")</f>
        <v xml:space="preserve">                V = 30.0 'KM/hr'</v>
      </c>
      <c r="AA11" s="39" t="s">
        <v>247</v>
      </c>
      <c r="AB11" s="6">
        <v>30</v>
      </c>
      <c r="AC11" s="39" t="s">
        <v>247</v>
      </c>
      <c r="AD11" s="7">
        <f>$AB11</f>
        <v>30</v>
      </c>
    </row>
    <row r="12" spans="1:38" ht="18.399999999999999" customHeight="1">
      <c r="A12" s="41" t="s">
        <v>6232</v>
      </c>
      <c r="B12" s="37">
        <f>SUM($C12,$D12,$E12)</f>
        <v>0</v>
      </c>
      <c r="C12" s="37">
        <f>$AB12</f>
        <v>0</v>
      </c>
      <c r="D12" s="37">
        <f>$AF12</f>
        <v>0</v>
      </c>
      <c r="E12" s="37">
        <f>$AJ12</f>
        <v>0</v>
      </c>
      <c r="F12" s="45"/>
      <c r="K12" s="3" t="s">
        <v>295</v>
      </c>
      <c r="AA12" s="40" t="s">
        <v>2660</v>
      </c>
      <c r="AB12" s="8">
        <f>ROUND(0,2)</f>
        <v>0</v>
      </c>
      <c r="AC12" s="40" t="s">
        <v>1650</v>
      </c>
      <c r="AD12" s="7">
        <f>$AB12</f>
        <v>0</v>
      </c>
      <c r="AE12" s="40" t="s">
        <v>5305</v>
      </c>
      <c r="AF12" s="8">
        <f>ROUND(0,2)</f>
        <v>0</v>
      </c>
      <c r="AG12" s="40" t="s">
        <v>5439</v>
      </c>
      <c r="AH12" s="7">
        <f>$AF12</f>
        <v>0</v>
      </c>
      <c r="AI12" s="40" t="s">
        <v>3519</v>
      </c>
      <c r="AJ12" s="8">
        <f>ROUND(0,2)</f>
        <v>0</v>
      </c>
      <c r="AK12" s="40" t="s">
        <v>4149</v>
      </c>
      <c r="AL12" s="7">
        <f>$AJ12</f>
        <v>0</v>
      </c>
    </row>
    <row r="13" spans="1:38" ht="18.399999999999999" customHeight="1">
      <c r="A13" s="41" t="s">
        <v>5524</v>
      </c>
      <c r="B13" s="37"/>
      <c r="C13" s="37"/>
      <c r="D13" s="37"/>
      <c r="E13" s="37"/>
      <c r="F13" s="45"/>
      <c r="K13" s="3" t="s">
        <v>3427</v>
      </c>
    </row>
    <row r="14" spans="1:38" ht="18.399999999999999" customHeight="1">
      <c r="A14" s="41" t="s">
        <v>6232</v>
      </c>
      <c r="B14" s="37"/>
      <c r="C14" s="37"/>
      <c r="D14" s="37"/>
      <c r="E14" s="37"/>
      <c r="F14" s="45"/>
      <c r="K14" s="3" t="s">
        <v>6232</v>
      </c>
    </row>
    <row r="15" spans="1:38" ht="18.399999999999999" customHeight="1">
      <c r="A15" s="41" t="s">
        <v>2653</v>
      </c>
      <c r="B15" s="37"/>
      <c r="C15" s="37"/>
      <c r="D15" s="37"/>
      <c r="E15" s="37"/>
      <c r="F15" s="45"/>
      <c r="K15" s="3" t="s">
        <v>2793</v>
      </c>
    </row>
    <row r="16" spans="1:38" ht="18.399999999999999" customHeight="1">
      <c r="A16" s="41" t="s">
        <v>52</v>
      </c>
      <c r="B16" s="37"/>
      <c r="C16" s="37"/>
      <c r="D16" s="37"/>
      <c r="E16" s="37"/>
      <c r="F16" s="45"/>
      <c r="K16" s="3" t="s">
        <v>3020</v>
      </c>
    </row>
    <row r="17" spans="1:30" ht="18.399999999999999" customHeight="1">
      <c r="A17" s="41" t="s">
        <v>6232</v>
      </c>
      <c r="B17" s="37"/>
      <c r="C17" s="37"/>
      <c r="D17" s="37"/>
      <c r="E17" s="37"/>
      <c r="F17" s="45"/>
      <c r="K17" s="3" t="s">
        <v>6232</v>
      </c>
    </row>
    <row r="18" spans="1:30" ht="18.399999999999999" customHeight="1">
      <c r="A18" s="41" t="s">
        <v>3700</v>
      </c>
      <c r="B18" s="37"/>
      <c r="C18" s="37"/>
      <c r="D18" s="37"/>
      <c r="E18" s="37"/>
      <c r="F18" s="45"/>
      <c r="K18" s="3" t="s">
        <v>2773</v>
      </c>
    </row>
    <row r="19" spans="1:30" ht="18.399999999999999" customHeight="1">
      <c r="A19" s="41" t="s">
        <v>679</v>
      </c>
      <c r="B19" s="37"/>
      <c r="C19" s="37"/>
      <c r="D19" s="37"/>
      <c r="E19" s="37"/>
      <c r="F19" s="45"/>
      <c r="K19" s="3" t="s">
        <v>1995</v>
      </c>
    </row>
    <row r="20" spans="1:30" ht="18.399999999999999" customHeight="1">
      <c r="A20" s="41" t="s">
        <v>5860</v>
      </c>
      <c r="B20" s="37"/>
      <c r="C20" s="37"/>
      <c r="D20" s="37"/>
      <c r="E20" s="37"/>
      <c r="F20" s="45"/>
      <c r="K20" s="3" t="s">
        <v>2096</v>
      </c>
    </row>
    <row r="21" spans="1:30" ht="18.399999999999999" customHeight="1">
      <c r="A21" s="41" t="s">
        <v>6232</v>
      </c>
      <c r="B21" s="37"/>
      <c r="C21" s="37"/>
      <c r="D21" s="37"/>
      <c r="E21" s="37"/>
      <c r="F21" s="45"/>
      <c r="K21" s="3" t="s">
        <v>6232</v>
      </c>
    </row>
    <row r="22" spans="1:30" ht="18.399999999999999" customHeight="1">
      <c r="A22" s="41" t="s">
        <v>3150</v>
      </c>
      <c r="B22" s="37"/>
      <c r="C22" s="37"/>
      <c r="D22" s="37"/>
      <c r="E22" s="37"/>
      <c r="F22" s="45"/>
      <c r="K22" s="3" t="s">
        <v>5087</v>
      </c>
    </row>
    <row r="23" spans="1:30" ht="18.399999999999999" customHeight="1">
      <c r="A23" s="41" t="s">
        <v>6232</v>
      </c>
      <c r="B23" s="37"/>
      <c r="C23" s="37"/>
      <c r="D23" s="37"/>
      <c r="E23" s="37"/>
      <c r="F23" s="45"/>
      <c r="K23" s="3" t="s">
        <v>6232</v>
      </c>
    </row>
    <row r="24" spans="1:30" ht="18.399999999999999" customHeight="1">
      <c r="A24" s="41" t="s">
        <v>6134</v>
      </c>
      <c r="B24" s="37"/>
      <c r="C24" s="37"/>
      <c r="D24" s="37"/>
      <c r="E24" s="37"/>
      <c r="F24" s="45"/>
      <c r="K24" s="3" t="s">
        <v>4089</v>
      </c>
    </row>
    <row r="25" spans="1:30" ht="18.399999999999999" customHeight="1">
      <c r="A25" s="41" t="s">
        <v>6232</v>
      </c>
      <c r="B25" s="37"/>
      <c r="C25" s="37"/>
      <c r="D25" s="37"/>
      <c r="E25" s="37"/>
      <c r="F25" s="45"/>
      <c r="K25" s="3" t="s">
        <v>6232</v>
      </c>
    </row>
    <row r="26" spans="1:30" ht="18.399999999999999" customHeight="1">
      <c r="A26" s="41" t="s">
        <v>1517</v>
      </c>
      <c r="B26" s="37"/>
      <c r="C26" s="37"/>
      <c r="D26" s="37"/>
      <c r="E26" s="37"/>
      <c r="F26" s="45"/>
      <c r="K26" s="3" t="s">
        <v>2275</v>
      </c>
    </row>
    <row r="27" spans="1:30" ht="18.399999999999999" customHeight="1">
      <c r="A27" s="41" t="s">
        <v>6232</v>
      </c>
      <c r="B27" s="37"/>
      <c r="C27" s="37"/>
      <c r="D27" s="37"/>
      <c r="E27" s="37"/>
      <c r="F27" s="45"/>
      <c r="K27" s="3" t="s">
        <v>6232</v>
      </c>
    </row>
    <row r="28" spans="1:30" ht="18.399999999999999" customHeight="1">
      <c r="A28" s="41" t="s">
        <v>257</v>
      </c>
      <c r="B28" s="37"/>
      <c r="C28" s="37"/>
      <c r="D28" s="37"/>
      <c r="E28" s="37"/>
      <c r="F28" s="45"/>
      <c r="K28" s="3" t="s">
        <v>1264</v>
      </c>
    </row>
    <row r="29" spans="1:30" ht="18.399999999999999" customHeight="1">
      <c r="A29" s="41" t="s">
        <v>6232</v>
      </c>
      <c r="B29" s="37"/>
      <c r="C29" s="37"/>
      <c r="D29" s="37"/>
      <c r="E29" s="37"/>
      <c r="F29" s="45"/>
      <c r="K29" s="3" t="s">
        <v>6232</v>
      </c>
    </row>
    <row r="30" spans="1:30" ht="18.399999999999999" customHeight="1">
      <c r="A30" s="42" t="str">
        <f>CONCATENATE("   - 1차당 적재량(본)         Q=",TEXT($AB30,"#,##0.00"),"  본")</f>
        <v xml:space="preserve">   - 1차당 적재량(본)         Q=3.00  본</v>
      </c>
      <c r="B30" s="37"/>
      <c r="C30" s="37"/>
      <c r="D30" s="37"/>
      <c r="E30" s="37"/>
      <c r="F30" s="45"/>
      <c r="K30" s="10" t="str">
        <f>SUBSTITUTE(SUBSTITUTE("  _x001D_- 1차당 적재량(본)_x001D_        Q  =  3 _x001D_본_x001D_","3",TEXT($AB30,"#,##0"),1),"_x001D_","'")</f>
        <v xml:space="preserve">  '- 1차당 적재량(본)'        Q  =  3 '본'</v>
      </c>
      <c r="AA30" s="39" t="s">
        <v>4337</v>
      </c>
      <c r="AB30" s="6">
        <v>3</v>
      </c>
      <c r="AC30" s="39" t="s">
        <v>4337</v>
      </c>
      <c r="AD30" s="7">
        <f>$AB30</f>
        <v>3</v>
      </c>
    </row>
    <row r="31" spans="1:30" ht="18.399999999999999" customHeight="1">
      <c r="A31" s="41" t="s">
        <v>6232</v>
      </c>
      <c r="B31" s="37"/>
      <c r="C31" s="37"/>
      <c r="D31" s="37"/>
      <c r="E31" s="37"/>
      <c r="F31" s="45"/>
      <c r="K31" s="3" t="s">
        <v>6232</v>
      </c>
    </row>
    <row r="32" spans="1:30" ht="18.399999999999999" customHeight="1">
      <c r="A32" s="42" t="str">
        <f>CONCATENATE("   - 운반차량 대기시간(12M당)    T1=",TEXT($AB32,"#,##0.00"),"   분")</f>
        <v xml:space="preserve">   - 운반차량 대기시간(12M당)    T1=12.00   분</v>
      </c>
      <c r="B32" s="37"/>
      <c r="C32" s="37"/>
      <c r="D32" s="37"/>
      <c r="E32" s="37"/>
      <c r="F32" s="45"/>
      <c r="K32" s="10" t="str">
        <f>SUBSTITUTE(SUBSTITUTE("  _x001D_- 운반차량 대기시간(12M당)_x001D_   T1 = 12  _x001D_분_x001D_","12",TEXT($AB32,"#,##0"),1),"_x001D_","'")</f>
        <v xml:space="preserve">  '- 운반차량 대기시간(12M당)'   T1 = 12  '분'</v>
      </c>
      <c r="AA32" s="39" t="s">
        <v>4528</v>
      </c>
      <c r="AB32" s="6">
        <v>12</v>
      </c>
      <c r="AC32" s="39" t="s">
        <v>4528</v>
      </c>
      <c r="AD32" s="7">
        <f>$AB32</f>
        <v>12</v>
      </c>
    </row>
    <row r="33" spans="1:34" ht="18.399999999999999" customHeight="1">
      <c r="A33" s="41" t="s">
        <v>6232</v>
      </c>
      <c r="B33" s="37"/>
      <c r="C33" s="37"/>
      <c r="D33" s="37"/>
      <c r="E33" s="37"/>
      <c r="F33" s="45"/>
      <c r="K33" s="3" t="s">
        <v>6232</v>
      </c>
    </row>
    <row r="34" spans="1:34" ht="18.399999999999999" customHeight="1">
      <c r="A34" s="41" t="s">
        <v>4838</v>
      </c>
      <c r="B34" s="37"/>
      <c r="C34" s="37"/>
      <c r="D34" s="37"/>
      <c r="E34" s="37"/>
      <c r="F34" s="45"/>
      <c r="K34" s="3" t="s">
        <v>6093</v>
      </c>
    </row>
    <row r="35" spans="1:34" ht="18.399999999999999" customHeight="1">
      <c r="A35" s="41" t="s">
        <v>6232</v>
      </c>
      <c r="B35" s="37"/>
      <c r="C35" s="37"/>
      <c r="D35" s="37"/>
      <c r="E35" s="37"/>
      <c r="F35" s="45"/>
      <c r="K35" s="3" t="s">
        <v>6232</v>
      </c>
    </row>
    <row r="36" spans="1:34" ht="18.399999999999999" customHeight="1">
      <c r="A36" s="42" t="str">
        <f>CONCATENATE("    T2 = (L / V * 2 * 60 + 20) / Q = ",TEXT($AF36,"#,##0.00")," 분 ")</f>
        <v xml:space="preserve">    T2 = (L / V * 2 * 60 + 20) / Q = 12.00 분 </v>
      </c>
      <c r="B36" s="37">
        <f>SUM($C36,$D36,$E36)</f>
        <v>0</v>
      </c>
      <c r="C36" s="37"/>
      <c r="D36" s="37"/>
      <c r="E36" s="37"/>
      <c r="F36" s="45"/>
      <c r="K36" s="3" t="s">
        <v>3353</v>
      </c>
      <c r="AA36" s="39" t="s">
        <v>5897</v>
      </c>
      <c r="AB36" s="8">
        <f>ROUND(($AD9/$AD11*2*60+20)/$AD30,2)</f>
        <v>12</v>
      </c>
      <c r="AC36" s="39" t="s">
        <v>2053</v>
      </c>
      <c r="AD36" s="7">
        <f>$AB36</f>
        <v>12</v>
      </c>
      <c r="AE36" s="39" t="s">
        <v>5329</v>
      </c>
      <c r="AF36" s="8">
        <f>ROUND(ROUND(($AD9/$AD11*2*60+20)/$AD30,2),2)</f>
        <v>12</v>
      </c>
      <c r="AG36" s="39" t="s">
        <v>3942</v>
      </c>
      <c r="AH36" s="7">
        <f>$AF36</f>
        <v>12</v>
      </c>
    </row>
    <row r="37" spans="1:34" ht="18.399999999999999" customHeight="1">
      <c r="A37" s="41" t="s">
        <v>6232</v>
      </c>
      <c r="B37" s="37"/>
      <c r="C37" s="37"/>
      <c r="D37" s="37"/>
      <c r="E37" s="37"/>
      <c r="F37" s="45"/>
      <c r="K37" s="3" t="s">
        <v>6232</v>
      </c>
    </row>
    <row r="38" spans="1:34" ht="18.399999999999999" customHeight="1">
      <c r="A38" s="41" t="s">
        <v>2391</v>
      </c>
      <c r="B38" s="37"/>
      <c r="C38" s="37"/>
      <c r="D38" s="37"/>
      <c r="E38" s="37"/>
      <c r="F38" s="45"/>
      <c r="K38" s="3" t="s">
        <v>4710</v>
      </c>
    </row>
    <row r="39" spans="1:34" ht="18.399999999999999" customHeight="1">
      <c r="A39" s="41" t="s">
        <v>6232</v>
      </c>
      <c r="B39" s="37"/>
      <c r="C39" s="37"/>
      <c r="D39" s="37"/>
      <c r="E39" s="37"/>
      <c r="F39" s="45"/>
      <c r="K39" s="3" t="s">
        <v>6232</v>
      </c>
    </row>
    <row r="40" spans="1:34" ht="18.399999999999999" customHeight="1">
      <c r="A40" s="42" t="str">
        <f>CONCATENATE("    CM = T1 + T2 = ",TEXT($AF40,"#,##0.00")," 분 ")</f>
        <v xml:space="preserve">    CM = T1 + T2 = 24.00 분 </v>
      </c>
      <c r="B40" s="37">
        <f>SUM($C40,$D40,$E40)</f>
        <v>0</v>
      </c>
      <c r="C40" s="37"/>
      <c r="D40" s="37"/>
      <c r="E40" s="37"/>
      <c r="F40" s="45"/>
      <c r="K40" s="3" t="s">
        <v>6049</v>
      </c>
      <c r="AA40" s="39" t="s">
        <v>5026</v>
      </c>
      <c r="AB40" s="8">
        <f>ROUND($AD32+$AD36,2)</f>
        <v>24</v>
      </c>
      <c r="AC40" s="39" t="s">
        <v>289</v>
      </c>
      <c r="AD40" s="7">
        <f>$AB40</f>
        <v>24</v>
      </c>
      <c r="AE40" s="39" t="s">
        <v>972</v>
      </c>
      <c r="AF40" s="8">
        <f>ROUND(ROUND($AD32+$AD36,2),2)</f>
        <v>24</v>
      </c>
      <c r="AG40" s="39" t="s">
        <v>5743</v>
      </c>
      <c r="AH40" s="7">
        <f>$AF40</f>
        <v>24</v>
      </c>
    </row>
    <row r="41" spans="1:34" ht="18.399999999999999" customHeight="1">
      <c r="A41" s="41" t="s">
        <v>6232</v>
      </c>
      <c r="B41" s="37"/>
      <c r="C41" s="37"/>
      <c r="D41" s="37"/>
      <c r="E41" s="37"/>
      <c r="F41" s="45"/>
      <c r="K41" s="3" t="s">
        <v>6232</v>
      </c>
    </row>
    <row r="42" spans="1:34" ht="18.399999999999999" customHeight="1">
      <c r="A42" s="41" t="s">
        <v>5848</v>
      </c>
      <c r="B42" s="37"/>
      <c r="C42" s="37"/>
      <c r="D42" s="37"/>
      <c r="E42" s="37"/>
      <c r="F42" s="45"/>
      <c r="K42" s="3" t="s">
        <v>788</v>
      </c>
    </row>
    <row r="43" spans="1:34" ht="18.399999999999999" customHeight="1">
      <c r="A43" s="41" t="s">
        <v>6232</v>
      </c>
      <c r="B43" s="37"/>
      <c r="C43" s="37"/>
      <c r="D43" s="37"/>
      <c r="E43" s="37"/>
      <c r="F43" s="45"/>
      <c r="K43" s="3" t="s">
        <v>6232</v>
      </c>
    </row>
    <row r="44" spans="1:34" ht="18.399999999999999" customHeight="1">
      <c r="A44" s="42" t="str">
        <f>CONCATENATE("    Qo = T2 / CM = ",TEXT($AF44,"#,##0.00")," 분 ")</f>
        <v xml:space="preserve">    Qo = T2 / CM = 0.50 분 </v>
      </c>
      <c r="B44" s="37">
        <f>SUM($C44,$D44,$E44)</f>
        <v>0</v>
      </c>
      <c r="C44" s="37"/>
      <c r="D44" s="37"/>
      <c r="E44" s="37"/>
      <c r="F44" s="45"/>
      <c r="K44" s="3" t="s">
        <v>882</v>
      </c>
      <c r="AA44" s="39" t="s">
        <v>1501</v>
      </c>
      <c r="AB44" s="8">
        <f>ROUND($AD36/$AD40,2)</f>
        <v>0.5</v>
      </c>
      <c r="AC44" s="39" t="s">
        <v>2425</v>
      </c>
      <c r="AD44" s="7">
        <f>$AB44</f>
        <v>0.5</v>
      </c>
      <c r="AE44" s="39" t="s">
        <v>874</v>
      </c>
      <c r="AF44" s="8">
        <f>ROUND(ROUND($AD36/$AD40,2),2)</f>
        <v>0.5</v>
      </c>
      <c r="AG44" s="39" t="s">
        <v>555</v>
      </c>
      <c r="AH44" s="7">
        <f>$AF44</f>
        <v>0.5</v>
      </c>
    </row>
    <row r="45" spans="1:34" ht="18.399999999999999" customHeight="1">
      <c r="A45" s="41" t="s">
        <v>6232</v>
      </c>
      <c r="B45" s="37"/>
      <c r="C45" s="37"/>
      <c r="D45" s="37"/>
      <c r="E45" s="37"/>
      <c r="F45" s="45"/>
      <c r="K45" s="3" t="s">
        <v>6232</v>
      </c>
    </row>
    <row r="46" spans="1:34" ht="18.399999999999999" customHeight="1">
      <c r="A46" s="41" t="s">
        <v>1042</v>
      </c>
      <c r="B46" s="37"/>
      <c r="C46" s="37"/>
      <c r="D46" s="37"/>
      <c r="E46" s="37"/>
      <c r="F46" s="45"/>
      <c r="K46" s="3" t="s">
        <v>1008</v>
      </c>
    </row>
    <row r="47" spans="1:34" ht="18.399999999999999" customHeight="1">
      <c r="A47" s="41" t="s">
        <v>6232</v>
      </c>
      <c r="B47" s="37"/>
      <c r="C47" s="37"/>
      <c r="D47" s="37"/>
      <c r="E47" s="37"/>
      <c r="F47" s="45"/>
      <c r="K47" s="3" t="s">
        <v>6232</v>
      </c>
    </row>
    <row r="48" spans="1:34" ht="18.399999999999999" customHeight="1">
      <c r="A48" s="42" t="str">
        <f>CONCATENATE("      보통인부 :  2.0 인  * _x001D_169,804_x001D_ * (CM + 6 ) / 60 / 8 = ",TEXT($AB48,"#,##0.0"))</f>
        <v xml:space="preserve">      보통인부 :  2.0 인  * _x001D_169,804_x001D_ * (CM + 6 ) / 60 / 8 = 21,508.5</v>
      </c>
      <c r="B48" s="37">
        <f>SUM($C48,$D48,$E48)</f>
        <v>21508.5</v>
      </c>
      <c r="C48" s="37"/>
      <c r="D48" s="37">
        <f>$AB48</f>
        <v>21508.5</v>
      </c>
      <c r="E48" s="37"/>
      <c r="F48" s="45" t="s">
        <v>6232</v>
      </c>
      <c r="K48" s="3" t="s">
        <v>3933</v>
      </c>
      <c r="AA48" s="40" t="s">
        <v>5305</v>
      </c>
      <c r="AB48" s="8">
        <f>TRUNC(2*노임!D3*($AD40+6)/60/8,1)</f>
        <v>21508.5</v>
      </c>
      <c r="AC48" s="40" t="s">
        <v>5439</v>
      </c>
      <c r="AD48" s="7">
        <f>$AH12+$AB48</f>
        <v>21508.5</v>
      </c>
    </row>
    <row r="49" spans="1:30" ht="18.399999999999999" customHeight="1">
      <c r="A49" s="41" t="s">
        <v>6232</v>
      </c>
      <c r="B49" s="37"/>
      <c r="C49" s="37"/>
      <c r="D49" s="37"/>
      <c r="E49" s="37"/>
      <c r="F49" s="45"/>
      <c r="K49" s="3" t="s">
        <v>6232</v>
      </c>
    </row>
    <row r="50" spans="1:30" ht="18.399999999999999" customHeight="1">
      <c r="A50" s="41" t="s">
        <v>5801</v>
      </c>
      <c r="B50" s="37"/>
      <c r="C50" s="37"/>
      <c r="D50" s="37"/>
      <c r="E50" s="37"/>
      <c r="F50" s="45"/>
      <c r="K50" s="3" t="s">
        <v>775</v>
      </c>
    </row>
    <row r="51" spans="1:30" ht="18.399999999999999" customHeight="1">
      <c r="A51" s="41" t="s">
        <v>6232</v>
      </c>
      <c r="B51" s="37"/>
      <c r="C51" s="37"/>
      <c r="D51" s="37"/>
      <c r="E51" s="37"/>
      <c r="F51" s="45"/>
      <c r="K51" s="3" t="s">
        <v>6232</v>
      </c>
    </row>
    <row r="52" spans="1:30" ht="18.399999999999999" customHeight="1">
      <c r="A52" s="41" t="s">
        <v>1472</v>
      </c>
      <c r="B52" s="37"/>
      <c r="C52" s="37"/>
      <c r="D52" s="37"/>
      <c r="E52" s="37"/>
      <c r="F52" s="45"/>
      <c r="K52" s="3" t="s">
        <v>1801</v>
      </c>
    </row>
    <row r="53" spans="1:30" ht="18.399999999999999" customHeight="1">
      <c r="A53" s="41" t="s">
        <v>6232</v>
      </c>
      <c r="B53" s="37"/>
      <c r="C53" s="37"/>
      <c r="D53" s="37"/>
      <c r="E53" s="37"/>
      <c r="F53" s="45"/>
      <c r="K53" s="3" t="s">
        <v>6232</v>
      </c>
    </row>
    <row r="54" spans="1:30" ht="18.399999999999999" customHeight="1">
      <c r="A54" s="42" t="str">
        <f>CONCATENATE("     재료비:  _x001D_11,415_x001D_ * 18 / 60 = ",TEXT($AB54,"#,##0.0"))</f>
        <v xml:space="preserve">     재료비:  _x001D_11,415_x001D_ * 18 / 60 = 0.0</v>
      </c>
      <c r="B54" s="37">
        <f>SUM($C54,$D54,$E54)</f>
        <v>0</v>
      </c>
      <c r="C54" s="37">
        <f>$AB54</f>
        <v>0</v>
      </c>
      <c r="D54" s="37"/>
      <c r="E54" s="37"/>
      <c r="F54" s="45" t="s">
        <v>6232</v>
      </c>
      <c r="K54" s="3" t="s">
        <v>3795</v>
      </c>
      <c r="AA54" s="40" t="s">
        <v>2660</v>
      </c>
      <c r="AB54" s="8">
        <f>TRUNC(중기사용료목록!E6*18/60,1)</f>
        <v>0</v>
      </c>
      <c r="AC54" s="40" t="s">
        <v>1650</v>
      </c>
      <c r="AD54" s="7">
        <f>$AD12+$AB54</f>
        <v>0</v>
      </c>
    </row>
    <row r="55" spans="1:30" ht="18.399999999999999" customHeight="1">
      <c r="A55" s="41" t="s">
        <v>6232</v>
      </c>
      <c r="B55" s="37"/>
      <c r="C55" s="37"/>
      <c r="D55" s="37"/>
      <c r="E55" s="37"/>
      <c r="F55" s="45"/>
      <c r="K55" s="3" t="s">
        <v>6232</v>
      </c>
    </row>
    <row r="56" spans="1:30" ht="18.399999999999999" customHeight="1">
      <c r="A56" s="42" t="str">
        <f>CONCATENATE("     노무비:  _x001D_57,077_x001D_ * 18 / 60 = ",TEXT($AB56,"#,##0.0"))</f>
        <v xml:space="preserve">     노무비:  _x001D_57,077_x001D_ * 18 / 60 = 0.0</v>
      </c>
      <c r="B56" s="37">
        <f>SUM($C56,$D56,$E56)</f>
        <v>0</v>
      </c>
      <c r="C56" s="37"/>
      <c r="D56" s="37">
        <f>$AB56</f>
        <v>0</v>
      </c>
      <c r="E56" s="37"/>
      <c r="F56" s="45" t="s">
        <v>6232</v>
      </c>
      <c r="K56" s="3" t="s">
        <v>2225</v>
      </c>
      <c r="AA56" s="40" t="s">
        <v>5305</v>
      </c>
      <c r="AB56" s="8">
        <f>TRUNC(중기사용료목록!F6*18/60,1)</f>
        <v>0</v>
      </c>
      <c r="AC56" s="40" t="s">
        <v>5439</v>
      </c>
      <c r="AD56" s="7">
        <f>$AD48+$AB56</f>
        <v>21508.5</v>
      </c>
    </row>
    <row r="57" spans="1:30" ht="18.399999999999999" customHeight="1">
      <c r="A57" s="41" t="s">
        <v>6232</v>
      </c>
      <c r="B57" s="37"/>
      <c r="C57" s="37"/>
      <c r="D57" s="37"/>
      <c r="E57" s="37"/>
      <c r="F57" s="45"/>
      <c r="K57" s="3" t="s">
        <v>6232</v>
      </c>
    </row>
    <row r="58" spans="1:30" ht="18.399999999999999" customHeight="1">
      <c r="A58" s="42" t="str">
        <f>CONCATENATE("     경  비:  _x001D_58,116_x001D_ * 18 / 60 = ",TEXT($AB58,"#,##0.0"))</f>
        <v xml:space="preserve">     경  비:  _x001D_58,116_x001D_ * 18 / 60 = 38,967.9</v>
      </c>
      <c r="B58" s="37">
        <f>SUM($C58,$D58,$E58)</f>
        <v>38967.9</v>
      </c>
      <c r="C58" s="37"/>
      <c r="D58" s="37"/>
      <c r="E58" s="37">
        <f>$AB58</f>
        <v>38967.9</v>
      </c>
      <c r="F58" s="45" t="s">
        <v>6232</v>
      </c>
      <c r="K58" s="3" t="s">
        <v>1100</v>
      </c>
      <c r="AA58" s="40" t="s">
        <v>3519</v>
      </c>
      <c r="AB58" s="8">
        <f>TRUNC(중기사용료목록!G6*18/60,1)</f>
        <v>38967.9</v>
      </c>
      <c r="AC58" s="40" t="s">
        <v>4149</v>
      </c>
      <c r="AD58" s="7">
        <f>$AL12+$AB58</f>
        <v>38967.9</v>
      </c>
    </row>
    <row r="59" spans="1:30" ht="18.399999999999999" customHeight="1">
      <c r="A59" s="41" t="s">
        <v>6232</v>
      </c>
      <c r="B59" s="37"/>
      <c r="C59" s="37"/>
      <c r="D59" s="37"/>
      <c r="E59" s="37"/>
      <c r="F59" s="45"/>
      <c r="K59" s="3" t="s">
        <v>6232</v>
      </c>
    </row>
    <row r="60" spans="1:30" ht="18.399999999999999" customHeight="1">
      <c r="A60" s="41" t="s">
        <v>1530</v>
      </c>
      <c r="B60" s="37"/>
      <c r="C60" s="37"/>
      <c r="D60" s="37"/>
      <c r="E60" s="37"/>
      <c r="F60" s="45"/>
      <c r="K60" s="3" t="s">
        <v>2021</v>
      </c>
    </row>
    <row r="61" spans="1:30" ht="18.399999999999999" customHeight="1">
      <c r="A61" s="41" t="s">
        <v>6232</v>
      </c>
      <c r="B61" s="37"/>
      <c r="C61" s="37"/>
      <c r="D61" s="37"/>
      <c r="E61" s="37"/>
      <c r="F61" s="45"/>
      <c r="K61" s="3" t="s">
        <v>6232</v>
      </c>
    </row>
    <row r="62" spans="1:30" ht="18.399999999999999" customHeight="1">
      <c r="A62" s="42" t="str">
        <f>CONCATENATE("     재료비:  _x001D_30,878_x001D_ * CM / 60 * Qo = ",TEXT($AB62,"#,##0.0"))</f>
        <v xml:space="preserve">     재료비:  _x001D_30,878_x001D_ * CM / 60 * Qo = 0.0</v>
      </c>
      <c r="B62" s="37">
        <f>SUM($C62,$D62,$E62)</f>
        <v>0</v>
      </c>
      <c r="C62" s="37">
        <f>$AB62</f>
        <v>0</v>
      </c>
      <c r="D62" s="37"/>
      <c r="E62" s="37"/>
      <c r="F62" s="45" t="s">
        <v>6232</v>
      </c>
      <c r="K62" s="3" t="s">
        <v>4711</v>
      </c>
      <c r="AA62" s="40" t="s">
        <v>2660</v>
      </c>
      <c r="AB62" s="8">
        <f>TRUNC(중기사용료목록!E7*$AD40/60*$AD44,1)</f>
        <v>0</v>
      </c>
      <c r="AC62" s="40" t="s">
        <v>1650</v>
      </c>
      <c r="AD62" s="7">
        <f>$AD54+$AB62</f>
        <v>0</v>
      </c>
    </row>
    <row r="63" spans="1:30" ht="18.399999999999999" customHeight="1">
      <c r="A63" s="41" t="s">
        <v>6232</v>
      </c>
      <c r="B63" s="37"/>
      <c r="C63" s="37"/>
      <c r="D63" s="37"/>
      <c r="E63" s="37"/>
      <c r="F63" s="45"/>
      <c r="K63" s="3" t="s">
        <v>6232</v>
      </c>
    </row>
    <row r="64" spans="1:30" ht="18.399999999999999" customHeight="1">
      <c r="A64" s="42" t="str">
        <f>CONCATENATE("     노무비:  _x001D_57,077_x001D_ * CM / 60 = ",TEXT($AB64,"#,##0.0"))</f>
        <v xml:space="preserve">     노무비:  _x001D_57,077_x001D_ * CM / 60 = 0.0</v>
      </c>
      <c r="B64" s="37">
        <f>SUM($C64,$D64,$E64)</f>
        <v>0</v>
      </c>
      <c r="C64" s="37"/>
      <c r="D64" s="37">
        <f>$AB64</f>
        <v>0</v>
      </c>
      <c r="E64" s="37"/>
      <c r="F64" s="45" t="s">
        <v>6232</v>
      </c>
      <c r="K64" s="3" t="s">
        <v>3619</v>
      </c>
      <c r="AA64" s="40" t="s">
        <v>5305</v>
      </c>
      <c r="AB64" s="8">
        <f>TRUNC(중기사용료목록!F7*$AD40/60,1)</f>
        <v>0</v>
      </c>
      <c r="AC64" s="40" t="s">
        <v>5439</v>
      </c>
      <c r="AD64" s="7">
        <f>$AD56+$AB64</f>
        <v>21508.5</v>
      </c>
    </row>
    <row r="65" spans="1:38" ht="18.399999999999999" customHeight="1">
      <c r="A65" s="41" t="s">
        <v>6232</v>
      </c>
      <c r="B65" s="37"/>
      <c r="C65" s="37"/>
      <c r="D65" s="37"/>
      <c r="E65" s="37"/>
      <c r="F65" s="45"/>
      <c r="K65" s="3" t="s">
        <v>6232</v>
      </c>
    </row>
    <row r="66" spans="1:38" ht="18.399999999999999" customHeight="1">
      <c r="A66" s="42" t="str">
        <f>CONCATENATE("     경  비:  _x001D_16,873_x001D_ * CM / 60 = ",TEXT($AB66,"#,##0.0"))</f>
        <v xml:space="preserve">     경  비:  _x001D_16,873_x001D_ * CM / 60 = 44,654.0</v>
      </c>
      <c r="B66" s="37">
        <f>SUM($C66,$D66,$E66)</f>
        <v>44654</v>
      </c>
      <c r="C66" s="37"/>
      <c r="D66" s="37"/>
      <c r="E66" s="37">
        <f>$AB66</f>
        <v>44654</v>
      </c>
      <c r="F66" s="45" t="s">
        <v>6232</v>
      </c>
      <c r="K66" s="3" t="s">
        <v>5622</v>
      </c>
      <c r="AA66" s="40" t="s">
        <v>3519</v>
      </c>
      <c r="AB66" s="8">
        <f>TRUNC(중기사용료목록!G7*$AD40/60,1)</f>
        <v>44654</v>
      </c>
      <c r="AC66" s="40" t="s">
        <v>4149</v>
      </c>
      <c r="AD66" s="7">
        <f>$AD58+$AB66</f>
        <v>83621.899999999994</v>
      </c>
    </row>
    <row r="67" spans="1:38" ht="18.399999999999999" customHeight="1">
      <c r="A67" s="41" t="s">
        <v>6232</v>
      </c>
      <c r="B67" s="37"/>
      <c r="C67" s="37"/>
      <c r="D67" s="37"/>
      <c r="E67" s="37"/>
      <c r="F67" s="45"/>
      <c r="K67" s="3" t="s">
        <v>6232</v>
      </c>
    </row>
    <row r="68" spans="1:38" ht="18.399999999999999" customHeight="1">
      <c r="A68" s="41" t="s">
        <v>4035</v>
      </c>
      <c r="B68" s="37">
        <v>94963.5</v>
      </c>
      <c r="C68" s="37">
        <v>9600.1</v>
      </c>
      <c r="D68" s="37">
        <v>61179.4</v>
      </c>
      <c r="E68" s="37">
        <v>24184</v>
      </c>
      <c r="F68" s="45"/>
      <c r="K68" s="3" t="s">
        <v>6070</v>
      </c>
    </row>
    <row r="69" spans="1:38" ht="18.399999999999999" customHeight="1">
      <c r="A69" s="41" t="s">
        <v>6232</v>
      </c>
      <c r="B69" s="37">
        <f>SUM($C69,$D69,$E69)</f>
        <v>0</v>
      </c>
      <c r="C69" s="37">
        <f>$AB69</f>
        <v>0</v>
      </c>
      <c r="D69" s="37">
        <f>$AF69</f>
        <v>0</v>
      </c>
      <c r="E69" s="37">
        <f>$AJ69</f>
        <v>0</v>
      </c>
      <c r="F69" s="45"/>
      <c r="K69" s="3" t="s">
        <v>5506</v>
      </c>
      <c r="AA69" s="40" t="s">
        <v>4586</v>
      </c>
      <c r="AB69" s="8">
        <f>ROUND(0,2)</f>
        <v>0</v>
      </c>
      <c r="AC69" s="40" t="s">
        <v>4161</v>
      </c>
      <c r="AD69" s="7">
        <f>$AB69</f>
        <v>0</v>
      </c>
      <c r="AE69" s="40" t="s">
        <v>222</v>
      </c>
      <c r="AF69" s="8">
        <f>ROUND(0,2)</f>
        <v>0</v>
      </c>
      <c r="AG69" s="40" t="s">
        <v>334</v>
      </c>
      <c r="AH69" s="7">
        <f>$AF69</f>
        <v>0</v>
      </c>
      <c r="AI69" s="40" t="s">
        <v>1574</v>
      </c>
      <c r="AJ69" s="8">
        <f>ROUND(0,2)</f>
        <v>0</v>
      </c>
      <c r="AK69" s="40" t="s">
        <v>1622</v>
      </c>
      <c r="AL69" s="7">
        <f>$AJ69</f>
        <v>0</v>
      </c>
    </row>
    <row r="70" spans="1:38" ht="18.399999999999999" customHeight="1">
      <c r="A70" s="41" t="s">
        <v>5588</v>
      </c>
      <c r="B70" s="37">
        <f>SUM($C70,$D70,$E70)</f>
        <v>8760.6999999999989</v>
      </c>
      <c r="C70" s="37">
        <f>$AB70</f>
        <v>0</v>
      </c>
      <c r="D70" s="37">
        <f>$AF70</f>
        <v>1792.3</v>
      </c>
      <c r="E70" s="37">
        <f>$AJ70</f>
        <v>6968.4</v>
      </c>
      <c r="F70" s="45"/>
      <c r="K70" s="3" t="s">
        <v>4286</v>
      </c>
      <c r="AA70" s="40" t="s">
        <v>4586</v>
      </c>
      <c r="AB70" s="8">
        <f>TRUNC($AD62/12,1)</f>
        <v>0</v>
      </c>
      <c r="AC70" s="40" t="s">
        <v>4161</v>
      </c>
      <c r="AD70" s="7">
        <f>$AB70</f>
        <v>0</v>
      </c>
      <c r="AE70" s="40" t="s">
        <v>222</v>
      </c>
      <c r="AF70" s="8">
        <f>TRUNC($AD64/12,1)</f>
        <v>1792.3</v>
      </c>
      <c r="AG70" s="40" t="s">
        <v>334</v>
      </c>
      <c r="AH70" s="7">
        <f>$AF70</f>
        <v>1792.3</v>
      </c>
      <c r="AI70" s="40" t="s">
        <v>1574</v>
      </c>
      <c r="AJ70" s="8">
        <f>TRUNC($AD66/12,1)</f>
        <v>6968.4</v>
      </c>
      <c r="AK70" s="40" t="s">
        <v>1622</v>
      </c>
      <c r="AL70" s="7">
        <f>$AJ70</f>
        <v>6968.4</v>
      </c>
    </row>
    <row r="71" spans="1:38" ht="18.399999999999999" customHeight="1">
      <c r="A71" s="41" t="s">
        <v>6232</v>
      </c>
      <c r="B71" s="37"/>
      <c r="C71" s="37"/>
      <c r="D71" s="37"/>
      <c r="E71" s="37"/>
      <c r="F71" s="45"/>
      <c r="K71" s="3" t="s">
        <v>6232</v>
      </c>
    </row>
    <row r="72" spans="1:38" ht="18.399999999999999" customHeight="1">
      <c r="A72" s="41" t="s">
        <v>3436</v>
      </c>
      <c r="B72" s="37">
        <v>7913.5</v>
      </c>
      <c r="C72" s="37">
        <v>800</v>
      </c>
      <c r="D72" s="37">
        <v>5098.2</v>
      </c>
      <c r="E72" s="37">
        <v>2015.3</v>
      </c>
      <c r="F72" s="45"/>
      <c r="K72" s="3" t="s">
        <v>1342</v>
      </c>
    </row>
    <row r="73" spans="1:38" ht="18.399999999999999" customHeight="1">
      <c r="A73" s="41" t="s">
        <v>6232</v>
      </c>
      <c r="B73" s="37">
        <f>SUM($C73,$D73,$E73)</f>
        <v>0</v>
      </c>
      <c r="C73" s="37">
        <f>$AB73</f>
        <v>0</v>
      </c>
      <c r="D73" s="37">
        <f>$AF73</f>
        <v>0</v>
      </c>
      <c r="E73" s="37">
        <f>$AJ73</f>
        <v>0</v>
      </c>
      <c r="F73" s="45"/>
      <c r="K73" s="3" t="s">
        <v>3238</v>
      </c>
      <c r="AA73" s="40" t="s">
        <v>308</v>
      </c>
      <c r="AB73" s="8">
        <f>ROUND(0,2)</f>
        <v>0</v>
      </c>
      <c r="AC73" s="40" t="s">
        <v>5000</v>
      </c>
      <c r="AD73" s="7">
        <f>$AB73</f>
        <v>0</v>
      </c>
      <c r="AE73" s="40" t="s">
        <v>4500</v>
      </c>
      <c r="AF73" s="8">
        <f>ROUND(0,2)</f>
        <v>0</v>
      </c>
      <c r="AG73" s="40" t="s">
        <v>2603</v>
      </c>
      <c r="AH73" s="7">
        <f>$AF73</f>
        <v>0</v>
      </c>
      <c r="AI73" s="40" t="s">
        <v>5878</v>
      </c>
      <c r="AJ73" s="8">
        <f>ROUND(0,2)</f>
        <v>0</v>
      </c>
      <c r="AK73" s="40" t="s">
        <v>787</v>
      </c>
      <c r="AL73" s="7">
        <f>$AJ73</f>
        <v>0</v>
      </c>
    </row>
    <row r="74" spans="1:38" ht="18.399999999999999" customHeight="1">
      <c r="A74" s="41" t="s">
        <v>508</v>
      </c>
      <c r="B74" s="37">
        <f>SUM($C74,$D74,$E74)</f>
        <v>9610.4</v>
      </c>
      <c r="C74" s="37">
        <f>$AB74</f>
        <v>0</v>
      </c>
      <c r="D74" s="37">
        <f>$AF74</f>
        <v>1966.1</v>
      </c>
      <c r="E74" s="37">
        <f>$AJ74</f>
        <v>7644.3</v>
      </c>
      <c r="F74" s="45"/>
      <c r="K74" s="3" t="s">
        <v>2347</v>
      </c>
      <c r="AA74" s="40" t="s">
        <v>308</v>
      </c>
      <c r="AB74" s="8">
        <f>TRUNC($AD70*1.097,1)</f>
        <v>0</v>
      </c>
      <c r="AC74" s="40" t="s">
        <v>5000</v>
      </c>
      <c r="AD74" s="7">
        <f>$AB74</f>
        <v>0</v>
      </c>
      <c r="AE74" s="40" t="s">
        <v>4500</v>
      </c>
      <c r="AF74" s="8">
        <f>TRUNC($AH70*1.097,1)</f>
        <v>1966.1</v>
      </c>
      <c r="AG74" s="40" t="s">
        <v>2603</v>
      </c>
      <c r="AH74" s="7">
        <f>$AF74</f>
        <v>1966.1</v>
      </c>
      <c r="AI74" s="40" t="s">
        <v>5878</v>
      </c>
      <c r="AJ74" s="8">
        <f>TRUNC($AL70*1.097,1)</f>
        <v>7644.3</v>
      </c>
      <c r="AK74" s="40" t="s">
        <v>787</v>
      </c>
      <c r="AL74" s="7">
        <f>$AJ74</f>
        <v>7644.3</v>
      </c>
    </row>
    <row r="75" spans="1:38" ht="18.399999999999999" customHeight="1">
      <c r="A75" s="41" t="s">
        <v>6232</v>
      </c>
      <c r="B75" s="37"/>
      <c r="C75" s="37"/>
      <c r="D75" s="37"/>
      <c r="E75" s="37"/>
      <c r="F75" s="45"/>
      <c r="K75" s="3" t="s">
        <v>6232</v>
      </c>
    </row>
    <row r="76" spans="1:38" ht="18.399999999999999" customHeight="1">
      <c r="A76" s="41" t="s">
        <v>3436</v>
      </c>
      <c r="B76" s="37">
        <f>SUM($C76,$D76,$E76)</f>
        <v>9610.4</v>
      </c>
      <c r="C76" s="37">
        <f>$AB76</f>
        <v>0</v>
      </c>
      <c r="D76" s="37">
        <f>$AF76</f>
        <v>1966.1</v>
      </c>
      <c r="E76" s="37">
        <f>$AJ76</f>
        <v>7644.3</v>
      </c>
      <c r="F76" s="45"/>
      <c r="K76" s="3" t="s">
        <v>4527</v>
      </c>
      <c r="AA76" s="40" t="s">
        <v>4592</v>
      </c>
      <c r="AB76" s="8">
        <f>TRUNC($AD74,1)</f>
        <v>0</v>
      </c>
      <c r="AC76" s="40" t="s">
        <v>5149</v>
      </c>
      <c r="AD76" s="7">
        <f>$AB76</f>
        <v>0</v>
      </c>
      <c r="AE76" s="40" t="s">
        <v>666</v>
      </c>
      <c r="AF76" s="8">
        <f>TRUNC($AH74,1)</f>
        <v>1966.1</v>
      </c>
      <c r="AG76" s="40" t="s">
        <v>2431</v>
      </c>
      <c r="AH76" s="7">
        <f>$AF76</f>
        <v>1966.1</v>
      </c>
      <c r="AI76" s="40" t="s">
        <v>1930</v>
      </c>
      <c r="AJ76" s="8">
        <f>TRUNC($AL74,1)</f>
        <v>7644.3</v>
      </c>
      <c r="AK76" s="40" t="s">
        <v>3349</v>
      </c>
      <c r="AL76" s="7">
        <f>$AJ76</f>
        <v>7644.3</v>
      </c>
    </row>
    <row r="77" spans="1:38" ht="18.399999999999999" customHeight="1">
      <c r="A77" s="41"/>
      <c r="B77" s="3"/>
      <c r="C77" s="3"/>
      <c r="D77" s="3"/>
      <c r="E77" s="3"/>
      <c r="F77" s="44"/>
    </row>
    <row r="78" spans="1:38" ht="18.399999999999999" customHeight="1">
      <c r="A78" s="43" t="s">
        <v>3543</v>
      </c>
      <c r="B78" s="38">
        <f>SUM($C78,$D78,$E78)</f>
        <v>9610</v>
      </c>
      <c r="C78" s="38">
        <f>TRUNC(SUM($AD76),0)</f>
        <v>0</v>
      </c>
      <c r="D78" s="38">
        <f>TRUNC(SUM($AH76),0)</f>
        <v>1966</v>
      </c>
      <c r="E78" s="38">
        <f>TRUNC(SUM($AL76),0)</f>
        <v>7644</v>
      </c>
      <c r="F78" s="46"/>
    </row>
    <row r="79" spans="1:38" ht="18.399999999999999" customHeight="1">
      <c r="A79" s="41"/>
      <c r="B79" s="3"/>
      <c r="C79" s="3"/>
      <c r="D79" s="3"/>
      <c r="E79" s="3"/>
      <c r="F79" s="44"/>
    </row>
    <row r="80" spans="1:38" ht="18.399999999999999" customHeight="1">
      <c r="A80" s="41" t="s">
        <v>1535</v>
      </c>
      <c r="B80" s="36">
        <f>$B154</f>
        <v>9610</v>
      </c>
      <c r="C80" s="36">
        <f>$C154</f>
        <v>0</v>
      </c>
      <c r="D80" s="36">
        <f>$D154</f>
        <v>1966</v>
      </c>
      <c r="E80" s="36">
        <f>$E154</f>
        <v>7644</v>
      </c>
      <c r="F80" s="44" t="s">
        <v>3378</v>
      </c>
      <c r="G80" t="s">
        <v>6232</v>
      </c>
      <c r="H80" t="s">
        <v>5126</v>
      </c>
      <c r="K80">
        <v>1</v>
      </c>
      <c r="Y80" s="7" t="b">
        <f>EXACT($Z80,$B154)</f>
        <v>0</v>
      </c>
      <c r="Z80" s="38">
        <v>8679</v>
      </c>
    </row>
    <row r="81" spans="1:38" ht="18.399999999999999" customHeight="1">
      <c r="A81" s="41"/>
      <c r="B81" s="3"/>
      <c r="C81" s="3"/>
      <c r="D81" s="3"/>
      <c r="E81" s="3"/>
      <c r="F81" s="44"/>
    </row>
    <row r="82" spans="1:38" ht="18.399999999999999" customHeight="1">
      <c r="A82" s="41" t="s">
        <v>6232</v>
      </c>
      <c r="B82" s="3"/>
      <c r="C82" s="3"/>
      <c r="D82" s="3"/>
      <c r="E82" s="3"/>
      <c r="F82" s="44"/>
      <c r="G82" t="s">
        <v>6232</v>
      </c>
      <c r="I82" t="s">
        <v>742</v>
      </c>
      <c r="J82" t="s">
        <v>6232</v>
      </c>
      <c r="K82" t="s">
        <v>5235</v>
      </c>
    </row>
    <row r="83" spans="1:38" ht="18.399999999999999" customHeight="1">
      <c r="A83" s="41" t="s">
        <v>1728</v>
      </c>
      <c r="B83" s="37"/>
      <c r="C83" s="37"/>
      <c r="D83" s="37"/>
      <c r="E83" s="37"/>
      <c r="F83" s="45"/>
      <c r="K83" s="3" t="s">
        <v>3498</v>
      </c>
    </row>
    <row r="84" spans="1:38" ht="18.399999999999999" customHeight="1">
      <c r="A84" s="41" t="s">
        <v>6232</v>
      </c>
      <c r="B84" s="37"/>
      <c r="C84" s="37"/>
      <c r="D84" s="37"/>
      <c r="E84" s="37"/>
      <c r="F84" s="45"/>
      <c r="K84" s="3" t="s">
        <v>6232</v>
      </c>
    </row>
    <row r="85" spans="1:38" ht="18.399999999999999" customHeight="1">
      <c r="A85" s="42" t="str">
        <f>CONCATENATE("                L=",TEXT($AB85,"#,##0.0"),"   KM  실시공후 정산")</f>
        <v xml:space="preserve">                L=4.0   KM  실시공후 정산</v>
      </c>
      <c r="B85" s="37"/>
      <c r="C85" s="37"/>
      <c r="D85" s="37"/>
      <c r="E85" s="37"/>
      <c r="F85" s="45"/>
      <c r="K85" s="10" t="str">
        <f>SUBSTITUTE(SUBSTITUTE("                L = 4.0  _x001D_KM_x001D__x001D_실시공후 정산_x001D_","4.0",TEXT($AB85,"#,##0.0"),1),"_x001D_","'")</f>
        <v xml:space="preserve">                L = 4.0  'KM''실시공후 정산'</v>
      </c>
      <c r="AA85" s="39" t="s">
        <v>5842</v>
      </c>
      <c r="AB85" s="6">
        <v>4</v>
      </c>
      <c r="AC85" s="39" t="s">
        <v>5842</v>
      </c>
      <c r="AD85" s="7">
        <f>$AB85</f>
        <v>4</v>
      </c>
    </row>
    <row r="86" spans="1:38" ht="18.399999999999999" customHeight="1">
      <c r="A86" s="41" t="s">
        <v>6214</v>
      </c>
      <c r="B86" s="37"/>
      <c r="C86" s="37"/>
      <c r="D86" s="37"/>
      <c r="E86" s="37"/>
      <c r="F86" s="45"/>
      <c r="K86" s="3" t="s">
        <v>3965</v>
      </c>
    </row>
    <row r="87" spans="1:38" ht="18.399999999999999" customHeight="1">
      <c r="A87" s="42" t="str">
        <f>CONCATENATE("                V=",TEXT($AB87,"#,##0.0"),"  KM/hr")</f>
        <v xml:space="preserve">                V=30.0  KM/hr</v>
      </c>
      <c r="B87" s="37"/>
      <c r="C87" s="37"/>
      <c r="D87" s="37"/>
      <c r="E87" s="37"/>
      <c r="F87" s="45"/>
      <c r="K87" s="10" t="str">
        <f>SUBSTITUTE(SUBSTITUTE("                V = 30.0 _x001D_KM/hr_x001D_","30.0",TEXT($AB87,"#,##0.0"),1),"_x001D_","'")</f>
        <v xml:space="preserve">                V = 30.0 'KM/hr'</v>
      </c>
      <c r="AA87" s="39" t="s">
        <v>247</v>
      </c>
      <c r="AB87" s="6">
        <v>30</v>
      </c>
      <c r="AC87" s="39" t="s">
        <v>247</v>
      </c>
      <c r="AD87" s="7">
        <f>$AB87</f>
        <v>30</v>
      </c>
    </row>
    <row r="88" spans="1:38" ht="18.399999999999999" customHeight="1">
      <c r="A88" s="41" t="s">
        <v>6232</v>
      </c>
      <c r="B88" s="37">
        <f>SUM($C88,$D88,$E88)</f>
        <v>0</v>
      </c>
      <c r="C88" s="37">
        <f>$AB88</f>
        <v>0</v>
      </c>
      <c r="D88" s="37">
        <f>$AF88</f>
        <v>0</v>
      </c>
      <c r="E88" s="37">
        <f>$AJ88</f>
        <v>0</v>
      </c>
      <c r="F88" s="45"/>
      <c r="K88" s="3" t="s">
        <v>295</v>
      </c>
      <c r="AA88" s="40" t="s">
        <v>2660</v>
      </c>
      <c r="AB88" s="8">
        <f>ROUND(0,2)</f>
        <v>0</v>
      </c>
      <c r="AC88" s="40" t="s">
        <v>1650</v>
      </c>
      <c r="AD88" s="7">
        <f>$AB88</f>
        <v>0</v>
      </c>
      <c r="AE88" s="40" t="s">
        <v>5305</v>
      </c>
      <c r="AF88" s="8">
        <f>ROUND(0,2)</f>
        <v>0</v>
      </c>
      <c r="AG88" s="40" t="s">
        <v>5439</v>
      </c>
      <c r="AH88" s="7">
        <f>$AF88</f>
        <v>0</v>
      </c>
      <c r="AI88" s="40" t="s">
        <v>3519</v>
      </c>
      <c r="AJ88" s="8">
        <f>ROUND(0,2)</f>
        <v>0</v>
      </c>
      <c r="AK88" s="40" t="s">
        <v>4149</v>
      </c>
      <c r="AL88" s="7">
        <f>$AJ88</f>
        <v>0</v>
      </c>
    </row>
    <row r="89" spans="1:38" ht="18.399999999999999" customHeight="1">
      <c r="A89" s="41" t="s">
        <v>5524</v>
      </c>
      <c r="B89" s="37"/>
      <c r="C89" s="37"/>
      <c r="D89" s="37"/>
      <c r="E89" s="37"/>
      <c r="F89" s="45"/>
      <c r="K89" s="3" t="s">
        <v>3427</v>
      </c>
    </row>
    <row r="90" spans="1:38" ht="18.399999999999999" customHeight="1">
      <c r="A90" s="41" t="s">
        <v>6232</v>
      </c>
      <c r="B90" s="37"/>
      <c r="C90" s="37"/>
      <c r="D90" s="37"/>
      <c r="E90" s="37"/>
      <c r="F90" s="45"/>
      <c r="K90" s="3" t="s">
        <v>6232</v>
      </c>
    </row>
    <row r="91" spans="1:38" ht="18.399999999999999" customHeight="1">
      <c r="A91" s="41" t="s">
        <v>2653</v>
      </c>
      <c r="B91" s="37"/>
      <c r="C91" s="37"/>
      <c r="D91" s="37"/>
      <c r="E91" s="37"/>
      <c r="F91" s="45"/>
      <c r="K91" s="3" t="s">
        <v>2793</v>
      </c>
    </row>
    <row r="92" spans="1:38" ht="18.399999999999999" customHeight="1">
      <c r="A92" s="41" t="s">
        <v>52</v>
      </c>
      <c r="B92" s="37"/>
      <c r="C92" s="37"/>
      <c r="D92" s="37"/>
      <c r="E92" s="37"/>
      <c r="F92" s="45"/>
      <c r="K92" s="3" t="s">
        <v>3020</v>
      </c>
    </row>
    <row r="93" spans="1:38" ht="18.399999999999999" customHeight="1">
      <c r="A93" s="41" t="s">
        <v>6232</v>
      </c>
      <c r="B93" s="37"/>
      <c r="C93" s="37"/>
      <c r="D93" s="37"/>
      <c r="E93" s="37"/>
      <c r="F93" s="45"/>
      <c r="K93" s="3" t="s">
        <v>6232</v>
      </c>
    </row>
    <row r="94" spans="1:38" ht="18.399999999999999" customHeight="1">
      <c r="A94" s="41" t="s">
        <v>3700</v>
      </c>
      <c r="B94" s="37"/>
      <c r="C94" s="37"/>
      <c r="D94" s="37"/>
      <c r="E94" s="37"/>
      <c r="F94" s="45"/>
      <c r="K94" s="3" t="s">
        <v>2773</v>
      </c>
    </row>
    <row r="95" spans="1:38" ht="18.399999999999999" customHeight="1">
      <c r="A95" s="41" t="s">
        <v>679</v>
      </c>
      <c r="B95" s="37"/>
      <c r="C95" s="37"/>
      <c r="D95" s="37"/>
      <c r="E95" s="37"/>
      <c r="F95" s="45"/>
      <c r="K95" s="3" t="s">
        <v>1995</v>
      </c>
    </row>
    <row r="96" spans="1:38" ht="18.399999999999999" customHeight="1">
      <c r="A96" s="41" t="s">
        <v>5867</v>
      </c>
      <c r="B96" s="37"/>
      <c r="C96" s="37"/>
      <c r="D96" s="37"/>
      <c r="E96" s="37"/>
      <c r="F96" s="45"/>
      <c r="K96" s="3" t="s">
        <v>2096</v>
      </c>
    </row>
    <row r="97" spans="1:34" ht="18.399999999999999" customHeight="1">
      <c r="A97" s="41" t="s">
        <v>6232</v>
      </c>
      <c r="B97" s="37"/>
      <c r="C97" s="37"/>
      <c r="D97" s="37"/>
      <c r="E97" s="37"/>
      <c r="F97" s="45"/>
      <c r="K97" s="3" t="s">
        <v>6232</v>
      </c>
    </row>
    <row r="98" spans="1:34" ht="18.399999999999999" customHeight="1">
      <c r="A98" s="41" t="s">
        <v>3150</v>
      </c>
      <c r="B98" s="37"/>
      <c r="C98" s="37"/>
      <c r="D98" s="37"/>
      <c r="E98" s="37"/>
      <c r="F98" s="45"/>
      <c r="K98" s="3" t="s">
        <v>5087</v>
      </c>
    </row>
    <row r="99" spans="1:34" ht="18.399999999999999" customHeight="1">
      <c r="A99" s="41" t="s">
        <v>6232</v>
      </c>
      <c r="B99" s="37"/>
      <c r="C99" s="37"/>
      <c r="D99" s="37"/>
      <c r="E99" s="37"/>
      <c r="F99" s="45"/>
      <c r="K99" s="3" t="s">
        <v>6232</v>
      </c>
    </row>
    <row r="100" spans="1:34" ht="18.399999999999999" customHeight="1">
      <c r="A100" s="41" t="s">
        <v>6134</v>
      </c>
      <c r="B100" s="37"/>
      <c r="C100" s="37"/>
      <c r="D100" s="37"/>
      <c r="E100" s="37"/>
      <c r="F100" s="45"/>
      <c r="K100" s="3" t="s">
        <v>4089</v>
      </c>
    </row>
    <row r="101" spans="1:34" ht="18.399999999999999" customHeight="1">
      <c r="A101" s="41" t="s">
        <v>6232</v>
      </c>
      <c r="B101" s="37"/>
      <c r="C101" s="37"/>
      <c r="D101" s="37"/>
      <c r="E101" s="37"/>
      <c r="F101" s="45"/>
      <c r="K101" s="3" t="s">
        <v>6232</v>
      </c>
    </row>
    <row r="102" spans="1:34" ht="18.399999999999999" customHeight="1">
      <c r="A102" s="41" t="s">
        <v>1517</v>
      </c>
      <c r="B102" s="37"/>
      <c r="C102" s="37"/>
      <c r="D102" s="37"/>
      <c r="E102" s="37"/>
      <c r="F102" s="45"/>
      <c r="K102" s="3" t="s">
        <v>2275</v>
      </c>
    </row>
    <row r="103" spans="1:34" ht="18.399999999999999" customHeight="1">
      <c r="A103" s="41" t="s">
        <v>6232</v>
      </c>
      <c r="B103" s="37"/>
      <c r="C103" s="37"/>
      <c r="D103" s="37"/>
      <c r="E103" s="37"/>
      <c r="F103" s="45"/>
      <c r="K103" s="3" t="s">
        <v>6232</v>
      </c>
    </row>
    <row r="104" spans="1:34" ht="18.399999999999999" customHeight="1">
      <c r="A104" s="41" t="s">
        <v>257</v>
      </c>
      <c r="B104" s="37"/>
      <c r="C104" s="37"/>
      <c r="D104" s="37"/>
      <c r="E104" s="37"/>
      <c r="F104" s="45"/>
      <c r="K104" s="3" t="s">
        <v>1264</v>
      </c>
    </row>
    <row r="105" spans="1:34" ht="18.399999999999999" customHeight="1">
      <c r="A105" s="41" t="s">
        <v>6232</v>
      </c>
      <c r="B105" s="37"/>
      <c r="C105" s="37"/>
      <c r="D105" s="37"/>
      <c r="E105" s="37"/>
      <c r="F105" s="45"/>
      <c r="K105" s="3" t="s">
        <v>6232</v>
      </c>
    </row>
    <row r="106" spans="1:34" ht="18.399999999999999" customHeight="1">
      <c r="A106" s="42" t="str">
        <f>CONCATENATE("   - 1차당 적재량(본)         Q=",TEXT($AB106,"#,##0.00"),"  본")</f>
        <v xml:space="preserve">   - 1차당 적재량(본)         Q=3.00  본</v>
      </c>
      <c r="B106" s="37"/>
      <c r="C106" s="37"/>
      <c r="D106" s="37"/>
      <c r="E106" s="37"/>
      <c r="F106" s="45"/>
      <c r="K106" s="10" t="str">
        <f>SUBSTITUTE(SUBSTITUTE("  _x001D_- 1차당 적재량(본)_x001D_        Q  =  3 _x001D_본_x001D_","3",TEXT($AB106,"#,##0"),1),"_x001D_","'")</f>
        <v xml:space="preserve">  '- 1차당 적재량(본)'        Q  =  3 '본'</v>
      </c>
      <c r="AA106" s="39" t="s">
        <v>4337</v>
      </c>
      <c r="AB106" s="6">
        <v>3</v>
      </c>
      <c r="AC106" s="39" t="s">
        <v>4337</v>
      </c>
      <c r="AD106" s="7">
        <f>$AB106</f>
        <v>3</v>
      </c>
    </row>
    <row r="107" spans="1:34" ht="18.399999999999999" customHeight="1">
      <c r="A107" s="41" t="s">
        <v>6232</v>
      </c>
      <c r="B107" s="37"/>
      <c r="C107" s="37"/>
      <c r="D107" s="37"/>
      <c r="E107" s="37"/>
      <c r="F107" s="45"/>
      <c r="K107" s="3" t="s">
        <v>6232</v>
      </c>
    </row>
    <row r="108" spans="1:34" ht="18.399999999999999" customHeight="1">
      <c r="A108" s="42" t="str">
        <f>CONCATENATE("   - 운반차량 대기시간(12M당)    T1=",TEXT($AB108,"#,##0.00"),"   분")</f>
        <v xml:space="preserve">   - 운반차량 대기시간(12M당)    T1=12.00   분</v>
      </c>
      <c r="B108" s="37"/>
      <c r="C108" s="37"/>
      <c r="D108" s="37"/>
      <c r="E108" s="37"/>
      <c r="F108" s="45"/>
      <c r="K108" s="10" t="str">
        <f>SUBSTITUTE(SUBSTITUTE("  _x001D_- 운반차량 대기시간(12M당)_x001D_   T1 = 12  _x001D_분_x001D_","12",TEXT($AB108,"#,##0"),1),"_x001D_","'")</f>
        <v xml:space="preserve">  '- 운반차량 대기시간(12M당)'   T1 = 12  '분'</v>
      </c>
      <c r="AA108" s="39" t="s">
        <v>4528</v>
      </c>
      <c r="AB108" s="6">
        <v>12</v>
      </c>
      <c r="AC108" s="39" t="s">
        <v>4528</v>
      </c>
      <c r="AD108" s="7">
        <f>$AB108</f>
        <v>12</v>
      </c>
    </row>
    <row r="109" spans="1:34" ht="18.399999999999999" customHeight="1">
      <c r="A109" s="41" t="s">
        <v>6232</v>
      </c>
      <c r="B109" s="37"/>
      <c r="C109" s="37"/>
      <c r="D109" s="37"/>
      <c r="E109" s="37"/>
      <c r="F109" s="45"/>
      <c r="K109" s="3" t="s">
        <v>6232</v>
      </c>
    </row>
    <row r="110" spans="1:34" ht="18.399999999999999" customHeight="1">
      <c r="A110" s="41" t="s">
        <v>4838</v>
      </c>
      <c r="B110" s="37"/>
      <c r="C110" s="37"/>
      <c r="D110" s="37"/>
      <c r="E110" s="37"/>
      <c r="F110" s="45"/>
      <c r="K110" s="3" t="s">
        <v>6093</v>
      </c>
    </row>
    <row r="111" spans="1:34" ht="18.399999999999999" customHeight="1">
      <c r="A111" s="41" t="s">
        <v>6232</v>
      </c>
      <c r="B111" s="37"/>
      <c r="C111" s="37"/>
      <c r="D111" s="37"/>
      <c r="E111" s="37"/>
      <c r="F111" s="45"/>
      <c r="K111" s="3" t="s">
        <v>6232</v>
      </c>
    </row>
    <row r="112" spans="1:34" ht="18.399999999999999" customHeight="1">
      <c r="A112" s="42" t="str">
        <f>CONCATENATE("    T2 = (L / V * 2 * 60 + 20) / Q = ",TEXT($AF112,"#,##0.00")," 분 ")</f>
        <v xml:space="preserve">    T2 = (L / V * 2 * 60 + 20) / Q = 12.00 분 </v>
      </c>
      <c r="B112" s="37">
        <f>SUM($C112,$D112,$E112)</f>
        <v>0</v>
      </c>
      <c r="C112" s="37"/>
      <c r="D112" s="37"/>
      <c r="E112" s="37"/>
      <c r="F112" s="45"/>
      <c r="K112" s="3" t="s">
        <v>3353</v>
      </c>
      <c r="AA112" s="39" t="s">
        <v>5897</v>
      </c>
      <c r="AB112" s="8">
        <f>ROUND(($AD85/$AD87*2*60+20)/$AD106,2)</f>
        <v>12</v>
      </c>
      <c r="AC112" s="39" t="s">
        <v>2053</v>
      </c>
      <c r="AD112" s="7">
        <f>$AB112</f>
        <v>12</v>
      </c>
      <c r="AE112" s="39" t="s">
        <v>4197</v>
      </c>
      <c r="AF112" s="8">
        <f>ROUND(ROUND(($AD85/$AD87*2*60+20)/$AD106,2),2)</f>
        <v>12</v>
      </c>
      <c r="AG112" s="39" t="s">
        <v>7</v>
      </c>
      <c r="AH112" s="7">
        <f>$AF112</f>
        <v>12</v>
      </c>
    </row>
    <row r="113" spans="1:34" ht="18.399999999999999" customHeight="1">
      <c r="A113" s="41" t="s">
        <v>6232</v>
      </c>
      <c r="B113" s="37"/>
      <c r="C113" s="37"/>
      <c r="D113" s="37"/>
      <c r="E113" s="37"/>
      <c r="F113" s="45"/>
      <c r="K113" s="3" t="s">
        <v>6232</v>
      </c>
    </row>
    <row r="114" spans="1:34" ht="18.399999999999999" customHeight="1">
      <c r="A114" s="41" t="s">
        <v>2391</v>
      </c>
      <c r="B114" s="37"/>
      <c r="C114" s="37"/>
      <c r="D114" s="37"/>
      <c r="E114" s="37"/>
      <c r="F114" s="45"/>
      <c r="K114" s="3" t="s">
        <v>4710</v>
      </c>
    </row>
    <row r="115" spans="1:34" ht="18.399999999999999" customHeight="1">
      <c r="A115" s="41" t="s">
        <v>6232</v>
      </c>
      <c r="B115" s="37"/>
      <c r="C115" s="37"/>
      <c r="D115" s="37"/>
      <c r="E115" s="37"/>
      <c r="F115" s="45"/>
      <c r="K115" s="3" t="s">
        <v>6232</v>
      </c>
    </row>
    <row r="116" spans="1:34" ht="18.399999999999999" customHeight="1">
      <c r="A116" s="42" t="str">
        <f>CONCATENATE("    CM = T1 + T2 = ",TEXT($AF116,"#,##0.00")," 분 ")</f>
        <v xml:space="preserve">    CM = T1 + T2 = 24.00 분 </v>
      </c>
      <c r="B116" s="37">
        <f>SUM($C116,$D116,$E116)</f>
        <v>0</v>
      </c>
      <c r="C116" s="37"/>
      <c r="D116" s="37"/>
      <c r="E116" s="37"/>
      <c r="F116" s="45"/>
      <c r="K116" s="3" t="s">
        <v>6049</v>
      </c>
      <c r="AA116" s="39" t="s">
        <v>5026</v>
      </c>
      <c r="AB116" s="8">
        <f>ROUND($AD108+$AD112,2)</f>
        <v>24</v>
      </c>
      <c r="AC116" s="39" t="s">
        <v>289</v>
      </c>
      <c r="AD116" s="7">
        <f>$AB116</f>
        <v>24</v>
      </c>
      <c r="AE116" s="39" t="s">
        <v>3896</v>
      </c>
      <c r="AF116" s="8">
        <f>ROUND(ROUND($AD108+$AD112,2),2)</f>
        <v>24</v>
      </c>
      <c r="AG116" s="39" t="s">
        <v>6085</v>
      </c>
      <c r="AH116" s="7">
        <f>$AF116</f>
        <v>24</v>
      </c>
    </row>
    <row r="117" spans="1:34" ht="18.399999999999999" customHeight="1">
      <c r="A117" s="41" t="s">
        <v>6232</v>
      </c>
      <c r="B117" s="37"/>
      <c r="C117" s="37"/>
      <c r="D117" s="37"/>
      <c r="E117" s="37"/>
      <c r="F117" s="45"/>
      <c r="K117" s="3" t="s">
        <v>6232</v>
      </c>
    </row>
    <row r="118" spans="1:34" ht="18.399999999999999" customHeight="1">
      <c r="A118" s="41" t="s">
        <v>5848</v>
      </c>
      <c r="B118" s="37"/>
      <c r="C118" s="37"/>
      <c r="D118" s="37"/>
      <c r="E118" s="37"/>
      <c r="F118" s="45"/>
      <c r="K118" s="3" t="s">
        <v>788</v>
      </c>
    </row>
    <row r="119" spans="1:34" ht="18.399999999999999" customHeight="1">
      <c r="A119" s="41" t="s">
        <v>6232</v>
      </c>
      <c r="B119" s="37"/>
      <c r="C119" s="37"/>
      <c r="D119" s="37"/>
      <c r="E119" s="37"/>
      <c r="F119" s="45"/>
      <c r="K119" s="3" t="s">
        <v>6232</v>
      </c>
    </row>
    <row r="120" spans="1:34" ht="18.399999999999999" customHeight="1">
      <c r="A120" s="42" t="str">
        <f>CONCATENATE("    Qo = T2 / CM = ",TEXT($AF120,"#,##0.00")," 분 ")</f>
        <v xml:space="preserve">    Qo = T2 / CM = 0.50 분 </v>
      </c>
      <c r="B120" s="37">
        <f>SUM($C120,$D120,$E120)</f>
        <v>0</v>
      </c>
      <c r="C120" s="37"/>
      <c r="D120" s="37"/>
      <c r="E120" s="37"/>
      <c r="F120" s="45"/>
      <c r="K120" s="3" t="s">
        <v>882</v>
      </c>
      <c r="AA120" s="39" t="s">
        <v>1501</v>
      </c>
      <c r="AB120" s="8">
        <f>ROUND($AD112/$AD116,2)</f>
        <v>0.5</v>
      </c>
      <c r="AC120" s="39" t="s">
        <v>2425</v>
      </c>
      <c r="AD120" s="7">
        <f>$AB120</f>
        <v>0.5</v>
      </c>
      <c r="AE120" s="39" t="s">
        <v>987</v>
      </c>
      <c r="AF120" s="8">
        <f>ROUND(ROUND($AD112/$AD116,2),2)</f>
        <v>0.5</v>
      </c>
      <c r="AG120" s="39" t="s">
        <v>4458</v>
      </c>
      <c r="AH120" s="7">
        <f>$AF120</f>
        <v>0.5</v>
      </c>
    </row>
    <row r="121" spans="1:34" ht="18.399999999999999" customHeight="1">
      <c r="A121" s="41" t="s">
        <v>6232</v>
      </c>
      <c r="B121" s="37"/>
      <c r="C121" s="37"/>
      <c r="D121" s="37"/>
      <c r="E121" s="37"/>
      <c r="F121" s="45"/>
      <c r="K121" s="3" t="s">
        <v>6232</v>
      </c>
    </row>
    <row r="122" spans="1:34" ht="18.399999999999999" customHeight="1">
      <c r="A122" s="41" t="s">
        <v>1042</v>
      </c>
      <c r="B122" s="37"/>
      <c r="C122" s="37"/>
      <c r="D122" s="37"/>
      <c r="E122" s="37"/>
      <c r="F122" s="45"/>
      <c r="K122" s="3" t="s">
        <v>1008</v>
      </c>
    </row>
    <row r="123" spans="1:34" ht="18.399999999999999" customHeight="1">
      <c r="A123" s="41" t="s">
        <v>6232</v>
      </c>
      <c r="B123" s="37"/>
      <c r="C123" s="37"/>
      <c r="D123" s="37"/>
      <c r="E123" s="37"/>
      <c r="F123" s="45"/>
      <c r="K123" s="3" t="s">
        <v>6232</v>
      </c>
    </row>
    <row r="124" spans="1:34" ht="18.399999999999999" customHeight="1">
      <c r="A124" s="42" t="str">
        <f>CONCATENATE("      보통인부 :  2.0 인  * _x001D_169,804_x001D_ * (CM + 6 ) / 60 / 8 = ",TEXT($AB124,"#,##0.0"))</f>
        <v xml:space="preserve">      보통인부 :  2.0 인  * _x001D_169,804_x001D_ * (CM + 6 ) / 60 / 8 = 21,508.5</v>
      </c>
      <c r="B124" s="37">
        <f>SUM($C124,$D124,$E124)</f>
        <v>21508.5</v>
      </c>
      <c r="C124" s="37"/>
      <c r="D124" s="37">
        <f>$AB124</f>
        <v>21508.5</v>
      </c>
      <c r="E124" s="37"/>
      <c r="F124" s="45" t="s">
        <v>6232</v>
      </c>
      <c r="K124" s="3" t="s">
        <v>3933</v>
      </c>
      <c r="AA124" s="40" t="s">
        <v>5305</v>
      </c>
      <c r="AB124" s="8">
        <f>TRUNC(2*노임!D3*($AD116+6)/60/8,1)</f>
        <v>21508.5</v>
      </c>
      <c r="AC124" s="40" t="s">
        <v>5439</v>
      </c>
      <c r="AD124" s="7">
        <f>$AH88+$AB124</f>
        <v>21508.5</v>
      </c>
    </row>
    <row r="125" spans="1:34" ht="18.399999999999999" customHeight="1">
      <c r="A125" s="41" t="s">
        <v>6232</v>
      </c>
      <c r="B125" s="37"/>
      <c r="C125" s="37"/>
      <c r="D125" s="37"/>
      <c r="E125" s="37"/>
      <c r="F125" s="45"/>
      <c r="K125" s="3" t="s">
        <v>6232</v>
      </c>
    </row>
    <row r="126" spans="1:34" ht="18.399999999999999" customHeight="1">
      <c r="A126" s="41" t="s">
        <v>5801</v>
      </c>
      <c r="B126" s="37"/>
      <c r="C126" s="37"/>
      <c r="D126" s="37"/>
      <c r="E126" s="37"/>
      <c r="F126" s="45"/>
      <c r="K126" s="3" t="s">
        <v>775</v>
      </c>
    </row>
    <row r="127" spans="1:34" ht="18.399999999999999" customHeight="1">
      <c r="A127" s="41" t="s">
        <v>6232</v>
      </c>
      <c r="B127" s="37"/>
      <c r="C127" s="37"/>
      <c r="D127" s="37"/>
      <c r="E127" s="37"/>
      <c r="F127" s="45"/>
      <c r="K127" s="3" t="s">
        <v>6232</v>
      </c>
    </row>
    <row r="128" spans="1:34" ht="18.399999999999999" customHeight="1">
      <c r="A128" s="41" t="s">
        <v>1472</v>
      </c>
      <c r="B128" s="37"/>
      <c r="C128" s="37"/>
      <c r="D128" s="37"/>
      <c r="E128" s="37"/>
      <c r="F128" s="45"/>
      <c r="K128" s="3" t="s">
        <v>1801</v>
      </c>
    </row>
    <row r="129" spans="1:30" ht="18.399999999999999" customHeight="1">
      <c r="A129" s="41" t="s">
        <v>6232</v>
      </c>
      <c r="B129" s="37"/>
      <c r="C129" s="37"/>
      <c r="D129" s="37"/>
      <c r="E129" s="37"/>
      <c r="F129" s="45"/>
      <c r="K129" s="3" t="s">
        <v>6232</v>
      </c>
    </row>
    <row r="130" spans="1:30" ht="18.399999999999999" customHeight="1">
      <c r="A130" s="42" t="str">
        <f>CONCATENATE("     재료비:  _x001D_11,415_x001D_ * 18 / 60 = ",TEXT($AB130,"#,##0.0"))</f>
        <v xml:space="preserve">     재료비:  _x001D_11,415_x001D_ * 18 / 60 = 0.0</v>
      </c>
      <c r="B130" s="37">
        <f>SUM($C130,$D130,$E130)</f>
        <v>0</v>
      </c>
      <c r="C130" s="37">
        <f>$AB130</f>
        <v>0</v>
      </c>
      <c r="D130" s="37"/>
      <c r="E130" s="37"/>
      <c r="F130" s="45" t="s">
        <v>6232</v>
      </c>
      <c r="K130" s="3" t="s">
        <v>3795</v>
      </c>
      <c r="AA130" s="40" t="s">
        <v>2660</v>
      </c>
      <c r="AB130" s="8">
        <f>TRUNC(중기사용료목록!E6*18/60,1)</f>
        <v>0</v>
      </c>
      <c r="AC130" s="40" t="s">
        <v>1650</v>
      </c>
      <c r="AD130" s="7">
        <f>$AD88+$AB130</f>
        <v>0</v>
      </c>
    </row>
    <row r="131" spans="1:30" ht="18.399999999999999" customHeight="1">
      <c r="A131" s="41" t="s">
        <v>6232</v>
      </c>
      <c r="B131" s="37"/>
      <c r="C131" s="37"/>
      <c r="D131" s="37"/>
      <c r="E131" s="37"/>
      <c r="F131" s="45"/>
      <c r="K131" s="3" t="s">
        <v>6232</v>
      </c>
    </row>
    <row r="132" spans="1:30" ht="18.399999999999999" customHeight="1">
      <c r="A132" s="42" t="str">
        <f>CONCATENATE("     노무비:  _x001D_57,077_x001D_ * 18 / 60 = ",TEXT($AB132,"#,##0.0"))</f>
        <v xml:space="preserve">     노무비:  _x001D_57,077_x001D_ * 18 / 60 = 0.0</v>
      </c>
      <c r="B132" s="37">
        <f>SUM($C132,$D132,$E132)</f>
        <v>0</v>
      </c>
      <c r="C132" s="37"/>
      <c r="D132" s="37">
        <f>$AB132</f>
        <v>0</v>
      </c>
      <c r="E132" s="37"/>
      <c r="F132" s="45" t="s">
        <v>6232</v>
      </c>
      <c r="K132" s="3" t="s">
        <v>2225</v>
      </c>
      <c r="AA132" s="40" t="s">
        <v>5305</v>
      </c>
      <c r="AB132" s="8">
        <f>TRUNC(중기사용료목록!F6*18/60,1)</f>
        <v>0</v>
      </c>
      <c r="AC132" s="40" t="s">
        <v>5439</v>
      </c>
      <c r="AD132" s="7">
        <f>$AD124+$AB132</f>
        <v>21508.5</v>
      </c>
    </row>
    <row r="133" spans="1:30" ht="18.399999999999999" customHeight="1">
      <c r="A133" s="41" t="s">
        <v>6232</v>
      </c>
      <c r="B133" s="37"/>
      <c r="C133" s="37"/>
      <c r="D133" s="37"/>
      <c r="E133" s="37"/>
      <c r="F133" s="45"/>
      <c r="K133" s="3" t="s">
        <v>6232</v>
      </c>
    </row>
    <row r="134" spans="1:30" ht="18.399999999999999" customHeight="1">
      <c r="A134" s="42" t="str">
        <f>CONCATENATE("     경  비:  _x001D_58,116_x001D_ * 18 / 60 = ",TEXT($AB134,"#,##0.0"))</f>
        <v xml:space="preserve">     경  비:  _x001D_58,116_x001D_ * 18 / 60 = 38,967.9</v>
      </c>
      <c r="B134" s="37">
        <f>SUM($C134,$D134,$E134)</f>
        <v>38967.9</v>
      </c>
      <c r="C134" s="37"/>
      <c r="D134" s="37"/>
      <c r="E134" s="37">
        <f>$AB134</f>
        <v>38967.9</v>
      </c>
      <c r="F134" s="45" t="s">
        <v>6232</v>
      </c>
      <c r="K134" s="3" t="s">
        <v>1100</v>
      </c>
      <c r="AA134" s="40" t="s">
        <v>3519</v>
      </c>
      <c r="AB134" s="8">
        <f>TRUNC(중기사용료목록!G6*18/60,1)</f>
        <v>38967.9</v>
      </c>
      <c r="AC134" s="40" t="s">
        <v>4149</v>
      </c>
      <c r="AD134" s="7">
        <f>$AL88+$AB134</f>
        <v>38967.9</v>
      </c>
    </row>
    <row r="135" spans="1:30" ht="18.399999999999999" customHeight="1">
      <c r="A135" s="41" t="s">
        <v>6232</v>
      </c>
      <c r="B135" s="37"/>
      <c r="C135" s="37"/>
      <c r="D135" s="37"/>
      <c r="E135" s="37"/>
      <c r="F135" s="45"/>
      <c r="K135" s="3" t="s">
        <v>6232</v>
      </c>
    </row>
    <row r="136" spans="1:30" ht="18.399999999999999" customHeight="1">
      <c r="A136" s="41" t="s">
        <v>1530</v>
      </c>
      <c r="B136" s="37"/>
      <c r="C136" s="37"/>
      <c r="D136" s="37"/>
      <c r="E136" s="37"/>
      <c r="F136" s="45"/>
      <c r="K136" s="3" t="s">
        <v>2021</v>
      </c>
    </row>
    <row r="137" spans="1:30" ht="18.399999999999999" customHeight="1">
      <c r="A137" s="41" t="s">
        <v>6232</v>
      </c>
      <c r="B137" s="37"/>
      <c r="C137" s="37"/>
      <c r="D137" s="37"/>
      <c r="E137" s="37"/>
      <c r="F137" s="45"/>
      <c r="K137" s="3" t="s">
        <v>6232</v>
      </c>
    </row>
    <row r="138" spans="1:30" ht="18.399999999999999" customHeight="1">
      <c r="A138" s="42" t="str">
        <f>CONCATENATE("     재료비:  _x001D_30,878_x001D_ * CM / 60 * Qo = ",TEXT($AB138,"#,##0.0"))</f>
        <v xml:space="preserve">     재료비:  _x001D_30,878_x001D_ * CM / 60 * Qo = 0.0</v>
      </c>
      <c r="B138" s="37">
        <f>SUM($C138,$D138,$E138)</f>
        <v>0</v>
      </c>
      <c r="C138" s="37">
        <f>$AB138</f>
        <v>0</v>
      </c>
      <c r="D138" s="37"/>
      <c r="E138" s="37"/>
      <c r="F138" s="45" t="s">
        <v>6232</v>
      </c>
      <c r="K138" s="3" t="s">
        <v>4711</v>
      </c>
      <c r="AA138" s="40" t="s">
        <v>2660</v>
      </c>
      <c r="AB138" s="8">
        <f>TRUNC(중기사용료목록!E7*$AD116/60*$AD120,1)</f>
        <v>0</v>
      </c>
      <c r="AC138" s="40" t="s">
        <v>1650</v>
      </c>
      <c r="AD138" s="7">
        <f>$AD130+$AB138</f>
        <v>0</v>
      </c>
    </row>
    <row r="139" spans="1:30" ht="18.399999999999999" customHeight="1">
      <c r="A139" s="41" t="s">
        <v>6232</v>
      </c>
      <c r="B139" s="37"/>
      <c r="C139" s="37"/>
      <c r="D139" s="37"/>
      <c r="E139" s="37"/>
      <c r="F139" s="45"/>
      <c r="K139" s="3" t="s">
        <v>6232</v>
      </c>
    </row>
    <row r="140" spans="1:30" ht="18.399999999999999" customHeight="1">
      <c r="A140" s="42" t="str">
        <f>CONCATENATE("     노무비:  _x001D_57,077_x001D_ * CM / 60 = ",TEXT($AB140,"#,##0.0"))</f>
        <v xml:space="preserve">     노무비:  _x001D_57,077_x001D_ * CM / 60 = 0.0</v>
      </c>
      <c r="B140" s="37">
        <f>SUM($C140,$D140,$E140)</f>
        <v>0</v>
      </c>
      <c r="C140" s="37"/>
      <c r="D140" s="37">
        <f>$AB140</f>
        <v>0</v>
      </c>
      <c r="E140" s="37"/>
      <c r="F140" s="45" t="s">
        <v>6232</v>
      </c>
      <c r="K140" s="3" t="s">
        <v>3619</v>
      </c>
      <c r="AA140" s="40" t="s">
        <v>5305</v>
      </c>
      <c r="AB140" s="8">
        <f>TRUNC(중기사용료목록!F7*$AD116/60,1)</f>
        <v>0</v>
      </c>
      <c r="AC140" s="40" t="s">
        <v>5439</v>
      </c>
      <c r="AD140" s="7">
        <f>$AD132+$AB140</f>
        <v>21508.5</v>
      </c>
    </row>
    <row r="141" spans="1:30" ht="18.399999999999999" customHeight="1">
      <c r="A141" s="41" t="s">
        <v>6232</v>
      </c>
      <c r="B141" s="37"/>
      <c r="C141" s="37"/>
      <c r="D141" s="37"/>
      <c r="E141" s="37"/>
      <c r="F141" s="45"/>
      <c r="K141" s="3" t="s">
        <v>6232</v>
      </c>
    </row>
    <row r="142" spans="1:30" ht="18.399999999999999" customHeight="1">
      <c r="A142" s="42" t="str">
        <f>CONCATENATE("     경  비:  _x001D_16,873_x001D_ * CM / 60 = ",TEXT($AB142,"#,##0.0"))</f>
        <v xml:space="preserve">     경  비:  _x001D_16,873_x001D_ * CM / 60 = 44,654.0</v>
      </c>
      <c r="B142" s="37">
        <f>SUM($C142,$D142,$E142)</f>
        <v>44654</v>
      </c>
      <c r="C142" s="37"/>
      <c r="D142" s="37"/>
      <c r="E142" s="37">
        <f>$AB142</f>
        <v>44654</v>
      </c>
      <c r="F142" s="45" t="s">
        <v>6232</v>
      </c>
      <c r="K142" s="3" t="s">
        <v>5622</v>
      </c>
      <c r="AA142" s="40" t="s">
        <v>3519</v>
      </c>
      <c r="AB142" s="8">
        <f>TRUNC(중기사용료목록!G7*$AD116/60,1)</f>
        <v>44654</v>
      </c>
      <c r="AC142" s="40" t="s">
        <v>4149</v>
      </c>
      <c r="AD142" s="7">
        <f>$AD134+$AB142</f>
        <v>83621.899999999994</v>
      </c>
    </row>
    <row r="143" spans="1:30" ht="18.399999999999999" customHeight="1">
      <c r="A143" s="41" t="s">
        <v>6232</v>
      </c>
      <c r="B143" s="37"/>
      <c r="C143" s="37"/>
      <c r="D143" s="37"/>
      <c r="E143" s="37"/>
      <c r="F143" s="45"/>
      <c r="K143" s="3" t="s">
        <v>6232</v>
      </c>
    </row>
    <row r="144" spans="1:30" ht="18.399999999999999" customHeight="1">
      <c r="A144" s="41" t="s">
        <v>4035</v>
      </c>
      <c r="B144" s="37">
        <v>94963.5</v>
      </c>
      <c r="C144" s="37">
        <v>9600.1</v>
      </c>
      <c r="D144" s="37">
        <v>61179.4</v>
      </c>
      <c r="E144" s="37">
        <v>24184</v>
      </c>
      <c r="F144" s="45"/>
      <c r="K144" s="3" t="s">
        <v>6070</v>
      </c>
    </row>
    <row r="145" spans="1:38" ht="18.399999999999999" customHeight="1">
      <c r="A145" s="41" t="s">
        <v>6232</v>
      </c>
      <c r="B145" s="37">
        <f>SUM($C145,$D145,$E145)</f>
        <v>0</v>
      </c>
      <c r="C145" s="37">
        <f>$AB145</f>
        <v>0</v>
      </c>
      <c r="D145" s="37">
        <f>$AF145</f>
        <v>0</v>
      </c>
      <c r="E145" s="37">
        <f>$AJ145</f>
        <v>0</v>
      </c>
      <c r="F145" s="45"/>
      <c r="K145" s="3" t="s">
        <v>5506</v>
      </c>
      <c r="AA145" s="40" t="s">
        <v>4586</v>
      </c>
      <c r="AB145" s="8">
        <f>ROUND(0,2)</f>
        <v>0</v>
      </c>
      <c r="AC145" s="40" t="s">
        <v>4161</v>
      </c>
      <c r="AD145" s="7">
        <f>$AB145</f>
        <v>0</v>
      </c>
      <c r="AE145" s="40" t="s">
        <v>222</v>
      </c>
      <c r="AF145" s="8">
        <f>ROUND(0,2)</f>
        <v>0</v>
      </c>
      <c r="AG145" s="40" t="s">
        <v>334</v>
      </c>
      <c r="AH145" s="7">
        <f>$AF145</f>
        <v>0</v>
      </c>
      <c r="AI145" s="40" t="s">
        <v>1574</v>
      </c>
      <c r="AJ145" s="8">
        <f>ROUND(0,2)</f>
        <v>0</v>
      </c>
      <c r="AK145" s="40" t="s">
        <v>1622</v>
      </c>
      <c r="AL145" s="7">
        <f>$AJ145</f>
        <v>0</v>
      </c>
    </row>
    <row r="146" spans="1:38" ht="18.399999999999999" customHeight="1">
      <c r="A146" s="41" t="s">
        <v>5588</v>
      </c>
      <c r="B146" s="37">
        <f>SUM($C146,$D146,$E146)</f>
        <v>8760.6999999999989</v>
      </c>
      <c r="C146" s="37">
        <f>$AB146</f>
        <v>0</v>
      </c>
      <c r="D146" s="37">
        <f>$AF146</f>
        <v>1792.3</v>
      </c>
      <c r="E146" s="37">
        <f>$AJ146</f>
        <v>6968.4</v>
      </c>
      <c r="F146" s="45"/>
      <c r="K146" s="3" t="s">
        <v>4286</v>
      </c>
      <c r="AA146" s="40" t="s">
        <v>4586</v>
      </c>
      <c r="AB146" s="8">
        <f>TRUNC($AD138/12,1)</f>
        <v>0</v>
      </c>
      <c r="AC146" s="40" t="s">
        <v>4161</v>
      </c>
      <c r="AD146" s="7">
        <f>$AB146</f>
        <v>0</v>
      </c>
      <c r="AE146" s="40" t="s">
        <v>222</v>
      </c>
      <c r="AF146" s="8">
        <f>TRUNC($AD140/12,1)</f>
        <v>1792.3</v>
      </c>
      <c r="AG146" s="40" t="s">
        <v>334</v>
      </c>
      <c r="AH146" s="7">
        <f>$AF146</f>
        <v>1792.3</v>
      </c>
      <c r="AI146" s="40" t="s">
        <v>1574</v>
      </c>
      <c r="AJ146" s="8">
        <f>TRUNC($AD142/12,1)</f>
        <v>6968.4</v>
      </c>
      <c r="AK146" s="40" t="s">
        <v>1622</v>
      </c>
      <c r="AL146" s="7">
        <f>$AJ146</f>
        <v>6968.4</v>
      </c>
    </row>
    <row r="147" spans="1:38" ht="18.399999999999999" customHeight="1">
      <c r="A147" s="41" t="s">
        <v>6232</v>
      </c>
      <c r="B147" s="37"/>
      <c r="C147" s="37"/>
      <c r="D147" s="37"/>
      <c r="E147" s="37"/>
      <c r="F147" s="45"/>
      <c r="K147" s="3" t="s">
        <v>6232</v>
      </c>
    </row>
    <row r="148" spans="1:38" ht="18.399999999999999" customHeight="1">
      <c r="A148" s="41" t="s">
        <v>3436</v>
      </c>
      <c r="B148" s="37">
        <v>7913.5</v>
      </c>
      <c r="C148" s="37">
        <v>800</v>
      </c>
      <c r="D148" s="37">
        <v>5098.2</v>
      </c>
      <c r="E148" s="37">
        <v>2015.3</v>
      </c>
      <c r="F148" s="45"/>
      <c r="K148" s="3" t="s">
        <v>1342</v>
      </c>
    </row>
    <row r="149" spans="1:38" ht="18.399999999999999" customHeight="1">
      <c r="A149" s="41" t="s">
        <v>6232</v>
      </c>
      <c r="B149" s="37">
        <f>SUM($C149,$D149,$E149)</f>
        <v>0</v>
      </c>
      <c r="C149" s="37">
        <f>$AB149</f>
        <v>0</v>
      </c>
      <c r="D149" s="37">
        <f>$AF149</f>
        <v>0</v>
      </c>
      <c r="E149" s="37">
        <f>$AJ149</f>
        <v>0</v>
      </c>
      <c r="F149" s="45"/>
      <c r="K149" s="3" t="s">
        <v>3238</v>
      </c>
      <c r="AA149" s="40" t="s">
        <v>308</v>
      </c>
      <c r="AB149" s="8">
        <f>ROUND(0,2)</f>
        <v>0</v>
      </c>
      <c r="AC149" s="40" t="s">
        <v>5000</v>
      </c>
      <c r="AD149" s="7">
        <f>$AB149</f>
        <v>0</v>
      </c>
      <c r="AE149" s="40" t="s">
        <v>4500</v>
      </c>
      <c r="AF149" s="8">
        <f>ROUND(0,2)</f>
        <v>0</v>
      </c>
      <c r="AG149" s="40" t="s">
        <v>2603</v>
      </c>
      <c r="AH149" s="7">
        <f>$AF149</f>
        <v>0</v>
      </c>
      <c r="AI149" s="40" t="s">
        <v>5878</v>
      </c>
      <c r="AJ149" s="8">
        <f>ROUND(0,2)</f>
        <v>0</v>
      </c>
      <c r="AK149" s="40" t="s">
        <v>787</v>
      </c>
      <c r="AL149" s="7">
        <f>$AJ149</f>
        <v>0</v>
      </c>
    </row>
    <row r="150" spans="1:38" ht="18.399999999999999" customHeight="1">
      <c r="A150" s="41" t="s">
        <v>508</v>
      </c>
      <c r="B150" s="37">
        <f>SUM($C150,$D150,$E150)</f>
        <v>9610.4</v>
      </c>
      <c r="C150" s="37">
        <f>$AB150</f>
        <v>0</v>
      </c>
      <c r="D150" s="37">
        <f>$AF150</f>
        <v>1966.1</v>
      </c>
      <c r="E150" s="37">
        <f>$AJ150</f>
        <v>7644.3</v>
      </c>
      <c r="F150" s="45"/>
      <c r="K150" s="3" t="s">
        <v>2347</v>
      </c>
      <c r="AA150" s="40" t="s">
        <v>308</v>
      </c>
      <c r="AB150" s="8">
        <f>TRUNC($AD146*1.097,1)</f>
        <v>0</v>
      </c>
      <c r="AC150" s="40" t="s">
        <v>5000</v>
      </c>
      <c r="AD150" s="7">
        <f>$AB150</f>
        <v>0</v>
      </c>
      <c r="AE150" s="40" t="s">
        <v>4500</v>
      </c>
      <c r="AF150" s="8">
        <f>TRUNC($AH146*1.097,1)</f>
        <v>1966.1</v>
      </c>
      <c r="AG150" s="40" t="s">
        <v>2603</v>
      </c>
      <c r="AH150" s="7">
        <f>$AF150</f>
        <v>1966.1</v>
      </c>
      <c r="AI150" s="40" t="s">
        <v>5878</v>
      </c>
      <c r="AJ150" s="8">
        <f>TRUNC($AL146*1.097,1)</f>
        <v>7644.3</v>
      </c>
      <c r="AK150" s="40" t="s">
        <v>787</v>
      </c>
      <c r="AL150" s="7">
        <f>$AJ150</f>
        <v>7644.3</v>
      </c>
    </row>
    <row r="151" spans="1:38" ht="18.399999999999999" customHeight="1">
      <c r="A151" s="41" t="s">
        <v>6232</v>
      </c>
      <c r="B151" s="37"/>
      <c r="C151" s="37"/>
      <c r="D151" s="37"/>
      <c r="E151" s="37"/>
      <c r="F151" s="45"/>
      <c r="K151" s="3" t="s">
        <v>6232</v>
      </c>
    </row>
    <row r="152" spans="1:38" ht="18.399999999999999" customHeight="1">
      <c r="A152" s="41" t="s">
        <v>3436</v>
      </c>
      <c r="B152" s="37">
        <f>SUM($C152,$D152,$E152)</f>
        <v>9610.4</v>
      </c>
      <c r="C152" s="37">
        <f>$AB152</f>
        <v>0</v>
      </c>
      <c r="D152" s="37">
        <f>$AF152</f>
        <v>1966.1</v>
      </c>
      <c r="E152" s="37">
        <f>$AJ152</f>
        <v>7644.3</v>
      </c>
      <c r="F152" s="45"/>
      <c r="K152" s="3" t="s">
        <v>4527</v>
      </c>
      <c r="AA152" s="40" t="s">
        <v>4592</v>
      </c>
      <c r="AB152" s="8">
        <f>TRUNC($AD150,1)</f>
        <v>0</v>
      </c>
      <c r="AC152" s="40" t="s">
        <v>5149</v>
      </c>
      <c r="AD152" s="7">
        <f>$AB152</f>
        <v>0</v>
      </c>
      <c r="AE152" s="40" t="s">
        <v>666</v>
      </c>
      <c r="AF152" s="8">
        <f>TRUNC($AH150,1)</f>
        <v>1966.1</v>
      </c>
      <c r="AG152" s="40" t="s">
        <v>2431</v>
      </c>
      <c r="AH152" s="7">
        <f>$AF152</f>
        <v>1966.1</v>
      </c>
      <c r="AI152" s="40" t="s">
        <v>1930</v>
      </c>
      <c r="AJ152" s="8">
        <f>TRUNC($AL150,1)</f>
        <v>7644.3</v>
      </c>
      <c r="AK152" s="40" t="s">
        <v>3349</v>
      </c>
      <c r="AL152" s="7">
        <f>$AJ152</f>
        <v>7644.3</v>
      </c>
    </row>
    <row r="153" spans="1:38" ht="18.399999999999999" customHeight="1">
      <c r="A153" s="41"/>
      <c r="B153" s="3"/>
      <c r="C153" s="3"/>
      <c r="D153" s="3"/>
      <c r="E153" s="3"/>
      <c r="F153" s="44"/>
    </row>
    <row r="154" spans="1:38" ht="18.399999999999999" customHeight="1">
      <c r="A154" s="43" t="s">
        <v>3543</v>
      </c>
      <c r="B154" s="38">
        <f>SUM($C154,$D154,$E154)</f>
        <v>9610</v>
      </c>
      <c r="C154" s="38">
        <f>TRUNC(SUM($AD152),0)</f>
        <v>0</v>
      </c>
      <c r="D154" s="38">
        <f>TRUNC(SUM($AH152),0)</f>
        <v>1966</v>
      </c>
      <c r="E154" s="38">
        <f>TRUNC(SUM($AL152),0)</f>
        <v>7644</v>
      </c>
      <c r="F154" s="46"/>
    </row>
    <row r="155" spans="1:38" ht="18.399999999999999" customHeight="1">
      <c r="A155" s="41"/>
      <c r="B155" s="3"/>
      <c r="C155" s="3"/>
      <c r="D155" s="3"/>
      <c r="E155" s="3"/>
      <c r="F155" s="44"/>
    </row>
    <row r="156" spans="1:38" ht="18.399999999999999" customHeight="1">
      <c r="A156" s="41" t="s">
        <v>4442</v>
      </c>
      <c r="B156" s="36">
        <f>$B230</f>
        <v>9419</v>
      </c>
      <c r="C156" s="36">
        <f>$C230</f>
        <v>0</v>
      </c>
      <c r="D156" s="36">
        <f>$D230</f>
        <v>1966</v>
      </c>
      <c r="E156" s="36">
        <f>$E230</f>
        <v>7453</v>
      </c>
      <c r="F156" s="44" t="s">
        <v>3378</v>
      </c>
      <c r="G156" t="s">
        <v>6232</v>
      </c>
      <c r="H156" t="s">
        <v>3902</v>
      </c>
      <c r="K156">
        <v>1</v>
      </c>
      <c r="Y156" s="7" t="b">
        <f>EXACT($Z156,$B230)</f>
        <v>0</v>
      </c>
      <c r="Z156" s="38">
        <v>8494</v>
      </c>
    </row>
    <row r="157" spans="1:38" ht="18.399999999999999" customHeight="1">
      <c r="A157" s="41"/>
      <c r="B157" s="3"/>
      <c r="C157" s="3"/>
      <c r="D157" s="3"/>
      <c r="E157" s="3"/>
      <c r="F157" s="44"/>
    </row>
    <row r="158" spans="1:38" ht="18.399999999999999" customHeight="1">
      <c r="A158" s="41" t="s">
        <v>6232</v>
      </c>
      <c r="B158" s="3"/>
      <c r="C158" s="3"/>
      <c r="D158" s="3"/>
      <c r="E158" s="3"/>
      <c r="F158" s="44"/>
      <c r="G158" t="s">
        <v>6232</v>
      </c>
      <c r="I158" t="s">
        <v>742</v>
      </c>
      <c r="J158" t="s">
        <v>6232</v>
      </c>
      <c r="K158" t="s">
        <v>5235</v>
      </c>
    </row>
    <row r="159" spans="1:38" ht="18.399999999999999" customHeight="1">
      <c r="A159" s="41" t="s">
        <v>4631</v>
      </c>
      <c r="B159" s="37"/>
      <c r="C159" s="37"/>
      <c r="D159" s="37"/>
      <c r="E159" s="37"/>
      <c r="F159" s="45"/>
      <c r="K159" s="3" t="s">
        <v>1151</v>
      </c>
    </row>
    <row r="160" spans="1:38" ht="18.399999999999999" customHeight="1">
      <c r="A160" s="41" t="s">
        <v>6232</v>
      </c>
      <c r="B160" s="37"/>
      <c r="C160" s="37"/>
      <c r="D160" s="37"/>
      <c r="E160" s="37"/>
      <c r="F160" s="45"/>
      <c r="K160" s="3" t="s">
        <v>6232</v>
      </c>
    </row>
    <row r="161" spans="1:38" ht="18.399999999999999" customHeight="1">
      <c r="A161" s="42" t="str">
        <f>CONCATENATE("                L=",TEXT($AB161,"#,##0.0"),"   KM  실시공후 정산")</f>
        <v xml:space="preserve">                L=4.0   KM  실시공후 정산</v>
      </c>
      <c r="B161" s="37"/>
      <c r="C161" s="37"/>
      <c r="D161" s="37"/>
      <c r="E161" s="37"/>
      <c r="F161" s="45"/>
      <c r="K161" s="10" t="str">
        <f>SUBSTITUTE(SUBSTITUTE("                L = 4.0  _x001D_KM_x001D__x001D_실시공후 정산_x001D_","4.0",TEXT($AB161,"#,##0.0"),1),"_x001D_","'")</f>
        <v xml:space="preserve">                L = 4.0  'KM''실시공후 정산'</v>
      </c>
      <c r="AA161" s="39" t="s">
        <v>5842</v>
      </c>
      <c r="AB161" s="6">
        <v>4</v>
      </c>
      <c r="AC161" s="39" t="s">
        <v>5842</v>
      </c>
      <c r="AD161" s="7">
        <f>$AB161</f>
        <v>4</v>
      </c>
    </row>
    <row r="162" spans="1:38" ht="18.399999999999999" customHeight="1">
      <c r="A162" s="41" t="s">
        <v>6214</v>
      </c>
      <c r="B162" s="37"/>
      <c r="C162" s="37"/>
      <c r="D162" s="37"/>
      <c r="E162" s="37"/>
      <c r="F162" s="45"/>
      <c r="K162" s="3" t="s">
        <v>3965</v>
      </c>
    </row>
    <row r="163" spans="1:38" ht="18.399999999999999" customHeight="1">
      <c r="A163" s="42" t="str">
        <f>CONCATENATE("                V=",TEXT($AB163,"#,##0.0"),"  KM/hr")</f>
        <v xml:space="preserve">                V=30.0  KM/hr</v>
      </c>
      <c r="B163" s="37"/>
      <c r="C163" s="37"/>
      <c r="D163" s="37"/>
      <c r="E163" s="37"/>
      <c r="F163" s="45"/>
      <c r="K163" s="10" t="str">
        <f>SUBSTITUTE(SUBSTITUTE("                V = 30.0 _x001D_KM/hr_x001D_","30.0",TEXT($AB163,"#,##0.0"),1),"_x001D_","'")</f>
        <v xml:space="preserve">                V = 30.0 'KM/hr'</v>
      </c>
      <c r="AA163" s="39" t="s">
        <v>247</v>
      </c>
      <c r="AB163" s="6">
        <v>30</v>
      </c>
      <c r="AC163" s="39" t="s">
        <v>247</v>
      </c>
      <c r="AD163" s="7">
        <f>$AB163</f>
        <v>30</v>
      </c>
    </row>
    <row r="164" spans="1:38" ht="18.399999999999999" customHeight="1">
      <c r="A164" s="41" t="s">
        <v>6232</v>
      </c>
      <c r="B164" s="37">
        <f>SUM($C164,$D164,$E164)</f>
        <v>0</v>
      </c>
      <c r="C164" s="37">
        <f>$AB164</f>
        <v>0</v>
      </c>
      <c r="D164" s="37">
        <f>$AF164</f>
        <v>0</v>
      </c>
      <c r="E164" s="37">
        <f>$AJ164</f>
        <v>0</v>
      </c>
      <c r="F164" s="45"/>
      <c r="K164" s="3" t="s">
        <v>295</v>
      </c>
      <c r="AA164" s="40" t="s">
        <v>2660</v>
      </c>
      <c r="AB164" s="8">
        <f>ROUND(0,2)</f>
        <v>0</v>
      </c>
      <c r="AC164" s="40" t="s">
        <v>1650</v>
      </c>
      <c r="AD164" s="7">
        <f>$AB164</f>
        <v>0</v>
      </c>
      <c r="AE164" s="40" t="s">
        <v>5305</v>
      </c>
      <c r="AF164" s="8">
        <f>ROUND(0,2)</f>
        <v>0</v>
      </c>
      <c r="AG164" s="40" t="s">
        <v>5439</v>
      </c>
      <c r="AH164" s="7">
        <f>$AF164</f>
        <v>0</v>
      </c>
      <c r="AI164" s="40" t="s">
        <v>3519</v>
      </c>
      <c r="AJ164" s="8">
        <f>ROUND(0,2)</f>
        <v>0</v>
      </c>
      <c r="AK164" s="40" t="s">
        <v>4149</v>
      </c>
      <c r="AL164" s="7">
        <f>$AJ164</f>
        <v>0</v>
      </c>
    </row>
    <row r="165" spans="1:38" ht="18.399999999999999" customHeight="1">
      <c r="A165" s="41" t="s">
        <v>5524</v>
      </c>
      <c r="B165" s="37"/>
      <c r="C165" s="37"/>
      <c r="D165" s="37"/>
      <c r="E165" s="37"/>
      <c r="F165" s="45"/>
      <c r="K165" s="3" t="s">
        <v>3427</v>
      </c>
    </row>
    <row r="166" spans="1:38" ht="18.399999999999999" customHeight="1">
      <c r="A166" s="41" t="s">
        <v>6232</v>
      </c>
      <c r="B166" s="37"/>
      <c r="C166" s="37"/>
      <c r="D166" s="37"/>
      <c r="E166" s="37"/>
      <c r="F166" s="45"/>
      <c r="K166" s="3" t="s">
        <v>6232</v>
      </c>
    </row>
    <row r="167" spans="1:38" ht="18.399999999999999" customHeight="1">
      <c r="A167" s="41" t="s">
        <v>2653</v>
      </c>
      <c r="B167" s="37"/>
      <c r="C167" s="37"/>
      <c r="D167" s="37"/>
      <c r="E167" s="37"/>
      <c r="F167" s="45"/>
      <c r="K167" s="3" t="s">
        <v>2793</v>
      </c>
    </row>
    <row r="168" spans="1:38" ht="18.399999999999999" customHeight="1">
      <c r="A168" s="41" t="s">
        <v>52</v>
      </c>
      <c r="B168" s="37"/>
      <c r="C168" s="37"/>
      <c r="D168" s="37"/>
      <c r="E168" s="37"/>
      <c r="F168" s="45"/>
      <c r="K168" s="3" t="s">
        <v>3020</v>
      </c>
    </row>
    <row r="169" spans="1:38" ht="18.399999999999999" customHeight="1">
      <c r="A169" s="41" t="s">
        <v>6232</v>
      </c>
      <c r="B169" s="37"/>
      <c r="C169" s="37"/>
      <c r="D169" s="37"/>
      <c r="E169" s="37"/>
      <c r="F169" s="45"/>
      <c r="K169" s="3" t="s">
        <v>6232</v>
      </c>
    </row>
    <row r="170" spans="1:38" ht="18.399999999999999" customHeight="1">
      <c r="A170" s="41" t="s">
        <v>3700</v>
      </c>
      <c r="B170" s="37"/>
      <c r="C170" s="37"/>
      <c r="D170" s="37"/>
      <c r="E170" s="37"/>
      <c r="F170" s="45"/>
      <c r="K170" s="3" t="s">
        <v>2773</v>
      </c>
    </row>
    <row r="171" spans="1:38" ht="18.399999999999999" customHeight="1">
      <c r="A171" s="41" t="s">
        <v>679</v>
      </c>
      <c r="B171" s="37"/>
      <c r="C171" s="37"/>
      <c r="D171" s="37"/>
      <c r="E171" s="37"/>
      <c r="F171" s="45"/>
      <c r="K171" s="3" t="s">
        <v>1995</v>
      </c>
    </row>
    <row r="172" spans="1:38" ht="18.399999999999999" customHeight="1">
      <c r="A172" s="41" t="s">
        <v>5867</v>
      </c>
      <c r="B172" s="37"/>
      <c r="C172" s="37"/>
      <c r="D172" s="37"/>
      <c r="E172" s="37"/>
      <c r="F172" s="45"/>
      <c r="K172" s="3" t="s">
        <v>2096</v>
      </c>
    </row>
    <row r="173" spans="1:38" ht="18.399999999999999" customHeight="1">
      <c r="A173" s="41" t="s">
        <v>6232</v>
      </c>
      <c r="B173" s="37"/>
      <c r="C173" s="37"/>
      <c r="D173" s="37"/>
      <c r="E173" s="37"/>
      <c r="F173" s="45"/>
      <c r="K173" s="3" t="s">
        <v>6232</v>
      </c>
    </row>
    <row r="174" spans="1:38" ht="18.399999999999999" customHeight="1">
      <c r="A174" s="41" t="s">
        <v>663</v>
      </c>
      <c r="B174" s="37"/>
      <c r="C174" s="37"/>
      <c r="D174" s="37"/>
      <c r="E174" s="37"/>
      <c r="F174" s="45"/>
      <c r="K174" s="3" t="s">
        <v>1707</v>
      </c>
    </row>
    <row r="175" spans="1:38" ht="18.399999999999999" customHeight="1">
      <c r="A175" s="41" t="s">
        <v>6232</v>
      </c>
      <c r="B175" s="37"/>
      <c r="C175" s="37"/>
      <c r="D175" s="37"/>
      <c r="E175" s="37"/>
      <c r="F175" s="45"/>
      <c r="K175" s="3" t="s">
        <v>6232</v>
      </c>
    </row>
    <row r="176" spans="1:38" ht="18.399999999999999" customHeight="1">
      <c r="A176" s="41" t="s">
        <v>6134</v>
      </c>
      <c r="B176" s="37"/>
      <c r="C176" s="37"/>
      <c r="D176" s="37"/>
      <c r="E176" s="37"/>
      <c r="F176" s="45"/>
      <c r="K176" s="3" t="s">
        <v>4089</v>
      </c>
    </row>
    <row r="177" spans="1:34" ht="18.399999999999999" customHeight="1">
      <c r="A177" s="41" t="s">
        <v>6232</v>
      </c>
      <c r="B177" s="37"/>
      <c r="C177" s="37"/>
      <c r="D177" s="37"/>
      <c r="E177" s="37"/>
      <c r="F177" s="45"/>
      <c r="K177" s="3" t="s">
        <v>6232</v>
      </c>
    </row>
    <row r="178" spans="1:34" ht="18.399999999999999" customHeight="1">
      <c r="A178" s="41" t="s">
        <v>1517</v>
      </c>
      <c r="B178" s="37"/>
      <c r="C178" s="37"/>
      <c r="D178" s="37"/>
      <c r="E178" s="37"/>
      <c r="F178" s="45"/>
      <c r="K178" s="3" t="s">
        <v>2275</v>
      </c>
    </row>
    <row r="179" spans="1:34" ht="18.399999999999999" customHeight="1">
      <c r="A179" s="41" t="s">
        <v>6232</v>
      </c>
      <c r="B179" s="37"/>
      <c r="C179" s="37"/>
      <c r="D179" s="37"/>
      <c r="E179" s="37"/>
      <c r="F179" s="45"/>
      <c r="K179" s="3" t="s">
        <v>6232</v>
      </c>
    </row>
    <row r="180" spans="1:34" ht="18.399999999999999" customHeight="1">
      <c r="A180" s="41" t="s">
        <v>257</v>
      </c>
      <c r="B180" s="37"/>
      <c r="C180" s="37"/>
      <c r="D180" s="37"/>
      <c r="E180" s="37"/>
      <c r="F180" s="45"/>
      <c r="K180" s="3" t="s">
        <v>1264</v>
      </c>
    </row>
    <row r="181" spans="1:34" ht="18.399999999999999" customHeight="1">
      <c r="A181" s="41" t="s">
        <v>6232</v>
      </c>
      <c r="B181" s="37"/>
      <c r="C181" s="37"/>
      <c r="D181" s="37"/>
      <c r="E181" s="37"/>
      <c r="F181" s="45"/>
      <c r="K181" s="3" t="s">
        <v>6232</v>
      </c>
    </row>
    <row r="182" spans="1:34" ht="18.399999999999999" customHeight="1">
      <c r="A182" s="42" t="str">
        <f>CONCATENATE("   - 1차당 적재량(본)         Q=",TEXT($AB182,"#,##0.00"),"  본")</f>
        <v xml:space="preserve">   - 1차당 적재량(본)         Q=3.00  본</v>
      </c>
      <c r="B182" s="37"/>
      <c r="C182" s="37"/>
      <c r="D182" s="37"/>
      <c r="E182" s="37"/>
      <c r="F182" s="45"/>
      <c r="K182" s="10" t="str">
        <f>SUBSTITUTE(SUBSTITUTE("  _x001D_- 1차당 적재량(본)_x001D_        Q  =  3 _x001D_본_x001D_","3",TEXT($AB182,"#,##0"),1),"_x001D_","'")</f>
        <v xml:space="preserve">  '- 1차당 적재량(본)'        Q  =  3 '본'</v>
      </c>
      <c r="AA182" s="39" t="s">
        <v>4337</v>
      </c>
      <c r="AB182" s="6">
        <v>3</v>
      </c>
      <c r="AC182" s="39" t="s">
        <v>4337</v>
      </c>
      <c r="AD182" s="7">
        <f>$AB182</f>
        <v>3</v>
      </c>
    </row>
    <row r="183" spans="1:34" ht="18.399999999999999" customHeight="1">
      <c r="A183" s="41" t="s">
        <v>6232</v>
      </c>
      <c r="B183" s="37"/>
      <c r="C183" s="37"/>
      <c r="D183" s="37"/>
      <c r="E183" s="37"/>
      <c r="F183" s="45"/>
      <c r="K183" s="3" t="s">
        <v>6232</v>
      </c>
    </row>
    <row r="184" spans="1:34" ht="18.399999999999999" customHeight="1">
      <c r="A184" s="42" t="str">
        <f>CONCATENATE("   - 운반차량 대기시간(12M당)    T1=",TEXT($AB184,"#,##0.00"),"   분")</f>
        <v xml:space="preserve">   - 운반차량 대기시간(12M당)    T1=12.00   분</v>
      </c>
      <c r="B184" s="37"/>
      <c r="C184" s="37"/>
      <c r="D184" s="37"/>
      <c r="E184" s="37"/>
      <c r="F184" s="45"/>
      <c r="K184" s="10" t="str">
        <f>SUBSTITUTE(SUBSTITUTE("  _x001D_- 운반차량 대기시간(12M당)_x001D_   T1 = 12  _x001D_분_x001D_","12",TEXT($AB184,"#,##0"),1),"_x001D_","'")</f>
        <v xml:space="preserve">  '- 운반차량 대기시간(12M당)'   T1 = 12  '분'</v>
      </c>
      <c r="AA184" s="39" t="s">
        <v>4528</v>
      </c>
      <c r="AB184" s="6">
        <v>12</v>
      </c>
      <c r="AC184" s="39" t="s">
        <v>4528</v>
      </c>
      <c r="AD184" s="7">
        <f>$AB184</f>
        <v>12</v>
      </c>
    </row>
    <row r="185" spans="1:34" ht="18.399999999999999" customHeight="1">
      <c r="A185" s="41" t="s">
        <v>6232</v>
      </c>
      <c r="B185" s="37"/>
      <c r="C185" s="37"/>
      <c r="D185" s="37"/>
      <c r="E185" s="37"/>
      <c r="F185" s="45"/>
      <c r="K185" s="3" t="s">
        <v>6232</v>
      </c>
    </row>
    <row r="186" spans="1:34" ht="18.399999999999999" customHeight="1">
      <c r="A186" s="41" t="s">
        <v>4838</v>
      </c>
      <c r="B186" s="37"/>
      <c r="C186" s="37"/>
      <c r="D186" s="37"/>
      <c r="E186" s="37"/>
      <c r="F186" s="45"/>
      <c r="K186" s="3" t="s">
        <v>6093</v>
      </c>
    </row>
    <row r="187" spans="1:34" ht="18.399999999999999" customHeight="1">
      <c r="A187" s="41" t="s">
        <v>6232</v>
      </c>
      <c r="B187" s="37"/>
      <c r="C187" s="37"/>
      <c r="D187" s="37"/>
      <c r="E187" s="37"/>
      <c r="F187" s="45"/>
      <c r="K187" s="3" t="s">
        <v>6232</v>
      </c>
    </row>
    <row r="188" spans="1:34" ht="18.399999999999999" customHeight="1">
      <c r="A188" s="42" t="str">
        <f>CONCATENATE("    T2 = (L / V * 2 * 60 + 20) / Q = ",TEXT($AF188,"#,##0.00")," 분 ")</f>
        <v xml:space="preserve">    T2 = (L / V * 2 * 60 + 20) / Q = 12.00 분 </v>
      </c>
      <c r="B188" s="37">
        <f>SUM($C188,$D188,$E188)</f>
        <v>0</v>
      </c>
      <c r="C188" s="37"/>
      <c r="D188" s="37"/>
      <c r="E188" s="37"/>
      <c r="F188" s="45"/>
      <c r="K188" s="3" t="s">
        <v>3353</v>
      </c>
      <c r="AA188" s="39" t="s">
        <v>5897</v>
      </c>
      <c r="AB188" s="8">
        <f>ROUND(($AD161/$AD163*2*60+20)/$AD182,2)</f>
        <v>12</v>
      </c>
      <c r="AC188" s="39" t="s">
        <v>2053</v>
      </c>
      <c r="AD188" s="7">
        <f>$AB188</f>
        <v>12</v>
      </c>
      <c r="AE188" s="39" t="s">
        <v>6030</v>
      </c>
      <c r="AF188" s="8">
        <f>ROUND(ROUND(($AD161/$AD163*2*60+20)/$AD182,2),2)</f>
        <v>12</v>
      </c>
      <c r="AG188" s="39" t="s">
        <v>3581</v>
      </c>
      <c r="AH188" s="7">
        <f>$AF188</f>
        <v>12</v>
      </c>
    </row>
    <row r="189" spans="1:34" ht="18.399999999999999" customHeight="1">
      <c r="A189" s="41" t="s">
        <v>6232</v>
      </c>
      <c r="B189" s="37"/>
      <c r="C189" s="37"/>
      <c r="D189" s="37"/>
      <c r="E189" s="37"/>
      <c r="F189" s="45"/>
      <c r="K189" s="3" t="s">
        <v>6232</v>
      </c>
    </row>
    <row r="190" spans="1:34" ht="18.399999999999999" customHeight="1">
      <c r="A190" s="41" t="s">
        <v>2391</v>
      </c>
      <c r="B190" s="37"/>
      <c r="C190" s="37"/>
      <c r="D190" s="37"/>
      <c r="E190" s="37"/>
      <c r="F190" s="45"/>
      <c r="K190" s="3" t="s">
        <v>4710</v>
      </c>
    </row>
    <row r="191" spans="1:34" ht="18.399999999999999" customHeight="1">
      <c r="A191" s="41" t="s">
        <v>6232</v>
      </c>
      <c r="B191" s="37"/>
      <c r="C191" s="37"/>
      <c r="D191" s="37"/>
      <c r="E191" s="37"/>
      <c r="F191" s="45"/>
      <c r="K191" s="3" t="s">
        <v>6232</v>
      </c>
    </row>
    <row r="192" spans="1:34" ht="18.399999999999999" customHeight="1">
      <c r="A192" s="42" t="str">
        <f>CONCATENATE("    CM = T1 + T2 = ",TEXT($AF192,"#,##0.00")," 분 ")</f>
        <v xml:space="preserve">    CM = T1 + T2 = 24.00 분 </v>
      </c>
      <c r="B192" s="37">
        <f>SUM($C192,$D192,$E192)</f>
        <v>0</v>
      </c>
      <c r="C192" s="37"/>
      <c r="D192" s="37"/>
      <c r="E192" s="37"/>
      <c r="F192" s="45"/>
      <c r="K192" s="3" t="s">
        <v>6049</v>
      </c>
      <c r="AA192" s="39" t="s">
        <v>5026</v>
      </c>
      <c r="AB192" s="8">
        <f>ROUND($AD184+$AD188,2)</f>
        <v>24</v>
      </c>
      <c r="AC192" s="39" t="s">
        <v>289</v>
      </c>
      <c r="AD192" s="7">
        <f>$AB192</f>
        <v>24</v>
      </c>
      <c r="AE192" s="39" t="s">
        <v>2142</v>
      </c>
      <c r="AF192" s="8">
        <f>ROUND(ROUND($AD184+$AD188,2),2)</f>
        <v>24</v>
      </c>
      <c r="AG192" s="39" t="s">
        <v>612</v>
      </c>
      <c r="AH192" s="7">
        <f>$AF192</f>
        <v>24</v>
      </c>
    </row>
    <row r="193" spans="1:34" ht="18.399999999999999" customHeight="1">
      <c r="A193" s="41" t="s">
        <v>6232</v>
      </c>
      <c r="B193" s="37"/>
      <c r="C193" s="37"/>
      <c r="D193" s="37"/>
      <c r="E193" s="37"/>
      <c r="F193" s="45"/>
      <c r="K193" s="3" t="s">
        <v>6232</v>
      </c>
    </row>
    <row r="194" spans="1:34" ht="18.399999999999999" customHeight="1">
      <c r="A194" s="41" t="s">
        <v>5848</v>
      </c>
      <c r="B194" s="37"/>
      <c r="C194" s="37"/>
      <c r="D194" s="37"/>
      <c r="E194" s="37"/>
      <c r="F194" s="45"/>
      <c r="K194" s="3" t="s">
        <v>788</v>
      </c>
    </row>
    <row r="195" spans="1:34" ht="18.399999999999999" customHeight="1">
      <c r="A195" s="41" t="s">
        <v>6232</v>
      </c>
      <c r="B195" s="37"/>
      <c r="C195" s="37"/>
      <c r="D195" s="37"/>
      <c r="E195" s="37"/>
      <c r="F195" s="45"/>
      <c r="K195" s="3" t="s">
        <v>6232</v>
      </c>
    </row>
    <row r="196" spans="1:34" ht="18.399999999999999" customHeight="1">
      <c r="A196" s="42" t="str">
        <f>CONCATENATE("    Qo = T2 / CM = ",TEXT($AF196,"#,##0.00")," 분 ")</f>
        <v xml:space="preserve">    Qo = T2 / CM = 0.50 분 </v>
      </c>
      <c r="B196" s="37">
        <f>SUM($C196,$D196,$E196)</f>
        <v>0</v>
      </c>
      <c r="C196" s="37"/>
      <c r="D196" s="37"/>
      <c r="E196" s="37"/>
      <c r="F196" s="45"/>
      <c r="K196" s="3" t="s">
        <v>882</v>
      </c>
      <c r="AA196" s="39" t="s">
        <v>1501</v>
      </c>
      <c r="AB196" s="8">
        <f>ROUND($AD188/$AD192,2)</f>
        <v>0.5</v>
      </c>
      <c r="AC196" s="39" t="s">
        <v>2425</v>
      </c>
      <c r="AD196" s="7">
        <f>$AB196</f>
        <v>0.5</v>
      </c>
      <c r="AE196" s="39" t="s">
        <v>2026</v>
      </c>
      <c r="AF196" s="8">
        <f>ROUND(ROUND($AD188/$AD192,2),2)</f>
        <v>0.5</v>
      </c>
      <c r="AG196" s="39" t="s">
        <v>5505</v>
      </c>
      <c r="AH196" s="7">
        <f>$AF196</f>
        <v>0.5</v>
      </c>
    </row>
    <row r="197" spans="1:34" ht="18.399999999999999" customHeight="1">
      <c r="A197" s="41" t="s">
        <v>6232</v>
      </c>
      <c r="B197" s="37"/>
      <c r="C197" s="37"/>
      <c r="D197" s="37"/>
      <c r="E197" s="37"/>
      <c r="F197" s="45"/>
      <c r="K197" s="3" t="s">
        <v>6232</v>
      </c>
    </row>
    <row r="198" spans="1:34" ht="18.399999999999999" customHeight="1">
      <c r="A198" s="41" t="s">
        <v>1042</v>
      </c>
      <c r="B198" s="37"/>
      <c r="C198" s="37"/>
      <c r="D198" s="37"/>
      <c r="E198" s="37"/>
      <c r="F198" s="45"/>
      <c r="K198" s="3" t="s">
        <v>1008</v>
      </c>
    </row>
    <row r="199" spans="1:34" ht="18.399999999999999" customHeight="1">
      <c r="A199" s="41" t="s">
        <v>6232</v>
      </c>
      <c r="B199" s="37"/>
      <c r="C199" s="37"/>
      <c r="D199" s="37"/>
      <c r="E199" s="37"/>
      <c r="F199" s="45"/>
      <c r="K199" s="3" t="s">
        <v>6232</v>
      </c>
    </row>
    <row r="200" spans="1:34" ht="18.399999999999999" customHeight="1">
      <c r="A200" s="42" t="str">
        <f>CONCATENATE("      보통인부 :  2.0 인  * _x001D_169,804_x001D_ * (CM + 6 ) / 60 / 8 = ",TEXT($AB200,"#,##0.0"))</f>
        <v xml:space="preserve">      보통인부 :  2.0 인  * _x001D_169,804_x001D_ * (CM + 6 ) / 60 / 8 = 21,508.5</v>
      </c>
      <c r="B200" s="37">
        <f>SUM($C200,$D200,$E200)</f>
        <v>21508.5</v>
      </c>
      <c r="C200" s="37"/>
      <c r="D200" s="37">
        <f>$AB200</f>
        <v>21508.5</v>
      </c>
      <c r="E200" s="37"/>
      <c r="F200" s="45" t="s">
        <v>6232</v>
      </c>
      <c r="K200" s="3" t="s">
        <v>3933</v>
      </c>
      <c r="AA200" s="40" t="s">
        <v>5305</v>
      </c>
      <c r="AB200" s="8">
        <f>TRUNC(2*노임!D3*($AD192+6)/60/8,1)</f>
        <v>21508.5</v>
      </c>
      <c r="AC200" s="40" t="s">
        <v>5439</v>
      </c>
      <c r="AD200" s="7">
        <f>$AH164+$AB200</f>
        <v>21508.5</v>
      </c>
    </row>
    <row r="201" spans="1:34" ht="18.399999999999999" customHeight="1">
      <c r="A201" s="41" t="s">
        <v>6232</v>
      </c>
      <c r="B201" s="37"/>
      <c r="C201" s="37"/>
      <c r="D201" s="37"/>
      <c r="E201" s="37"/>
      <c r="F201" s="45"/>
      <c r="K201" s="3" t="s">
        <v>6232</v>
      </c>
    </row>
    <row r="202" spans="1:34" ht="18.399999999999999" customHeight="1">
      <c r="A202" s="41" t="s">
        <v>5801</v>
      </c>
      <c r="B202" s="37"/>
      <c r="C202" s="37"/>
      <c r="D202" s="37"/>
      <c r="E202" s="37"/>
      <c r="F202" s="45"/>
      <c r="K202" s="3" t="s">
        <v>775</v>
      </c>
    </row>
    <row r="203" spans="1:34" ht="18.399999999999999" customHeight="1">
      <c r="A203" s="41" t="s">
        <v>6232</v>
      </c>
      <c r="B203" s="37"/>
      <c r="C203" s="37"/>
      <c r="D203" s="37"/>
      <c r="E203" s="37"/>
      <c r="F203" s="45"/>
      <c r="K203" s="3" t="s">
        <v>6232</v>
      </c>
    </row>
    <row r="204" spans="1:34" ht="18.399999999999999" customHeight="1">
      <c r="A204" s="41" t="s">
        <v>2913</v>
      </c>
      <c r="B204" s="37"/>
      <c r="C204" s="37"/>
      <c r="D204" s="37"/>
      <c r="E204" s="37"/>
      <c r="F204" s="45"/>
      <c r="K204" s="3" t="s">
        <v>2204</v>
      </c>
    </row>
    <row r="205" spans="1:34" ht="18.399999999999999" customHeight="1">
      <c r="A205" s="41" t="s">
        <v>6232</v>
      </c>
      <c r="B205" s="37"/>
      <c r="C205" s="37"/>
      <c r="D205" s="37"/>
      <c r="E205" s="37"/>
      <c r="F205" s="45"/>
      <c r="K205" s="3" t="s">
        <v>6232</v>
      </c>
    </row>
    <row r="206" spans="1:34" ht="18.399999999999999" customHeight="1">
      <c r="A206" s="42" t="str">
        <f>CONCATENATE("     재료비:  _x001D_10,105_x001D_ * 18 / 60 = ",TEXT($AB206,"#,##0.0"))</f>
        <v xml:space="preserve">     재료비:  _x001D_10,105_x001D_ * 18 / 60 = 0.0</v>
      </c>
      <c r="B206" s="37">
        <f>SUM($C206,$D206,$E206)</f>
        <v>0</v>
      </c>
      <c r="C206" s="37">
        <f>$AB206</f>
        <v>0</v>
      </c>
      <c r="D206" s="37"/>
      <c r="E206" s="37"/>
      <c r="F206" s="45" t="s">
        <v>6232</v>
      </c>
      <c r="K206" s="3" t="s">
        <v>5894</v>
      </c>
      <c r="AA206" s="40" t="s">
        <v>2660</v>
      </c>
      <c r="AB206" s="8">
        <f>TRUNC(중기사용료목록!E5*18/60,1)</f>
        <v>0</v>
      </c>
      <c r="AC206" s="40" t="s">
        <v>1650</v>
      </c>
      <c r="AD206" s="7">
        <f>$AD164+$AB206</f>
        <v>0</v>
      </c>
    </row>
    <row r="207" spans="1:34" ht="18.399999999999999" customHeight="1">
      <c r="A207" s="41" t="s">
        <v>6232</v>
      </c>
      <c r="B207" s="37"/>
      <c r="C207" s="37"/>
      <c r="D207" s="37"/>
      <c r="E207" s="37"/>
      <c r="F207" s="45"/>
      <c r="K207" s="3" t="s">
        <v>6232</v>
      </c>
    </row>
    <row r="208" spans="1:34" ht="18.399999999999999" customHeight="1">
      <c r="A208" s="42" t="str">
        <f>CONCATENATE("     노무비:  _x001D_57,077_x001D_ * 18 / 60 = ",TEXT($AB208,"#,##0.0"))</f>
        <v xml:space="preserve">     노무비:  _x001D_57,077_x001D_ * 18 / 60 = 0.0</v>
      </c>
      <c r="B208" s="37">
        <f>SUM($C208,$D208,$E208)</f>
        <v>0</v>
      </c>
      <c r="C208" s="37"/>
      <c r="D208" s="37">
        <f>$AB208</f>
        <v>0</v>
      </c>
      <c r="E208" s="37"/>
      <c r="F208" s="45" t="s">
        <v>6232</v>
      </c>
      <c r="K208" s="3" t="s">
        <v>1213</v>
      </c>
      <c r="AA208" s="40" t="s">
        <v>5305</v>
      </c>
      <c r="AB208" s="8">
        <f>TRUNC(중기사용료목록!F5*18/60,1)</f>
        <v>0</v>
      </c>
      <c r="AC208" s="40" t="s">
        <v>5439</v>
      </c>
      <c r="AD208" s="7">
        <f>$AD200+$AB208</f>
        <v>21508.5</v>
      </c>
    </row>
    <row r="209" spans="1:38" ht="18.399999999999999" customHeight="1">
      <c r="A209" s="41" t="s">
        <v>6232</v>
      </c>
      <c r="B209" s="37"/>
      <c r="C209" s="37"/>
      <c r="D209" s="37"/>
      <c r="E209" s="37"/>
      <c r="F209" s="45"/>
      <c r="K209" s="3" t="s">
        <v>6232</v>
      </c>
    </row>
    <row r="210" spans="1:38" ht="18.399999999999999" customHeight="1">
      <c r="A210" s="42" t="str">
        <f>CONCATENATE("     경  비:  _x001D_52,687_x001D_ * 18 / 60 = ",TEXT($AB210,"#,##0.0"))</f>
        <v xml:space="preserve">     경  비:  _x001D_52,687_x001D_ * 18 / 60 = 36,875.1</v>
      </c>
      <c r="B210" s="37">
        <f>SUM($C210,$D210,$E210)</f>
        <v>36875.1</v>
      </c>
      <c r="C210" s="37"/>
      <c r="D210" s="37"/>
      <c r="E210" s="37">
        <f>$AB210</f>
        <v>36875.1</v>
      </c>
      <c r="F210" s="45" t="s">
        <v>6232</v>
      </c>
      <c r="K210" s="3" t="s">
        <v>1534</v>
      </c>
      <c r="AA210" s="40" t="s">
        <v>3519</v>
      </c>
      <c r="AB210" s="8">
        <f>TRUNC(중기사용료목록!G5*18/60,1)</f>
        <v>36875.1</v>
      </c>
      <c r="AC210" s="40" t="s">
        <v>4149</v>
      </c>
      <c r="AD210" s="7">
        <f>$AL164+$AB210</f>
        <v>36875.1</v>
      </c>
    </row>
    <row r="211" spans="1:38" ht="18.399999999999999" customHeight="1">
      <c r="A211" s="41" t="s">
        <v>6232</v>
      </c>
      <c r="B211" s="37"/>
      <c r="C211" s="37"/>
      <c r="D211" s="37"/>
      <c r="E211" s="37"/>
      <c r="F211" s="45"/>
      <c r="K211" s="3" t="s">
        <v>6232</v>
      </c>
    </row>
    <row r="212" spans="1:38" ht="18.399999999999999" customHeight="1">
      <c r="A212" s="41" t="s">
        <v>1530</v>
      </c>
      <c r="B212" s="37"/>
      <c r="C212" s="37"/>
      <c r="D212" s="37"/>
      <c r="E212" s="37"/>
      <c r="F212" s="45"/>
      <c r="K212" s="3" t="s">
        <v>2021</v>
      </c>
    </row>
    <row r="213" spans="1:38" ht="18.399999999999999" customHeight="1">
      <c r="A213" s="41" t="s">
        <v>6232</v>
      </c>
      <c r="B213" s="37"/>
      <c r="C213" s="37"/>
      <c r="D213" s="37"/>
      <c r="E213" s="37"/>
      <c r="F213" s="45"/>
      <c r="K213" s="3" t="s">
        <v>6232</v>
      </c>
    </row>
    <row r="214" spans="1:38" ht="18.399999999999999" customHeight="1">
      <c r="A214" s="42" t="str">
        <f>CONCATENATE("     재료비:  _x001D_30,878_x001D_ * CM / 60 * Qo = ",TEXT($AB214,"#,##0.0"))</f>
        <v xml:space="preserve">     재료비:  _x001D_30,878_x001D_ * CM / 60 * Qo = 0.0</v>
      </c>
      <c r="B214" s="37">
        <f>SUM($C214,$D214,$E214)</f>
        <v>0</v>
      </c>
      <c r="C214" s="37">
        <f>$AB214</f>
        <v>0</v>
      </c>
      <c r="D214" s="37"/>
      <c r="E214" s="37"/>
      <c r="F214" s="45" t="s">
        <v>6232</v>
      </c>
      <c r="K214" s="3" t="s">
        <v>4711</v>
      </c>
      <c r="AA214" s="40" t="s">
        <v>2660</v>
      </c>
      <c r="AB214" s="8">
        <f>TRUNC(중기사용료목록!E7*$AD192/60*$AD196,1)</f>
        <v>0</v>
      </c>
      <c r="AC214" s="40" t="s">
        <v>1650</v>
      </c>
      <c r="AD214" s="7">
        <f>$AD206+$AB214</f>
        <v>0</v>
      </c>
    </row>
    <row r="215" spans="1:38" ht="18.399999999999999" customHeight="1">
      <c r="A215" s="41" t="s">
        <v>6232</v>
      </c>
      <c r="B215" s="37"/>
      <c r="C215" s="37"/>
      <c r="D215" s="37"/>
      <c r="E215" s="37"/>
      <c r="F215" s="45"/>
      <c r="K215" s="3" t="s">
        <v>6232</v>
      </c>
    </row>
    <row r="216" spans="1:38" ht="18.399999999999999" customHeight="1">
      <c r="A216" s="42" t="str">
        <f>CONCATENATE("     노무비:  _x001D_57,077_x001D_ * CM / 60 = ",TEXT($AB216,"#,##0.0"))</f>
        <v xml:space="preserve">     노무비:  _x001D_57,077_x001D_ * CM / 60 = 0.0</v>
      </c>
      <c r="B216" s="37">
        <f>SUM($C216,$D216,$E216)</f>
        <v>0</v>
      </c>
      <c r="C216" s="37"/>
      <c r="D216" s="37">
        <f>$AB216</f>
        <v>0</v>
      </c>
      <c r="E216" s="37"/>
      <c r="F216" s="45" t="s">
        <v>6232</v>
      </c>
      <c r="K216" s="3" t="s">
        <v>3619</v>
      </c>
      <c r="AA216" s="40" t="s">
        <v>5305</v>
      </c>
      <c r="AB216" s="8">
        <f>TRUNC(중기사용료목록!F7*$AD192/60,1)</f>
        <v>0</v>
      </c>
      <c r="AC216" s="40" t="s">
        <v>5439</v>
      </c>
      <c r="AD216" s="7">
        <f>$AD208+$AB216</f>
        <v>21508.5</v>
      </c>
    </row>
    <row r="217" spans="1:38" ht="18.399999999999999" customHeight="1">
      <c r="A217" s="41" t="s">
        <v>6232</v>
      </c>
      <c r="B217" s="37"/>
      <c r="C217" s="37"/>
      <c r="D217" s="37"/>
      <c r="E217" s="37"/>
      <c r="F217" s="45"/>
      <c r="K217" s="3" t="s">
        <v>6232</v>
      </c>
    </row>
    <row r="218" spans="1:38" ht="18.399999999999999" customHeight="1">
      <c r="A218" s="42" t="str">
        <f>CONCATENATE("     경  비:  _x001D_16,873_x001D_ * CM / 60 = ",TEXT($AB218,"#,##0.0"))</f>
        <v xml:space="preserve">     경  비:  _x001D_16,873_x001D_ * CM / 60 = 44,654.0</v>
      </c>
      <c r="B218" s="37">
        <f>SUM($C218,$D218,$E218)</f>
        <v>44654</v>
      </c>
      <c r="C218" s="37"/>
      <c r="D218" s="37"/>
      <c r="E218" s="37">
        <f>$AB218</f>
        <v>44654</v>
      </c>
      <c r="F218" s="45" t="s">
        <v>6232</v>
      </c>
      <c r="K218" s="3" t="s">
        <v>5622</v>
      </c>
      <c r="AA218" s="40" t="s">
        <v>3519</v>
      </c>
      <c r="AB218" s="8">
        <f>TRUNC(중기사용료목록!G7*$AD192/60,1)</f>
        <v>44654</v>
      </c>
      <c r="AC218" s="40" t="s">
        <v>4149</v>
      </c>
      <c r="AD218" s="7">
        <f>$AD210+$AB218</f>
        <v>81529.100000000006</v>
      </c>
    </row>
    <row r="219" spans="1:38" ht="18.399999999999999" customHeight="1">
      <c r="A219" s="41" t="s">
        <v>6232</v>
      </c>
      <c r="B219" s="37"/>
      <c r="C219" s="37"/>
      <c r="D219" s="37"/>
      <c r="E219" s="37"/>
      <c r="F219" s="45"/>
      <c r="K219" s="3" t="s">
        <v>6232</v>
      </c>
    </row>
    <row r="220" spans="1:38" ht="18.399999999999999" customHeight="1">
      <c r="A220" s="41" t="s">
        <v>4035</v>
      </c>
      <c r="B220" s="37">
        <v>92941.8</v>
      </c>
      <c r="C220" s="37">
        <v>9207.1</v>
      </c>
      <c r="D220" s="37">
        <v>61179.4</v>
      </c>
      <c r="E220" s="37">
        <v>22555.3</v>
      </c>
      <c r="F220" s="45"/>
      <c r="K220" s="3" t="s">
        <v>6070</v>
      </c>
    </row>
    <row r="221" spans="1:38" ht="18.399999999999999" customHeight="1">
      <c r="A221" s="41" t="s">
        <v>6232</v>
      </c>
      <c r="B221" s="37">
        <f>SUM($C221,$D221,$E221)</f>
        <v>0</v>
      </c>
      <c r="C221" s="37">
        <f>$AB221</f>
        <v>0</v>
      </c>
      <c r="D221" s="37">
        <f>$AF221</f>
        <v>0</v>
      </c>
      <c r="E221" s="37">
        <f>$AJ221</f>
        <v>0</v>
      </c>
      <c r="F221" s="45"/>
      <c r="K221" s="3" t="s">
        <v>5506</v>
      </c>
      <c r="AA221" s="40" t="s">
        <v>4586</v>
      </c>
      <c r="AB221" s="8">
        <f>ROUND(0,2)</f>
        <v>0</v>
      </c>
      <c r="AC221" s="40" t="s">
        <v>4161</v>
      </c>
      <c r="AD221" s="7">
        <f>$AB221</f>
        <v>0</v>
      </c>
      <c r="AE221" s="40" t="s">
        <v>222</v>
      </c>
      <c r="AF221" s="8">
        <f>ROUND(0,2)</f>
        <v>0</v>
      </c>
      <c r="AG221" s="40" t="s">
        <v>334</v>
      </c>
      <c r="AH221" s="7">
        <f>$AF221</f>
        <v>0</v>
      </c>
      <c r="AI221" s="40" t="s">
        <v>1574</v>
      </c>
      <c r="AJ221" s="8">
        <f>ROUND(0,2)</f>
        <v>0</v>
      </c>
      <c r="AK221" s="40" t="s">
        <v>1622</v>
      </c>
      <c r="AL221" s="7">
        <f>$AJ221</f>
        <v>0</v>
      </c>
    </row>
    <row r="222" spans="1:38" ht="18.399999999999999" customHeight="1">
      <c r="A222" s="41" t="s">
        <v>2532</v>
      </c>
      <c r="B222" s="37">
        <f>SUM($C222,$D222,$E222)</f>
        <v>8586.2999999999993</v>
      </c>
      <c r="C222" s="37">
        <f>$AB222</f>
        <v>0</v>
      </c>
      <c r="D222" s="37">
        <f>$AF222</f>
        <v>1792.3</v>
      </c>
      <c r="E222" s="37">
        <f>$AJ222</f>
        <v>6794</v>
      </c>
      <c r="F222" s="45"/>
      <c r="K222" s="3" t="s">
        <v>4286</v>
      </c>
      <c r="AA222" s="40" t="s">
        <v>4586</v>
      </c>
      <c r="AB222" s="8">
        <f>TRUNC($AD214/12,1)</f>
        <v>0</v>
      </c>
      <c r="AC222" s="40" t="s">
        <v>4161</v>
      </c>
      <c r="AD222" s="7">
        <f>$AB222</f>
        <v>0</v>
      </c>
      <c r="AE222" s="40" t="s">
        <v>222</v>
      </c>
      <c r="AF222" s="8">
        <f>TRUNC($AD216/12,1)</f>
        <v>1792.3</v>
      </c>
      <c r="AG222" s="40" t="s">
        <v>334</v>
      </c>
      <c r="AH222" s="7">
        <f>$AF222</f>
        <v>1792.3</v>
      </c>
      <c r="AI222" s="40" t="s">
        <v>1574</v>
      </c>
      <c r="AJ222" s="8">
        <f>TRUNC($AD218/12,1)</f>
        <v>6794</v>
      </c>
      <c r="AK222" s="40" t="s">
        <v>1622</v>
      </c>
      <c r="AL222" s="7">
        <f>$AJ222</f>
        <v>6794</v>
      </c>
    </row>
    <row r="223" spans="1:38" ht="18.399999999999999" customHeight="1">
      <c r="A223" s="41" t="s">
        <v>6232</v>
      </c>
      <c r="B223" s="37"/>
      <c r="C223" s="37"/>
      <c r="D223" s="37"/>
      <c r="E223" s="37"/>
      <c r="F223" s="45"/>
      <c r="K223" s="3" t="s">
        <v>6232</v>
      </c>
    </row>
    <row r="224" spans="1:38" ht="18.399999999999999" customHeight="1">
      <c r="A224" s="41" t="s">
        <v>3436</v>
      </c>
      <c r="B224" s="37">
        <v>7745</v>
      </c>
      <c r="C224" s="37">
        <v>767.2</v>
      </c>
      <c r="D224" s="37">
        <v>5098.2</v>
      </c>
      <c r="E224" s="37">
        <v>1879.6</v>
      </c>
      <c r="F224" s="45"/>
      <c r="K224" s="3" t="s">
        <v>1342</v>
      </c>
    </row>
    <row r="225" spans="1:38" ht="18.399999999999999" customHeight="1">
      <c r="A225" s="41" t="s">
        <v>6232</v>
      </c>
      <c r="B225" s="37">
        <f>SUM($C225,$D225,$E225)</f>
        <v>0</v>
      </c>
      <c r="C225" s="37">
        <f>$AB225</f>
        <v>0</v>
      </c>
      <c r="D225" s="37">
        <f>$AF225</f>
        <v>0</v>
      </c>
      <c r="E225" s="37">
        <f>$AJ225</f>
        <v>0</v>
      </c>
      <c r="F225" s="45"/>
      <c r="K225" s="3" t="s">
        <v>3238</v>
      </c>
      <c r="AA225" s="40" t="s">
        <v>308</v>
      </c>
      <c r="AB225" s="8">
        <f>ROUND(0,2)</f>
        <v>0</v>
      </c>
      <c r="AC225" s="40" t="s">
        <v>5000</v>
      </c>
      <c r="AD225" s="7">
        <f>$AB225</f>
        <v>0</v>
      </c>
      <c r="AE225" s="40" t="s">
        <v>4500</v>
      </c>
      <c r="AF225" s="8">
        <f>ROUND(0,2)</f>
        <v>0</v>
      </c>
      <c r="AG225" s="40" t="s">
        <v>2603</v>
      </c>
      <c r="AH225" s="7">
        <f>$AF225</f>
        <v>0</v>
      </c>
      <c r="AI225" s="40" t="s">
        <v>5878</v>
      </c>
      <c r="AJ225" s="8">
        <f>ROUND(0,2)</f>
        <v>0</v>
      </c>
      <c r="AK225" s="40" t="s">
        <v>787</v>
      </c>
      <c r="AL225" s="7">
        <f>$AJ225</f>
        <v>0</v>
      </c>
    </row>
    <row r="226" spans="1:38" ht="18.399999999999999" customHeight="1">
      <c r="A226" s="41" t="s">
        <v>3393</v>
      </c>
      <c r="B226" s="37">
        <f>SUM($C226,$D226,$E226)</f>
        <v>9419.1</v>
      </c>
      <c r="C226" s="37">
        <f>$AB226</f>
        <v>0</v>
      </c>
      <c r="D226" s="37">
        <f>$AF226</f>
        <v>1966.1</v>
      </c>
      <c r="E226" s="37">
        <f>$AJ226</f>
        <v>7453</v>
      </c>
      <c r="F226" s="45"/>
      <c r="K226" s="3" t="s">
        <v>2347</v>
      </c>
      <c r="AA226" s="40" t="s">
        <v>308</v>
      </c>
      <c r="AB226" s="8">
        <f>TRUNC($AD222*1.097,1)</f>
        <v>0</v>
      </c>
      <c r="AC226" s="40" t="s">
        <v>5000</v>
      </c>
      <c r="AD226" s="7">
        <f>$AB226</f>
        <v>0</v>
      </c>
      <c r="AE226" s="40" t="s">
        <v>4500</v>
      </c>
      <c r="AF226" s="8">
        <f>TRUNC($AH222*1.097,1)</f>
        <v>1966.1</v>
      </c>
      <c r="AG226" s="40" t="s">
        <v>2603</v>
      </c>
      <c r="AH226" s="7">
        <f>$AF226</f>
        <v>1966.1</v>
      </c>
      <c r="AI226" s="40" t="s">
        <v>5878</v>
      </c>
      <c r="AJ226" s="8">
        <f>TRUNC($AL222*1.097,1)</f>
        <v>7453</v>
      </c>
      <c r="AK226" s="40" t="s">
        <v>787</v>
      </c>
      <c r="AL226" s="7">
        <f>$AJ226</f>
        <v>7453</v>
      </c>
    </row>
    <row r="227" spans="1:38" ht="18.399999999999999" customHeight="1">
      <c r="A227" s="41" t="s">
        <v>6232</v>
      </c>
      <c r="B227" s="37"/>
      <c r="C227" s="37"/>
      <c r="D227" s="37"/>
      <c r="E227" s="37"/>
      <c r="F227" s="45"/>
      <c r="K227" s="3" t="s">
        <v>6232</v>
      </c>
    </row>
    <row r="228" spans="1:38" ht="18.399999999999999" customHeight="1">
      <c r="A228" s="41" t="s">
        <v>3436</v>
      </c>
      <c r="B228" s="37">
        <f>SUM($C228,$D228,$E228)</f>
        <v>9419.1</v>
      </c>
      <c r="C228" s="37">
        <f>$AB228</f>
        <v>0</v>
      </c>
      <c r="D228" s="37">
        <f>$AF228</f>
        <v>1966.1</v>
      </c>
      <c r="E228" s="37">
        <f>$AJ228</f>
        <v>7453</v>
      </c>
      <c r="F228" s="45"/>
      <c r="K228" s="3" t="s">
        <v>4527</v>
      </c>
      <c r="AA228" s="40" t="s">
        <v>4592</v>
      </c>
      <c r="AB228" s="8">
        <f>TRUNC($AD226,1)</f>
        <v>0</v>
      </c>
      <c r="AC228" s="40" t="s">
        <v>5149</v>
      </c>
      <c r="AD228" s="7">
        <f>$AB228</f>
        <v>0</v>
      </c>
      <c r="AE228" s="40" t="s">
        <v>666</v>
      </c>
      <c r="AF228" s="8">
        <f>TRUNC($AH226,1)</f>
        <v>1966.1</v>
      </c>
      <c r="AG228" s="40" t="s">
        <v>2431</v>
      </c>
      <c r="AH228" s="7">
        <f>$AF228</f>
        <v>1966.1</v>
      </c>
      <c r="AI228" s="40" t="s">
        <v>1930</v>
      </c>
      <c r="AJ228" s="8">
        <f>TRUNC($AL226,1)</f>
        <v>7453</v>
      </c>
      <c r="AK228" s="40" t="s">
        <v>3349</v>
      </c>
      <c r="AL228" s="7">
        <f>$AJ228</f>
        <v>7453</v>
      </c>
    </row>
    <row r="229" spans="1:38" ht="18.399999999999999" customHeight="1">
      <c r="A229" s="41"/>
      <c r="B229" s="3"/>
      <c r="C229" s="3"/>
      <c r="D229" s="3"/>
      <c r="E229" s="3"/>
      <c r="F229" s="44"/>
    </row>
    <row r="230" spans="1:38" ht="18.399999999999999" customHeight="1">
      <c r="A230" s="43" t="s">
        <v>3543</v>
      </c>
      <c r="B230" s="38">
        <f>SUM($C230,$D230,$E230)</f>
        <v>9419</v>
      </c>
      <c r="C230" s="38">
        <f>TRUNC(SUM($AD228),0)</f>
        <v>0</v>
      </c>
      <c r="D230" s="38">
        <f>TRUNC(SUM($AH228),0)</f>
        <v>1966</v>
      </c>
      <c r="E230" s="38">
        <f>TRUNC(SUM($AL228),0)</f>
        <v>7453</v>
      </c>
      <c r="F230" s="46"/>
    </row>
    <row r="231" spans="1:38" ht="18.399999999999999" customHeight="1">
      <c r="A231" s="41"/>
      <c r="B231" s="3"/>
      <c r="C231" s="3"/>
      <c r="D231" s="3"/>
      <c r="E231" s="3"/>
      <c r="F231" s="44"/>
    </row>
    <row r="232" spans="1:38" ht="18.399999999999999" customHeight="1">
      <c r="A232" s="41" t="s">
        <v>5631</v>
      </c>
      <c r="B232" s="36">
        <f>$B306</f>
        <v>8287</v>
      </c>
      <c r="C232" s="36">
        <f>$C306</f>
        <v>0</v>
      </c>
      <c r="D232" s="36">
        <f>$D306</f>
        <v>1651</v>
      </c>
      <c r="E232" s="36">
        <f>$E306</f>
        <v>6636</v>
      </c>
      <c r="F232" s="44" t="s">
        <v>3378</v>
      </c>
      <c r="G232" t="s">
        <v>6232</v>
      </c>
      <c r="H232" t="s">
        <v>5563</v>
      </c>
      <c r="K232">
        <v>1</v>
      </c>
      <c r="Y232" s="7" t="b">
        <f>EXACT($Z232,$B306)</f>
        <v>0</v>
      </c>
      <c r="Z232" s="38">
        <v>7422</v>
      </c>
    </row>
    <row r="233" spans="1:38" ht="18.399999999999999" customHeight="1">
      <c r="A233" s="41"/>
      <c r="B233" s="3"/>
      <c r="C233" s="3"/>
      <c r="D233" s="3"/>
      <c r="E233" s="3"/>
      <c r="F233" s="44"/>
    </row>
    <row r="234" spans="1:38" ht="18.399999999999999" customHeight="1">
      <c r="A234" s="41" t="s">
        <v>6232</v>
      </c>
      <c r="B234" s="3"/>
      <c r="C234" s="3"/>
      <c r="D234" s="3"/>
      <c r="E234" s="3"/>
      <c r="F234" s="44"/>
      <c r="G234" t="s">
        <v>6232</v>
      </c>
      <c r="I234" t="s">
        <v>742</v>
      </c>
      <c r="J234" t="s">
        <v>6232</v>
      </c>
      <c r="K234" t="s">
        <v>5235</v>
      </c>
    </row>
    <row r="235" spans="1:38" ht="18.399999999999999" customHeight="1">
      <c r="A235" s="41" t="s">
        <v>4103</v>
      </c>
      <c r="B235" s="37"/>
      <c r="C235" s="37"/>
      <c r="D235" s="37"/>
      <c r="E235" s="37"/>
      <c r="F235" s="45"/>
      <c r="K235" s="3" t="s">
        <v>5216</v>
      </c>
    </row>
    <row r="236" spans="1:38" ht="18.399999999999999" customHeight="1">
      <c r="A236" s="41" t="s">
        <v>6232</v>
      </c>
      <c r="B236" s="37"/>
      <c r="C236" s="37"/>
      <c r="D236" s="37"/>
      <c r="E236" s="37"/>
      <c r="F236" s="45"/>
      <c r="K236" s="3" t="s">
        <v>6232</v>
      </c>
    </row>
    <row r="237" spans="1:38" ht="18.399999999999999" customHeight="1">
      <c r="A237" s="42" t="str">
        <f>CONCATENATE("                L=",TEXT($AB237,"#,##0.0"),"   KM  실시공후 정산")</f>
        <v xml:space="preserve">                L=4.0   KM  실시공후 정산</v>
      </c>
      <c r="B237" s="37"/>
      <c r="C237" s="37"/>
      <c r="D237" s="37"/>
      <c r="E237" s="37"/>
      <c r="F237" s="45"/>
      <c r="K237" s="10" t="str">
        <f>SUBSTITUTE(SUBSTITUTE("                L = 4.0  _x001D_KM_x001D__x001D_실시공후 정산_x001D_","4.0",TEXT($AB237,"#,##0.0"),1),"_x001D_","'")</f>
        <v xml:space="preserve">                L = 4.0  'KM''실시공후 정산'</v>
      </c>
      <c r="AA237" s="39" t="s">
        <v>5842</v>
      </c>
      <c r="AB237" s="6">
        <v>4</v>
      </c>
      <c r="AC237" s="39" t="s">
        <v>5842</v>
      </c>
      <c r="AD237" s="7">
        <f>$AB237</f>
        <v>4</v>
      </c>
    </row>
    <row r="238" spans="1:38" ht="18.399999999999999" customHeight="1">
      <c r="A238" s="41" t="s">
        <v>6214</v>
      </c>
      <c r="B238" s="37"/>
      <c r="C238" s="37"/>
      <c r="D238" s="37"/>
      <c r="E238" s="37"/>
      <c r="F238" s="45"/>
      <c r="K238" s="3" t="s">
        <v>3965</v>
      </c>
    </row>
    <row r="239" spans="1:38" ht="18.399999999999999" customHeight="1">
      <c r="A239" s="42" t="str">
        <f>CONCATENATE("                V=",TEXT($AB239,"#,##0.0"),"  KM/hr")</f>
        <v xml:space="preserve">                V=30.0  KM/hr</v>
      </c>
      <c r="B239" s="37"/>
      <c r="C239" s="37"/>
      <c r="D239" s="37"/>
      <c r="E239" s="37"/>
      <c r="F239" s="45"/>
      <c r="K239" s="10" t="str">
        <f>SUBSTITUTE(SUBSTITUTE("                V = 30.0 _x001D_KM/hr_x001D_","30.0",TEXT($AB239,"#,##0.0"),1),"_x001D_","'")</f>
        <v xml:space="preserve">                V = 30.0 'KM/hr'</v>
      </c>
      <c r="AA239" s="39" t="s">
        <v>247</v>
      </c>
      <c r="AB239" s="6">
        <v>30</v>
      </c>
      <c r="AC239" s="39" t="s">
        <v>247</v>
      </c>
      <c r="AD239" s="7">
        <f>$AB239</f>
        <v>30</v>
      </c>
    </row>
    <row r="240" spans="1:38" ht="18.399999999999999" customHeight="1">
      <c r="A240" s="41" t="s">
        <v>6232</v>
      </c>
      <c r="B240" s="37">
        <f>SUM($C240,$D240,$E240)</f>
        <v>0</v>
      </c>
      <c r="C240" s="37">
        <f>$AB240</f>
        <v>0</v>
      </c>
      <c r="D240" s="37">
        <f>$AF240</f>
        <v>0</v>
      </c>
      <c r="E240" s="37">
        <f>$AJ240</f>
        <v>0</v>
      </c>
      <c r="F240" s="45"/>
      <c r="K240" s="3" t="s">
        <v>295</v>
      </c>
      <c r="AA240" s="40" t="s">
        <v>2660</v>
      </c>
      <c r="AB240" s="8">
        <f>ROUND(0,2)</f>
        <v>0</v>
      </c>
      <c r="AC240" s="40" t="s">
        <v>1650</v>
      </c>
      <c r="AD240" s="7">
        <f>$AB240</f>
        <v>0</v>
      </c>
      <c r="AE240" s="40" t="s">
        <v>5305</v>
      </c>
      <c r="AF240" s="8">
        <f>ROUND(0,2)</f>
        <v>0</v>
      </c>
      <c r="AG240" s="40" t="s">
        <v>5439</v>
      </c>
      <c r="AH240" s="7">
        <f>$AF240</f>
        <v>0</v>
      </c>
      <c r="AI240" s="40" t="s">
        <v>3519</v>
      </c>
      <c r="AJ240" s="8">
        <f>ROUND(0,2)</f>
        <v>0</v>
      </c>
      <c r="AK240" s="40" t="s">
        <v>4149</v>
      </c>
      <c r="AL240" s="7">
        <f>$AJ240</f>
        <v>0</v>
      </c>
    </row>
    <row r="241" spans="1:11" ht="18.399999999999999" customHeight="1">
      <c r="A241" s="41" t="s">
        <v>5524</v>
      </c>
      <c r="B241" s="37"/>
      <c r="C241" s="37"/>
      <c r="D241" s="37"/>
      <c r="E241" s="37"/>
      <c r="F241" s="45"/>
      <c r="K241" s="3" t="s">
        <v>3427</v>
      </c>
    </row>
    <row r="242" spans="1:11" ht="18.399999999999999" customHeight="1">
      <c r="A242" s="41" t="s">
        <v>6232</v>
      </c>
      <c r="B242" s="37"/>
      <c r="C242" s="37"/>
      <c r="D242" s="37"/>
      <c r="E242" s="37"/>
      <c r="F242" s="45"/>
      <c r="K242" s="3" t="s">
        <v>6232</v>
      </c>
    </row>
    <row r="243" spans="1:11" ht="18.399999999999999" customHeight="1">
      <c r="A243" s="41" t="s">
        <v>2653</v>
      </c>
      <c r="B243" s="37"/>
      <c r="C243" s="37"/>
      <c r="D243" s="37"/>
      <c r="E243" s="37"/>
      <c r="F243" s="45"/>
      <c r="K243" s="3" t="s">
        <v>2793</v>
      </c>
    </row>
    <row r="244" spans="1:11" ht="18.399999999999999" customHeight="1">
      <c r="A244" s="41" t="s">
        <v>52</v>
      </c>
      <c r="B244" s="37"/>
      <c r="C244" s="37"/>
      <c r="D244" s="37"/>
      <c r="E244" s="37"/>
      <c r="F244" s="45"/>
      <c r="K244" s="3" t="s">
        <v>3020</v>
      </c>
    </row>
    <row r="245" spans="1:11" ht="18.399999999999999" customHeight="1">
      <c r="A245" s="41" t="s">
        <v>6232</v>
      </c>
      <c r="B245" s="37"/>
      <c r="C245" s="37"/>
      <c r="D245" s="37"/>
      <c r="E245" s="37"/>
      <c r="F245" s="45"/>
      <c r="K245" s="3" t="s">
        <v>6232</v>
      </c>
    </row>
    <row r="246" spans="1:11" ht="18.399999999999999" customHeight="1">
      <c r="A246" s="41" t="s">
        <v>3700</v>
      </c>
      <c r="B246" s="37"/>
      <c r="C246" s="37"/>
      <c r="D246" s="37"/>
      <c r="E246" s="37"/>
      <c r="F246" s="45"/>
      <c r="K246" s="3" t="s">
        <v>2773</v>
      </c>
    </row>
    <row r="247" spans="1:11" ht="18.399999999999999" customHeight="1">
      <c r="A247" s="41" t="s">
        <v>679</v>
      </c>
      <c r="B247" s="37"/>
      <c r="C247" s="37"/>
      <c r="D247" s="37"/>
      <c r="E247" s="37"/>
      <c r="F247" s="45"/>
      <c r="K247" s="3" t="s">
        <v>1995</v>
      </c>
    </row>
    <row r="248" spans="1:11" ht="18.399999999999999" customHeight="1">
      <c r="A248" s="41" t="s">
        <v>5867</v>
      </c>
      <c r="B248" s="37"/>
      <c r="C248" s="37"/>
      <c r="D248" s="37"/>
      <c r="E248" s="37"/>
      <c r="F248" s="45"/>
      <c r="K248" s="3" t="s">
        <v>2096</v>
      </c>
    </row>
    <row r="249" spans="1:11" ht="18.399999999999999" customHeight="1">
      <c r="A249" s="41" t="s">
        <v>6232</v>
      </c>
      <c r="B249" s="37"/>
      <c r="C249" s="37"/>
      <c r="D249" s="37"/>
      <c r="E249" s="37"/>
      <c r="F249" s="45"/>
      <c r="K249" s="3" t="s">
        <v>6232</v>
      </c>
    </row>
    <row r="250" spans="1:11" ht="18.399999999999999" customHeight="1">
      <c r="A250" s="41" t="s">
        <v>663</v>
      </c>
      <c r="B250" s="37"/>
      <c r="C250" s="37"/>
      <c r="D250" s="37"/>
      <c r="E250" s="37"/>
      <c r="F250" s="45"/>
      <c r="K250" s="3" t="s">
        <v>1707</v>
      </c>
    </row>
    <row r="251" spans="1:11" ht="18.399999999999999" customHeight="1">
      <c r="A251" s="41" t="s">
        <v>6232</v>
      </c>
      <c r="B251" s="37"/>
      <c r="C251" s="37"/>
      <c r="D251" s="37"/>
      <c r="E251" s="37"/>
      <c r="F251" s="45"/>
      <c r="K251" s="3" t="s">
        <v>6232</v>
      </c>
    </row>
    <row r="252" spans="1:11" ht="18.399999999999999" customHeight="1">
      <c r="A252" s="41" t="s">
        <v>6134</v>
      </c>
      <c r="B252" s="37"/>
      <c r="C252" s="37"/>
      <c r="D252" s="37"/>
      <c r="E252" s="37"/>
      <c r="F252" s="45"/>
      <c r="K252" s="3" t="s">
        <v>4089</v>
      </c>
    </row>
    <row r="253" spans="1:11" ht="18.399999999999999" customHeight="1">
      <c r="A253" s="41" t="s">
        <v>6232</v>
      </c>
      <c r="B253" s="37"/>
      <c r="C253" s="37"/>
      <c r="D253" s="37"/>
      <c r="E253" s="37"/>
      <c r="F253" s="45"/>
      <c r="K253" s="3" t="s">
        <v>6232</v>
      </c>
    </row>
    <row r="254" spans="1:11" ht="18.399999999999999" customHeight="1">
      <c r="A254" s="41" t="s">
        <v>1517</v>
      </c>
      <c r="B254" s="37"/>
      <c r="C254" s="37"/>
      <c r="D254" s="37"/>
      <c r="E254" s="37"/>
      <c r="F254" s="45"/>
      <c r="K254" s="3" t="s">
        <v>2275</v>
      </c>
    </row>
    <row r="255" spans="1:11" ht="18.399999999999999" customHeight="1">
      <c r="A255" s="41" t="s">
        <v>6232</v>
      </c>
      <c r="B255" s="37"/>
      <c r="C255" s="37"/>
      <c r="D255" s="37"/>
      <c r="E255" s="37"/>
      <c r="F255" s="45"/>
      <c r="K255" s="3" t="s">
        <v>6232</v>
      </c>
    </row>
    <row r="256" spans="1:11" ht="18.399999999999999" customHeight="1">
      <c r="A256" s="41" t="s">
        <v>257</v>
      </c>
      <c r="B256" s="37"/>
      <c r="C256" s="37"/>
      <c r="D256" s="37"/>
      <c r="E256" s="37"/>
      <c r="F256" s="45"/>
      <c r="K256" s="3" t="s">
        <v>1264</v>
      </c>
    </row>
    <row r="257" spans="1:34" ht="18.399999999999999" customHeight="1">
      <c r="A257" s="41" t="s">
        <v>6232</v>
      </c>
      <c r="B257" s="37"/>
      <c r="C257" s="37"/>
      <c r="D257" s="37"/>
      <c r="E257" s="37"/>
      <c r="F257" s="45"/>
      <c r="K257" s="3" t="s">
        <v>6232</v>
      </c>
    </row>
    <row r="258" spans="1:34" ht="18.399999999999999" customHeight="1">
      <c r="A258" s="42" t="str">
        <f>CONCATENATE("   - 1차당 적재량(본)         Q=",TEXT($AB258,"#,##0.00"),"  본")</f>
        <v xml:space="preserve">   - 1차당 적재량(본)         Q=5.00  본</v>
      </c>
      <c r="B258" s="37"/>
      <c r="C258" s="37"/>
      <c r="D258" s="37"/>
      <c r="E258" s="37"/>
      <c r="F258" s="45"/>
      <c r="K258" s="10" t="str">
        <f>SUBSTITUTE(SUBSTITUTE("  _x001D_- 1차당 적재량(본)_x001D_        Q  =  5 _x001D_본_x001D_","5",TEXT($AB258,"#,##0"),1),"_x001D_","'")</f>
        <v xml:space="preserve">  '- 1차당 적재량(본)'        Q  =  5 '본'</v>
      </c>
      <c r="AA258" s="39" t="s">
        <v>4337</v>
      </c>
      <c r="AB258" s="6">
        <v>5</v>
      </c>
      <c r="AC258" s="39" t="s">
        <v>4337</v>
      </c>
      <c r="AD258" s="7">
        <f>$AB258</f>
        <v>5</v>
      </c>
    </row>
    <row r="259" spans="1:34" ht="18.399999999999999" customHeight="1">
      <c r="A259" s="41" t="s">
        <v>6232</v>
      </c>
      <c r="B259" s="37"/>
      <c r="C259" s="37"/>
      <c r="D259" s="37"/>
      <c r="E259" s="37"/>
      <c r="F259" s="45"/>
      <c r="K259" s="3" t="s">
        <v>6232</v>
      </c>
    </row>
    <row r="260" spans="1:34" ht="18.399999999999999" customHeight="1">
      <c r="A260" s="42" t="str">
        <f>CONCATENATE("   - 운반차량 대기시간(12M당)    T1=",TEXT($AB260,"#,##0.00"),"   분")</f>
        <v xml:space="preserve">   - 운반차량 대기시간(12M당)    T1=12.00   분</v>
      </c>
      <c r="B260" s="37"/>
      <c r="C260" s="37"/>
      <c r="D260" s="37"/>
      <c r="E260" s="37"/>
      <c r="F260" s="45"/>
      <c r="K260" s="10" t="str">
        <f>SUBSTITUTE(SUBSTITUTE("  _x001D_- 운반차량 대기시간(12M당)_x001D_   T1 = 12  _x001D_분_x001D_","12",TEXT($AB260,"#,##0"),1),"_x001D_","'")</f>
        <v xml:space="preserve">  '- 운반차량 대기시간(12M당)'   T1 = 12  '분'</v>
      </c>
      <c r="AA260" s="39" t="s">
        <v>4528</v>
      </c>
      <c r="AB260" s="6">
        <v>12</v>
      </c>
      <c r="AC260" s="39" t="s">
        <v>4528</v>
      </c>
      <c r="AD260" s="7">
        <f>$AB260</f>
        <v>12</v>
      </c>
    </row>
    <row r="261" spans="1:34" ht="18.399999999999999" customHeight="1">
      <c r="A261" s="41" t="s">
        <v>6232</v>
      </c>
      <c r="B261" s="37"/>
      <c r="C261" s="37"/>
      <c r="D261" s="37"/>
      <c r="E261" s="37"/>
      <c r="F261" s="45"/>
      <c r="K261" s="3" t="s">
        <v>6232</v>
      </c>
    </row>
    <row r="262" spans="1:34" ht="18.399999999999999" customHeight="1">
      <c r="A262" s="41" t="s">
        <v>4838</v>
      </c>
      <c r="B262" s="37"/>
      <c r="C262" s="37"/>
      <c r="D262" s="37"/>
      <c r="E262" s="37"/>
      <c r="F262" s="45"/>
      <c r="K262" s="3" t="s">
        <v>6093</v>
      </c>
    </row>
    <row r="263" spans="1:34" ht="18.399999999999999" customHeight="1">
      <c r="A263" s="41" t="s">
        <v>6232</v>
      </c>
      <c r="B263" s="37"/>
      <c r="C263" s="37"/>
      <c r="D263" s="37"/>
      <c r="E263" s="37"/>
      <c r="F263" s="45"/>
      <c r="K263" s="3" t="s">
        <v>6232</v>
      </c>
    </row>
    <row r="264" spans="1:34" ht="18.399999999999999" customHeight="1">
      <c r="A264" s="42" t="str">
        <f>CONCATENATE("    T2 = (L / V * 2 * 60 + 20) / Q = ",TEXT($AF264,"#,##0.00")," 분 ")</f>
        <v xml:space="preserve">    T2 = (L / V * 2 * 60 + 20) / Q = 7.20 분 </v>
      </c>
      <c r="B264" s="37">
        <f>SUM($C264,$D264,$E264)</f>
        <v>0</v>
      </c>
      <c r="C264" s="37"/>
      <c r="D264" s="37"/>
      <c r="E264" s="37"/>
      <c r="F264" s="45"/>
      <c r="K264" s="3" t="s">
        <v>3353</v>
      </c>
      <c r="AA264" s="39" t="s">
        <v>5897</v>
      </c>
      <c r="AB264" s="8">
        <f>ROUND(($AD237/$AD239*2*60+20)/$AD258,2)</f>
        <v>7.2</v>
      </c>
      <c r="AC264" s="39" t="s">
        <v>2053</v>
      </c>
      <c r="AD264" s="7">
        <f>$AB264</f>
        <v>7.2</v>
      </c>
      <c r="AE264" s="39" t="s">
        <v>2277</v>
      </c>
      <c r="AF264" s="8">
        <f>ROUND(ROUND(($AD237/$AD239*2*60+20)/$AD258,2),2)</f>
        <v>7.2</v>
      </c>
      <c r="AG264" s="39" t="s">
        <v>1848</v>
      </c>
      <c r="AH264" s="7">
        <f>$AF264</f>
        <v>7.2</v>
      </c>
    </row>
    <row r="265" spans="1:34" ht="18.399999999999999" customHeight="1">
      <c r="A265" s="41" t="s">
        <v>6232</v>
      </c>
      <c r="B265" s="37"/>
      <c r="C265" s="37"/>
      <c r="D265" s="37"/>
      <c r="E265" s="37"/>
      <c r="F265" s="45"/>
      <c r="K265" s="3" t="s">
        <v>6232</v>
      </c>
    </row>
    <row r="266" spans="1:34" ht="18.399999999999999" customHeight="1">
      <c r="A266" s="41" t="s">
        <v>2391</v>
      </c>
      <c r="B266" s="37"/>
      <c r="C266" s="37"/>
      <c r="D266" s="37"/>
      <c r="E266" s="37"/>
      <c r="F266" s="45"/>
      <c r="K266" s="3" t="s">
        <v>4710</v>
      </c>
    </row>
    <row r="267" spans="1:34" ht="18.399999999999999" customHeight="1">
      <c r="A267" s="41" t="s">
        <v>6232</v>
      </c>
      <c r="B267" s="37"/>
      <c r="C267" s="37"/>
      <c r="D267" s="37"/>
      <c r="E267" s="37"/>
      <c r="F267" s="45"/>
      <c r="K267" s="3" t="s">
        <v>6232</v>
      </c>
    </row>
    <row r="268" spans="1:34" ht="18.399999999999999" customHeight="1">
      <c r="A268" s="42" t="str">
        <f>CONCATENATE("    CM = T1 + T2 = ",TEXT($AF268,"#,##0.00")," 분 ")</f>
        <v xml:space="preserve">    CM = T1 + T2 = 19.20 분 </v>
      </c>
      <c r="B268" s="37">
        <f>SUM($C268,$D268,$E268)</f>
        <v>0</v>
      </c>
      <c r="C268" s="37"/>
      <c r="D268" s="37"/>
      <c r="E268" s="37"/>
      <c r="F268" s="45"/>
      <c r="K268" s="3" t="s">
        <v>6049</v>
      </c>
      <c r="AA268" s="39" t="s">
        <v>5026</v>
      </c>
      <c r="AB268" s="8">
        <f>ROUND($AD260+$AD264,2)</f>
        <v>19.2</v>
      </c>
      <c r="AC268" s="39" t="s">
        <v>289</v>
      </c>
      <c r="AD268" s="7">
        <f>$AB268</f>
        <v>19.2</v>
      </c>
      <c r="AE268" s="39" t="s">
        <v>1765</v>
      </c>
      <c r="AF268" s="8">
        <f>ROUND(ROUND($AD260+$AD264,2),2)</f>
        <v>19.2</v>
      </c>
      <c r="AG268" s="39" t="s">
        <v>59</v>
      </c>
      <c r="AH268" s="7">
        <f>$AF268</f>
        <v>19.2</v>
      </c>
    </row>
    <row r="269" spans="1:34" ht="18.399999999999999" customHeight="1">
      <c r="A269" s="41" t="s">
        <v>6232</v>
      </c>
      <c r="B269" s="37"/>
      <c r="C269" s="37"/>
      <c r="D269" s="37"/>
      <c r="E269" s="37"/>
      <c r="F269" s="45"/>
      <c r="K269" s="3" t="s">
        <v>6232</v>
      </c>
    </row>
    <row r="270" spans="1:34" ht="18.399999999999999" customHeight="1">
      <c r="A270" s="41" t="s">
        <v>5848</v>
      </c>
      <c r="B270" s="37"/>
      <c r="C270" s="37"/>
      <c r="D270" s="37"/>
      <c r="E270" s="37"/>
      <c r="F270" s="45"/>
      <c r="K270" s="3" t="s">
        <v>788</v>
      </c>
    </row>
    <row r="271" spans="1:34" ht="18.399999999999999" customHeight="1">
      <c r="A271" s="41" t="s">
        <v>6232</v>
      </c>
      <c r="B271" s="37"/>
      <c r="C271" s="37"/>
      <c r="D271" s="37"/>
      <c r="E271" s="37"/>
      <c r="F271" s="45"/>
      <c r="K271" s="3" t="s">
        <v>6232</v>
      </c>
    </row>
    <row r="272" spans="1:34" ht="18.399999999999999" customHeight="1">
      <c r="A272" s="42" t="str">
        <f>CONCATENATE("    Qo = T2 / CM = ",TEXT($AF272,"#,##0.00")," 분 ")</f>
        <v xml:space="preserve">    Qo = T2 / CM = 0.38 분 </v>
      </c>
      <c r="B272" s="37">
        <f>SUM($C272,$D272,$E272)</f>
        <v>0</v>
      </c>
      <c r="C272" s="37"/>
      <c r="D272" s="37"/>
      <c r="E272" s="37"/>
      <c r="F272" s="45"/>
      <c r="K272" s="3" t="s">
        <v>882</v>
      </c>
      <c r="AA272" s="39" t="s">
        <v>1501</v>
      </c>
      <c r="AB272" s="8">
        <f>ROUND($AD264/$AD268,2)</f>
        <v>0.38</v>
      </c>
      <c r="AC272" s="39" t="s">
        <v>2425</v>
      </c>
      <c r="AD272" s="7">
        <f>$AB272</f>
        <v>0.38</v>
      </c>
      <c r="AE272" s="39" t="s">
        <v>5693</v>
      </c>
      <c r="AF272" s="8">
        <f>ROUND(ROUND($AD264/$AD268,2),2)</f>
        <v>0.38</v>
      </c>
      <c r="AG272" s="39" t="s">
        <v>3320</v>
      </c>
      <c r="AH272" s="7">
        <f>$AF272</f>
        <v>0.38</v>
      </c>
    </row>
    <row r="273" spans="1:30" ht="18.399999999999999" customHeight="1">
      <c r="A273" s="41" t="s">
        <v>6232</v>
      </c>
      <c r="B273" s="37"/>
      <c r="C273" s="37"/>
      <c r="D273" s="37"/>
      <c r="E273" s="37"/>
      <c r="F273" s="45"/>
      <c r="K273" s="3" t="s">
        <v>6232</v>
      </c>
    </row>
    <row r="274" spans="1:30" ht="18.399999999999999" customHeight="1">
      <c r="A274" s="41" t="s">
        <v>1042</v>
      </c>
      <c r="B274" s="37"/>
      <c r="C274" s="37"/>
      <c r="D274" s="37"/>
      <c r="E274" s="37"/>
      <c r="F274" s="45"/>
      <c r="K274" s="3" t="s">
        <v>1008</v>
      </c>
    </row>
    <row r="275" spans="1:30" ht="18.399999999999999" customHeight="1">
      <c r="A275" s="41" t="s">
        <v>6232</v>
      </c>
      <c r="B275" s="37"/>
      <c r="C275" s="37"/>
      <c r="D275" s="37"/>
      <c r="E275" s="37"/>
      <c r="F275" s="45"/>
      <c r="K275" s="3" t="s">
        <v>6232</v>
      </c>
    </row>
    <row r="276" spans="1:30" ht="18.399999999999999" customHeight="1">
      <c r="A276" s="42" t="str">
        <f>CONCATENATE("      보통인부 :  2.0 인  * _x001D_169,804_x001D_ * (CM + 6 ) / 60 / 8 = ",TEXT($AB276,"#,##0.0"))</f>
        <v xml:space="preserve">      보통인부 :  2.0 인  * _x001D_169,804_x001D_ * (CM + 6 ) / 60 / 8 = 18,067.1</v>
      </c>
      <c r="B276" s="37">
        <f>SUM($C276,$D276,$E276)</f>
        <v>18067.099999999999</v>
      </c>
      <c r="C276" s="37"/>
      <c r="D276" s="37">
        <f>$AB276</f>
        <v>18067.099999999999</v>
      </c>
      <c r="E276" s="37"/>
      <c r="F276" s="45" t="s">
        <v>6232</v>
      </c>
      <c r="K276" s="3" t="s">
        <v>3933</v>
      </c>
      <c r="AA276" s="40" t="s">
        <v>5305</v>
      </c>
      <c r="AB276" s="8">
        <f>TRUNC(2*노임!D3*($AD268+6)/60/8,1)</f>
        <v>18067.099999999999</v>
      </c>
      <c r="AC276" s="40" t="s">
        <v>5439</v>
      </c>
      <c r="AD276" s="7">
        <f>$AH240+$AB276</f>
        <v>18067.099999999999</v>
      </c>
    </row>
    <row r="277" spans="1:30" ht="18.399999999999999" customHeight="1">
      <c r="A277" s="41" t="s">
        <v>6232</v>
      </c>
      <c r="B277" s="37"/>
      <c r="C277" s="37"/>
      <c r="D277" s="37"/>
      <c r="E277" s="37"/>
      <c r="F277" s="45"/>
      <c r="K277" s="3" t="s">
        <v>6232</v>
      </c>
    </row>
    <row r="278" spans="1:30" ht="18.399999999999999" customHeight="1">
      <c r="A278" s="41" t="s">
        <v>5801</v>
      </c>
      <c r="B278" s="37"/>
      <c r="C278" s="37"/>
      <c r="D278" s="37"/>
      <c r="E278" s="37"/>
      <c r="F278" s="45"/>
      <c r="K278" s="3" t="s">
        <v>775</v>
      </c>
    </row>
    <row r="279" spans="1:30" ht="18.399999999999999" customHeight="1">
      <c r="A279" s="41" t="s">
        <v>6232</v>
      </c>
      <c r="B279" s="37"/>
      <c r="C279" s="37"/>
      <c r="D279" s="37"/>
      <c r="E279" s="37"/>
      <c r="F279" s="45"/>
      <c r="K279" s="3" t="s">
        <v>6232</v>
      </c>
    </row>
    <row r="280" spans="1:30" ht="18.399999999999999" customHeight="1">
      <c r="A280" s="41" t="s">
        <v>2913</v>
      </c>
      <c r="B280" s="37"/>
      <c r="C280" s="37"/>
      <c r="D280" s="37"/>
      <c r="E280" s="37"/>
      <c r="F280" s="45"/>
      <c r="K280" s="3" t="s">
        <v>2204</v>
      </c>
    </row>
    <row r="281" spans="1:30" ht="18.399999999999999" customHeight="1">
      <c r="A281" s="41" t="s">
        <v>6232</v>
      </c>
      <c r="B281" s="37"/>
      <c r="C281" s="37"/>
      <c r="D281" s="37"/>
      <c r="E281" s="37"/>
      <c r="F281" s="45"/>
      <c r="K281" s="3" t="s">
        <v>6232</v>
      </c>
    </row>
    <row r="282" spans="1:30" ht="18.399999999999999" customHeight="1">
      <c r="A282" s="42" t="str">
        <f>CONCATENATE("     재료비:  _x001D_10,105_x001D_ * 18 / 60 = ",TEXT($AB282,"#,##0.0"))</f>
        <v xml:space="preserve">     재료비:  _x001D_10,105_x001D_ * 18 / 60 = 0.0</v>
      </c>
      <c r="B282" s="37">
        <f>SUM($C282,$D282,$E282)</f>
        <v>0</v>
      </c>
      <c r="C282" s="37">
        <f>$AB282</f>
        <v>0</v>
      </c>
      <c r="D282" s="37"/>
      <c r="E282" s="37"/>
      <c r="F282" s="45" t="s">
        <v>6232</v>
      </c>
      <c r="K282" s="3" t="s">
        <v>5894</v>
      </c>
      <c r="AA282" s="40" t="s">
        <v>2660</v>
      </c>
      <c r="AB282" s="8">
        <f>TRUNC(중기사용료목록!E5*18/60,1)</f>
        <v>0</v>
      </c>
      <c r="AC282" s="40" t="s">
        <v>1650</v>
      </c>
      <c r="AD282" s="7">
        <f>$AD240+$AB282</f>
        <v>0</v>
      </c>
    </row>
    <row r="283" spans="1:30" ht="18.399999999999999" customHeight="1">
      <c r="A283" s="41" t="s">
        <v>6232</v>
      </c>
      <c r="B283" s="37"/>
      <c r="C283" s="37"/>
      <c r="D283" s="37"/>
      <c r="E283" s="37"/>
      <c r="F283" s="45"/>
      <c r="K283" s="3" t="s">
        <v>6232</v>
      </c>
    </row>
    <row r="284" spans="1:30" ht="18.399999999999999" customHeight="1">
      <c r="A284" s="42" t="str">
        <f>CONCATENATE("     노무비:  _x001D_57,077_x001D_ * 18 / 60 = ",TEXT($AB284,"#,##0.0"))</f>
        <v xml:space="preserve">     노무비:  _x001D_57,077_x001D_ * 18 / 60 = 0.0</v>
      </c>
      <c r="B284" s="37">
        <f>SUM($C284,$D284,$E284)</f>
        <v>0</v>
      </c>
      <c r="C284" s="37"/>
      <c r="D284" s="37">
        <f>$AB284</f>
        <v>0</v>
      </c>
      <c r="E284" s="37"/>
      <c r="F284" s="45" t="s">
        <v>6232</v>
      </c>
      <c r="K284" s="3" t="s">
        <v>1213</v>
      </c>
      <c r="AA284" s="40" t="s">
        <v>5305</v>
      </c>
      <c r="AB284" s="8">
        <f>TRUNC(중기사용료목록!F5*18/60,1)</f>
        <v>0</v>
      </c>
      <c r="AC284" s="40" t="s">
        <v>5439</v>
      </c>
      <c r="AD284" s="7">
        <f>$AD276+$AB284</f>
        <v>18067.099999999999</v>
      </c>
    </row>
    <row r="285" spans="1:30" ht="18.399999999999999" customHeight="1">
      <c r="A285" s="41" t="s">
        <v>6232</v>
      </c>
      <c r="B285" s="37"/>
      <c r="C285" s="37"/>
      <c r="D285" s="37"/>
      <c r="E285" s="37"/>
      <c r="F285" s="45"/>
      <c r="K285" s="3" t="s">
        <v>6232</v>
      </c>
    </row>
    <row r="286" spans="1:30" ht="18.399999999999999" customHeight="1">
      <c r="A286" s="42" t="str">
        <f>CONCATENATE("     경  비:  _x001D_52,687_x001D_ * 18 / 60 = ",TEXT($AB286,"#,##0.0"))</f>
        <v xml:space="preserve">     경  비:  _x001D_52,687_x001D_ * 18 / 60 = 36,875.1</v>
      </c>
      <c r="B286" s="37">
        <f>SUM($C286,$D286,$E286)</f>
        <v>36875.1</v>
      </c>
      <c r="C286" s="37"/>
      <c r="D286" s="37"/>
      <c r="E286" s="37">
        <f>$AB286</f>
        <v>36875.1</v>
      </c>
      <c r="F286" s="45" t="s">
        <v>6232</v>
      </c>
      <c r="K286" s="3" t="s">
        <v>1534</v>
      </c>
      <c r="AA286" s="40" t="s">
        <v>3519</v>
      </c>
      <c r="AB286" s="8">
        <f>TRUNC(중기사용료목록!G5*18/60,1)</f>
        <v>36875.1</v>
      </c>
      <c r="AC286" s="40" t="s">
        <v>4149</v>
      </c>
      <c r="AD286" s="7">
        <f>$AL240+$AB286</f>
        <v>36875.1</v>
      </c>
    </row>
    <row r="287" spans="1:30" ht="18.399999999999999" customHeight="1">
      <c r="A287" s="41" t="s">
        <v>6232</v>
      </c>
      <c r="B287" s="37"/>
      <c r="C287" s="37"/>
      <c r="D287" s="37"/>
      <c r="E287" s="37"/>
      <c r="F287" s="45"/>
      <c r="K287" s="3" t="s">
        <v>6232</v>
      </c>
    </row>
    <row r="288" spans="1:30" ht="18.399999999999999" customHeight="1">
      <c r="A288" s="41" t="s">
        <v>1530</v>
      </c>
      <c r="B288" s="37"/>
      <c r="C288" s="37"/>
      <c r="D288" s="37"/>
      <c r="E288" s="37"/>
      <c r="F288" s="45"/>
      <c r="K288" s="3" t="s">
        <v>2021</v>
      </c>
    </row>
    <row r="289" spans="1:38" ht="18.399999999999999" customHeight="1">
      <c r="A289" s="41" t="s">
        <v>6232</v>
      </c>
      <c r="B289" s="37"/>
      <c r="C289" s="37"/>
      <c r="D289" s="37"/>
      <c r="E289" s="37"/>
      <c r="F289" s="45"/>
      <c r="K289" s="3" t="s">
        <v>6232</v>
      </c>
    </row>
    <row r="290" spans="1:38" ht="18.399999999999999" customHeight="1">
      <c r="A290" s="42" t="str">
        <f>CONCATENATE("     재료비:  _x001D_30,878_x001D_ * CM / 60 * Qo = ",TEXT($AB290,"#,##0.0"))</f>
        <v xml:space="preserve">     재료비:  _x001D_30,878_x001D_ * CM / 60 * Qo = 0.0</v>
      </c>
      <c r="B290" s="37">
        <f>SUM($C290,$D290,$E290)</f>
        <v>0</v>
      </c>
      <c r="C290" s="37">
        <f>$AB290</f>
        <v>0</v>
      </c>
      <c r="D290" s="37"/>
      <c r="E290" s="37"/>
      <c r="F290" s="45" t="s">
        <v>6232</v>
      </c>
      <c r="K290" s="3" t="s">
        <v>4711</v>
      </c>
      <c r="AA290" s="40" t="s">
        <v>2660</v>
      </c>
      <c r="AB290" s="8">
        <f>TRUNC(중기사용료목록!E7*$AD268/60*$AD272,1)</f>
        <v>0</v>
      </c>
      <c r="AC290" s="40" t="s">
        <v>1650</v>
      </c>
      <c r="AD290" s="7">
        <f>$AD282+$AB290</f>
        <v>0</v>
      </c>
    </row>
    <row r="291" spans="1:38" ht="18.399999999999999" customHeight="1">
      <c r="A291" s="41" t="s">
        <v>6232</v>
      </c>
      <c r="B291" s="37"/>
      <c r="C291" s="37"/>
      <c r="D291" s="37"/>
      <c r="E291" s="37"/>
      <c r="F291" s="45"/>
      <c r="K291" s="3" t="s">
        <v>6232</v>
      </c>
    </row>
    <row r="292" spans="1:38" ht="18.399999999999999" customHeight="1">
      <c r="A292" s="42" t="str">
        <f>CONCATENATE("     노무비:  _x001D_57,077_x001D_ * CM / 60 = ",TEXT($AB292,"#,##0.0"))</f>
        <v xml:space="preserve">     노무비:  _x001D_57,077_x001D_ * CM / 60 = 0.0</v>
      </c>
      <c r="B292" s="37">
        <f>SUM($C292,$D292,$E292)</f>
        <v>0</v>
      </c>
      <c r="C292" s="37"/>
      <c r="D292" s="37">
        <f>$AB292</f>
        <v>0</v>
      </c>
      <c r="E292" s="37"/>
      <c r="F292" s="45" t="s">
        <v>6232</v>
      </c>
      <c r="K292" s="3" t="s">
        <v>3619</v>
      </c>
      <c r="AA292" s="40" t="s">
        <v>5305</v>
      </c>
      <c r="AB292" s="8">
        <f>TRUNC(중기사용료목록!F7*$AD268/60,1)</f>
        <v>0</v>
      </c>
      <c r="AC292" s="40" t="s">
        <v>5439</v>
      </c>
      <c r="AD292" s="7">
        <f>$AD284+$AB292</f>
        <v>18067.099999999999</v>
      </c>
    </row>
    <row r="293" spans="1:38" ht="18.399999999999999" customHeight="1">
      <c r="A293" s="41" t="s">
        <v>6232</v>
      </c>
      <c r="B293" s="37"/>
      <c r="C293" s="37"/>
      <c r="D293" s="37"/>
      <c r="E293" s="37"/>
      <c r="F293" s="45"/>
      <c r="K293" s="3" t="s">
        <v>6232</v>
      </c>
    </row>
    <row r="294" spans="1:38" ht="18.399999999999999" customHeight="1">
      <c r="A294" s="42" t="str">
        <f>CONCATENATE("     경  비:  _x001D_16,873_x001D_ * CM / 60 = ",TEXT($AB294,"#,##0.0"))</f>
        <v xml:space="preserve">     경  비:  _x001D_16,873_x001D_ * CM / 60 = 35,723.2</v>
      </c>
      <c r="B294" s="37">
        <f>SUM($C294,$D294,$E294)</f>
        <v>35723.199999999997</v>
      </c>
      <c r="C294" s="37"/>
      <c r="D294" s="37"/>
      <c r="E294" s="37">
        <f>$AB294</f>
        <v>35723.199999999997</v>
      </c>
      <c r="F294" s="45" t="s">
        <v>6232</v>
      </c>
      <c r="K294" s="3" t="s">
        <v>5622</v>
      </c>
      <c r="AA294" s="40" t="s">
        <v>3519</v>
      </c>
      <c r="AB294" s="8">
        <f>TRUNC(중기사용료목록!G7*$AD268/60,1)</f>
        <v>35723.199999999997</v>
      </c>
      <c r="AC294" s="40" t="s">
        <v>4149</v>
      </c>
      <c r="AD294" s="7">
        <f>$AD286+$AB294</f>
        <v>72598.299999999988</v>
      </c>
    </row>
    <row r="295" spans="1:38" ht="18.399999999999999" customHeight="1">
      <c r="A295" s="41" t="s">
        <v>6232</v>
      </c>
      <c r="B295" s="37"/>
      <c r="C295" s="37"/>
      <c r="D295" s="37"/>
      <c r="E295" s="37"/>
      <c r="F295" s="45"/>
      <c r="K295" s="3" t="s">
        <v>6232</v>
      </c>
    </row>
    <row r="296" spans="1:38" ht="18.399999999999999" customHeight="1">
      <c r="A296" s="41" t="s">
        <v>4035</v>
      </c>
      <c r="B296" s="37">
        <v>81208.7</v>
      </c>
      <c r="C296" s="37">
        <v>6786.2</v>
      </c>
      <c r="D296" s="37">
        <v>53217.1</v>
      </c>
      <c r="E296" s="37">
        <v>21205.4</v>
      </c>
      <c r="F296" s="45"/>
      <c r="K296" s="3" t="s">
        <v>6070</v>
      </c>
    </row>
    <row r="297" spans="1:38" ht="18.399999999999999" customHeight="1">
      <c r="A297" s="41" t="s">
        <v>6232</v>
      </c>
      <c r="B297" s="37">
        <f>SUM($C297,$D297,$E297)</f>
        <v>0</v>
      </c>
      <c r="C297" s="37">
        <f>$AB297</f>
        <v>0</v>
      </c>
      <c r="D297" s="37">
        <f>$AF297</f>
        <v>0</v>
      </c>
      <c r="E297" s="37">
        <f>$AJ297</f>
        <v>0</v>
      </c>
      <c r="F297" s="45"/>
      <c r="K297" s="3" t="s">
        <v>5506</v>
      </c>
      <c r="AA297" s="40" t="s">
        <v>4586</v>
      </c>
      <c r="AB297" s="8">
        <f>ROUND(0,2)</f>
        <v>0</v>
      </c>
      <c r="AC297" s="40" t="s">
        <v>4161</v>
      </c>
      <c r="AD297" s="7">
        <f>$AB297</f>
        <v>0</v>
      </c>
      <c r="AE297" s="40" t="s">
        <v>222</v>
      </c>
      <c r="AF297" s="8">
        <f>ROUND(0,2)</f>
        <v>0</v>
      </c>
      <c r="AG297" s="40" t="s">
        <v>334</v>
      </c>
      <c r="AH297" s="7">
        <f>$AF297</f>
        <v>0</v>
      </c>
      <c r="AI297" s="40" t="s">
        <v>1574</v>
      </c>
      <c r="AJ297" s="8">
        <f>ROUND(0,2)</f>
        <v>0</v>
      </c>
      <c r="AK297" s="40" t="s">
        <v>1622</v>
      </c>
      <c r="AL297" s="7">
        <f>$AJ297</f>
        <v>0</v>
      </c>
    </row>
    <row r="298" spans="1:38" ht="18.399999999999999" customHeight="1">
      <c r="A298" s="41" t="s">
        <v>4138</v>
      </c>
      <c r="B298" s="37">
        <f>SUM($C298,$D298,$E298)</f>
        <v>7555.3</v>
      </c>
      <c r="C298" s="37">
        <f>$AB298</f>
        <v>0</v>
      </c>
      <c r="D298" s="37">
        <f>$AF298</f>
        <v>1505.5</v>
      </c>
      <c r="E298" s="37">
        <f>$AJ298</f>
        <v>6049.8</v>
      </c>
      <c r="F298" s="45"/>
      <c r="K298" s="3" t="s">
        <v>4286</v>
      </c>
      <c r="AA298" s="40" t="s">
        <v>4586</v>
      </c>
      <c r="AB298" s="8">
        <f>TRUNC($AD290/12,1)</f>
        <v>0</v>
      </c>
      <c r="AC298" s="40" t="s">
        <v>4161</v>
      </c>
      <c r="AD298" s="7">
        <f>$AB298</f>
        <v>0</v>
      </c>
      <c r="AE298" s="40" t="s">
        <v>222</v>
      </c>
      <c r="AF298" s="8">
        <f>TRUNC($AD292/12,1)</f>
        <v>1505.5</v>
      </c>
      <c r="AG298" s="40" t="s">
        <v>334</v>
      </c>
      <c r="AH298" s="7">
        <f>$AF298</f>
        <v>1505.5</v>
      </c>
      <c r="AI298" s="40" t="s">
        <v>1574</v>
      </c>
      <c r="AJ298" s="8">
        <f>TRUNC($AD294/12,1)</f>
        <v>6049.8</v>
      </c>
      <c r="AK298" s="40" t="s">
        <v>1622</v>
      </c>
      <c r="AL298" s="7">
        <f>$AJ298</f>
        <v>6049.8</v>
      </c>
    </row>
    <row r="299" spans="1:38" ht="18.399999999999999" customHeight="1">
      <c r="A299" s="41" t="s">
        <v>6232</v>
      </c>
      <c r="B299" s="37"/>
      <c r="C299" s="37"/>
      <c r="D299" s="37"/>
      <c r="E299" s="37"/>
      <c r="F299" s="45"/>
      <c r="K299" s="3" t="s">
        <v>6232</v>
      </c>
    </row>
    <row r="300" spans="1:38" ht="18.399999999999999" customHeight="1">
      <c r="A300" s="41" t="s">
        <v>3436</v>
      </c>
      <c r="B300" s="37">
        <v>6767.3</v>
      </c>
      <c r="C300" s="37">
        <v>565.5</v>
      </c>
      <c r="D300" s="37">
        <v>4434.7</v>
      </c>
      <c r="E300" s="37">
        <v>1767.1</v>
      </c>
      <c r="F300" s="45"/>
      <c r="K300" s="3" t="s">
        <v>1342</v>
      </c>
    </row>
    <row r="301" spans="1:38" ht="18.399999999999999" customHeight="1">
      <c r="A301" s="41" t="s">
        <v>6232</v>
      </c>
      <c r="B301" s="37">
        <f>SUM($C301,$D301,$E301)</f>
        <v>0</v>
      </c>
      <c r="C301" s="37">
        <f>$AB301</f>
        <v>0</v>
      </c>
      <c r="D301" s="37">
        <f>$AF301</f>
        <v>0</v>
      </c>
      <c r="E301" s="37">
        <f>$AJ301</f>
        <v>0</v>
      </c>
      <c r="F301" s="45"/>
      <c r="K301" s="3" t="s">
        <v>3238</v>
      </c>
      <c r="AA301" s="40" t="s">
        <v>308</v>
      </c>
      <c r="AB301" s="8">
        <f>ROUND(0,2)</f>
        <v>0</v>
      </c>
      <c r="AC301" s="40" t="s">
        <v>5000</v>
      </c>
      <c r="AD301" s="7">
        <f>$AB301</f>
        <v>0</v>
      </c>
      <c r="AE301" s="40" t="s">
        <v>4500</v>
      </c>
      <c r="AF301" s="8">
        <f>ROUND(0,2)</f>
        <v>0</v>
      </c>
      <c r="AG301" s="40" t="s">
        <v>2603</v>
      </c>
      <c r="AH301" s="7">
        <f>$AF301</f>
        <v>0</v>
      </c>
      <c r="AI301" s="40" t="s">
        <v>5878</v>
      </c>
      <c r="AJ301" s="8">
        <f>ROUND(0,2)</f>
        <v>0</v>
      </c>
      <c r="AK301" s="40" t="s">
        <v>787</v>
      </c>
      <c r="AL301" s="7">
        <f>$AJ301</f>
        <v>0</v>
      </c>
    </row>
    <row r="302" spans="1:38" ht="18.399999999999999" customHeight="1">
      <c r="A302" s="41" t="s">
        <v>3772</v>
      </c>
      <c r="B302" s="37">
        <f>SUM($C302,$D302,$E302)</f>
        <v>8288.1</v>
      </c>
      <c r="C302" s="37">
        <f>$AB302</f>
        <v>0</v>
      </c>
      <c r="D302" s="37">
        <f>$AF302</f>
        <v>1651.5</v>
      </c>
      <c r="E302" s="37">
        <f>$AJ302</f>
        <v>6636.6</v>
      </c>
      <c r="F302" s="45"/>
      <c r="K302" s="3" t="s">
        <v>2347</v>
      </c>
      <c r="AA302" s="40" t="s">
        <v>308</v>
      </c>
      <c r="AB302" s="8">
        <f>TRUNC($AD298*1.097,1)</f>
        <v>0</v>
      </c>
      <c r="AC302" s="40" t="s">
        <v>5000</v>
      </c>
      <c r="AD302" s="7">
        <f>$AB302</f>
        <v>0</v>
      </c>
      <c r="AE302" s="40" t="s">
        <v>4500</v>
      </c>
      <c r="AF302" s="8">
        <f>TRUNC($AH298*1.097,1)</f>
        <v>1651.5</v>
      </c>
      <c r="AG302" s="40" t="s">
        <v>2603</v>
      </c>
      <c r="AH302" s="7">
        <f>$AF302</f>
        <v>1651.5</v>
      </c>
      <c r="AI302" s="40" t="s">
        <v>5878</v>
      </c>
      <c r="AJ302" s="8">
        <f>TRUNC($AL298*1.097,1)</f>
        <v>6636.6</v>
      </c>
      <c r="AK302" s="40" t="s">
        <v>787</v>
      </c>
      <c r="AL302" s="7">
        <f>$AJ302</f>
        <v>6636.6</v>
      </c>
    </row>
    <row r="303" spans="1:38" ht="18.399999999999999" customHeight="1">
      <c r="A303" s="41" t="s">
        <v>6232</v>
      </c>
      <c r="B303" s="37"/>
      <c r="C303" s="37"/>
      <c r="D303" s="37"/>
      <c r="E303" s="37"/>
      <c r="F303" s="45"/>
      <c r="K303" s="3" t="s">
        <v>6232</v>
      </c>
    </row>
    <row r="304" spans="1:38" ht="18.399999999999999" customHeight="1">
      <c r="A304" s="41" t="s">
        <v>3436</v>
      </c>
      <c r="B304" s="37">
        <f>SUM($C304,$D304,$E304)</f>
        <v>8288.1</v>
      </c>
      <c r="C304" s="37">
        <f>$AB304</f>
        <v>0</v>
      </c>
      <c r="D304" s="37">
        <f>$AF304</f>
        <v>1651.5</v>
      </c>
      <c r="E304" s="37">
        <f>$AJ304</f>
        <v>6636.6</v>
      </c>
      <c r="F304" s="45"/>
      <c r="K304" s="3" t="s">
        <v>4527</v>
      </c>
      <c r="AA304" s="40" t="s">
        <v>4592</v>
      </c>
      <c r="AB304" s="8">
        <f>TRUNC($AD302,1)</f>
        <v>0</v>
      </c>
      <c r="AC304" s="40" t="s">
        <v>5149</v>
      </c>
      <c r="AD304" s="7">
        <f>$AB304</f>
        <v>0</v>
      </c>
      <c r="AE304" s="40" t="s">
        <v>666</v>
      </c>
      <c r="AF304" s="8">
        <f>TRUNC($AH302,1)</f>
        <v>1651.5</v>
      </c>
      <c r="AG304" s="40" t="s">
        <v>2431</v>
      </c>
      <c r="AH304" s="7">
        <f>$AF304</f>
        <v>1651.5</v>
      </c>
      <c r="AI304" s="40" t="s">
        <v>1930</v>
      </c>
      <c r="AJ304" s="8">
        <f>TRUNC($AL302,1)</f>
        <v>6636.6</v>
      </c>
      <c r="AK304" s="40" t="s">
        <v>3349</v>
      </c>
      <c r="AL304" s="7">
        <f>$AJ304</f>
        <v>6636.6</v>
      </c>
    </row>
    <row r="305" spans="1:38" ht="18.399999999999999" customHeight="1">
      <c r="A305" s="41"/>
      <c r="B305" s="3"/>
      <c r="C305" s="3"/>
      <c r="D305" s="3"/>
      <c r="E305" s="3"/>
      <c r="F305" s="44"/>
    </row>
    <row r="306" spans="1:38" ht="18.399999999999999" customHeight="1">
      <c r="A306" s="43" t="s">
        <v>3543</v>
      </c>
      <c r="B306" s="38">
        <f>SUM($C306,$D306,$E306)</f>
        <v>8287</v>
      </c>
      <c r="C306" s="38">
        <f>TRUNC(SUM($AD304),0)</f>
        <v>0</v>
      </c>
      <c r="D306" s="38">
        <f>TRUNC(SUM($AH304),0)</f>
        <v>1651</v>
      </c>
      <c r="E306" s="38">
        <f>TRUNC(SUM($AL304),0)</f>
        <v>6636</v>
      </c>
      <c r="F306" s="46"/>
    </row>
    <row r="307" spans="1:38" ht="18.399999999999999" customHeight="1">
      <c r="A307" s="41"/>
      <c r="B307" s="3"/>
      <c r="C307" s="3"/>
      <c r="D307" s="3"/>
      <c r="E307" s="3"/>
      <c r="F307" s="44"/>
    </row>
    <row r="308" spans="1:38" ht="18.399999999999999" customHeight="1">
      <c r="A308" s="41" t="s">
        <v>3461</v>
      </c>
      <c r="B308" s="36">
        <f>$B382</f>
        <v>8287</v>
      </c>
      <c r="C308" s="36">
        <f>$C382</f>
        <v>0</v>
      </c>
      <c r="D308" s="36">
        <f>$D382</f>
        <v>1651</v>
      </c>
      <c r="E308" s="36">
        <f>$E382</f>
        <v>6636</v>
      </c>
      <c r="F308" s="44" t="s">
        <v>3378</v>
      </c>
      <c r="G308" t="s">
        <v>6232</v>
      </c>
      <c r="H308" t="s">
        <v>6037</v>
      </c>
      <c r="K308">
        <v>1</v>
      </c>
      <c r="Y308" s="7" t="b">
        <f>EXACT($Z308,$B382)</f>
        <v>0</v>
      </c>
      <c r="Z308" s="38">
        <v>7422</v>
      </c>
    </row>
    <row r="309" spans="1:38" ht="18.399999999999999" customHeight="1">
      <c r="A309" s="41"/>
      <c r="B309" s="3"/>
      <c r="C309" s="3"/>
      <c r="D309" s="3"/>
      <c r="E309" s="3"/>
      <c r="F309" s="44"/>
    </row>
    <row r="310" spans="1:38" ht="18.399999999999999" customHeight="1">
      <c r="A310" s="41" t="s">
        <v>6232</v>
      </c>
      <c r="B310" s="3"/>
      <c r="C310" s="3"/>
      <c r="D310" s="3"/>
      <c r="E310" s="3"/>
      <c r="F310" s="44"/>
      <c r="G310" t="s">
        <v>6232</v>
      </c>
      <c r="I310" t="s">
        <v>742</v>
      </c>
      <c r="J310" t="s">
        <v>6232</v>
      </c>
      <c r="K310" t="s">
        <v>5235</v>
      </c>
    </row>
    <row r="311" spans="1:38" ht="18.399999999999999" customHeight="1">
      <c r="A311" s="41" t="s">
        <v>5364</v>
      </c>
      <c r="B311" s="37"/>
      <c r="C311" s="37"/>
      <c r="D311" s="37"/>
      <c r="E311" s="37"/>
      <c r="F311" s="45"/>
      <c r="K311" s="3" t="s">
        <v>6078</v>
      </c>
    </row>
    <row r="312" spans="1:38" ht="18.399999999999999" customHeight="1">
      <c r="A312" s="41" t="s">
        <v>6232</v>
      </c>
      <c r="B312" s="37"/>
      <c r="C312" s="37"/>
      <c r="D312" s="37"/>
      <c r="E312" s="37"/>
      <c r="F312" s="45"/>
      <c r="K312" s="3" t="s">
        <v>6232</v>
      </c>
    </row>
    <row r="313" spans="1:38" ht="18.399999999999999" customHeight="1">
      <c r="A313" s="42" t="str">
        <f>CONCATENATE("                L=",TEXT($AB313,"#,##0.0"),"   KM  실시공후 정산")</f>
        <v xml:space="preserve">                L=4.0   KM  실시공후 정산</v>
      </c>
      <c r="B313" s="37"/>
      <c r="C313" s="37"/>
      <c r="D313" s="37"/>
      <c r="E313" s="37"/>
      <c r="F313" s="45"/>
      <c r="K313" s="10" t="str">
        <f>SUBSTITUTE(SUBSTITUTE("                L = 4.0  _x001D_KM_x001D__x001D_실시공후 정산_x001D_","4.0",TEXT($AB313,"#,##0.0"),1),"_x001D_","'")</f>
        <v xml:space="preserve">                L = 4.0  'KM''실시공후 정산'</v>
      </c>
      <c r="AA313" s="39" t="s">
        <v>5842</v>
      </c>
      <c r="AB313" s="6">
        <v>4</v>
      </c>
      <c r="AC313" s="39" t="s">
        <v>5842</v>
      </c>
      <c r="AD313" s="7">
        <f>$AB313</f>
        <v>4</v>
      </c>
    </row>
    <row r="314" spans="1:38" ht="18.399999999999999" customHeight="1">
      <c r="A314" s="41" t="s">
        <v>6214</v>
      </c>
      <c r="B314" s="37"/>
      <c r="C314" s="37"/>
      <c r="D314" s="37"/>
      <c r="E314" s="37"/>
      <c r="F314" s="45"/>
      <c r="K314" s="3" t="s">
        <v>3965</v>
      </c>
    </row>
    <row r="315" spans="1:38" ht="18.399999999999999" customHeight="1">
      <c r="A315" s="42" t="str">
        <f>CONCATENATE("                V=",TEXT($AB315,"#,##0.0"),"  KM/hr")</f>
        <v xml:space="preserve">                V=30.0  KM/hr</v>
      </c>
      <c r="B315" s="37"/>
      <c r="C315" s="37"/>
      <c r="D315" s="37"/>
      <c r="E315" s="37"/>
      <c r="F315" s="45"/>
      <c r="K315" s="10" t="str">
        <f>SUBSTITUTE(SUBSTITUTE("                V = 30.0 _x001D_KM/hr_x001D_","30.0",TEXT($AB315,"#,##0.0"),1),"_x001D_","'")</f>
        <v xml:space="preserve">                V = 30.0 'KM/hr'</v>
      </c>
      <c r="AA315" s="39" t="s">
        <v>247</v>
      </c>
      <c r="AB315" s="6">
        <v>30</v>
      </c>
      <c r="AC315" s="39" t="s">
        <v>247</v>
      </c>
      <c r="AD315" s="7">
        <f>$AB315</f>
        <v>30</v>
      </c>
    </row>
    <row r="316" spans="1:38" ht="18.399999999999999" customHeight="1">
      <c r="A316" s="41" t="s">
        <v>6232</v>
      </c>
      <c r="B316" s="37">
        <f>SUM($C316,$D316,$E316)</f>
        <v>0</v>
      </c>
      <c r="C316" s="37">
        <f>$AB316</f>
        <v>0</v>
      </c>
      <c r="D316" s="37">
        <f>$AF316</f>
        <v>0</v>
      </c>
      <c r="E316" s="37">
        <f>$AJ316</f>
        <v>0</v>
      </c>
      <c r="F316" s="45"/>
      <c r="K316" s="3" t="s">
        <v>295</v>
      </c>
      <c r="AA316" s="40" t="s">
        <v>2660</v>
      </c>
      <c r="AB316" s="8">
        <f>ROUND(0,2)</f>
        <v>0</v>
      </c>
      <c r="AC316" s="40" t="s">
        <v>1650</v>
      </c>
      <c r="AD316" s="7">
        <f>$AB316</f>
        <v>0</v>
      </c>
      <c r="AE316" s="40" t="s">
        <v>5305</v>
      </c>
      <c r="AF316" s="8">
        <f>ROUND(0,2)</f>
        <v>0</v>
      </c>
      <c r="AG316" s="40" t="s">
        <v>5439</v>
      </c>
      <c r="AH316" s="7">
        <f>$AF316</f>
        <v>0</v>
      </c>
      <c r="AI316" s="40" t="s">
        <v>3519</v>
      </c>
      <c r="AJ316" s="8">
        <f>ROUND(0,2)</f>
        <v>0</v>
      </c>
      <c r="AK316" s="40" t="s">
        <v>4149</v>
      </c>
      <c r="AL316" s="7">
        <f>$AJ316</f>
        <v>0</v>
      </c>
    </row>
    <row r="317" spans="1:38" ht="18.399999999999999" customHeight="1">
      <c r="A317" s="41" t="s">
        <v>5524</v>
      </c>
      <c r="B317" s="37"/>
      <c r="C317" s="37"/>
      <c r="D317" s="37"/>
      <c r="E317" s="37"/>
      <c r="F317" s="45"/>
      <c r="K317" s="3" t="s">
        <v>3427</v>
      </c>
    </row>
    <row r="318" spans="1:38" ht="18.399999999999999" customHeight="1">
      <c r="A318" s="41" t="s">
        <v>6232</v>
      </c>
      <c r="B318" s="37"/>
      <c r="C318" s="37"/>
      <c r="D318" s="37"/>
      <c r="E318" s="37"/>
      <c r="F318" s="45"/>
      <c r="K318" s="3" t="s">
        <v>6232</v>
      </c>
    </row>
    <row r="319" spans="1:38" ht="18.399999999999999" customHeight="1">
      <c r="A319" s="41" t="s">
        <v>2653</v>
      </c>
      <c r="B319" s="37"/>
      <c r="C319" s="37"/>
      <c r="D319" s="37"/>
      <c r="E319" s="37"/>
      <c r="F319" s="45"/>
      <c r="K319" s="3" t="s">
        <v>2793</v>
      </c>
    </row>
    <row r="320" spans="1:38" ht="18.399999999999999" customHeight="1">
      <c r="A320" s="41" t="s">
        <v>52</v>
      </c>
      <c r="B320" s="37"/>
      <c r="C320" s="37"/>
      <c r="D320" s="37"/>
      <c r="E320" s="37"/>
      <c r="F320" s="45"/>
      <c r="K320" s="3" t="s">
        <v>3020</v>
      </c>
    </row>
    <row r="321" spans="1:30" ht="18.399999999999999" customHeight="1">
      <c r="A321" s="41" t="s">
        <v>6232</v>
      </c>
      <c r="B321" s="37"/>
      <c r="C321" s="37"/>
      <c r="D321" s="37"/>
      <c r="E321" s="37"/>
      <c r="F321" s="45"/>
      <c r="K321" s="3" t="s">
        <v>6232</v>
      </c>
    </row>
    <row r="322" spans="1:30" ht="18.399999999999999" customHeight="1">
      <c r="A322" s="41" t="s">
        <v>3700</v>
      </c>
      <c r="B322" s="37"/>
      <c r="C322" s="37"/>
      <c r="D322" s="37"/>
      <c r="E322" s="37"/>
      <c r="F322" s="45"/>
      <c r="K322" s="3" t="s">
        <v>2773</v>
      </c>
    </row>
    <row r="323" spans="1:30" ht="18.399999999999999" customHeight="1">
      <c r="A323" s="41" t="s">
        <v>679</v>
      </c>
      <c r="B323" s="37"/>
      <c r="C323" s="37"/>
      <c r="D323" s="37"/>
      <c r="E323" s="37"/>
      <c r="F323" s="45"/>
      <c r="K323" s="3" t="s">
        <v>1995</v>
      </c>
    </row>
    <row r="324" spans="1:30" ht="18.399999999999999" customHeight="1">
      <c r="A324" s="41" t="s">
        <v>5867</v>
      </c>
      <c r="B324" s="37"/>
      <c r="C324" s="37"/>
      <c r="D324" s="37"/>
      <c r="E324" s="37"/>
      <c r="F324" s="45"/>
      <c r="K324" s="3" t="s">
        <v>2096</v>
      </c>
    </row>
    <row r="325" spans="1:30" ht="18.399999999999999" customHeight="1">
      <c r="A325" s="41" t="s">
        <v>6232</v>
      </c>
      <c r="B325" s="37"/>
      <c r="C325" s="37"/>
      <c r="D325" s="37"/>
      <c r="E325" s="37"/>
      <c r="F325" s="45"/>
      <c r="K325" s="3" t="s">
        <v>6232</v>
      </c>
    </row>
    <row r="326" spans="1:30" ht="18.399999999999999" customHeight="1">
      <c r="A326" s="41" t="s">
        <v>663</v>
      </c>
      <c r="B326" s="37"/>
      <c r="C326" s="37"/>
      <c r="D326" s="37"/>
      <c r="E326" s="37"/>
      <c r="F326" s="45"/>
      <c r="K326" s="3" t="s">
        <v>1707</v>
      </c>
    </row>
    <row r="327" spans="1:30" ht="18.399999999999999" customHeight="1">
      <c r="A327" s="41" t="s">
        <v>6232</v>
      </c>
      <c r="B327" s="37"/>
      <c r="C327" s="37"/>
      <c r="D327" s="37"/>
      <c r="E327" s="37"/>
      <c r="F327" s="45"/>
      <c r="K327" s="3" t="s">
        <v>6232</v>
      </c>
    </row>
    <row r="328" spans="1:30" ht="18.399999999999999" customHeight="1">
      <c r="A328" s="41" t="s">
        <v>6134</v>
      </c>
      <c r="B328" s="37"/>
      <c r="C328" s="37"/>
      <c r="D328" s="37"/>
      <c r="E328" s="37"/>
      <c r="F328" s="45"/>
      <c r="K328" s="3" t="s">
        <v>4089</v>
      </c>
    </row>
    <row r="329" spans="1:30" ht="18.399999999999999" customHeight="1">
      <c r="A329" s="41" t="s">
        <v>6232</v>
      </c>
      <c r="B329" s="37"/>
      <c r="C329" s="37"/>
      <c r="D329" s="37"/>
      <c r="E329" s="37"/>
      <c r="F329" s="45"/>
      <c r="K329" s="3" t="s">
        <v>6232</v>
      </c>
    </row>
    <row r="330" spans="1:30" ht="18.399999999999999" customHeight="1">
      <c r="A330" s="41" t="s">
        <v>1517</v>
      </c>
      <c r="B330" s="37"/>
      <c r="C330" s="37"/>
      <c r="D330" s="37"/>
      <c r="E330" s="37"/>
      <c r="F330" s="45"/>
      <c r="K330" s="3" t="s">
        <v>2275</v>
      </c>
    </row>
    <row r="331" spans="1:30" ht="18.399999999999999" customHeight="1">
      <c r="A331" s="41" t="s">
        <v>6232</v>
      </c>
      <c r="B331" s="37"/>
      <c r="C331" s="37"/>
      <c r="D331" s="37"/>
      <c r="E331" s="37"/>
      <c r="F331" s="45"/>
      <c r="K331" s="3" t="s">
        <v>6232</v>
      </c>
    </row>
    <row r="332" spans="1:30" ht="18.399999999999999" customHeight="1">
      <c r="A332" s="41" t="s">
        <v>257</v>
      </c>
      <c r="B332" s="37"/>
      <c r="C332" s="37"/>
      <c r="D332" s="37"/>
      <c r="E332" s="37"/>
      <c r="F332" s="45"/>
      <c r="K332" s="3" t="s">
        <v>1264</v>
      </c>
    </row>
    <row r="333" spans="1:30" ht="18.399999999999999" customHeight="1">
      <c r="A333" s="41" t="s">
        <v>6232</v>
      </c>
      <c r="B333" s="37"/>
      <c r="C333" s="37"/>
      <c r="D333" s="37"/>
      <c r="E333" s="37"/>
      <c r="F333" s="45"/>
      <c r="K333" s="3" t="s">
        <v>6232</v>
      </c>
    </row>
    <row r="334" spans="1:30" ht="18.399999999999999" customHeight="1">
      <c r="A334" s="42" t="str">
        <f>CONCATENATE("   - 1차당 적재량(본)         Q=",TEXT($AB334,"#,##0.00"),"  본")</f>
        <v xml:space="preserve">   - 1차당 적재량(본)         Q=5.00  본</v>
      </c>
      <c r="B334" s="37"/>
      <c r="C334" s="37"/>
      <c r="D334" s="37"/>
      <c r="E334" s="37"/>
      <c r="F334" s="45"/>
      <c r="K334" s="10" t="str">
        <f>SUBSTITUTE(SUBSTITUTE("  _x001D_- 1차당 적재량(본)_x001D_        Q  =  5 _x001D_본_x001D_","5",TEXT($AB334,"#,##0"),1),"_x001D_","'")</f>
        <v xml:space="preserve">  '- 1차당 적재량(본)'        Q  =  5 '본'</v>
      </c>
      <c r="AA334" s="39" t="s">
        <v>4337</v>
      </c>
      <c r="AB334" s="6">
        <v>5</v>
      </c>
      <c r="AC334" s="39" t="s">
        <v>4337</v>
      </c>
      <c r="AD334" s="7">
        <f>$AB334</f>
        <v>5</v>
      </c>
    </row>
    <row r="335" spans="1:30" ht="18.399999999999999" customHeight="1">
      <c r="A335" s="41" t="s">
        <v>6232</v>
      </c>
      <c r="B335" s="37"/>
      <c r="C335" s="37"/>
      <c r="D335" s="37"/>
      <c r="E335" s="37"/>
      <c r="F335" s="45"/>
      <c r="K335" s="3" t="s">
        <v>6232</v>
      </c>
    </row>
    <row r="336" spans="1:30" ht="18.399999999999999" customHeight="1">
      <c r="A336" s="42" t="str">
        <f>CONCATENATE("   - 운반차량 대기시간(12M당)    T1=",TEXT($AB336,"#,##0.00"),"   분")</f>
        <v xml:space="preserve">   - 운반차량 대기시간(12M당)    T1=12.00   분</v>
      </c>
      <c r="B336" s="37"/>
      <c r="C336" s="37"/>
      <c r="D336" s="37"/>
      <c r="E336" s="37"/>
      <c r="F336" s="45"/>
      <c r="K336" s="10" t="str">
        <f>SUBSTITUTE(SUBSTITUTE("  _x001D_- 운반차량 대기시간(12M당)_x001D_   T1 = 12  _x001D_분_x001D_","12",TEXT($AB336,"#,##0"),1),"_x001D_","'")</f>
        <v xml:space="preserve">  '- 운반차량 대기시간(12M당)'   T1 = 12  '분'</v>
      </c>
      <c r="AA336" s="39" t="s">
        <v>4528</v>
      </c>
      <c r="AB336" s="6">
        <v>12</v>
      </c>
      <c r="AC336" s="39" t="s">
        <v>4528</v>
      </c>
      <c r="AD336" s="7">
        <f>$AB336</f>
        <v>12</v>
      </c>
    </row>
    <row r="337" spans="1:34" ht="18.399999999999999" customHeight="1">
      <c r="A337" s="41" t="s">
        <v>6232</v>
      </c>
      <c r="B337" s="37"/>
      <c r="C337" s="37"/>
      <c r="D337" s="37"/>
      <c r="E337" s="37"/>
      <c r="F337" s="45"/>
      <c r="K337" s="3" t="s">
        <v>6232</v>
      </c>
    </row>
    <row r="338" spans="1:34" ht="18.399999999999999" customHeight="1">
      <c r="A338" s="41" t="s">
        <v>4838</v>
      </c>
      <c r="B338" s="37"/>
      <c r="C338" s="37"/>
      <c r="D338" s="37"/>
      <c r="E338" s="37"/>
      <c r="F338" s="45"/>
      <c r="K338" s="3" t="s">
        <v>6093</v>
      </c>
    </row>
    <row r="339" spans="1:34" ht="18.399999999999999" customHeight="1">
      <c r="A339" s="41" t="s">
        <v>6232</v>
      </c>
      <c r="B339" s="37"/>
      <c r="C339" s="37"/>
      <c r="D339" s="37"/>
      <c r="E339" s="37"/>
      <c r="F339" s="45"/>
      <c r="K339" s="3" t="s">
        <v>6232</v>
      </c>
    </row>
    <row r="340" spans="1:34" ht="18.399999999999999" customHeight="1">
      <c r="A340" s="42" t="str">
        <f>CONCATENATE("    T2 = (L / V * 2 * 60 + 20) / Q = ",TEXT($AF340,"#,##0.00")," 분 ")</f>
        <v xml:space="preserve">    T2 = (L / V * 2 * 60 + 20) / Q = 7.20 분 </v>
      </c>
      <c r="B340" s="37">
        <f>SUM($C340,$D340,$E340)</f>
        <v>0</v>
      </c>
      <c r="C340" s="37"/>
      <c r="D340" s="37"/>
      <c r="E340" s="37"/>
      <c r="F340" s="45"/>
      <c r="K340" s="3" t="s">
        <v>3353</v>
      </c>
      <c r="AA340" s="39" t="s">
        <v>5897</v>
      </c>
      <c r="AB340" s="8">
        <f>ROUND(($AD313/$AD315*2*60+20)/$AD334,2)</f>
        <v>7.2</v>
      </c>
      <c r="AC340" s="39" t="s">
        <v>2053</v>
      </c>
      <c r="AD340" s="7">
        <f>$AB340</f>
        <v>7.2</v>
      </c>
      <c r="AE340" s="39" t="s">
        <v>4270</v>
      </c>
      <c r="AF340" s="8">
        <f>ROUND(ROUND(($AD313/$AD315*2*60+20)/$AD334,2),2)</f>
        <v>7.2</v>
      </c>
      <c r="AG340" s="39" t="s">
        <v>360</v>
      </c>
      <c r="AH340" s="7">
        <f>$AF340</f>
        <v>7.2</v>
      </c>
    </row>
    <row r="341" spans="1:34" ht="18.399999999999999" customHeight="1">
      <c r="A341" s="41" t="s">
        <v>6232</v>
      </c>
      <c r="B341" s="37"/>
      <c r="C341" s="37"/>
      <c r="D341" s="37"/>
      <c r="E341" s="37"/>
      <c r="F341" s="45"/>
      <c r="K341" s="3" t="s">
        <v>6232</v>
      </c>
    </row>
    <row r="342" spans="1:34" ht="18.399999999999999" customHeight="1">
      <c r="A342" s="41" t="s">
        <v>2391</v>
      </c>
      <c r="B342" s="37"/>
      <c r="C342" s="37"/>
      <c r="D342" s="37"/>
      <c r="E342" s="37"/>
      <c r="F342" s="45"/>
      <c r="K342" s="3" t="s">
        <v>4710</v>
      </c>
    </row>
    <row r="343" spans="1:34" ht="18.399999999999999" customHeight="1">
      <c r="A343" s="41" t="s">
        <v>6232</v>
      </c>
      <c r="B343" s="37"/>
      <c r="C343" s="37"/>
      <c r="D343" s="37"/>
      <c r="E343" s="37"/>
      <c r="F343" s="45"/>
      <c r="K343" s="3" t="s">
        <v>6232</v>
      </c>
    </row>
    <row r="344" spans="1:34" ht="18.399999999999999" customHeight="1">
      <c r="A344" s="42" t="str">
        <f>CONCATENATE("    CM = T1 + T2 = ",TEXT($AF344,"#,##0.00")," 분 ")</f>
        <v xml:space="preserve">    CM = T1 + T2 = 19.20 분 </v>
      </c>
      <c r="B344" s="37">
        <f>SUM($C344,$D344,$E344)</f>
        <v>0</v>
      </c>
      <c r="C344" s="37"/>
      <c r="D344" s="37"/>
      <c r="E344" s="37"/>
      <c r="F344" s="45"/>
      <c r="K344" s="3" t="s">
        <v>6049</v>
      </c>
      <c r="AA344" s="39" t="s">
        <v>5026</v>
      </c>
      <c r="AB344" s="8">
        <f>ROUND($AD336+$AD340,2)</f>
        <v>19.2</v>
      </c>
      <c r="AC344" s="39" t="s">
        <v>289</v>
      </c>
      <c r="AD344" s="7">
        <f>$AB344</f>
        <v>19.2</v>
      </c>
      <c r="AE344" s="39" t="s">
        <v>3970</v>
      </c>
      <c r="AF344" s="8">
        <f>ROUND(ROUND($AD336+$AD340,2),2)</f>
        <v>19.2</v>
      </c>
      <c r="AG344" s="39" t="s">
        <v>5959</v>
      </c>
      <c r="AH344" s="7">
        <f>$AF344</f>
        <v>19.2</v>
      </c>
    </row>
    <row r="345" spans="1:34" ht="18.399999999999999" customHeight="1">
      <c r="A345" s="41" t="s">
        <v>6232</v>
      </c>
      <c r="B345" s="37"/>
      <c r="C345" s="37"/>
      <c r="D345" s="37"/>
      <c r="E345" s="37"/>
      <c r="F345" s="45"/>
      <c r="K345" s="3" t="s">
        <v>6232</v>
      </c>
    </row>
    <row r="346" spans="1:34" ht="18.399999999999999" customHeight="1">
      <c r="A346" s="41" t="s">
        <v>5848</v>
      </c>
      <c r="B346" s="37"/>
      <c r="C346" s="37"/>
      <c r="D346" s="37"/>
      <c r="E346" s="37"/>
      <c r="F346" s="45"/>
      <c r="K346" s="3" t="s">
        <v>788</v>
      </c>
    </row>
    <row r="347" spans="1:34" ht="18.399999999999999" customHeight="1">
      <c r="A347" s="41" t="s">
        <v>6232</v>
      </c>
      <c r="B347" s="37"/>
      <c r="C347" s="37"/>
      <c r="D347" s="37"/>
      <c r="E347" s="37"/>
      <c r="F347" s="45"/>
      <c r="K347" s="3" t="s">
        <v>6232</v>
      </c>
    </row>
    <row r="348" spans="1:34" ht="18.399999999999999" customHeight="1">
      <c r="A348" s="42" t="str">
        <f>CONCATENATE("    Qo = T2 / CM = ",TEXT($AF348,"#,##0.00")," 분 ")</f>
        <v xml:space="preserve">    Qo = T2 / CM = 0.38 분 </v>
      </c>
      <c r="B348" s="37">
        <f>SUM($C348,$D348,$E348)</f>
        <v>0</v>
      </c>
      <c r="C348" s="37"/>
      <c r="D348" s="37"/>
      <c r="E348" s="37"/>
      <c r="F348" s="45"/>
      <c r="K348" s="3" t="s">
        <v>882</v>
      </c>
      <c r="AA348" s="39" t="s">
        <v>1501</v>
      </c>
      <c r="AB348" s="8">
        <f>ROUND($AD340/$AD344,2)</f>
        <v>0.38</v>
      </c>
      <c r="AC348" s="39" t="s">
        <v>2425</v>
      </c>
      <c r="AD348" s="7">
        <f>$AB348</f>
        <v>0.38</v>
      </c>
      <c r="AE348" s="39" t="s">
        <v>4429</v>
      </c>
      <c r="AF348" s="8">
        <f>ROUND(ROUND($AD340/$AD344,2),2)</f>
        <v>0.38</v>
      </c>
      <c r="AG348" s="39" t="s">
        <v>4511</v>
      </c>
      <c r="AH348" s="7">
        <f>$AF348</f>
        <v>0.38</v>
      </c>
    </row>
    <row r="349" spans="1:34" ht="18.399999999999999" customHeight="1">
      <c r="A349" s="41" t="s">
        <v>6232</v>
      </c>
      <c r="B349" s="37"/>
      <c r="C349" s="37"/>
      <c r="D349" s="37"/>
      <c r="E349" s="37"/>
      <c r="F349" s="45"/>
      <c r="K349" s="3" t="s">
        <v>6232</v>
      </c>
    </row>
    <row r="350" spans="1:34" ht="18.399999999999999" customHeight="1">
      <c r="A350" s="41" t="s">
        <v>1042</v>
      </c>
      <c r="B350" s="37"/>
      <c r="C350" s="37"/>
      <c r="D350" s="37"/>
      <c r="E350" s="37"/>
      <c r="F350" s="45"/>
      <c r="K350" s="3" t="s">
        <v>1008</v>
      </c>
    </row>
    <row r="351" spans="1:34" ht="18.399999999999999" customHeight="1">
      <c r="A351" s="41" t="s">
        <v>6232</v>
      </c>
      <c r="B351" s="37"/>
      <c r="C351" s="37"/>
      <c r="D351" s="37"/>
      <c r="E351" s="37"/>
      <c r="F351" s="45"/>
      <c r="K351" s="3" t="s">
        <v>6232</v>
      </c>
    </row>
    <row r="352" spans="1:34" ht="18.399999999999999" customHeight="1">
      <c r="A352" s="42" t="str">
        <f>CONCATENATE("      보통인부 :  2.0 인  * _x001D_169,804_x001D_ * (CM + 6 ) / 60 / 8 = ",TEXT($AB352,"#,##0.0"))</f>
        <v xml:space="preserve">      보통인부 :  2.0 인  * _x001D_169,804_x001D_ * (CM + 6 ) / 60 / 8 = 18,067.1</v>
      </c>
      <c r="B352" s="37">
        <f>SUM($C352,$D352,$E352)</f>
        <v>18067.099999999999</v>
      </c>
      <c r="C352" s="37"/>
      <c r="D352" s="37">
        <f>$AB352</f>
        <v>18067.099999999999</v>
      </c>
      <c r="E352" s="37"/>
      <c r="F352" s="45" t="s">
        <v>6232</v>
      </c>
      <c r="K352" s="3" t="s">
        <v>3933</v>
      </c>
      <c r="AA352" s="40" t="s">
        <v>5305</v>
      </c>
      <c r="AB352" s="8">
        <f>TRUNC(2*노임!D3*($AD344+6)/60/8,1)</f>
        <v>18067.099999999999</v>
      </c>
      <c r="AC352" s="40" t="s">
        <v>5439</v>
      </c>
      <c r="AD352" s="7">
        <f>$AH316+$AB352</f>
        <v>18067.099999999999</v>
      </c>
    </row>
    <row r="353" spans="1:30" ht="18.399999999999999" customHeight="1">
      <c r="A353" s="41" t="s">
        <v>6232</v>
      </c>
      <c r="B353" s="37"/>
      <c r="C353" s="37"/>
      <c r="D353" s="37"/>
      <c r="E353" s="37"/>
      <c r="F353" s="45"/>
      <c r="K353" s="3" t="s">
        <v>6232</v>
      </c>
    </row>
    <row r="354" spans="1:30" ht="18.399999999999999" customHeight="1">
      <c r="A354" s="41" t="s">
        <v>5801</v>
      </c>
      <c r="B354" s="37"/>
      <c r="C354" s="37"/>
      <c r="D354" s="37"/>
      <c r="E354" s="37"/>
      <c r="F354" s="45"/>
      <c r="K354" s="3" t="s">
        <v>775</v>
      </c>
    </row>
    <row r="355" spans="1:30" ht="18.399999999999999" customHeight="1">
      <c r="A355" s="41" t="s">
        <v>6232</v>
      </c>
      <c r="B355" s="37"/>
      <c r="C355" s="37"/>
      <c r="D355" s="37"/>
      <c r="E355" s="37"/>
      <c r="F355" s="45"/>
      <c r="K355" s="3" t="s">
        <v>6232</v>
      </c>
    </row>
    <row r="356" spans="1:30" ht="18.399999999999999" customHeight="1">
      <c r="A356" s="41" t="s">
        <v>2913</v>
      </c>
      <c r="B356" s="37"/>
      <c r="C356" s="37"/>
      <c r="D356" s="37"/>
      <c r="E356" s="37"/>
      <c r="F356" s="45"/>
      <c r="K356" s="3" t="s">
        <v>2204</v>
      </c>
    </row>
    <row r="357" spans="1:30" ht="18.399999999999999" customHeight="1">
      <c r="A357" s="41" t="s">
        <v>6232</v>
      </c>
      <c r="B357" s="37"/>
      <c r="C357" s="37"/>
      <c r="D357" s="37"/>
      <c r="E357" s="37"/>
      <c r="F357" s="45"/>
      <c r="K357" s="3" t="s">
        <v>6232</v>
      </c>
    </row>
    <row r="358" spans="1:30" ht="18.399999999999999" customHeight="1">
      <c r="A358" s="42" t="str">
        <f>CONCATENATE("     재료비:  _x001D_10,105_x001D_ * 18 / 60 = ",TEXT($AB358,"#,##0.0"))</f>
        <v xml:space="preserve">     재료비:  _x001D_10,105_x001D_ * 18 / 60 = 0.0</v>
      </c>
      <c r="B358" s="37">
        <f>SUM($C358,$D358,$E358)</f>
        <v>0</v>
      </c>
      <c r="C358" s="37">
        <f>$AB358</f>
        <v>0</v>
      </c>
      <c r="D358" s="37"/>
      <c r="E358" s="37"/>
      <c r="F358" s="45" t="s">
        <v>6232</v>
      </c>
      <c r="K358" s="3" t="s">
        <v>5894</v>
      </c>
      <c r="AA358" s="40" t="s">
        <v>2660</v>
      </c>
      <c r="AB358" s="8">
        <f>TRUNC(중기사용료목록!E5*18/60,1)</f>
        <v>0</v>
      </c>
      <c r="AC358" s="40" t="s">
        <v>1650</v>
      </c>
      <c r="AD358" s="7">
        <f>$AD316+$AB358</f>
        <v>0</v>
      </c>
    </row>
    <row r="359" spans="1:30" ht="18.399999999999999" customHeight="1">
      <c r="A359" s="41" t="s">
        <v>6232</v>
      </c>
      <c r="B359" s="37"/>
      <c r="C359" s="37"/>
      <c r="D359" s="37"/>
      <c r="E359" s="37"/>
      <c r="F359" s="45"/>
      <c r="K359" s="3" t="s">
        <v>6232</v>
      </c>
    </row>
    <row r="360" spans="1:30" ht="18.399999999999999" customHeight="1">
      <c r="A360" s="42" t="str">
        <f>CONCATENATE("     노무비:  _x001D_57,077_x001D_ * 18 / 60 = ",TEXT($AB360,"#,##0.0"))</f>
        <v xml:space="preserve">     노무비:  _x001D_57,077_x001D_ * 18 / 60 = 0.0</v>
      </c>
      <c r="B360" s="37">
        <f>SUM($C360,$D360,$E360)</f>
        <v>0</v>
      </c>
      <c r="C360" s="37"/>
      <c r="D360" s="37">
        <f>$AB360</f>
        <v>0</v>
      </c>
      <c r="E360" s="37"/>
      <c r="F360" s="45" t="s">
        <v>6232</v>
      </c>
      <c r="K360" s="3" t="s">
        <v>1213</v>
      </c>
      <c r="AA360" s="40" t="s">
        <v>5305</v>
      </c>
      <c r="AB360" s="8">
        <f>TRUNC(중기사용료목록!F5*18/60,1)</f>
        <v>0</v>
      </c>
      <c r="AC360" s="40" t="s">
        <v>5439</v>
      </c>
      <c r="AD360" s="7">
        <f>$AD352+$AB360</f>
        <v>18067.099999999999</v>
      </c>
    </row>
    <row r="361" spans="1:30" ht="18.399999999999999" customHeight="1">
      <c r="A361" s="41" t="s">
        <v>6232</v>
      </c>
      <c r="B361" s="37"/>
      <c r="C361" s="37"/>
      <c r="D361" s="37"/>
      <c r="E361" s="37"/>
      <c r="F361" s="45"/>
      <c r="K361" s="3" t="s">
        <v>6232</v>
      </c>
    </row>
    <row r="362" spans="1:30" ht="18.399999999999999" customHeight="1">
      <c r="A362" s="42" t="str">
        <f>CONCATENATE("     경  비:  _x001D_52,687_x001D_ * 18 / 60 = ",TEXT($AB362,"#,##0.0"))</f>
        <v xml:space="preserve">     경  비:  _x001D_52,687_x001D_ * 18 / 60 = 36,875.1</v>
      </c>
      <c r="B362" s="37">
        <f>SUM($C362,$D362,$E362)</f>
        <v>36875.1</v>
      </c>
      <c r="C362" s="37"/>
      <c r="D362" s="37"/>
      <c r="E362" s="37">
        <f>$AB362</f>
        <v>36875.1</v>
      </c>
      <c r="F362" s="45" t="s">
        <v>6232</v>
      </c>
      <c r="K362" s="3" t="s">
        <v>1534</v>
      </c>
      <c r="AA362" s="40" t="s">
        <v>3519</v>
      </c>
      <c r="AB362" s="8">
        <f>TRUNC(중기사용료목록!G5*18/60,1)</f>
        <v>36875.1</v>
      </c>
      <c r="AC362" s="40" t="s">
        <v>4149</v>
      </c>
      <c r="AD362" s="7">
        <f>$AL316+$AB362</f>
        <v>36875.1</v>
      </c>
    </row>
    <row r="363" spans="1:30" ht="18.399999999999999" customHeight="1">
      <c r="A363" s="41" t="s">
        <v>6232</v>
      </c>
      <c r="B363" s="37"/>
      <c r="C363" s="37"/>
      <c r="D363" s="37"/>
      <c r="E363" s="37"/>
      <c r="F363" s="45"/>
      <c r="K363" s="3" t="s">
        <v>6232</v>
      </c>
    </row>
    <row r="364" spans="1:30" ht="18.399999999999999" customHeight="1">
      <c r="A364" s="41" t="s">
        <v>1530</v>
      </c>
      <c r="B364" s="37"/>
      <c r="C364" s="37"/>
      <c r="D364" s="37"/>
      <c r="E364" s="37"/>
      <c r="F364" s="45"/>
      <c r="K364" s="3" t="s">
        <v>2021</v>
      </c>
    </row>
    <row r="365" spans="1:30" ht="18.399999999999999" customHeight="1">
      <c r="A365" s="41" t="s">
        <v>6232</v>
      </c>
      <c r="B365" s="37"/>
      <c r="C365" s="37"/>
      <c r="D365" s="37"/>
      <c r="E365" s="37"/>
      <c r="F365" s="45"/>
      <c r="K365" s="3" t="s">
        <v>6232</v>
      </c>
    </row>
    <row r="366" spans="1:30" ht="18.399999999999999" customHeight="1">
      <c r="A366" s="42" t="str">
        <f>CONCATENATE("     재료비:  _x001D_30,878_x001D_ * CM / 60 * Qo = ",TEXT($AB366,"#,##0.0"))</f>
        <v xml:space="preserve">     재료비:  _x001D_30,878_x001D_ * CM / 60 * Qo = 0.0</v>
      </c>
      <c r="B366" s="37">
        <f>SUM($C366,$D366,$E366)</f>
        <v>0</v>
      </c>
      <c r="C366" s="37">
        <f>$AB366</f>
        <v>0</v>
      </c>
      <c r="D366" s="37"/>
      <c r="E366" s="37"/>
      <c r="F366" s="45" t="s">
        <v>6232</v>
      </c>
      <c r="K366" s="3" t="s">
        <v>4711</v>
      </c>
      <c r="AA366" s="40" t="s">
        <v>2660</v>
      </c>
      <c r="AB366" s="8">
        <f>TRUNC(중기사용료목록!E7*$AD344/60*$AD348,1)</f>
        <v>0</v>
      </c>
      <c r="AC366" s="40" t="s">
        <v>1650</v>
      </c>
      <c r="AD366" s="7">
        <f>$AD358+$AB366</f>
        <v>0</v>
      </c>
    </row>
    <row r="367" spans="1:30" ht="18.399999999999999" customHeight="1">
      <c r="A367" s="41" t="s">
        <v>6232</v>
      </c>
      <c r="B367" s="37"/>
      <c r="C367" s="37"/>
      <c r="D367" s="37"/>
      <c r="E367" s="37"/>
      <c r="F367" s="45"/>
      <c r="K367" s="3" t="s">
        <v>6232</v>
      </c>
    </row>
    <row r="368" spans="1:30" ht="18.399999999999999" customHeight="1">
      <c r="A368" s="42" t="str">
        <f>CONCATENATE("     노무비:  _x001D_57,077_x001D_ * CM / 60 = ",TEXT($AB368,"#,##0.0"))</f>
        <v xml:space="preserve">     노무비:  _x001D_57,077_x001D_ * CM / 60 = 0.0</v>
      </c>
      <c r="B368" s="37">
        <f>SUM($C368,$D368,$E368)</f>
        <v>0</v>
      </c>
      <c r="C368" s="37"/>
      <c r="D368" s="37">
        <f>$AB368</f>
        <v>0</v>
      </c>
      <c r="E368" s="37"/>
      <c r="F368" s="45" t="s">
        <v>6232</v>
      </c>
      <c r="K368" s="3" t="s">
        <v>3619</v>
      </c>
      <c r="AA368" s="40" t="s">
        <v>5305</v>
      </c>
      <c r="AB368" s="8">
        <f>TRUNC(중기사용료목록!F7*$AD344/60,1)</f>
        <v>0</v>
      </c>
      <c r="AC368" s="40" t="s">
        <v>5439</v>
      </c>
      <c r="AD368" s="7">
        <f>$AD360+$AB368</f>
        <v>18067.099999999999</v>
      </c>
    </row>
    <row r="369" spans="1:38" ht="18.399999999999999" customHeight="1">
      <c r="A369" s="41" t="s">
        <v>6232</v>
      </c>
      <c r="B369" s="37"/>
      <c r="C369" s="37"/>
      <c r="D369" s="37"/>
      <c r="E369" s="37"/>
      <c r="F369" s="45"/>
      <c r="K369" s="3" t="s">
        <v>6232</v>
      </c>
    </row>
    <row r="370" spans="1:38" ht="18.399999999999999" customHeight="1">
      <c r="A370" s="42" t="str">
        <f>CONCATENATE("     경  비:  _x001D_16,873_x001D_ * CM / 60 = ",TEXT($AB370,"#,##0.0"))</f>
        <v xml:space="preserve">     경  비:  _x001D_16,873_x001D_ * CM / 60 = 35,723.2</v>
      </c>
      <c r="B370" s="37">
        <f>SUM($C370,$D370,$E370)</f>
        <v>35723.199999999997</v>
      </c>
      <c r="C370" s="37"/>
      <c r="D370" s="37"/>
      <c r="E370" s="37">
        <f>$AB370</f>
        <v>35723.199999999997</v>
      </c>
      <c r="F370" s="45" t="s">
        <v>6232</v>
      </c>
      <c r="K370" s="3" t="s">
        <v>5622</v>
      </c>
      <c r="AA370" s="40" t="s">
        <v>3519</v>
      </c>
      <c r="AB370" s="8">
        <f>TRUNC(중기사용료목록!G7*$AD344/60,1)</f>
        <v>35723.199999999997</v>
      </c>
      <c r="AC370" s="40" t="s">
        <v>4149</v>
      </c>
      <c r="AD370" s="7">
        <f>$AD362+$AB370</f>
        <v>72598.299999999988</v>
      </c>
    </row>
    <row r="371" spans="1:38" ht="18.399999999999999" customHeight="1">
      <c r="A371" s="41" t="s">
        <v>6232</v>
      </c>
      <c r="B371" s="37"/>
      <c r="C371" s="37"/>
      <c r="D371" s="37"/>
      <c r="E371" s="37"/>
      <c r="F371" s="45"/>
      <c r="K371" s="3" t="s">
        <v>6232</v>
      </c>
    </row>
    <row r="372" spans="1:38" ht="18.399999999999999" customHeight="1">
      <c r="A372" s="41" t="s">
        <v>4035</v>
      </c>
      <c r="B372" s="37">
        <v>81208.7</v>
      </c>
      <c r="C372" s="37">
        <v>6786.2</v>
      </c>
      <c r="D372" s="37">
        <v>53217.1</v>
      </c>
      <c r="E372" s="37">
        <v>21205.4</v>
      </c>
      <c r="F372" s="45"/>
      <c r="K372" s="3" t="s">
        <v>6070</v>
      </c>
    </row>
    <row r="373" spans="1:38" ht="18.399999999999999" customHeight="1">
      <c r="A373" s="41" t="s">
        <v>6232</v>
      </c>
      <c r="B373" s="37">
        <f>SUM($C373,$D373,$E373)</f>
        <v>0</v>
      </c>
      <c r="C373" s="37">
        <f>$AB373</f>
        <v>0</v>
      </c>
      <c r="D373" s="37">
        <f>$AF373</f>
        <v>0</v>
      </c>
      <c r="E373" s="37">
        <f>$AJ373</f>
        <v>0</v>
      </c>
      <c r="F373" s="45"/>
      <c r="K373" s="3" t="s">
        <v>5506</v>
      </c>
      <c r="AA373" s="40" t="s">
        <v>4586</v>
      </c>
      <c r="AB373" s="8">
        <f>ROUND(0,2)</f>
        <v>0</v>
      </c>
      <c r="AC373" s="40" t="s">
        <v>4161</v>
      </c>
      <c r="AD373" s="7">
        <f>$AB373</f>
        <v>0</v>
      </c>
      <c r="AE373" s="40" t="s">
        <v>222</v>
      </c>
      <c r="AF373" s="8">
        <f>ROUND(0,2)</f>
        <v>0</v>
      </c>
      <c r="AG373" s="40" t="s">
        <v>334</v>
      </c>
      <c r="AH373" s="7">
        <f>$AF373</f>
        <v>0</v>
      </c>
      <c r="AI373" s="40" t="s">
        <v>1574</v>
      </c>
      <c r="AJ373" s="8">
        <f>ROUND(0,2)</f>
        <v>0</v>
      </c>
      <c r="AK373" s="40" t="s">
        <v>1622</v>
      </c>
      <c r="AL373" s="7">
        <f>$AJ373</f>
        <v>0</v>
      </c>
    </row>
    <row r="374" spans="1:38" ht="18.399999999999999" customHeight="1">
      <c r="A374" s="41" t="s">
        <v>4138</v>
      </c>
      <c r="B374" s="37">
        <f>SUM($C374,$D374,$E374)</f>
        <v>7555.3</v>
      </c>
      <c r="C374" s="37">
        <f>$AB374</f>
        <v>0</v>
      </c>
      <c r="D374" s="37">
        <f>$AF374</f>
        <v>1505.5</v>
      </c>
      <c r="E374" s="37">
        <f>$AJ374</f>
        <v>6049.8</v>
      </c>
      <c r="F374" s="45"/>
      <c r="K374" s="3" t="s">
        <v>4286</v>
      </c>
      <c r="AA374" s="40" t="s">
        <v>4586</v>
      </c>
      <c r="AB374" s="8">
        <f>TRUNC($AD366/12,1)</f>
        <v>0</v>
      </c>
      <c r="AC374" s="40" t="s">
        <v>4161</v>
      </c>
      <c r="AD374" s="7">
        <f>$AB374</f>
        <v>0</v>
      </c>
      <c r="AE374" s="40" t="s">
        <v>222</v>
      </c>
      <c r="AF374" s="8">
        <f>TRUNC($AD368/12,1)</f>
        <v>1505.5</v>
      </c>
      <c r="AG374" s="40" t="s">
        <v>334</v>
      </c>
      <c r="AH374" s="7">
        <f>$AF374</f>
        <v>1505.5</v>
      </c>
      <c r="AI374" s="40" t="s">
        <v>1574</v>
      </c>
      <c r="AJ374" s="8">
        <f>TRUNC($AD370/12,1)</f>
        <v>6049.8</v>
      </c>
      <c r="AK374" s="40" t="s">
        <v>1622</v>
      </c>
      <c r="AL374" s="7">
        <f>$AJ374</f>
        <v>6049.8</v>
      </c>
    </row>
    <row r="375" spans="1:38" ht="18.399999999999999" customHeight="1">
      <c r="A375" s="41" t="s">
        <v>6232</v>
      </c>
      <c r="B375" s="37"/>
      <c r="C375" s="37"/>
      <c r="D375" s="37"/>
      <c r="E375" s="37"/>
      <c r="F375" s="45"/>
      <c r="K375" s="3" t="s">
        <v>6232</v>
      </c>
    </row>
    <row r="376" spans="1:38" ht="18.399999999999999" customHeight="1">
      <c r="A376" s="41" t="s">
        <v>3436</v>
      </c>
      <c r="B376" s="37">
        <v>6767.3</v>
      </c>
      <c r="C376" s="37">
        <v>565.5</v>
      </c>
      <c r="D376" s="37">
        <v>4434.7</v>
      </c>
      <c r="E376" s="37">
        <v>1767.1</v>
      </c>
      <c r="F376" s="45"/>
      <c r="K376" s="3" t="s">
        <v>1342</v>
      </c>
    </row>
    <row r="377" spans="1:38" ht="18.399999999999999" customHeight="1">
      <c r="A377" s="41" t="s">
        <v>6232</v>
      </c>
      <c r="B377" s="37">
        <f>SUM($C377,$D377,$E377)</f>
        <v>0</v>
      </c>
      <c r="C377" s="37">
        <f>$AB377</f>
        <v>0</v>
      </c>
      <c r="D377" s="37">
        <f>$AF377</f>
        <v>0</v>
      </c>
      <c r="E377" s="37">
        <f>$AJ377</f>
        <v>0</v>
      </c>
      <c r="F377" s="45"/>
      <c r="K377" s="3" t="s">
        <v>3238</v>
      </c>
      <c r="AA377" s="40" t="s">
        <v>308</v>
      </c>
      <c r="AB377" s="8">
        <f>ROUND(0,2)</f>
        <v>0</v>
      </c>
      <c r="AC377" s="40" t="s">
        <v>5000</v>
      </c>
      <c r="AD377" s="7">
        <f>$AB377</f>
        <v>0</v>
      </c>
      <c r="AE377" s="40" t="s">
        <v>4500</v>
      </c>
      <c r="AF377" s="8">
        <f>ROUND(0,2)</f>
        <v>0</v>
      </c>
      <c r="AG377" s="40" t="s">
        <v>2603</v>
      </c>
      <c r="AH377" s="7">
        <f>$AF377</f>
        <v>0</v>
      </c>
      <c r="AI377" s="40" t="s">
        <v>5878</v>
      </c>
      <c r="AJ377" s="8">
        <f>ROUND(0,2)</f>
        <v>0</v>
      </c>
      <c r="AK377" s="40" t="s">
        <v>787</v>
      </c>
      <c r="AL377" s="7">
        <f>$AJ377</f>
        <v>0</v>
      </c>
    </row>
    <row r="378" spans="1:38" ht="18.399999999999999" customHeight="1">
      <c r="A378" s="41" t="s">
        <v>3772</v>
      </c>
      <c r="B378" s="37">
        <f>SUM($C378,$D378,$E378)</f>
        <v>8288.1</v>
      </c>
      <c r="C378" s="37">
        <f>$AB378</f>
        <v>0</v>
      </c>
      <c r="D378" s="37">
        <f>$AF378</f>
        <v>1651.5</v>
      </c>
      <c r="E378" s="37">
        <f>$AJ378</f>
        <v>6636.6</v>
      </c>
      <c r="F378" s="45"/>
      <c r="K378" s="3" t="s">
        <v>2347</v>
      </c>
      <c r="AA378" s="40" t="s">
        <v>308</v>
      </c>
      <c r="AB378" s="8">
        <f>TRUNC($AD374*1.097,1)</f>
        <v>0</v>
      </c>
      <c r="AC378" s="40" t="s">
        <v>5000</v>
      </c>
      <c r="AD378" s="7">
        <f>$AB378</f>
        <v>0</v>
      </c>
      <c r="AE378" s="40" t="s">
        <v>4500</v>
      </c>
      <c r="AF378" s="8">
        <f>TRUNC($AH374*1.097,1)</f>
        <v>1651.5</v>
      </c>
      <c r="AG378" s="40" t="s">
        <v>2603</v>
      </c>
      <c r="AH378" s="7">
        <f>$AF378</f>
        <v>1651.5</v>
      </c>
      <c r="AI378" s="40" t="s">
        <v>5878</v>
      </c>
      <c r="AJ378" s="8">
        <f>TRUNC($AL374*1.097,1)</f>
        <v>6636.6</v>
      </c>
      <c r="AK378" s="40" t="s">
        <v>787</v>
      </c>
      <c r="AL378" s="7">
        <f>$AJ378</f>
        <v>6636.6</v>
      </c>
    </row>
    <row r="379" spans="1:38" ht="18.399999999999999" customHeight="1">
      <c r="A379" s="41" t="s">
        <v>6232</v>
      </c>
      <c r="B379" s="37"/>
      <c r="C379" s="37"/>
      <c r="D379" s="37"/>
      <c r="E379" s="37"/>
      <c r="F379" s="45"/>
      <c r="K379" s="3" t="s">
        <v>6232</v>
      </c>
    </row>
    <row r="380" spans="1:38" ht="18.399999999999999" customHeight="1">
      <c r="A380" s="41" t="s">
        <v>3436</v>
      </c>
      <c r="B380" s="37">
        <f>SUM($C380,$D380,$E380)</f>
        <v>8288.1</v>
      </c>
      <c r="C380" s="37">
        <f>$AB380</f>
        <v>0</v>
      </c>
      <c r="D380" s="37">
        <f>$AF380</f>
        <v>1651.5</v>
      </c>
      <c r="E380" s="37">
        <f>$AJ380</f>
        <v>6636.6</v>
      </c>
      <c r="F380" s="45"/>
      <c r="K380" s="3" t="s">
        <v>4527</v>
      </c>
      <c r="AA380" s="40" t="s">
        <v>4592</v>
      </c>
      <c r="AB380" s="8">
        <f>TRUNC($AD378,1)</f>
        <v>0</v>
      </c>
      <c r="AC380" s="40" t="s">
        <v>5149</v>
      </c>
      <c r="AD380" s="7">
        <f>$AB380</f>
        <v>0</v>
      </c>
      <c r="AE380" s="40" t="s">
        <v>666</v>
      </c>
      <c r="AF380" s="8">
        <f>TRUNC($AH378,1)</f>
        <v>1651.5</v>
      </c>
      <c r="AG380" s="40" t="s">
        <v>2431</v>
      </c>
      <c r="AH380" s="7">
        <f>$AF380</f>
        <v>1651.5</v>
      </c>
      <c r="AI380" s="40" t="s">
        <v>1930</v>
      </c>
      <c r="AJ380" s="8">
        <f>TRUNC($AL378,1)</f>
        <v>6636.6</v>
      </c>
      <c r="AK380" s="40" t="s">
        <v>3349</v>
      </c>
      <c r="AL380" s="7">
        <f>$AJ380</f>
        <v>6636.6</v>
      </c>
    </row>
    <row r="381" spans="1:38" ht="18.399999999999999" customHeight="1">
      <c r="A381" s="41"/>
      <c r="B381" s="3"/>
      <c r="C381" s="3"/>
      <c r="D381" s="3"/>
      <c r="E381" s="3"/>
      <c r="F381" s="44"/>
    </row>
    <row r="382" spans="1:38" ht="18.399999999999999" customHeight="1">
      <c r="A382" s="43" t="s">
        <v>3543</v>
      </c>
      <c r="B382" s="38">
        <f>SUM($C382,$D382,$E382)</f>
        <v>8287</v>
      </c>
      <c r="C382" s="38">
        <f>TRUNC(SUM($AD380),0)</f>
        <v>0</v>
      </c>
      <c r="D382" s="38">
        <f>TRUNC(SUM($AH380),0)</f>
        <v>1651</v>
      </c>
      <c r="E382" s="38">
        <f>TRUNC(SUM($AL380),0)</f>
        <v>6636</v>
      </c>
      <c r="F382" s="46"/>
    </row>
    <row r="383" spans="1:38" ht="18.399999999999999" customHeight="1">
      <c r="A383" s="41"/>
      <c r="B383" s="3"/>
      <c r="C383" s="3"/>
      <c r="D383" s="3"/>
      <c r="E383" s="3"/>
      <c r="F383" s="44"/>
    </row>
    <row r="384" spans="1:38" ht="18.399999999999999" customHeight="1">
      <c r="A384" s="41" t="s">
        <v>4261</v>
      </c>
      <c r="B384" s="36">
        <f>$B458</f>
        <v>8287</v>
      </c>
      <c r="C384" s="36">
        <f>$C458</f>
        <v>0</v>
      </c>
      <c r="D384" s="36">
        <f>$D458</f>
        <v>1651</v>
      </c>
      <c r="E384" s="36">
        <f>$E458</f>
        <v>6636</v>
      </c>
      <c r="F384" s="44" t="s">
        <v>3378</v>
      </c>
      <c r="G384" t="s">
        <v>6232</v>
      </c>
      <c r="H384" t="s">
        <v>4584</v>
      </c>
      <c r="K384">
        <v>1</v>
      </c>
      <c r="Y384" s="7" t="b">
        <f>EXACT($Z384,$B458)</f>
        <v>0</v>
      </c>
      <c r="Z384" s="38">
        <v>7422</v>
      </c>
    </row>
    <row r="385" spans="1:38" ht="18.399999999999999" customHeight="1">
      <c r="A385" s="41"/>
      <c r="B385" s="3"/>
      <c r="C385" s="3"/>
      <c r="D385" s="3"/>
      <c r="E385" s="3"/>
      <c r="F385" s="44"/>
    </row>
    <row r="386" spans="1:38" ht="18.399999999999999" customHeight="1">
      <c r="A386" s="41" t="s">
        <v>6232</v>
      </c>
      <c r="B386" s="3"/>
      <c r="C386" s="3"/>
      <c r="D386" s="3"/>
      <c r="E386" s="3"/>
      <c r="F386" s="44"/>
      <c r="G386" t="s">
        <v>6232</v>
      </c>
      <c r="I386" t="s">
        <v>742</v>
      </c>
      <c r="J386" t="s">
        <v>6232</v>
      </c>
      <c r="K386" t="s">
        <v>5235</v>
      </c>
    </row>
    <row r="387" spans="1:38" ht="18.399999999999999" customHeight="1">
      <c r="A387" s="41" t="s">
        <v>4933</v>
      </c>
      <c r="B387" s="37"/>
      <c r="C387" s="37"/>
      <c r="D387" s="37"/>
      <c r="E387" s="37"/>
      <c r="F387" s="45"/>
      <c r="K387" s="3" t="s">
        <v>704</v>
      </c>
    </row>
    <row r="388" spans="1:38" ht="18.399999999999999" customHeight="1">
      <c r="A388" s="41" t="s">
        <v>6232</v>
      </c>
      <c r="B388" s="37"/>
      <c r="C388" s="37"/>
      <c r="D388" s="37"/>
      <c r="E388" s="37"/>
      <c r="F388" s="45"/>
      <c r="K388" s="3" t="s">
        <v>6232</v>
      </c>
    </row>
    <row r="389" spans="1:38" ht="18.399999999999999" customHeight="1">
      <c r="A389" s="42" t="str">
        <f>CONCATENATE("                L=",TEXT($AB389,"#,##0.0"),"   KM  실시공후 정산")</f>
        <v xml:space="preserve">                L=4.0   KM  실시공후 정산</v>
      </c>
      <c r="B389" s="37"/>
      <c r="C389" s="37"/>
      <c r="D389" s="37"/>
      <c r="E389" s="37"/>
      <c r="F389" s="45"/>
      <c r="K389" s="10" t="str">
        <f>SUBSTITUTE(SUBSTITUTE("                L = 4.0  _x001D_KM_x001D__x001D_실시공후 정산_x001D_","4.0",TEXT($AB389,"#,##0.0"),1),"_x001D_","'")</f>
        <v xml:space="preserve">                L = 4.0  'KM''실시공후 정산'</v>
      </c>
      <c r="AA389" s="39" t="s">
        <v>5842</v>
      </c>
      <c r="AB389" s="6">
        <v>4</v>
      </c>
      <c r="AC389" s="39" t="s">
        <v>5842</v>
      </c>
      <c r="AD389" s="7">
        <f>$AB389</f>
        <v>4</v>
      </c>
    </row>
    <row r="390" spans="1:38" ht="18.399999999999999" customHeight="1">
      <c r="A390" s="41" t="s">
        <v>6214</v>
      </c>
      <c r="B390" s="37"/>
      <c r="C390" s="37"/>
      <c r="D390" s="37"/>
      <c r="E390" s="37"/>
      <c r="F390" s="45"/>
      <c r="K390" s="3" t="s">
        <v>3965</v>
      </c>
    </row>
    <row r="391" spans="1:38" ht="18.399999999999999" customHeight="1">
      <c r="A391" s="42" t="str">
        <f>CONCATENATE("                V=",TEXT($AB391,"#,##0.0"),"  KM/hr")</f>
        <v xml:space="preserve">                V=30.0  KM/hr</v>
      </c>
      <c r="B391" s="37"/>
      <c r="C391" s="37"/>
      <c r="D391" s="37"/>
      <c r="E391" s="37"/>
      <c r="F391" s="45"/>
      <c r="K391" s="10" t="str">
        <f>SUBSTITUTE(SUBSTITUTE("                V = 30.0 _x001D_KM/hr_x001D_","30.0",TEXT($AB391,"#,##0.0"),1),"_x001D_","'")</f>
        <v xml:space="preserve">                V = 30.0 'KM/hr'</v>
      </c>
      <c r="AA391" s="39" t="s">
        <v>247</v>
      </c>
      <c r="AB391" s="6">
        <v>30</v>
      </c>
      <c r="AC391" s="39" t="s">
        <v>247</v>
      </c>
      <c r="AD391" s="7">
        <f>$AB391</f>
        <v>30</v>
      </c>
    </row>
    <row r="392" spans="1:38" ht="18.399999999999999" customHeight="1">
      <c r="A392" s="41" t="s">
        <v>6232</v>
      </c>
      <c r="B392" s="37">
        <f>SUM($C392,$D392,$E392)</f>
        <v>0</v>
      </c>
      <c r="C392" s="37">
        <f>$AB392</f>
        <v>0</v>
      </c>
      <c r="D392" s="37">
        <f>$AF392</f>
        <v>0</v>
      </c>
      <c r="E392" s="37">
        <f>$AJ392</f>
        <v>0</v>
      </c>
      <c r="F392" s="45"/>
      <c r="K392" s="3" t="s">
        <v>295</v>
      </c>
      <c r="AA392" s="40" t="s">
        <v>2660</v>
      </c>
      <c r="AB392" s="8">
        <f>ROUND(0,2)</f>
        <v>0</v>
      </c>
      <c r="AC392" s="40" t="s">
        <v>1650</v>
      </c>
      <c r="AD392" s="7">
        <f>$AB392</f>
        <v>0</v>
      </c>
      <c r="AE392" s="40" t="s">
        <v>5305</v>
      </c>
      <c r="AF392" s="8">
        <f>ROUND(0,2)</f>
        <v>0</v>
      </c>
      <c r="AG392" s="40" t="s">
        <v>5439</v>
      </c>
      <c r="AH392" s="7">
        <f>$AF392</f>
        <v>0</v>
      </c>
      <c r="AI392" s="40" t="s">
        <v>3519</v>
      </c>
      <c r="AJ392" s="8">
        <f>ROUND(0,2)</f>
        <v>0</v>
      </c>
      <c r="AK392" s="40" t="s">
        <v>4149</v>
      </c>
      <c r="AL392" s="7">
        <f>$AJ392</f>
        <v>0</v>
      </c>
    </row>
    <row r="393" spans="1:38" ht="18.399999999999999" customHeight="1">
      <c r="A393" s="41" t="s">
        <v>5524</v>
      </c>
      <c r="B393" s="37"/>
      <c r="C393" s="37"/>
      <c r="D393" s="37"/>
      <c r="E393" s="37"/>
      <c r="F393" s="45"/>
      <c r="K393" s="3" t="s">
        <v>3427</v>
      </c>
    </row>
    <row r="394" spans="1:38" ht="18.399999999999999" customHeight="1">
      <c r="A394" s="41" t="s">
        <v>6232</v>
      </c>
      <c r="B394" s="37"/>
      <c r="C394" s="37"/>
      <c r="D394" s="37"/>
      <c r="E394" s="37"/>
      <c r="F394" s="45"/>
      <c r="K394" s="3" t="s">
        <v>6232</v>
      </c>
    </row>
    <row r="395" spans="1:38" ht="18.399999999999999" customHeight="1">
      <c r="A395" s="41" t="s">
        <v>2653</v>
      </c>
      <c r="B395" s="37"/>
      <c r="C395" s="37"/>
      <c r="D395" s="37"/>
      <c r="E395" s="37"/>
      <c r="F395" s="45"/>
      <c r="K395" s="3" t="s">
        <v>2793</v>
      </c>
    </row>
    <row r="396" spans="1:38" ht="18.399999999999999" customHeight="1">
      <c r="A396" s="41" t="s">
        <v>52</v>
      </c>
      <c r="B396" s="37"/>
      <c r="C396" s="37"/>
      <c r="D396" s="37"/>
      <c r="E396" s="37"/>
      <c r="F396" s="45"/>
      <c r="K396" s="3" t="s">
        <v>3020</v>
      </c>
    </row>
    <row r="397" spans="1:38" ht="18.399999999999999" customHeight="1">
      <c r="A397" s="41" t="s">
        <v>6232</v>
      </c>
      <c r="B397" s="37"/>
      <c r="C397" s="37"/>
      <c r="D397" s="37"/>
      <c r="E397" s="37"/>
      <c r="F397" s="45"/>
      <c r="K397" s="3" t="s">
        <v>6232</v>
      </c>
    </row>
    <row r="398" spans="1:38" ht="18.399999999999999" customHeight="1">
      <c r="A398" s="41" t="s">
        <v>3700</v>
      </c>
      <c r="B398" s="37"/>
      <c r="C398" s="37"/>
      <c r="D398" s="37"/>
      <c r="E398" s="37"/>
      <c r="F398" s="45"/>
      <c r="K398" s="3" t="s">
        <v>2773</v>
      </c>
    </row>
    <row r="399" spans="1:38" ht="18.399999999999999" customHeight="1">
      <c r="A399" s="41" t="s">
        <v>679</v>
      </c>
      <c r="B399" s="37"/>
      <c r="C399" s="37"/>
      <c r="D399" s="37"/>
      <c r="E399" s="37"/>
      <c r="F399" s="45"/>
      <c r="K399" s="3" t="s">
        <v>1995</v>
      </c>
    </row>
    <row r="400" spans="1:38" ht="18.399999999999999" customHeight="1">
      <c r="A400" s="41" t="s">
        <v>5867</v>
      </c>
      <c r="B400" s="37"/>
      <c r="C400" s="37"/>
      <c r="D400" s="37"/>
      <c r="E400" s="37"/>
      <c r="F400" s="45"/>
      <c r="K400" s="3" t="s">
        <v>2096</v>
      </c>
    </row>
    <row r="401" spans="1:34" ht="18.399999999999999" customHeight="1">
      <c r="A401" s="41" t="s">
        <v>6232</v>
      </c>
      <c r="B401" s="37"/>
      <c r="C401" s="37"/>
      <c r="D401" s="37"/>
      <c r="E401" s="37"/>
      <c r="F401" s="45"/>
      <c r="K401" s="3" t="s">
        <v>6232</v>
      </c>
    </row>
    <row r="402" spans="1:34" ht="18.399999999999999" customHeight="1">
      <c r="A402" s="41" t="s">
        <v>663</v>
      </c>
      <c r="B402" s="37"/>
      <c r="C402" s="37"/>
      <c r="D402" s="37"/>
      <c r="E402" s="37"/>
      <c r="F402" s="45"/>
      <c r="K402" s="3" t="s">
        <v>1707</v>
      </c>
    </row>
    <row r="403" spans="1:34" ht="18.399999999999999" customHeight="1">
      <c r="A403" s="41" t="s">
        <v>6232</v>
      </c>
      <c r="B403" s="37"/>
      <c r="C403" s="37"/>
      <c r="D403" s="37"/>
      <c r="E403" s="37"/>
      <c r="F403" s="45"/>
      <c r="K403" s="3" t="s">
        <v>6232</v>
      </c>
    </row>
    <row r="404" spans="1:34" ht="18.399999999999999" customHeight="1">
      <c r="A404" s="41" t="s">
        <v>6134</v>
      </c>
      <c r="B404" s="37"/>
      <c r="C404" s="37"/>
      <c r="D404" s="37"/>
      <c r="E404" s="37"/>
      <c r="F404" s="45"/>
      <c r="K404" s="3" t="s">
        <v>4089</v>
      </c>
    </row>
    <row r="405" spans="1:34" ht="18.399999999999999" customHeight="1">
      <c r="A405" s="41" t="s">
        <v>6232</v>
      </c>
      <c r="B405" s="37"/>
      <c r="C405" s="37"/>
      <c r="D405" s="37"/>
      <c r="E405" s="37"/>
      <c r="F405" s="45"/>
      <c r="K405" s="3" t="s">
        <v>6232</v>
      </c>
    </row>
    <row r="406" spans="1:34" ht="18.399999999999999" customHeight="1">
      <c r="A406" s="41" t="s">
        <v>1517</v>
      </c>
      <c r="B406" s="37"/>
      <c r="C406" s="37"/>
      <c r="D406" s="37"/>
      <c r="E406" s="37"/>
      <c r="F406" s="45"/>
      <c r="K406" s="3" t="s">
        <v>2275</v>
      </c>
    </row>
    <row r="407" spans="1:34" ht="18.399999999999999" customHeight="1">
      <c r="A407" s="41" t="s">
        <v>6232</v>
      </c>
      <c r="B407" s="37"/>
      <c r="C407" s="37"/>
      <c r="D407" s="37"/>
      <c r="E407" s="37"/>
      <c r="F407" s="45"/>
      <c r="K407" s="3" t="s">
        <v>6232</v>
      </c>
    </row>
    <row r="408" spans="1:34" ht="18.399999999999999" customHeight="1">
      <c r="A408" s="41" t="s">
        <v>257</v>
      </c>
      <c r="B408" s="37"/>
      <c r="C408" s="37"/>
      <c r="D408" s="37"/>
      <c r="E408" s="37"/>
      <c r="F408" s="45"/>
      <c r="K408" s="3" t="s">
        <v>1264</v>
      </c>
    </row>
    <row r="409" spans="1:34" ht="18.399999999999999" customHeight="1">
      <c r="A409" s="41" t="s">
        <v>6232</v>
      </c>
      <c r="B409" s="37"/>
      <c r="C409" s="37"/>
      <c r="D409" s="37"/>
      <c r="E409" s="37"/>
      <c r="F409" s="45"/>
      <c r="K409" s="3" t="s">
        <v>6232</v>
      </c>
    </row>
    <row r="410" spans="1:34" ht="18.399999999999999" customHeight="1">
      <c r="A410" s="42" t="str">
        <f>CONCATENATE("   - 1차당 적재량(본)         Q=",TEXT($AB410,"#,##0.00"),"  본")</f>
        <v xml:space="preserve">   - 1차당 적재량(본)         Q=5.00  본</v>
      </c>
      <c r="B410" s="37"/>
      <c r="C410" s="37"/>
      <c r="D410" s="37"/>
      <c r="E410" s="37"/>
      <c r="F410" s="45"/>
      <c r="K410" s="10" t="str">
        <f>SUBSTITUTE(SUBSTITUTE("  _x001D_- 1차당 적재량(본)_x001D_        Q  =  5 _x001D_본_x001D_","5",TEXT($AB410,"#,##0"),1),"_x001D_","'")</f>
        <v xml:space="preserve">  '- 1차당 적재량(본)'        Q  =  5 '본'</v>
      </c>
      <c r="AA410" s="39" t="s">
        <v>4337</v>
      </c>
      <c r="AB410" s="6">
        <v>5</v>
      </c>
      <c r="AC410" s="39" t="s">
        <v>4337</v>
      </c>
      <c r="AD410" s="7">
        <f>$AB410</f>
        <v>5</v>
      </c>
    </row>
    <row r="411" spans="1:34" ht="18.399999999999999" customHeight="1">
      <c r="A411" s="41" t="s">
        <v>6232</v>
      </c>
      <c r="B411" s="37"/>
      <c r="C411" s="37"/>
      <c r="D411" s="37"/>
      <c r="E411" s="37"/>
      <c r="F411" s="45"/>
      <c r="K411" s="3" t="s">
        <v>6232</v>
      </c>
    </row>
    <row r="412" spans="1:34" ht="18.399999999999999" customHeight="1">
      <c r="A412" s="42" t="str">
        <f>CONCATENATE("   - 운반차량 대기시간(12M당)    T1=",TEXT($AB412,"#,##0.00"),"   분")</f>
        <v xml:space="preserve">   - 운반차량 대기시간(12M당)    T1=12.00   분</v>
      </c>
      <c r="B412" s="37"/>
      <c r="C412" s="37"/>
      <c r="D412" s="37"/>
      <c r="E412" s="37"/>
      <c r="F412" s="45"/>
      <c r="K412" s="10" t="str">
        <f>SUBSTITUTE(SUBSTITUTE("  _x001D_- 운반차량 대기시간(12M당)_x001D_   T1 = 12  _x001D_분_x001D_","12",TEXT($AB412,"#,##0"),1),"_x001D_","'")</f>
        <v xml:space="preserve">  '- 운반차량 대기시간(12M당)'   T1 = 12  '분'</v>
      </c>
      <c r="AA412" s="39" t="s">
        <v>4528</v>
      </c>
      <c r="AB412" s="6">
        <v>12</v>
      </c>
      <c r="AC412" s="39" t="s">
        <v>4528</v>
      </c>
      <c r="AD412" s="7">
        <f>$AB412</f>
        <v>12</v>
      </c>
    </row>
    <row r="413" spans="1:34" ht="18.399999999999999" customHeight="1">
      <c r="A413" s="41" t="s">
        <v>6232</v>
      </c>
      <c r="B413" s="37"/>
      <c r="C413" s="37"/>
      <c r="D413" s="37"/>
      <c r="E413" s="37"/>
      <c r="F413" s="45"/>
      <c r="K413" s="3" t="s">
        <v>6232</v>
      </c>
    </row>
    <row r="414" spans="1:34" ht="18.399999999999999" customHeight="1">
      <c r="A414" s="41" t="s">
        <v>4838</v>
      </c>
      <c r="B414" s="37"/>
      <c r="C414" s="37"/>
      <c r="D414" s="37"/>
      <c r="E414" s="37"/>
      <c r="F414" s="45"/>
      <c r="K414" s="3" t="s">
        <v>6093</v>
      </c>
    </row>
    <row r="415" spans="1:34" ht="18.399999999999999" customHeight="1">
      <c r="A415" s="41" t="s">
        <v>6232</v>
      </c>
      <c r="B415" s="37"/>
      <c r="C415" s="37"/>
      <c r="D415" s="37"/>
      <c r="E415" s="37"/>
      <c r="F415" s="45"/>
      <c r="K415" s="3" t="s">
        <v>6232</v>
      </c>
    </row>
    <row r="416" spans="1:34" ht="18.399999999999999" customHeight="1">
      <c r="A416" s="42" t="str">
        <f>CONCATENATE("    T2 = (L / V * 2 * 60 + 20) / Q = ",TEXT($AF416,"#,##0.00")," 분 ")</f>
        <v xml:space="preserve">    T2 = (L / V * 2 * 60 + 20) / Q = 7.20 분 </v>
      </c>
      <c r="B416" s="37">
        <f>SUM($C416,$D416,$E416)</f>
        <v>0</v>
      </c>
      <c r="C416" s="37"/>
      <c r="D416" s="37"/>
      <c r="E416" s="37"/>
      <c r="F416" s="45"/>
      <c r="K416" s="3" t="s">
        <v>3353</v>
      </c>
      <c r="AA416" s="39" t="s">
        <v>5897</v>
      </c>
      <c r="AB416" s="8">
        <f>ROUND(($AD389/$AD391*2*60+20)/$AD410,2)</f>
        <v>7.2</v>
      </c>
      <c r="AC416" s="39" t="s">
        <v>2053</v>
      </c>
      <c r="AD416" s="7">
        <f>$AB416</f>
        <v>7.2</v>
      </c>
      <c r="AE416" s="39" t="s">
        <v>5479</v>
      </c>
      <c r="AF416" s="8">
        <f>ROUND(ROUND(($AD389/$AD391*2*60+20)/$AD410,2),2)</f>
        <v>7.2</v>
      </c>
      <c r="AG416" s="39" t="s">
        <v>4600</v>
      </c>
      <c r="AH416" s="7">
        <f>$AF416</f>
        <v>7.2</v>
      </c>
    </row>
    <row r="417" spans="1:34" ht="18.399999999999999" customHeight="1">
      <c r="A417" s="41" t="s">
        <v>6232</v>
      </c>
      <c r="B417" s="37"/>
      <c r="C417" s="37"/>
      <c r="D417" s="37"/>
      <c r="E417" s="37"/>
      <c r="F417" s="45"/>
      <c r="K417" s="3" t="s">
        <v>6232</v>
      </c>
    </row>
    <row r="418" spans="1:34" ht="18.399999999999999" customHeight="1">
      <c r="A418" s="41" t="s">
        <v>2391</v>
      </c>
      <c r="B418" s="37"/>
      <c r="C418" s="37"/>
      <c r="D418" s="37"/>
      <c r="E418" s="37"/>
      <c r="F418" s="45"/>
      <c r="K418" s="3" t="s">
        <v>4710</v>
      </c>
    </row>
    <row r="419" spans="1:34" ht="18.399999999999999" customHeight="1">
      <c r="A419" s="41" t="s">
        <v>6232</v>
      </c>
      <c r="B419" s="37"/>
      <c r="C419" s="37"/>
      <c r="D419" s="37"/>
      <c r="E419" s="37"/>
      <c r="F419" s="45"/>
      <c r="K419" s="3" t="s">
        <v>6232</v>
      </c>
    </row>
    <row r="420" spans="1:34" ht="18.399999999999999" customHeight="1">
      <c r="A420" s="42" t="str">
        <f>CONCATENATE("    CM = T1 + T2 = ",TEXT($AF420,"#,##0.00")," 분 ")</f>
        <v xml:space="preserve">    CM = T1 + T2 = 19.20 분 </v>
      </c>
      <c r="B420" s="37">
        <f>SUM($C420,$D420,$E420)</f>
        <v>0</v>
      </c>
      <c r="C420" s="37"/>
      <c r="D420" s="37"/>
      <c r="E420" s="37"/>
      <c r="F420" s="45"/>
      <c r="K420" s="3" t="s">
        <v>6049</v>
      </c>
      <c r="AA420" s="39" t="s">
        <v>5026</v>
      </c>
      <c r="AB420" s="8">
        <f>ROUND($AD412+$AD416,2)</f>
        <v>19.2</v>
      </c>
      <c r="AC420" s="39" t="s">
        <v>289</v>
      </c>
      <c r="AD420" s="7">
        <f>$AB420</f>
        <v>19.2</v>
      </c>
      <c r="AE420" s="39" t="s">
        <v>2599</v>
      </c>
      <c r="AF420" s="8">
        <f>ROUND(ROUND($AD412+$AD416,2),2)</f>
        <v>19.2</v>
      </c>
      <c r="AG420" s="39" t="s">
        <v>6147</v>
      </c>
      <c r="AH420" s="7">
        <f>$AF420</f>
        <v>19.2</v>
      </c>
    </row>
    <row r="421" spans="1:34" ht="18.399999999999999" customHeight="1">
      <c r="A421" s="41" t="s">
        <v>6232</v>
      </c>
      <c r="B421" s="37"/>
      <c r="C421" s="37"/>
      <c r="D421" s="37"/>
      <c r="E421" s="37"/>
      <c r="F421" s="45"/>
      <c r="K421" s="3" t="s">
        <v>6232</v>
      </c>
    </row>
    <row r="422" spans="1:34" ht="18.399999999999999" customHeight="1">
      <c r="A422" s="41" t="s">
        <v>5848</v>
      </c>
      <c r="B422" s="37"/>
      <c r="C422" s="37"/>
      <c r="D422" s="37"/>
      <c r="E422" s="37"/>
      <c r="F422" s="45"/>
      <c r="K422" s="3" t="s">
        <v>788</v>
      </c>
    </row>
    <row r="423" spans="1:34" ht="18.399999999999999" customHeight="1">
      <c r="A423" s="41" t="s">
        <v>6232</v>
      </c>
      <c r="B423" s="37"/>
      <c r="C423" s="37"/>
      <c r="D423" s="37"/>
      <c r="E423" s="37"/>
      <c r="F423" s="45"/>
      <c r="K423" s="3" t="s">
        <v>6232</v>
      </c>
    </row>
    <row r="424" spans="1:34" ht="18.399999999999999" customHeight="1">
      <c r="A424" s="42" t="str">
        <f>CONCATENATE("    Qo = T2 / CM = ",TEXT($AF424,"#,##0.00")," 분 ")</f>
        <v xml:space="preserve">    Qo = T2 / CM = 0.38 분 </v>
      </c>
      <c r="B424" s="37">
        <f>SUM($C424,$D424,$E424)</f>
        <v>0</v>
      </c>
      <c r="C424" s="37"/>
      <c r="D424" s="37"/>
      <c r="E424" s="37"/>
      <c r="F424" s="45"/>
      <c r="K424" s="3" t="s">
        <v>882</v>
      </c>
      <c r="AA424" s="39" t="s">
        <v>1501</v>
      </c>
      <c r="AB424" s="8">
        <f>ROUND($AD416/$AD420,2)</f>
        <v>0.38</v>
      </c>
      <c r="AC424" s="39" t="s">
        <v>2425</v>
      </c>
      <c r="AD424" s="7">
        <f>$AB424</f>
        <v>0.38</v>
      </c>
      <c r="AE424" s="39" t="s">
        <v>2505</v>
      </c>
      <c r="AF424" s="8">
        <f>ROUND(ROUND($AD416/$AD420,2),2)</f>
        <v>0.38</v>
      </c>
      <c r="AG424" s="39" t="s">
        <v>149</v>
      </c>
      <c r="AH424" s="7">
        <f>$AF424</f>
        <v>0.38</v>
      </c>
    </row>
    <row r="425" spans="1:34" ht="18.399999999999999" customHeight="1">
      <c r="A425" s="41" t="s">
        <v>6232</v>
      </c>
      <c r="B425" s="37"/>
      <c r="C425" s="37"/>
      <c r="D425" s="37"/>
      <c r="E425" s="37"/>
      <c r="F425" s="45"/>
      <c r="K425" s="3" t="s">
        <v>6232</v>
      </c>
    </row>
    <row r="426" spans="1:34" ht="18.399999999999999" customHeight="1">
      <c r="A426" s="41" t="s">
        <v>1042</v>
      </c>
      <c r="B426" s="37"/>
      <c r="C426" s="37"/>
      <c r="D426" s="37"/>
      <c r="E426" s="37"/>
      <c r="F426" s="45"/>
      <c r="K426" s="3" t="s">
        <v>1008</v>
      </c>
    </row>
    <row r="427" spans="1:34" ht="18.399999999999999" customHeight="1">
      <c r="A427" s="41" t="s">
        <v>6232</v>
      </c>
      <c r="B427" s="37"/>
      <c r="C427" s="37"/>
      <c r="D427" s="37"/>
      <c r="E427" s="37"/>
      <c r="F427" s="45"/>
      <c r="K427" s="3" t="s">
        <v>6232</v>
      </c>
    </row>
    <row r="428" spans="1:34" ht="18.399999999999999" customHeight="1">
      <c r="A428" s="42" t="str">
        <f>CONCATENATE("      보통인부 :  2.0 인  * _x001D_169,804_x001D_ * (CM + 6 ) / 60 / 8 = ",TEXT($AB428,"#,##0.0"))</f>
        <v xml:space="preserve">      보통인부 :  2.0 인  * _x001D_169,804_x001D_ * (CM + 6 ) / 60 / 8 = 18,067.1</v>
      </c>
      <c r="B428" s="37">
        <f>SUM($C428,$D428,$E428)</f>
        <v>18067.099999999999</v>
      </c>
      <c r="C428" s="37"/>
      <c r="D428" s="37">
        <f>$AB428</f>
        <v>18067.099999999999</v>
      </c>
      <c r="E428" s="37"/>
      <c r="F428" s="45" t="s">
        <v>6232</v>
      </c>
      <c r="K428" s="3" t="s">
        <v>3933</v>
      </c>
      <c r="AA428" s="40" t="s">
        <v>5305</v>
      </c>
      <c r="AB428" s="8">
        <f>TRUNC(2*노임!D3*($AD420+6)/60/8,1)</f>
        <v>18067.099999999999</v>
      </c>
      <c r="AC428" s="40" t="s">
        <v>5439</v>
      </c>
      <c r="AD428" s="7">
        <f>$AH392+$AB428</f>
        <v>18067.099999999999</v>
      </c>
    </row>
    <row r="429" spans="1:34" ht="18.399999999999999" customHeight="1">
      <c r="A429" s="41" t="s">
        <v>6232</v>
      </c>
      <c r="B429" s="37"/>
      <c r="C429" s="37"/>
      <c r="D429" s="37"/>
      <c r="E429" s="37"/>
      <c r="F429" s="45"/>
      <c r="K429" s="3" t="s">
        <v>6232</v>
      </c>
    </row>
    <row r="430" spans="1:34" ht="18.399999999999999" customHeight="1">
      <c r="A430" s="41" t="s">
        <v>5801</v>
      </c>
      <c r="B430" s="37"/>
      <c r="C430" s="37"/>
      <c r="D430" s="37"/>
      <c r="E430" s="37"/>
      <c r="F430" s="45"/>
      <c r="K430" s="3" t="s">
        <v>775</v>
      </c>
    </row>
    <row r="431" spans="1:34" ht="18.399999999999999" customHeight="1">
      <c r="A431" s="41" t="s">
        <v>6232</v>
      </c>
      <c r="B431" s="37"/>
      <c r="C431" s="37"/>
      <c r="D431" s="37"/>
      <c r="E431" s="37"/>
      <c r="F431" s="45"/>
      <c r="K431" s="3" t="s">
        <v>6232</v>
      </c>
    </row>
    <row r="432" spans="1:34" ht="18.399999999999999" customHeight="1">
      <c r="A432" s="41" t="s">
        <v>2913</v>
      </c>
      <c r="B432" s="37"/>
      <c r="C432" s="37"/>
      <c r="D432" s="37"/>
      <c r="E432" s="37"/>
      <c r="F432" s="45"/>
      <c r="K432" s="3" t="s">
        <v>2204</v>
      </c>
    </row>
    <row r="433" spans="1:30" ht="18.399999999999999" customHeight="1">
      <c r="A433" s="41" t="s">
        <v>6232</v>
      </c>
      <c r="B433" s="37"/>
      <c r="C433" s="37"/>
      <c r="D433" s="37"/>
      <c r="E433" s="37"/>
      <c r="F433" s="45"/>
      <c r="K433" s="3" t="s">
        <v>6232</v>
      </c>
    </row>
    <row r="434" spans="1:30" ht="18.399999999999999" customHeight="1">
      <c r="A434" s="42" t="str">
        <f>CONCATENATE("     재료비:  _x001D_10,105_x001D_ * 18 / 60 = ",TEXT($AB434,"#,##0.0"))</f>
        <v xml:space="preserve">     재료비:  _x001D_10,105_x001D_ * 18 / 60 = 0.0</v>
      </c>
      <c r="B434" s="37">
        <f>SUM($C434,$D434,$E434)</f>
        <v>0</v>
      </c>
      <c r="C434" s="37">
        <f>$AB434</f>
        <v>0</v>
      </c>
      <c r="D434" s="37"/>
      <c r="E434" s="37"/>
      <c r="F434" s="45" t="s">
        <v>6232</v>
      </c>
      <c r="K434" s="3" t="s">
        <v>5894</v>
      </c>
      <c r="AA434" s="40" t="s">
        <v>2660</v>
      </c>
      <c r="AB434" s="8">
        <f>TRUNC(중기사용료목록!E5*18/60,1)</f>
        <v>0</v>
      </c>
      <c r="AC434" s="40" t="s">
        <v>1650</v>
      </c>
      <c r="AD434" s="7">
        <f>$AD392+$AB434</f>
        <v>0</v>
      </c>
    </row>
    <row r="435" spans="1:30" ht="18.399999999999999" customHeight="1">
      <c r="A435" s="41" t="s">
        <v>6232</v>
      </c>
      <c r="B435" s="37"/>
      <c r="C435" s="37"/>
      <c r="D435" s="37"/>
      <c r="E435" s="37"/>
      <c r="F435" s="45"/>
      <c r="K435" s="3" t="s">
        <v>6232</v>
      </c>
    </row>
    <row r="436" spans="1:30" ht="18.399999999999999" customHeight="1">
      <c r="A436" s="42" t="str">
        <f>CONCATENATE("     노무비:  _x001D_57,077_x001D_ * 18 / 60 = ",TEXT($AB436,"#,##0.0"))</f>
        <v xml:space="preserve">     노무비:  _x001D_57,077_x001D_ * 18 / 60 = 0.0</v>
      </c>
      <c r="B436" s="37">
        <f>SUM($C436,$D436,$E436)</f>
        <v>0</v>
      </c>
      <c r="C436" s="37"/>
      <c r="D436" s="37">
        <f>$AB436</f>
        <v>0</v>
      </c>
      <c r="E436" s="37"/>
      <c r="F436" s="45" t="s">
        <v>6232</v>
      </c>
      <c r="K436" s="3" t="s">
        <v>1213</v>
      </c>
      <c r="AA436" s="40" t="s">
        <v>5305</v>
      </c>
      <c r="AB436" s="8">
        <f>TRUNC(중기사용료목록!F5*18/60,1)</f>
        <v>0</v>
      </c>
      <c r="AC436" s="40" t="s">
        <v>5439</v>
      </c>
      <c r="AD436" s="7">
        <f>$AD428+$AB436</f>
        <v>18067.099999999999</v>
      </c>
    </row>
    <row r="437" spans="1:30" ht="18.399999999999999" customHeight="1">
      <c r="A437" s="41" t="s">
        <v>6232</v>
      </c>
      <c r="B437" s="37"/>
      <c r="C437" s="37"/>
      <c r="D437" s="37"/>
      <c r="E437" s="37"/>
      <c r="F437" s="45"/>
      <c r="K437" s="3" t="s">
        <v>6232</v>
      </c>
    </row>
    <row r="438" spans="1:30" ht="18.399999999999999" customHeight="1">
      <c r="A438" s="42" t="str">
        <f>CONCATENATE("     경  비:  _x001D_52,687_x001D_ * 18 / 60 = ",TEXT($AB438,"#,##0.0"))</f>
        <v xml:space="preserve">     경  비:  _x001D_52,687_x001D_ * 18 / 60 = 36,875.1</v>
      </c>
      <c r="B438" s="37">
        <f>SUM($C438,$D438,$E438)</f>
        <v>36875.1</v>
      </c>
      <c r="C438" s="37"/>
      <c r="D438" s="37"/>
      <c r="E438" s="37">
        <f>$AB438</f>
        <v>36875.1</v>
      </c>
      <c r="F438" s="45" t="s">
        <v>6232</v>
      </c>
      <c r="K438" s="3" t="s">
        <v>1534</v>
      </c>
      <c r="AA438" s="40" t="s">
        <v>3519</v>
      </c>
      <c r="AB438" s="8">
        <f>TRUNC(중기사용료목록!G5*18/60,1)</f>
        <v>36875.1</v>
      </c>
      <c r="AC438" s="40" t="s">
        <v>4149</v>
      </c>
      <c r="AD438" s="7">
        <f>$AL392+$AB438</f>
        <v>36875.1</v>
      </c>
    </row>
    <row r="439" spans="1:30" ht="18.399999999999999" customHeight="1">
      <c r="A439" s="41" t="s">
        <v>6232</v>
      </c>
      <c r="B439" s="37"/>
      <c r="C439" s="37"/>
      <c r="D439" s="37"/>
      <c r="E439" s="37"/>
      <c r="F439" s="45"/>
      <c r="K439" s="3" t="s">
        <v>6232</v>
      </c>
    </row>
    <row r="440" spans="1:30" ht="18.399999999999999" customHeight="1">
      <c r="A440" s="41" t="s">
        <v>1530</v>
      </c>
      <c r="B440" s="37"/>
      <c r="C440" s="37"/>
      <c r="D440" s="37"/>
      <c r="E440" s="37"/>
      <c r="F440" s="45"/>
      <c r="K440" s="3" t="s">
        <v>2021</v>
      </c>
    </row>
    <row r="441" spans="1:30" ht="18.399999999999999" customHeight="1">
      <c r="A441" s="41" t="s">
        <v>6232</v>
      </c>
      <c r="B441" s="37"/>
      <c r="C441" s="37"/>
      <c r="D441" s="37"/>
      <c r="E441" s="37"/>
      <c r="F441" s="45"/>
      <c r="K441" s="3" t="s">
        <v>6232</v>
      </c>
    </row>
    <row r="442" spans="1:30" ht="18.399999999999999" customHeight="1">
      <c r="A442" s="42" t="str">
        <f>CONCATENATE("     재료비:  _x001D_30,878_x001D_ * CM / 60 * Qo = ",TEXT($AB442,"#,##0.0"))</f>
        <v xml:space="preserve">     재료비:  _x001D_30,878_x001D_ * CM / 60 * Qo = 0.0</v>
      </c>
      <c r="B442" s="37">
        <f>SUM($C442,$D442,$E442)</f>
        <v>0</v>
      </c>
      <c r="C442" s="37">
        <f>$AB442</f>
        <v>0</v>
      </c>
      <c r="D442" s="37"/>
      <c r="E442" s="37"/>
      <c r="F442" s="45" t="s">
        <v>6232</v>
      </c>
      <c r="K442" s="3" t="s">
        <v>4711</v>
      </c>
      <c r="AA442" s="40" t="s">
        <v>2660</v>
      </c>
      <c r="AB442" s="8">
        <f>TRUNC(중기사용료목록!E7*$AD420/60*$AD424,1)</f>
        <v>0</v>
      </c>
      <c r="AC442" s="40" t="s">
        <v>1650</v>
      </c>
      <c r="AD442" s="7">
        <f>$AD434+$AB442</f>
        <v>0</v>
      </c>
    </row>
    <row r="443" spans="1:30" ht="18.399999999999999" customHeight="1">
      <c r="A443" s="41" t="s">
        <v>6232</v>
      </c>
      <c r="B443" s="37"/>
      <c r="C443" s="37"/>
      <c r="D443" s="37"/>
      <c r="E443" s="37"/>
      <c r="F443" s="45"/>
      <c r="K443" s="3" t="s">
        <v>6232</v>
      </c>
    </row>
    <row r="444" spans="1:30" ht="18.399999999999999" customHeight="1">
      <c r="A444" s="42" t="str">
        <f>CONCATENATE("     노무비:  _x001D_57,077_x001D_ * CM / 60 = ",TEXT($AB444,"#,##0.0"))</f>
        <v xml:space="preserve">     노무비:  _x001D_57,077_x001D_ * CM / 60 = 0.0</v>
      </c>
      <c r="B444" s="37">
        <f>SUM($C444,$D444,$E444)</f>
        <v>0</v>
      </c>
      <c r="C444" s="37"/>
      <c r="D444" s="37">
        <f>$AB444</f>
        <v>0</v>
      </c>
      <c r="E444" s="37"/>
      <c r="F444" s="45" t="s">
        <v>6232</v>
      </c>
      <c r="K444" s="3" t="s">
        <v>3619</v>
      </c>
      <c r="AA444" s="40" t="s">
        <v>5305</v>
      </c>
      <c r="AB444" s="8">
        <f>TRUNC(중기사용료목록!F7*$AD420/60,1)</f>
        <v>0</v>
      </c>
      <c r="AC444" s="40" t="s">
        <v>5439</v>
      </c>
      <c r="AD444" s="7">
        <f>$AD436+$AB444</f>
        <v>18067.099999999999</v>
      </c>
    </row>
    <row r="445" spans="1:30" ht="18.399999999999999" customHeight="1">
      <c r="A445" s="41" t="s">
        <v>6232</v>
      </c>
      <c r="B445" s="37"/>
      <c r="C445" s="37"/>
      <c r="D445" s="37"/>
      <c r="E445" s="37"/>
      <c r="F445" s="45"/>
      <c r="K445" s="3" t="s">
        <v>6232</v>
      </c>
    </row>
    <row r="446" spans="1:30" ht="18.399999999999999" customHeight="1">
      <c r="A446" s="42" t="str">
        <f>CONCATENATE("     경  비:  _x001D_16,873_x001D_ * CM / 60 = ",TEXT($AB446,"#,##0.0"))</f>
        <v xml:space="preserve">     경  비:  _x001D_16,873_x001D_ * CM / 60 = 35,723.2</v>
      </c>
      <c r="B446" s="37">
        <f>SUM($C446,$D446,$E446)</f>
        <v>35723.199999999997</v>
      </c>
      <c r="C446" s="37"/>
      <c r="D446" s="37"/>
      <c r="E446" s="37">
        <f>$AB446</f>
        <v>35723.199999999997</v>
      </c>
      <c r="F446" s="45" t="s">
        <v>6232</v>
      </c>
      <c r="K446" s="3" t="s">
        <v>5622</v>
      </c>
      <c r="AA446" s="40" t="s">
        <v>3519</v>
      </c>
      <c r="AB446" s="8">
        <f>TRUNC(중기사용료목록!G7*$AD420/60,1)</f>
        <v>35723.199999999997</v>
      </c>
      <c r="AC446" s="40" t="s">
        <v>4149</v>
      </c>
      <c r="AD446" s="7">
        <f>$AD438+$AB446</f>
        <v>72598.299999999988</v>
      </c>
    </row>
    <row r="447" spans="1:30" ht="18.399999999999999" customHeight="1">
      <c r="A447" s="41" t="s">
        <v>6232</v>
      </c>
      <c r="B447" s="37"/>
      <c r="C447" s="37"/>
      <c r="D447" s="37"/>
      <c r="E447" s="37"/>
      <c r="F447" s="45"/>
      <c r="K447" s="3" t="s">
        <v>6232</v>
      </c>
    </row>
    <row r="448" spans="1:30" ht="18.399999999999999" customHeight="1">
      <c r="A448" s="41" t="s">
        <v>4035</v>
      </c>
      <c r="B448" s="37">
        <v>81208.7</v>
      </c>
      <c r="C448" s="37">
        <v>6786.2</v>
      </c>
      <c r="D448" s="37">
        <v>53217.1</v>
      </c>
      <c r="E448" s="37">
        <v>21205.4</v>
      </c>
      <c r="F448" s="45"/>
      <c r="K448" s="3" t="s">
        <v>6070</v>
      </c>
    </row>
    <row r="449" spans="1:38" ht="18.399999999999999" customHeight="1">
      <c r="A449" s="41" t="s">
        <v>6232</v>
      </c>
      <c r="B449" s="37">
        <f>SUM($C449,$D449,$E449)</f>
        <v>0</v>
      </c>
      <c r="C449" s="37">
        <f>$AB449</f>
        <v>0</v>
      </c>
      <c r="D449" s="37">
        <f>$AF449</f>
        <v>0</v>
      </c>
      <c r="E449" s="37">
        <f>$AJ449</f>
        <v>0</v>
      </c>
      <c r="F449" s="45"/>
      <c r="K449" s="3" t="s">
        <v>5506</v>
      </c>
      <c r="AA449" s="40" t="s">
        <v>4586</v>
      </c>
      <c r="AB449" s="8">
        <f>ROUND(0,2)</f>
        <v>0</v>
      </c>
      <c r="AC449" s="40" t="s">
        <v>4161</v>
      </c>
      <c r="AD449" s="7">
        <f>$AB449</f>
        <v>0</v>
      </c>
      <c r="AE449" s="40" t="s">
        <v>222</v>
      </c>
      <c r="AF449" s="8">
        <f>ROUND(0,2)</f>
        <v>0</v>
      </c>
      <c r="AG449" s="40" t="s">
        <v>334</v>
      </c>
      <c r="AH449" s="7">
        <f>$AF449</f>
        <v>0</v>
      </c>
      <c r="AI449" s="40" t="s">
        <v>1574</v>
      </c>
      <c r="AJ449" s="8">
        <f>ROUND(0,2)</f>
        <v>0</v>
      </c>
      <c r="AK449" s="40" t="s">
        <v>1622</v>
      </c>
      <c r="AL449" s="7">
        <f>$AJ449</f>
        <v>0</v>
      </c>
    </row>
    <row r="450" spans="1:38" ht="18.399999999999999" customHeight="1">
      <c r="A450" s="41" t="s">
        <v>4138</v>
      </c>
      <c r="B450" s="37">
        <f>SUM($C450,$D450,$E450)</f>
        <v>7555.3</v>
      </c>
      <c r="C450" s="37">
        <f>$AB450</f>
        <v>0</v>
      </c>
      <c r="D450" s="37">
        <f>$AF450</f>
        <v>1505.5</v>
      </c>
      <c r="E450" s="37">
        <f>$AJ450</f>
        <v>6049.8</v>
      </c>
      <c r="F450" s="45"/>
      <c r="K450" s="3" t="s">
        <v>4286</v>
      </c>
      <c r="AA450" s="40" t="s">
        <v>4586</v>
      </c>
      <c r="AB450" s="8">
        <f>TRUNC($AD442/12,1)</f>
        <v>0</v>
      </c>
      <c r="AC450" s="40" t="s">
        <v>4161</v>
      </c>
      <c r="AD450" s="7">
        <f>$AB450</f>
        <v>0</v>
      </c>
      <c r="AE450" s="40" t="s">
        <v>222</v>
      </c>
      <c r="AF450" s="8">
        <f>TRUNC($AD444/12,1)</f>
        <v>1505.5</v>
      </c>
      <c r="AG450" s="40" t="s">
        <v>334</v>
      </c>
      <c r="AH450" s="7">
        <f>$AF450</f>
        <v>1505.5</v>
      </c>
      <c r="AI450" s="40" t="s">
        <v>1574</v>
      </c>
      <c r="AJ450" s="8">
        <f>TRUNC($AD446/12,1)</f>
        <v>6049.8</v>
      </c>
      <c r="AK450" s="40" t="s">
        <v>1622</v>
      </c>
      <c r="AL450" s="7">
        <f>$AJ450</f>
        <v>6049.8</v>
      </c>
    </row>
    <row r="451" spans="1:38" ht="18.399999999999999" customHeight="1">
      <c r="A451" s="41" t="s">
        <v>6232</v>
      </c>
      <c r="B451" s="37"/>
      <c r="C451" s="37"/>
      <c r="D451" s="37"/>
      <c r="E451" s="37"/>
      <c r="F451" s="45"/>
      <c r="K451" s="3" t="s">
        <v>6232</v>
      </c>
    </row>
    <row r="452" spans="1:38" ht="18.399999999999999" customHeight="1">
      <c r="A452" s="41" t="s">
        <v>3436</v>
      </c>
      <c r="B452" s="37">
        <v>6767.3</v>
      </c>
      <c r="C452" s="37">
        <v>565.5</v>
      </c>
      <c r="D452" s="37">
        <v>4434.7</v>
      </c>
      <c r="E452" s="37">
        <v>1767.1</v>
      </c>
      <c r="F452" s="45"/>
      <c r="K452" s="3" t="s">
        <v>1342</v>
      </c>
    </row>
    <row r="453" spans="1:38" ht="18.399999999999999" customHeight="1">
      <c r="A453" s="41" t="s">
        <v>6232</v>
      </c>
      <c r="B453" s="37">
        <f>SUM($C453,$D453,$E453)</f>
        <v>0</v>
      </c>
      <c r="C453" s="37">
        <f>$AB453</f>
        <v>0</v>
      </c>
      <c r="D453" s="37">
        <f>$AF453</f>
        <v>0</v>
      </c>
      <c r="E453" s="37">
        <f>$AJ453</f>
        <v>0</v>
      </c>
      <c r="F453" s="45"/>
      <c r="K453" s="3" t="s">
        <v>3238</v>
      </c>
      <c r="AA453" s="40" t="s">
        <v>308</v>
      </c>
      <c r="AB453" s="8">
        <f>ROUND(0,2)</f>
        <v>0</v>
      </c>
      <c r="AC453" s="40" t="s">
        <v>5000</v>
      </c>
      <c r="AD453" s="7">
        <f>$AB453</f>
        <v>0</v>
      </c>
      <c r="AE453" s="40" t="s">
        <v>4500</v>
      </c>
      <c r="AF453" s="8">
        <f>ROUND(0,2)</f>
        <v>0</v>
      </c>
      <c r="AG453" s="40" t="s">
        <v>2603</v>
      </c>
      <c r="AH453" s="7">
        <f>$AF453</f>
        <v>0</v>
      </c>
      <c r="AI453" s="40" t="s">
        <v>5878</v>
      </c>
      <c r="AJ453" s="8">
        <f>ROUND(0,2)</f>
        <v>0</v>
      </c>
      <c r="AK453" s="40" t="s">
        <v>787</v>
      </c>
      <c r="AL453" s="7">
        <f>$AJ453</f>
        <v>0</v>
      </c>
    </row>
    <row r="454" spans="1:38" ht="18.399999999999999" customHeight="1">
      <c r="A454" s="41" t="s">
        <v>3772</v>
      </c>
      <c r="B454" s="37">
        <f>SUM($C454,$D454,$E454)</f>
        <v>8288.1</v>
      </c>
      <c r="C454" s="37">
        <f>$AB454</f>
        <v>0</v>
      </c>
      <c r="D454" s="37">
        <f>$AF454</f>
        <v>1651.5</v>
      </c>
      <c r="E454" s="37">
        <f>$AJ454</f>
        <v>6636.6</v>
      </c>
      <c r="F454" s="45"/>
      <c r="K454" s="3" t="s">
        <v>2347</v>
      </c>
      <c r="AA454" s="40" t="s">
        <v>308</v>
      </c>
      <c r="AB454" s="8">
        <f>TRUNC($AD450*1.097,1)</f>
        <v>0</v>
      </c>
      <c r="AC454" s="40" t="s">
        <v>5000</v>
      </c>
      <c r="AD454" s="7">
        <f>$AB454</f>
        <v>0</v>
      </c>
      <c r="AE454" s="40" t="s">
        <v>4500</v>
      </c>
      <c r="AF454" s="8">
        <f>TRUNC($AH450*1.097,1)</f>
        <v>1651.5</v>
      </c>
      <c r="AG454" s="40" t="s">
        <v>2603</v>
      </c>
      <c r="AH454" s="7">
        <f>$AF454</f>
        <v>1651.5</v>
      </c>
      <c r="AI454" s="40" t="s">
        <v>5878</v>
      </c>
      <c r="AJ454" s="8">
        <f>TRUNC($AL450*1.097,1)</f>
        <v>6636.6</v>
      </c>
      <c r="AK454" s="40" t="s">
        <v>787</v>
      </c>
      <c r="AL454" s="7">
        <f>$AJ454</f>
        <v>6636.6</v>
      </c>
    </row>
    <row r="455" spans="1:38" ht="18.399999999999999" customHeight="1">
      <c r="A455" s="41" t="s">
        <v>6232</v>
      </c>
      <c r="B455" s="37"/>
      <c r="C455" s="37"/>
      <c r="D455" s="37"/>
      <c r="E455" s="37"/>
      <c r="F455" s="45"/>
      <c r="K455" s="3" t="s">
        <v>6232</v>
      </c>
    </row>
    <row r="456" spans="1:38" ht="18.399999999999999" customHeight="1">
      <c r="A456" s="41" t="s">
        <v>3436</v>
      </c>
      <c r="B456" s="37">
        <f>SUM($C456,$D456,$E456)</f>
        <v>8288.1</v>
      </c>
      <c r="C456" s="37">
        <f>$AB456</f>
        <v>0</v>
      </c>
      <c r="D456" s="37">
        <f>$AF456</f>
        <v>1651.5</v>
      </c>
      <c r="E456" s="37">
        <f>$AJ456</f>
        <v>6636.6</v>
      </c>
      <c r="F456" s="45"/>
      <c r="K456" s="3" t="s">
        <v>4527</v>
      </c>
      <c r="AA456" s="40" t="s">
        <v>4592</v>
      </c>
      <c r="AB456" s="8">
        <f>TRUNC($AD454,1)</f>
        <v>0</v>
      </c>
      <c r="AC456" s="40" t="s">
        <v>5149</v>
      </c>
      <c r="AD456" s="7">
        <f>$AB456</f>
        <v>0</v>
      </c>
      <c r="AE456" s="40" t="s">
        <v>666</v>
      </c>
      <c r="AF456" s="8">
        <f>TRUNC($AH454,1)</f>
        <v>1651.5</v>
      </c>
      <c r="AG456" s="40" t="s">
        <v>2431</v>
      </c>
      <c r="AH456" s="7">
        <f>$AF456</f>
        <v>1651.5</v>
      </c>
      <c r="AI456" s="40" t="s">
        <v>1930</v>
      </c>
      <c r="AJ456" s="8">
        <f>TRUNC($AL454,1)</f>
        <v>6636.6</v>
      </c>
      <c r="AK456" s="40" t="s">
        <v>3349</v>
      </c>
      <c r="AL456" s="7">
        <f>$AJ456</f>
        <v>6636.6</v>
      </c>
    </row>
    <row r="457" spans="1:38" ht="18.399999999999999" customHeight="1">
      <c r="A457" s="41"/>
      <c r="B457" s="3"/>
      <c r="C457" s="3"/>
      <c r="D457" s="3"/>
      <c r="E457" s="3"/>
      <c r="F457" s="44"/>
    </row>
    <row r="458" spans="1:38" ht="18.399999999999999" customHeight="1">
      <c r="A458" s="43" t="s">
        <v>3543</v>
      </c>
      <c r="B458" s="38">
        <f>SUM($C458,$D458,$E458)</f>
        <v>8287</v>
      </c>
      <c r="C458" s="38">
        <f>TRUNC(SUM($AD456),0)</f>
        <v>0</v>
      </c>
      <c r="D458" s="38">
        <f>TRUNC(SUM($AH456),0)</f>
        <v>1651</v>
      </c>
      <c r="E458" s="38">
        <f>TRUNC(SUM($AL456),0)</f>
        <v>6636</v>
      </c>
      <c r="F458" s="46"/>
    </row>
    <row r="459" spans="1:38" ht="18.399999999999999" customHeight="1">
      <c r="A459" s="41"/>
      <c r="B459" s="3"/>
      <c r="C459" s="3"/>
      <c r="D459" s="3"/>
      <c r="E459" s="3"/>
      <c r="F459" s="44"/>
    </row>
    <row r="460" spans="1:38" ht="18.399999999999999" customHeight="1">
      <c r="A460" s="41" t="s">
        <v>2137</v>
      </c>
      <c r="B460" s="36">
        <f>$B534</f>
        <v>8287</v>
      </c>
      <c r="C460" s="36">
        <f>$C534</f>
        <v>0</v>
      </c>
      <c r="D460" s="36">
        <f>$D534</f>
        <v>1651</v>
      </c>
      <c r="E460" s="36">
        <f>$E534</f>
        <v>6636</v>
      </c>
      <c r="F460" s="44" t="s">
        <v>3378</v>
      </c>
      <c r="G460" t="s">
        <v>6232</v>
      </c>
      <c r="H460" t="s">
        <v>5028</v>
      </c>
      <c r="K460">
        <v>1</v>
      </c>
      <c r="Y460" s="7" t="b">
        <f>EXACT($Z460,$B534)</f>
        <v>0</v>
      </c>
      <c r="Z460" s="38">
        <v>7422</v>
      </c>
    </row>
    <row r="461" spans="1:38" ht="18.399999999999999" customHeight="1">
      <c r="A461" s="41"/>
      <c r="B461" s="3"/>
      <c r="C461" s="3"/>
      <c r="D461" s="3"/>
      <c r="E461" s="3"/>
      <c r="F461" s="44"/>
    </row>
    <row r="462" spans="1:38" ht="18.399999999999999" customHeight="1">
      <c r="A462" s="41" t="s">
        <v>6232</v>
      </c>
      <c r="B462" s="3"/>
      <c r="C462" s="3"/>
      <c r="D462" s="3"/>
      <c r="E462" s="3"/>
      <c r="F462" s="44"/>
      <c r="G462" t="s">
        <v>6232</v>
      </c>
      <c r="I462" t="s">
        <v>742</v>
      </c>
      <c r="J462" t="s">
        <v>6232</v>
      </c>
      <c r="K462" t="s">
        <v>5235</v>
      </c>
    </row>
    <row r="463" spans="1:38" ht="18.399999999999999" customHeight="1">
      <c r="A463" s="41" t="s">
        <v>1445</v>
      </c>
      <c r="B463" s="37"/>
      <c r="C463" s="37"/>
      <c r="D463" s="37"/>
      <c r="E463" s="37"/>
      <c r="F463" s="45"/>
      <c r="K463" s="3" t="s">
        <v>4537</v>
      </c>
    </row>
    <row r="464" spans="1:38" ht="18.399999999999999" customHeight="1">
      <c r="A464" s="41" t="s">
        <v>6232</v>
      </c>
      <c r="B464" s="37"/>
      <c r="C464" s="37"/>
      <c r="D464" s="37"/>
      <c r="E464" s="37"/>
      <c r="F464" s="45"/>
      <c r="K464" s="3" t="s">
        <v>6232</v>
      </c>
    </row>
    <row r="465" spans="1:38" ht="18.399999999999999" customHeight="1">
      <c r="A465" s="42" t="str">
        <f>CONCATENATE("                L=",TEXT($AB465,"#,##0.0"),"   KM  실시공후 정산")</f>
        <v xml:space="preserve">                L=4.0   KM  실시공후 정산</v>
      </c>
      <c r="B465" s="37"/>
      <c r="C465" s="37"/>
      <c r="D465" s="37"/>
      <c r="E465" s="37"/>
      <c r="F465" s="45"/>
      <c r="K465" s="10" t="str">
        <f>SUBSTITUTE(SUBSTITUTE("                L = 4.0  _x001D_KM_x001D__x001D_실시공후 정산_x001D_","4.0",TEXT($AB465,"#,##0.0"),1),"_x001D_","'")</f>
        <v xml:space="preserve">                L = 4.0  'KM''실시공후 정산'</v>
      </c>
      <c r="AA465" s="39" t="s">
        <v>5842</v>
      </c>
      <c r="AB465" s="6">
        <v>4</v>
      </c>
      <c r="AC465" s="39" t="s">
        <v>5842</v>
      </c>
      <c r="AD465" s="7">
        <f>$AB465</f>
        <v>4</v>
      </c>
    </row>
    <row r="466" spans="1:38" ht="18.399999999999999" customHeight="1">
      <c r="A466" s="41" t="s">
        <v>6214</v>
      </c>
      <c r="B466" s="37"/>
      <c r="C466" s="37"/>
      <c r="D466" s="37"/>
      <c r="E466" s="37"/>
      <c r="F466" s="45"/>
      <c r="K466" s="3" t="s">
        <v>3965</v>
      </c>
    </row>
    <row r="467" spans="1:38" ht="18.399999999999999" customHeight="1">
      <c r="A467" s="42" t="str">
        <f>CONCATENATE("                V=",TEXT($AB467,"#,##0.0"),"  KM/hr")</f>
        <v xml:space="preserve">                V=30.0  KM/hr</v>
      </c>
      <c r="B467" s="37"/>
      <c r="C467" s="37"/>
      <c r="D467" s="37"/>
      <c r="E467" s="37"/>
      <c r="F467" s="45"/>
      <c r="K467" s="10" t="str">
        <f>SUBSTITUTE(SUBSTITUTE("                V = 30.0 _x001D_KM/hr_x001D_","30.0",TEXT($AB467,"#,##0.0"),1),"_x001D_","'")</f>
        <v xml:space="preserve">                V = 30.0 'KM/hr'</v>
      </c>
      <c r="AA467" s="39" t="s">
        <v>247</v>
      </c>
      <c r="AB467" s="6">
        <v>30</v>
      </c>
      <c r="AC467" s="39" t="s">
        <v>247</v>
      </c>
      <c r="AD467" s="7">
        <f>$AB467</f>
        <v>30</v>
      </c>
    </row>
    <row r="468" spans="1:38" ht="18.399999999999999" customHeight="1">
      <c r="A468" s="41" t="s">
        <v>6232</v>
      </c>
      <c r="B468" s="37">
        <f>SUM($C468,$D468,$E468)</f>
        <v>0</v>
      </c>
      <c r="C468" s="37">
        <f>$AB468</f>
        <v>0</v>
      </c>
      <c r="D468" s="37">
        <f>$AF468</f>
        <v>0</v>
      </c>
      <c r="E468" s="37">
        <f>$AJ468</f>
        <v>0</v>
      </c>
      <c r="F468" s="45"/>
      <c r="K468" s="3" t="s">
        <v>295</v>
      </c>
      <c r="AA468" s="40" t="s">
        <v>2660</v>
      </c>
      <c r="AB468" s="8">
        <f>ROUND(0,2)</f>
        <v>0</v>
      </c>
      <c r="AC468" s="40" t="s">
        <v>1650</v>
      </c>
      <c r="AD468" s="7">
        <f>$AB468</f>
        <v>0</v>
      </c>
      <c r="AE468" s="40" t="s">
        <v>5305</v>
      </c>
      <c r="AF468" s="8">
        <f>ROUND(0,2)</f>
        <v>0</v>
      </c>
      <c r="AG468" s="40" t="s">
        <v>5439</v>
      </c>
      <c r="AH468" s="7">
        <f>$AF468</f>
        <v>0</v>
      </c>
      <c r="AI468" s="40" t="s">
        <v>3519</v>
      </c>
      <c r="AJ468" s="8">
        <f>ROUND(0,2)</f>
        <v>0</v>
      </c>
      <c r="AK468" s="40" t="s">
        <v>4149</v>
      </c>
      <c r="AL468" s="7">
        <f>$AJ468</f>
        <v>0</v>
      </c>
    </row>
    <row r="469" spans="1:38" ht="18.399999999999999" customHeight="1">
      <c r="A469" s="41" t="s">
        <v>5524</v>
      </c>
      <c r="B469" s="37"/>
      <c r="C469" s="37"/>
      <c r="D469" s="37"/>
      <c r="E469" s="37"/>
      <c r="F469" s="45"/>
      <c r="K469" s="3" t="s">
        <v>3427</v>
      </c>
    </row>
    <row r="470" spans="1:38" ht="18.399999999999999" customHeight="1">
      <c r="A470" s="41" t="s">
        <v>6232</v>
      </c>
      <c r="B470" s="37"/>
      <c r="C470" s="37"/>
      <c r="D470" s="37"/>
      <c r="E470" s="37"/>
      <c r="F470" s="45"/>
      <c r="K470" s="3" t="s">
        <v>6232</v>
      </c>
    </row>
    <row r="471" spans="1:38" ht="18.399999999999999" customHeight="1">
      <c r="A471" s="41" t="s">
        <v>2653</v>
      </c>
      <c r="B471" s="37"/>
      <c r="C471" s="37"/>
      <c r="D471" s="37"/>
      <c r="E471" s="37"/>
      <c r="F471" s="45"/>
      <c r="K471" s="3" t="s">
        <v>2793</v>
      </c>
    </row>
    <row r="472" spans="1:38" ht="18.399999999999999" customHeight="1">
      <c r="A472" s="41" t="s">
        <v>52</v>
      </c>
      <c r="B472" s="37"/>
      <c r="C472" s="37"/>
      <c r="D472" s="37"/>
      <c r="E472" s="37"/>
      <c r="F472" s="45"/>
      <c r="K472" s="3" t="s">
        <v>3020</v>
      </c>
    </row>
    <row r="473" spans="1:38" ht="18.399999999999999" customHeight="1">
      <c r="A473" s="41" t="s">
        <v>6232</v>
      </c>
      <c r="B473" s="37"/>
      <c r="C473" s="37"/>
      <c r="D473" s="37"/>
      <c r="E473" s="37"/>
      <c r="F473" s="45"/>
      <c r="K473" s="3" t="s">
        <v>6232</v>
      </c>
    </row>
    <row r="474" spans="1:38" ht="18.399999999999999" customHeight="1">
      <c r="A474" s="41" t="s">
        <v>3700</v>
      </c>
      <c r="B474" s="37"/>
      <c r="C474" s="37"/>
      <c r="D474" s="37"/>
      <c r="E474" s="37"/>
      <c r="F474" s="45"/>
      <c r="K474" s="3" t="s">
        <v>2773</v>
      </c>
    </row>
    <row r="475" spans="1:38" ht="18.399999999999999" customHeight="1">
      <c r="A475" s="41" t="s">
        <v>679</v>
      </c>
      <c r="B475" s="37"/>
      <c r="C475" s="37"/>
      <c r="D475" s="37"/>
      <c r="E475" s="37"/>
      <c r="F475" s="45"/>
      <c r="K475" s="3" t="s">
        <v>1995</v>
      </c>
    </row>
    <row r="476" spans="1:38" ht="18.399999999999999" customHeight="1">
      <c r="A476" s="41" t="s">
        <v>5867</v>
      </c>
      <c r="B476" s="37"/>
      <c r="C476" s="37"/>
      <c r="D476" s="37"/>
      <c r="E476" s="37"/>
      <c r="F476" s="45"/>
      <c r="K476" s="3" t="s">
        <v>2096</v>
      </c>
    </row>
    <row r="477" spans="1:38" ht="18.399999999999999" customHeight="1">
      <c r="A477" s="41" t="s">
        <v>6232</v>
      </c>
      <c r="B477" s="37"/>
      <c r="C477" s="37"/>
      <c r="D477" s="37"/>
      <c r="E477" s="37"/>
      <c r="F477" s="45"/>
      <c r="K477" s="3" t="s">
        <v>6232</v>
      </c>
    </row>
    <row r="478" spans="1:38" ht="18.399999999999999" customHeight="1">
      <c r="A478" s="41" t="s">
        <v>663</v>
      </c>
      <c r="B478" s="37"/>
      <c r="C478" s="37"/>
      <c r="D478" s="37"/>
      <c r="E478" s="37"/>
      <c r="F478" s="45"/>
      <c r="K478" s="3" t="s">
        <v>1707</v>
      </c>
    </row>
    <row r="479" spans="1:38" ht="18.399999999999999" customHeight="1">
      <c r="A479" s="41" t="s">
        <v>6232</v>
      </c>
      <c r="B479" s="37"/>
      <c r="C479" s="37"/>
      <c r="D479" s="37"/>
      <c r="E479" s="37"/>
      <c r="F479" s="45"/>
      <c r="K479" s="3" t="s">
        <v>6232</v>
      </c>
    </row>
    <row r="480" spans="1:38" ht="18.399999999999999" customHeight="1">
      <c r="A480" s="41" t="s">
        <v>6134</v>
      </c>
      <c r="B480" s="37"/>
      <c r="C480" s="37"/>
      <c r="D480" s="37"/>
      <c r="E480" s="37"/>
      <c r="F480" s="45"/>
      <c r="K480" s="3" t="s">
        <v>4089</v>
      </c>
    </row>
    <row r="481" spans="1:34" ht="18.399999999999999" customHeight="1">
      <c r="A481" s="41" t="s">
        <v>6232</v>
      </c>
      <c r="B481" s="37"/>
      <c r="C481" s="37"/>
      <c r="D481" s="37"/>
      <c r="E481" s="37"/>
      <c r="F481" s="45"/>
      <c r="K481" s="3" t="s">
        <v>6232</v>
      </c>
    </row>
    <row r="482" spans="1:34" ht="18.399999999999999" customHeight="1">
      <c r="A482" s="41" t="s">
        <v>1517</v>
      </c>
      <c r="B482" s="37"/>
      <c r="C482" s="37"/>
      <c r="D482" s="37"/>
      <c r="E482" s="37"/>
      <c r="F482" s="45"/>
      <c r="K482" s="3" t="s">
        <v>2275</v>
      </c>
    </row>
    <row r="483" spans="1:34" ht="18.399999999999999" customHeight="1">
      <c r="A483" s="41" t="s">
        <v>6232</v>
      </c>
      <c r="B483" s="37"/>
      <c r="C483" s="37"/>
      <c r="D483" s="37"/>
      <c r="E483" s="37"/>
      <c r="F483" s="45"/>
      <c r="K483" s="3" t="s">
        <v>6232</v>
      </c>
    </row>
    <row r="484" spans="1:34" ht="18.399999999999999" customHeight="1">
      <c r="A484" s="41" t="s">
        <v>257</v>
      </c>
      <c r="B484" s="37"/>
      <c r="C484" s="37"/>
      <c r="D484" s="37"/>
      <c r="E484" s="37"/>
      <c r="F484" s="45"/>
      <c r="K484" s="3" t="s">
        <v>1264</v>
      </c>
    </row>
    <row r="485" spans="1:34" ht="18.399999999999999" customHeight="1">
      <c r="A485" s="41" t="s">
        <v>6232</v>
      </c>
      <c r="B485" s="37"/>
      <c r="C485" s="37"/>
      <c r="D485" s="37"/>
      <c r="E485" s="37"/>
      <c r="F485" s="45"/>
      <c r="K485" s="3" t="s">
        <v>6232</v>
      </c>
    </row>
    <row r="486" spans="1:34" ht="18.399999999999999" customHeight="1">
      <c r="A486" s="42" t="str">
        <f>CONCATENATE("   - 1차당 적재량(본)         Q=",TEXT($AB486,"#,##0.00"),"  본")</f>
        <v xml:space="preserve">   - 1차당 적재량(본)         Q=5.00  본</v>
      </c>
      <c r="B486" s="37"/>
      <c r="C486" s="37"/>
      <c r="D486" s="37"/>
      <c r="E486" s="37"/>
      <c r="F486" s="45"/>
      <c r="K486" s="10" t="str">
        <f>SUBSTITUTE(SUBSTITUTE("  _x001D_- 1차당 적재량(본)_x001D_        Q  =  5 _x001D_본_x001D_","5",TEXT($AB486,"#,##0"),1),"_x001D_","'")</f>
        <v xml:space="preserve">  '- 1차당 적재량(본)'        Q  =  5 '본'</v>
      </c>
      <c r="AA486" s="39" t="s">
        <v>4337</v>
      </c>
      <c r="AB486" s="6">
        <v>5</v>
      </c>
      <c r="AC486" s="39" t="s">
        <v>4337</v>
      </c>
      <c r="AD486" s="7">
        <f>$AB486</f>
        <v>5</v>
      </c>
    </row>
    <row r="487" spans="1:34" ht="18.399999999999999" customHeight="1">
      <c r="A487" s="41" t="s">
        <v>6232</v>
      </c>
      <c r="B487" s="37"/>
      <c r="C487" s="37"/>
      <c r="D487" s="37"/>
      <c r="E487" s="37"/>
      <c r="F487" s="45"/>
      <c r="K487" s="3" t="s">
        <v>6232</v>
      </c>
    </row>
    <row r="488" spans="1:34" ht="18.399999999999999" customHeight="1">
      <c r="A488" s="42" t="str">
        <f>CONCATENATE("   - 운반차량 대기시간(12M당)    T1=",TEXT($AB488,"#,##0.00"),"   분")</f>
        <v xml:space="preserve">   - 운반차량 대기시간(12M당)    T1=12.00   분</v>
      </c>
      <c r="B488" s="37"/>
      <c r="C488" s="37"/>
      <c r="D488" s="37"/>
      <c r="E488" s="37"/>
      <c r="F488" s="45"/>
      <c r="K488" s="10" t="str">
        <f>SUBSTITUTE(SUBSTITUTE("  _x001D_- 운반차량 대기시간(12M당)_x001D_   T1 = 12  _x001D_분_x001D_","12",TEXT($AB488,"#,##0"),1),"_x001D_","'")</f>
        <v xml:space="preserve">  '- 운반차량 대기시간(12M당)'   T1 = 12  '분'</v>
      </c>
      <c r="AA488" s="39" t="s">
        <v>4528</v>
      </c>
      <c r="AB488" s="6">
        <v>12</v>
      </c>
      <c r="AC488" s="39" t="s">
        <v>4528</v>
      </c>
      <c r="AD488" s="7">
        <f>$AB488</f>
        <v>12</v>
      </c>
    </row>
    <row r="489" spans="1:34" ht="18.399999999999999" customHeight="1">
      <c r="A489" s="41" t="s">
        <v>6232</v>
      </c>
      <c r="B489" s="37"/>
      <c r="C489" s="37"/>
      <c r="D489" s="37"/>
      <c r="E489" s="37"/>
      <c r="F489" s="45"/>
      <c r="K489" s="3" t="s">
        <v>6232</v>
      </c>
    </row>
    <row r="490" spans="1:34" ht="18.399999999999999" customHeight="1">
      <c r="A490" s="41" t="s">
        <v>4838</v>
      </c>
      <c r="B490" s="37"/>
      <c r="C490" s="37"/>
      <c r="D490" s="37"/>
      <c r="E490" s="37"/>
      <c r="F490" s="45"/>
      <c r="K490" s="3" t="s">
        <v>6093</v>
      </c>
    </row>
    <row r="491" spans="1:34" ht="18.399999999999999" customHeight="1">
      <c r="A491" s="41" t="s">
        <v>6232</v>
      </c>
      <c r="B491" s="37"/>
      <c r="C491" s="37"/>
      <c r="D491" s="37"/>
      <c r="E491" s="37"/>
      <c r="F491" s="45"/>
      <c r="K491" s="3" t="s">
        <v>6232</v>
      </c>
    </row>
    <row r="492" spans="1:34" ht="18.399999999999999" customHeight="1">
      <c r="A492" s="42" t="str">
        <f>CONCATENATE("    T2 = (L / V * 2 * 60 + 20) / Q = ",TEXT($AF492,"#,##0.00")," 분 ")</f>
        <v xml:space="preserve">    T2 = (L / V * 2 * 60 + 20) / Q = 7.20 분 </v>
      </c>
      <c r="B492" s="37">
        <f>SUM($C492,$D492,$E492)</f>
        <v>0</v>
      </c>
      <c r="C492" s="37"/>
      <c r="D492" s="37"/>
      <c r="E492" s="37"/>
      <c r="F492" s="45"/>
      <c r="K492" s="3" t="s">
        <v>3353</v>
      </c>
      <c r="AA492" s="39" t="s">
        <v>5897</v>
      </c>
      <c r="AB492" s="8">
        <f>ROUND(($AD465/$AD467*2*60+20)/$AD486,2)</f>
        <v>7.2</v>
      </c>
      <c r="AC492" s="39" t="s">
        <v>2053</v>
      </c>
      <c r="AD492" s="7">
        <f>$AB492</f>
        <v>7.2</v>
      </c>
      <c r="AE492" s="39" t="s">
        <v>642</v>
      </c>
      <c r="AF492" s="8">
        <f>ROUND(ROUND(($AD465/$AD467*2*60+20)/$AD486,2),2)</f>
        <v>7.2</v>
      </c>
      <c r="AG492" s="39" t="s">
        <v>2211</v>
      </c>
      <c r="AH492" s="7">
        <f>$AF492</f>
        <v>7.2</v>
      </c>
    </row>
    <row r="493" spans="1:34" ht="18.399999999999999" customHeight="1">
      <c r="A493" s="41" t="s">
        <v>6232</v>
      </c>
      <c r="B493" s="37"/>
      <c r="C493" s="37"/>
      <c r="D493" s="37"/>
      <c r="E493" s="37"/>
      <c r="F493" s="45"/>
      <c r="K493" s="3" t="s">
        <v>6232</v>
      </c>
    </row>
    <row r="494" spans="1:34" ht="18.399999999999999" customHeight="1">
      <c r="A494" s="41" t="s">
        <v>2391</v>
      </c>
      <c r="B494" s="37"/>
      <c r="C494" s="37"/>
      <c r="D494" s="37"/>
      <c r="E494" s="37"/>
      <c r="F494" s="45"/>
      <c r="K494" s="3" t="s">
        <v>4710</v>
      </c>
    </row>
    <row r="495" spans="1:34" ht="18.399999999999999" customHeight="1">
      <c r="A495" s="41" t="s">
        <v>6232</v>
      </c>
      <c r="B495" s="37"/>
      <c r="C495" s="37"/>
      <c r="D495" s="37"/>
      <c r="E495" s="37"/>
      <c r="F495" s="45"/>
      <c r="K495" s="3" t="s">
        <v>6232</v>
      </c>
    </row>
    <row r="496" spans="1:34" ht="18.399999999999999" customHeight="1">
      <c r="A496" s="42" t="str">
        <f>CONCATENATE("    CM = T1 + T2 = ",TEXT($AF496,"#,##0.00")," 분 ")</f>
        <v xml:space="preserve">    CM = T1 + T2 = 19.20 분 </v>
      </c>
      <c r="B496" s="37">
        <f>SUM($C496,$D496,$E496)</f>
        <v>0</v>
      </c>
      <c r="C496" s="37"/>
      <c r="D496" s="37"/>
      <c r="E496" s="37"/>
      <c r="F496" s="45"/>
      <c r="K496" s="3" t="s">
        <v>6049</v>
      </c>
      <c r="AA496" s="39" t="s">
        <v>5026</v>
      </c>
      <c r="AB496" s="8">
        <f>ROUND($AD488+$AD492,2)</f>
        <v>19.2</v>
      </c>
      <c r="AC496" s="39" t="s">
        <v>289</v>
      </c>
      <c r="AD496" s="7">
        <f>$AB496</f>
        <v>19.2</v>
      </c>
      <c r="AE496" s="39" t="s">
        <v>541</v>
      </c>
      <c r="AF496" s="8">
        <f>ROUND(ROUND($AD488+$AD492,2),2)</f>
        <v>19.2</v>
      </c>
      <c r="AG496" s="39" t="s">
        <v>4049</v>
      </c>
      <c r="AH496" s="7">
        <f>$AF496</f>
        <v>19.2</v>
      </c>
    </row>
    <row r="497" spans="1:34" ht="18.399999999999999" customHeight="1">
      <c r="A497" s="41" t="s">
        <v>6232</v>
      </c>
      <c r="B497" s="37"/>
      <c r="C497" s="37"/>
      <c r="D497" s="37"/>
      <c r="E497" s="37"/>
      <c r="F497" s="45"/>
      <c r="K497" s="3" t="s">
        <v>6232</v>
      </c>
    </row>
    <row r="498" spans="1:34" ht="18.399999999999999" customHeight="1">
      <c r="A498" s="41" t="s">
        <v>5848</v>
      </c>
      <c r="B498" s="37"/>
      <c r="C498" s="37"/>
      <c r="D498" s="37"/>
      <c r="E498" s="37"/>
      <c r="F498" s="45"/>
      <c r="K498" s="3" t="s">
        <v>788</v>
      </c>
    </row>
    <row r="499" spans="1:34" ht="18.399999999999999" customHeight="1">
      <c r="A499" s="41" t="s">
        <v>6232</v>
      </c>
      <c r="B499" s="37"/>
      <c r="C499" s="37"/>
      <c r="D499" s="37"/>
      <c r="E499" s="37"/>
      <c r="F499" s="45"/>
      <c r="K499" s="3" t="s">
        <v>6232</v>
      </c>
    </row>
    <row r="500" spans="1:34" ht="18.399999999999999" customHeight="1">
      <c r="A500" s="42" t="str">
        <f>CONCATENATE("    Qo = T2 / CM = ",TEXT($AF500,"#,##0.00")," 분 ")</f>
        <v xml:space="preserve">    Qo = T2 / CM = 0.38 분 </v>
      </c>
      <c r="B500" s="37">
        <f>SUM($C500,$D500,$E500)</f>
        <v>0</v>
      </c>
      <c r="C500" s="37"/>
      <c r="D500" s="37"/>
      <c r="E500" s="37"/>
      <c r="F500" s="45"/>
      <c r="K500" s="3" t="s">
        <v>882</v>
      </c>
      <c r="AA500" s="39" t="s">
        <v>1501</v>
      </c>
      <c r="AB500" s="8">
        <f>ROUND($AD492/$AD496,2)</f>
        <v>0.38</v>
      </c>
      <c r="AC500" s="39" t="s">
        <v>2425</v>
      </c>
      <c r="AD500" s="7">
        <f>$AB500</f>
        <v>0.38</v>
      </c>
      <c r="AE500" s="39" t="s">
        <v>3652</v>
      </c>
      <c r="AF500" s="8">
        <f>ROUND(ROUND($AD492/$AD496,2),2)</f>
        <v>0.38</v>
      </c>
      <c r="AG500" s="39" t="s">
        <v>1633</v>
      </c>
      <c r="AH500" s="7">
        <f>$AF500</f>
        <v>0.38</v>
      </c>
    </row>
    <row r="501" spans="1:34" ht="18.399999999999999" customHeight="1">
      <c r="A501" s="41" t="s">
        <v>6232</v>
      </c>
      <c r="B501" s="37"/>
      <c r="C501" s="37"/>
      <c r="D501" s="37"/>
      <c r="E501" s="37"/>
      <c r="F501" s="45"/>
      <c r="K501" s="3" t="s">
        <v>6232</v>
      </c>
    </row>
    <row r="502" spans="1:34" ht="18.399999999999999" customHeight="1">
      <c r="A502" s="41" t="s">
        <v>1042</v>
      </c>
      <c r="B502" s="37"/>
      <c r="C502" s="37"/>
      <c r="D502" s="37"/>
      <c r="E502" s="37"/>
      <c r="F502" s="45"/>
      <c r="K502" s="3" t="s">
        <v>1008</v>
      </c>
    </row>
    <row r="503" spans="1:34" ht="18.399999999999999" customHeight="1">
      <c r="A503" s="41" t="s">
        <v>6232</v>
      </c>
      <c r="B503" s="37"/>
      <c r="C503" s="37"/>
      <c r="D503" s="37"/>
      <c r="E503" s="37"/>
      <c r="F503" s="45"/>
      <c r="K503" s="3" t="s">
        <v>6232</v>
      </c>
    </row>
    <row r="504" spans="1:34" ht="18.399999999999999" customHeight="1">
      <c r="A504" s="42" t="str">
        <f>CONCATENATE("      보통인부 :  2.0 인  * _x001D_169,804_x001D_ * (CM + 6 ) / 60 / 8 = ",TEXT($AB504,"#,##0.0"))</f>
        <v xml:space="preserve">      보통인부 :  2.0 인  * _x001D_169,804_x001D_ * (CM + 6 ) / 60 / 8 = 18,067.1</v>
      </c>
      <c r="B504" s="37">
        <f>SUM($C504,$D504,$E504)</f>
        <v>18067.099999999999</v>
      </c>
      <c r="C504" s="37"/>
      <c r="D504" s="37">
        <f>$AB504</f>
        <v>18067.099999999999</v>
      </c>
      <c r="E504" s="37"/>
      <c r="F504" s="45" t="s">
        <v>6232</v>
      </c>
      <c r="K504" s="3" t="s">
        <v>3933</v>
      </c>
      <c r="AA504" s="40" t="s">
        <v>5305</v>
      </c>
      <c r="AB504" s="8">
        <f>TRUNC(2*노임!D3*($AD496+6)/60/8,1)</f>
        <v>18067.099999999999</v>
      </c>
      <c r="AC504" s="40" t="s">
        <v>5439</v>
      </c>
      <c r="AD504" s="7">
        <f>$AH468+$AB504</f>
        <v>18067.099999999999</v>
      </c>
    </row>
    <row r="505" spans="1:34" ht="18.399999999999999" customHeight="1">
      <c r="A505" s="41" t="s">
        <v>6232</v>
      </c>
      <c r="B505" s="37"/>
      <c r="C505" s="37"/>
      <c r="D505" s="37"/>
      <c r="E505" s="37"/>
      <c r="F505" s="45"/>
      <c r="K505" s="3" t="s">
        <v>6232</v>
      </c>
    </row>
    <row r="506" spans="1:34" ht="18.399999999999999" customHeight="1">
      <c r="A506" s="41" t="s">
        <v>5801</v>
      </c>
      <c r="B506" s="37"/>
      <c r="C506" s="37"/>
      <c r="D506" s="37"/>
      <c r="E506" s="37"/>
      <c r="F506" s="45"/>
      <c r="K506" s="3" t="s">
        <v>775</v>
      </c>
    </row>
    <row r="507" spans="1:34" ht="18.399999999999999" customHeight="1">
      <c r="A507" s="41" t="s">
        <v>6232</v>
      </c>
      <c r="B507" s="37"/>
      <c r="C507" s="37"/>
      <c r="D507" s="37"/>
      <c r="E507" s="37"/>
      <c r="F507" s="45"/>
      <c r="K507" s="3" t="s">
        <v>6232</v>
      </c>
    </row>
    <row r="508" spans="1:34" ht="18.399999999999999" customHeight="1">
      <c r="A508" s="41" t="s">
        <v>2913</v>
      </c>
      <c r="B508" s="37"/>
      <c r="C508" s="37"/>
      <c r="D508" s="37"/>
      <c r="E508" s="37"/>
      <c r="F508" s="45"/>
      <c r="K508" s="3" t="s">
        <v>2204</v>
      </c>
    </row>
    <row r="509" spans="1:34" ht="18.399999999999999" customHeight="1">
      <c r="A509" s="41" t="s">
        <v>6232</v>
      </c>
      <c r="B509" s="37"/>
      <c r="C509" s="37"/>
      <c r="D509" s="37"/>
      <c r="E509" s="37"/>
      <c r="F509" s="45"/>
      <c r="K509" s="3" t="s">
        <v>6232</v>
      </c>
    </row>
    <row r="510" spans="1:34" ht="18.399999999999999" customHeight="1">
      <c r="A510" s="42" t="str">
        <f>CONCATENATE("     재료비:  _x001D_10,105_x001D_ * 18 / 60 = ",TEXT($AB510,"#,##0.0"))</f>
        <v xml:space="preserve">     재료비:  _x001D_10,105_x001D_ * 18 / 60 = 0.0</v>
      </c>
      <c r="B510" s="37">
        <f>SUM($C510,$D510,$E510)</f>
        <v>0</v>
      </c>
      <c r="C510" s="37">
        <f>$AB510</f>
        <v>0</v>
      </c>
      <c r="D510" s="37"/>
      <c r="E510" s="37"/>
      <c r="F510" s="45" t="s">
        <v>6232</v>
      </c>
      <c r="K510" s="3" t="s">
        <v>5894</v>
      </c>
      <c r="AA510" s="40" t="s">
        <v>2660</v>
      </c>
      <c r="AB510" s="8">
        <f>TRUNC(중기사용료목록!E5*18/60,1)</f>
        <v>0</v>
      </c>
      <c r="AC510" s="40" t="s">
        <v>1650</v>
      </c>
      <c r="AD510" s="7">
        <f>$AD468+$AB510</f>
        <v>0</v>
      </c>
    </row>
    <row r="511" spans="1:34" ht="18.399999999999999" customHeight="1">
      <c r="A511" s="41" t="s">
        <v>6232</v>
      </c>
      <c r="B511" s="37"/>
      <c r="C511" s="37"/>
      <c r="D511" s="37"/>
      <c r="E511" s="37"/>
      <c r="F511" s="45"/>
      <c r="K511" s="3" t="s">
        <v>6232</v>
      </c>
    </row>
    <row r="512" spans="1:34" ht="18.399999999999999" customHeight="1">
      <c r="A512" s="42" t="str">
        <f>CONCATENATE("     노무비:  _x001D_57,077_x001D_ * 18 / 60 = ",TEXT($AB512,"#,##0.0"))</f>
        <v xml:space="preserve">     노무비:  _x001D_57,077_x001D_ * 18 / 60 = 0.0</v>
      </c>
      <c r="B512" s="37">
        <f>SUM($C512,$D512,$E512)</f>
        <v>0</v>
      </c>
      <c r="C512" s="37"/>
      <c r="D512" s="37">
        <f>$AB512</f>
        <v>0</v>
      </c>
      <c r="E512" s="37"/>
      <c r="F512" s="45" t="s">
        <v>6232</v>
      </c>
      <c r="K512" s="3" t="s">
        <v>1213</v>
      </c>
      <c r="AA512" s="40" t="s">
        <v>5305</v>
      </c>
      <c r="AB512" s="8">
        <f>TRUNC(중기사용료목록!F5*18/60,1)</f>
        <v>0</v>
      </c>
      <c r="AC512" s="40" t="s">
        <v>5439</v>
      </c>
      <c r="AD512" s="7">
        <f>$AD504+$AB512</f>
        <v>18067.099999999999</v>
      </c>
    </row>
    <row r="513" spans="1:38" ht="18.399999999999999" customHeight="1">
      <c r="A513" s="41" t="s">
        <v>6232</v>
      </c>
      <c r="B513" s="37"/>
      <c r="C513" s="37"/>
      <c r="D513" s="37"/>
      <c r="E513" s="37"/>
      <c r="F513" s="45"/>
      <c r="K513" s="3" t="s">
        <v>6232</v>
      </c>
    </row>
    <row r="514" spans="1:38" ht="18.399999999999999" customHeight="1">
      <c r="A514" s="42" t="str">
        <f>CONCATENATE("     경  비:  _x001D_52,687_x001D_ * 18 / 60 = ",TEXT($AB514,"#,##0.0"))</f>
        <v xml:space="preserve">     경  비:  _x001D_52,687_x001D_ * 18 / 60 = 36,875.1</v>
      </c>
      <c r="B514" s="37">
        <f>SUM($C514,$D514,$E514)</f>
        <v>36875.1</v>
      </c>
      <c r="C514" s="37"/>
      <c r="D514" s="37"/>
      <c r="E514" s="37">
        <f>$AB514</f>
        <v>36875.1</v>
      </c>
      <c r="F514" s="45" t="s">
        <v>6232</v>
      </c>
      <c r="K514" s="3" t="s">
        <v>1534</v>
      </c>
      <c r="AA514" s="40" t="s">
        <v>3519</v>
      </c>
      <c r="AB514" s="8">
        <f>TRUNC(중기사용료목록!G5*18/60,1)</f>
        <v>36875.1</v>
      </c>
      <c r="AC514" s="40" t="s">
        <v>4149</v>
      </c>
      <c r="AD514" s="7">
        <f>$AL468+$AB514</f>
        <v>36875.1</v>
      </c>
    </row>
    <row r="515" spans="1:38" ht="18.399999999999999" customHeight="1">
      <c r="A515" s="41" t="s">
        <v>6232</v>
      </c>
      <c r="B515" s="37"/>
      <c r="C515" s="37"/>
      <c r="D515" s="37"/>
      <c r="E515" s="37"/>
      <c r="F515" s="45"/>
      <c r="K515" s="3" t="s">
        <v>6232</v>
      </c>
    </row>
    <row r="516" spans="1:38" ht="18.399999999999999" customHeight="1">
      <c r="A516" s="41" t="s">
        <v>1530</v>
      </c>
      <c r="B516" s="37"/>
      <c r="C516" s="37"/>
      <c r="D516" s="37"/>
      <c r="E516" s="37"/>
      <c r="F516" s="45"/>
      <c r="K516" s="3" t="s">
        <v>2021</v>
      </c>
    </row>
    <row r="517" spans="1:38" ht="18.399999999999999" customHeight="1">
      <c r="A517" s="41" t="s">
        <v>6232</v>
      </c>
      <c r="B517" s="37"/>
      <c r="C517" s="37"/>
      <c r="D517" s="37"/>
      <c r="E517" s="37"/>
      <c r="F517" s="45"/>
      <c r="K517" s="3" t="s">
        <v>6232</v>
      </c>
    </row>
    <row r="518" spans="1:38" ht="18.399999999999999" customHeight="1">
      <c r="A518" s="42" t="str">
        <f>CONCATENATE("     재료비:  _x001D_30,878_x001D_ * CM / 60 * Qo = ",TEXT($AB518,"#,##0.0"))</f>
        <v xml:space="preserve">     재료비:  _x001D_30,878_x001D_ * CM / 60 * Qo = 0.0</v>
      </c>
      <c r="B518" s="37">
        <f>SUM($C518,$D518,$E518)</f>
        <v>0</v>
      </c>
      <c r="C518" s="37">
        <f>$AB518</f>
        <v>0</v>
      </c>
      <c r="D518" s="37"/>
      <c r="E518" s="37"/>
      <c r="F518" s="45" t="s">
        <v>6232</v>
      </c>
      <c r="K518" s="3" t="s">
        <v>4711</v>
      </c>
      <c r="AA518" s="40" t="s">
        <v>2660</v>
      </c>
      <c r="AB518" s="8">
        <f>TRUNC(중기사용료목록!E7*$AD496/60*$AD500,1)</f>
        <v>0</v>
      </c>
      <c r="AC518" s="40" t="s">
        <v>1650</v>
      </c>
      <c r="AD518" s="7">
        <f>$AD510+$AB518</f>
        <v>0</v>
      </c>
    </row>
    <row r="519" spans="1:38" ht="18.399999999999999" customHeight="1">
      <c r="A519" s="41" t="s">
        <v>6232</v>
      </c>
      <c r="B519" s="37"/>
      <c r="C519" s="37"/>
      <c r="D519" s="37"/>
      <c r="E519" s="37"/>
      <c r="F519" s="45"/>
      <c r="K519" s="3" t="s">
        <v>6232</v>
      </c>
    </row>
    <row r="520" spans="1:38" ht="18.399999999999999" customHeight="1">
      <c r="A520" s="42" t="str">
        <f>CONCATENATE("     노무비:  _x001D_57,077_x001D_ * CM / 60 = ",TEXT($AB520,"#,##0.0"))</f>
        <v xml:space="preserve">     노무비:  _x001D_57,077_x001D_ * CM / 60 = 0.0</v>
      </c>
      <c r="B520" s="37">
        <f>SUM($C520,$D520,$E520)</f>
        <v>0</v>
      </c>
      <c r="C520" s="37"/>
      <c r="D520" s="37">
        <f>$AB520</f>
        <v>0</v>
      </c>
      <c r="E520" s="37"/>
      <c r="F520" s="45" t="s">
        <v>6232</v>
      </c>
      <c r="K520" s="3" t="s">
        <v>3619</v>
      </c>
      <c r="AA520" s="40" t="s">
        <v>5305</v>
      </c>
      <c r="AB520" s="8">
        <f>TRUNC(중기사용료목록!F7*$AD496/60,1)</f>
        <v>0</v>
      </c>
      <c r="AC520" s="40" t="s">
        <v>5439</v>
      </c>
      <c r="AD520" s="7">
        <f>$AD512+$AB520</f>
        <v>18067.099999999999</v>
      </c>
    </row>
    <row r="521" spans="1:38" ht="18.399999999999999" customHeight="1">
      <c r="A521" s="41" t="s">
        <v>6232</v>
      </c>
      <c r="B521" s="37"/>
      <c r="C521" s="37"/>
      <c r="D521" s="37"/>
      <c r="E521" s="37"/>
      <c r="F521" s="45"/>
      <c r="K521" s="3" t="s">
        <v>6232</v>
      </c>
    </row>
    <row r="522" spans="1:38" ht="18.399999999999999" customHeight="1">
      <c r="A522" s="42" t="str">
        <f>CONCATENATE("     경  비:  _x001D_16,873_x001D_ * CM / 60 = ",TEXT($AB522,"#,##0.0"))</f>
        <v xml:space="preserve">     경  비:  _x001D_16,873_x001D_ * CM / 60 = 35,723.2</v>
      </c>
      <c r="B522" s="37">
        <f>SUM($C522,$D522,$E522)</f>
        <v>35723.199999999997</v>
      </c>
      <c r="C522" s="37"/>
      <c r="D522" s="37"/>
      <c r="E522" s="37">
        <f>$AB522</f>
        <v>35723.199999999997</v>
      </c>
      <c r="F522" s="45" t="s">
        <v>6232</v>
      </c>
      <c r="K522" s="3" t="s">
        <v>5622</v>
      </c>
      <c r="AA522" s="40" t="s">
        <v>3519</v>
      </c>
      <c r="AB522" s="8">
        <f>TRUNC(중기사용료목록!G7*$AD496/60,1)</f>
        <v>35723.199999999997</v>
      </c>
      <c r="AC522" s="40" t="s">
        <v>4149</v>
      </c>
      <c r="AD522" s="7">
        <f>$AD514+$AB522</f>
        <v>72598.299999999988</v>
      </c>
    </row>
    <row r="523" spans="1:38" ht="18.399999999999999" customHeight="1">
      <c r="A523" s="41" t="s">
        <v>6232</v>
      </c>
      <c r="B523" s="37"/>
      <c r="C523" s="37"/>
      <c r="D523" s="37"/>
      <c r="E523" s="37"/>
      <c r="F523" s="45"/>
      <c r="K523" s="3" t="s">
        <v>6232</v>
      </c>
    </row>
    <row r="524" spans="1:38" ht="18.399999999999999" customHeight="1">
      <c r="A524" s="41" t="s">
        <v>4035</v>
      </c>
      <c r="B524" s="37">
        <v>81208.7</v>
      </c>
      <c r="C524" s="37">
        <v>6786.2</v>
      </c>
      <c r="D524" s="37">
        <v>53217.1</v>
      </c>
      <c r="E524" s="37">
        <v>21205.4</v>
      </c>
      <c r="F524" s="45"/>
      <c r="K524" s="3" t="s">
        <v>6070</v>
      </c>
    </row>
    <row r="525" spans="1:38" ht="18.399999999999999" customHeight="1">
      <c r="A525" s="41" t="s">
        <v>6232</v>
      </c>
      <c r="B525" s="37">
        <f>SUM($C525,$D525,$E525)</f>
        <v>0</v>
      </c>
      <c r="C525" s="37">
        <f>$AB525</f>
        <v>0</v>
      </c>
      <c r="D525" s="37">
        <f>$AF525</f>
        <v>0</v>
      </c>
      <c r="E525" s="37">
        <f>$AJ525</f>
        <v>0</v>
      </c>
      <c r="F525" s="45"/>
      <c r="K525" s="3" t="s">
        <v>5506</v>
      </c>
      <c r="AA525" s="40" t="s">
        <v>4586</v>
      </c>
      <c r="AB525" s="8">
        <f>ROUND(0,2)</f>
        <v>0</v>
      </c>
      <c r="AC525" s="40" t="s">
        <v>4161</v>
      </c>
      <c r="AD525" s="7">
        <f>$AB525</f>
        <v>0</v>
      </c>
      <c r="AE525" s="40" t="s">
        <v>222</v>
      </c>
      <c r="AF525" s="8">
        <f>ROUND(0,2)</f>
        <v>0</v>
      </c>
      <c r="AG525" s="40" t="s">
        <v>334</v>
      </c>
      <c r="AH525" s="7">
        <f>$AF525</f>
        <v>0</v>
      </c>
      <c r="AI525" s="40" t="s">
        <v>1574</v>
      </c>
      <c r="AJ525" s="8">
        <f>ROUND(0,2)</f>
        <v>0</v>
      </c>
      <c r="AK525" s="40" t="s">
        <v>1622</v>
      </c>
      <c r="AL525" s="7">
        <f>$AJ525</f>
        <v>0</v>
      </c>
    </row>
    <row r="526" spans="1:38" ht="18.399999999999999" customHeight="1">
      <c r="A526" s="41" t="s">
        <v>4138</v>
      </c>
      <c r="B526" s="37">
        <f>SUM($C526,$D526,$E526)</f>
        <v>7555.3</v>
      </c>
      <c r="C526" s="37">
        <f>$AB526</f>
        <v>0</v>
      </c>
      <c r="D526" s="37">
        <f>$AF526</f>
        <v>1505.5</v>
      </c>
      <c r="E526" s="37">
        <f>$AJ526</f>
        <v>6049.8</v>
      </c>
      <c r="F526" s="45"/>
      <c r="K526" s="3" t="s">
        <v>4286</v>
      </c>
      <c r="AA526" s="40" t="s">
        <v>4586</v>
      </c>
      <c r="AB526" s="8">
        <f>TRUNC($AD518/12,1)</f>
        <v>0</v>
      </c>
      <c r="AC526" s="40" t="s">
        <v>4161</v>
      </c>
      <c r="AD526" s="7">
        <f>$AB526</f>
        <v>0</v>
      </c>
      <c r="AE526" s="40" t="s">
        <v>222</v>
      </c>
      <c r="AF526" s="8">
        <f>TRUNC($AD520/12,1)</f>
        <v>1505.5</v>
      </c>
      <c r="AG526" s="40" t="s">
        <v>334</v>
      </c>
      <c r="AH526" s="7">
        <f>$AF526</f>
        <v>1505.5</v>
      </c>
      <c r="AI526" s="40" t="s">
        <v>1574</v>
      </c>
      <c r="AJ526" s="8">
        <f>TRUNC($AD522/12,1)</f>
        <v>6049.8</v>
      </c>
      <c r="AK526" s="40" t="s">
        <v>1622</v>
      </c>
      <c r="AL526" s="7">
        <f>$AJ526</f>
        <v>6049.8</v>
      </c>
    </row>
    <row r="527" spans="1:38" ht="18.399999999999999" customHeight="1">
      <c r="A527" s="41" t="s">
        <v>6232</v>
      </c>
      <c r="B527" s="37"/>
      <c r="C527" s="37"/>
      <c r="D527" s="37"/>
      <c r="E527" s="37"/>
      <c r="F527" s="45"/>
      <c r="K527" s="3" t="s">
        <v>6232</v>
      </c>
    </row>
    <row r="528" spans="1:38" ht="18.399999999999999" customHeight="1">
      <c r="A528" s="41" t="s">
        <v>3436</v>
      </c>
      <c r="B528" s="37">
        <v>6767.3</v>
      </c>
      <c r="C528" s="37">
        <v>565.5</v>
      </c>
      <c r="D528" s="37">
        <v>4434.7</v>
      </c>
      <c r="E528" s="37">
        <v>1767.1</v>
      </c>
      <c r="F528" s="45"/>
      <c r="K528" s="3" t="s">
        <v>1342</v>
      </c>
    </row>
    <row r="529" spans="1:38" ht="18.399999999999999" customHeight="1">
      <c r="A529" s="41" t="s">
        <v>6232</v>
      </c>
      <c r="B529" s="37">
        <f>SUM($C529,$D529,$E529)</f>
        <v>0</v>
      </c>
      <c r="C529" s="37">
        <f>$AB529</f>
        <v>0</v>
      </c>
      <c r="D529" s="37">
        <f>$AF529</f>
        <v>0</v>
      </c>
      <c r="E529" s="37">
        <f>$AJ529</f>
        <v>0</v>
      </c>
      <c r="F529" s="45"/>
      <c r="K529" s="3" t="s">
        <v>3238</v>
      </c>
      <c r="AA529" s="40" t="s">
        <v>308</v>
      </c>
      <c r="AB529" s="8">
        <f>ROUND(0,2)</f>
        <v>0</v>
      </c>
      <c r="AC529" s="40" t="s">
        <v>5000</v>
      </c>
      <c r="AD529" s="7">
        <f>$AB529</f>
        <v>0</v>
      </c>
      <c r="AE529" s="40" t="s">
        <v>4500</v>
      </c>
      <c r="AF529" s="8">
        <f>ROUND(0,2)</f>
        <v>0</v>
      </c>
      <c r="AG529" s="40" t="s">
        <v>2603</v>
      </c>
      <c r="AH529" s="7">
        <f>$AF529</f>
        <v>0</v>
      </c>
      <c r="AI529" s="40" t="s">
        <v>5878</v>
      </c>
      <c r="AJ529" s="8">
        <f>ROUND(0,2)</f>
        <v>0</v>
      </c>
      <c r="AK529" s="40" t="s">
        <v>787</v>
      </c>
      <c r="AL529" s="7">
        <f>$AJ529</f>
        <v>0</v>
      </c>
    </row>
    <row r="530" spans="1:38" ht="18.399999999999999" customHeight="1">
      <c r="A530" s="41" t="s">
        <v>3772</v>
      </c>
      <c r="B530" s="37">
        <f>SUM($C530,$D530,$E530)</f>
        <v>8288.1</v>
      </c>
      <c r="C530" s="37">
        <f>$AB530</f>
        <v>0</v>
      </c>
      <c r="D530" s="37">
        <f>$AF530</f>
        <v>1651.5</v>
      </c>
      <c r="E530" s="37">
        <f>$AJ530</f>
        <v>6636.6</v>
      </c>
      <c r="F530" s="45"/>
      <c r="K530" s="3" t="s">
        <v>2347</v>
      </c>
      <c r="AA530" s="40" t="s">
        <v>308</v>
      </c>
      <c r="AB530" s="8">
        <f>TRUNC($AD526*1.097,1)</f>
        <v>0</v>
      </c>
      <c r="AC530" s="40" t="s">
        <v>5000</v>
      </c>
      <c r="AD530" s="7">
        <f>$AB530</f>
        <v>0</v>
      </c>
      <c r="AE530" s="40" t="s">
        <v>4500</v>
      </c>
      <c r="AF530" s="8">
        <f>TRUNC($AH526*1.097,1)</f>
        <v>1651.5</v>
      </c>
      <c r="AG530" s="40" t="s">
        <v>2603</v>
      </c>
      <c r="AH530" s="7">
        <f>$AF530</f>
        <v>1651.5</v>
      </c>
      <c r="AI530" s="40" t="s">
        <v>5878</v>
      </c>
      <c r="AJ530" s="8">
        <f>TRUNC($AL526*1.097,1)</f>
        <v>6636.6</v>
      </c>
      <c r="AK530" s="40" t="s">
        <v>787</v>
      </c>
      <c r="AL530" s="7">
        <f>$AJ530</f>
        <v>6636.6</v>
      </c>
    </row>
    <row r="531" spans="1:38" ht="18.399999999999999" customHeight="1">
      <c r="A531" s="41" t="s">
        <v>6232</v>
      </c>
      <c r="B531" s="37"/>
      <c r="C531" s="37"/>
      <c r="D531" s="37"/>
      <c r="E531" s="37"/>
      <c r="F531" s="45"/>
      <c r="K531" s="3" t="s">
        <v>6232</v>
      </c>
    </row>
    <row r="532" spans="1:38" ht="18.399999999999999" customHeight="1">
      <c r="A532" s="41" t="s">
        <v>3436</v>
      </c>
      <c r="B532" s="37">
        <f>SUM($C532,$D532,$E532)</f>
        <v>8288.1</v>
      </c>
      <c r="C532" s="37">
        <f>$AB532</f>
        <v>0</v>
      </c>
      <c r="D532" s="37">
        <f>$AF532</f>
        <v>1651.5</v>
      </c>
      <c r="E532" s="37">
        <f>$AJ532</f>
        <v>6636.6</v>
      </c>
      <c r="F532" s="45"/>
      <c r="K532" s="3" t="s">
        <v>4527</v>
      </c>
      <c r="AA532" s="40" t="s">
        <v>4592</v>
      </c>
      <c r="AB532" s="8">
        <f>TRUNC($AD530,1)</f>
        <v>0</v>
      </c>
      <c r="AC532" s="40" t="s">
        <v>5149</v>
      </c>
      <c r="AD532" s="7">
        <f>$AB532</f>
        <v>0</v>
      </c>
      <c r="AE532" s="40" t="s">
        <v>666</v>
      </c>
      <c r="AF532" s="8">
        <f>TRUNC($AH530,1)</f>
        <v>1651.5</v>
      </c>
      <c r="AG532" s="40" t="s">
        <v>2431</v>
      </c>
      <c r="AH532" s="7">
        <f>$AF532</f>
        <v>1651.5</v>
      </c>
      <c r="AI532" s="40" t="s">
        <v>1930</v>
      </c>
      <c r="AJ532" s="8">
        <f>TRUNC($AL530,1)</f>
        <v>6636.6</v>
      </c>
      <c r="AK532" s="40" t="s">
        <v>3349</v>
      </c>
      <c r="AL532" s="7">
        <f>$AJ532</f>
        <v>6636.6</v>
      </c>
    </row>
    <row r="533" spans="1:38" ht="18.399999999999999" customHeight="1">
      <c r="A533" s="41"/>
      <c r="B533" s="3"/>
      <c r="C533" s="3"/>
      <c r="D533" s="3"/>
      <c r="E533" s="3"/>
      <c r="F533" s="44"/>
    </row>
    <row r="534" spans="1:38" ht="18.399999999999999" customHeight="1">
      <c r="A534" s="43" t="s">
        <v>3543</v>
      </c>
      <c r="B534" s="38">
        <f>SUM($C534,$D534,$E534)</f>
        <v>8287</v>
      </c>
      <c r="C534" s="38">
        <f>TRUNC(SUM($AD532),0)</f>
        <v>0</v>
      </c>
      <c r="D534" s="38">
        <f>TRUNC(SUM($AH532),0)</f>
        <v>1651</v>
      </c>
      <c r="E534" s="38">
        <f>TRUNC(SUM($AL532),0)</f>
        <v>6636</v>
      </c>
      <c r="F534" s="46"/>
    </row>
    <row r="535" spans="1:38" ht="18.399999999999999" customHeight="1">
      <c r="A535" s="41"/>
      <c r="B535" s="3"/>
      <c r="C535" s="3"/>
      <c r="D535" s="3"/>
      <c r="E535" s="3"/>
      <c r="F535" s="44"/>
    </row>
    <row r="536" spans="1:38" ht="18.399999999999999" customHeight="1">
      <c r="A536" s="41" t="s">
        <v>4121</v>
      </c>
      <c r="B536" s="36">
        <f>$B610</f>
        <v>7533</v>
      </c>
      <c r="C536" s="36">
        <f>$C610</f>
        <v>0</v>
      </c>
      <c r="D536" s="36">
        <f>$D610</f>
        <v>1441</v>
      </c>
      <c r="E536" s="36">
        <f>$E610</f>
        <v>6092</v>
      </c>
      <c r="F536" s="44" t="s">
        <v>3378</v>
      </c>
      <c r="G536" t="s">
        <v>6232</v>
      </c>
      <c r="H536" t="s">
        <v>3339</v>
      </c>
      <c r="K536">
        <v>1</v>
      </c>
      <c r="Y536" s="7" t="b">
        <f>EXACT($Z536,$B610)</f>
        <v>0</v>
      </c>
      <c r="Z536" s="38">
        <v>6700</v>
      </c>
    </row>
    <row r="537" spans="1:38" ht="18.399999999999999" customHeight="1">
      <c r="A537" s="41"/>
      <c r="B537" s="3"/>
      <c r="C537" s="3"/>
      <c r="D537" s="3"/>
      <c r="E537" s="3"/>
      <c r="F537" s="44"/>
    </row>
    <row r="538" spans="1:38" ht="18.399999999999999" customHeight="1">
      <c r="A538" s="41" t="s">
        <v>6232</v>
      </c>
      <c r="B538" s="3"/>
      <c r="C538" s="3"/>
      <c r="D538" s="3"/>
      <c r="E538" s="3"/>
      <c r="F538" s="44"/>
      <c r="G538" t="s">
        <v>6232</v>
      </c>
      <c r="I538" t="s">
        <v>742</v>
      </c>
      <c r="J538" t="s">
        <v>6232</v>
      </c>
      <c r="K538" t="s">
        <v>5235</v>
      </c>
    </row>
    <row r="539" spans="1:38" ht="18.399999999999999" customHeight="1">
      <c r="A539" s="41" t="s">
        <v>1014</v>
      </c>
      <c r="B539" s="37"/>
      <c r="C539" s="37"/>
      <c r="D539" s="37"/>
      <c r="E539" s="37"/>
      <c r="F539" s="45"/>
      <c r="K539" s="3" t="s">
        <v>2194</v>
      </c>
    </row>
    <row r="540" spans="1:38" ht="18.399999999999999" customHeight="1">
      <c r="A540" s="41" t="s">
        <v>6232</v>
      </c>
      <c r="B540" s="37"/>
      <c r="C540" s="37"/>
      <c r="D540" s="37"/>
      <c r="E540" s="37"/>
      <c r="F540" s="45"/>
      <c r="K540" s="3" t="s">
        <v>6232</v>
      </c>
    </row>
    <row r="541" spans="1:38" ht="18.399999999999999" customHeight="1">
      <c r="A541" s="42" t="str">
        <f>CONCATENATE("                L=",TEXT($AB541,"#,##0.0"),"   KM  실시공후 정산")</f>
        <v xml:space="preserve">                L=4.0   KM  실시공후 정산</v>
      </c>
      <c r="B541" s="37"/>
      <c r="C541" s="37"/>
      <c r="D541" s="37"/>
      <c r="E541" s="37"/>
      <c r="F541" s="45"/>
      <c r="K541" s="10" t="str">
        <f>SUBSTITUTE(SUBSTITUTE("                L = 4.0  _x001D_KM_x001D__x001D_실시공후 정산_x001D_","4.0",TEXT($AB541,"#,##0.0"),1),"_x001D_","'")</f>
        <v xml:space="preserve">                L = 4.0  'KM''실시공후 정산'</v>
      </c>
      <c r="AA541" s="39" t="s">
        <v>5842</v>
      </c>
      <c r="AB541" s="6">
        <v>4</v>
      </c>
      <c r="AC541" s="39" t="s">
        <v>5842</v>
      </c>
      <c r="AD541" s="7">
        <f>$AB541</f>
        <v>4</v>
      </c>
    </row>
    <row r="542" spans="1:38" ht="18.399999999999999" customHeight="1">
      <c r="A542" s="41" t="s">
        <v>6214</v>
      </c>
      <c r="B542" s="37"/>
      <c r="C542" s="37"/>
      <c r="D542" s="37"/>
      <c r="E542" s="37"/>
      <c r="F542" s="45"/>
      <c r="K542" s="3" t="s">
        <v>3965</v>
      </c>
    </row>
    <row r="543" spans="1:38" ht="18.399999999999999" customHeight="1">
      <c r="A543" s="42" t="str">
        <f>CONCATENATE("                V=",TEXT($AB543,"#,##0.0"),"  KM/hr")</f>
        <v xml:space="preserve">                V=30.0  KM/hr</v>
      </c>
      <c r="B543" s="37"/>
      <c r="C543" s="37"/>
      <c r="D543" s="37"/>
      <c r="E543" s="37"/>
      <c r="F543" s="45"/>
      <c r="K543" s="10" t="str">
        <f>SUBSTITUTE(SUBSTITUTE("                V = 30.0 _x001D_KM/hr_x001D_","30.0",TEXT($AB543,"#,##0.0"),1),"_x001D_","'")</f>
        <v xml:space="preserve">                V = 30.0 'KM/hr'</v>
      </c>
      <c r="AA543" s="39" t="s">
        <v>247</v>
      </c>
      <c r="AB543" s="6">
        <v>30</v>
      </c>
      <c r="AC543" s="39" t="s">
        <v>247</v>
      </c>
      <c r="AD543" s="7">
        <f>$AB543</f>
        <v>30</v>
      </c>
    </row>
    <row r="544" spans="1:38" ht="18.399999999999999" customHeight="1">
      <c r="A544" s="41" t="s">
        <v>6232</v>
      </c>
      <c r="B544" s="37">
        <f>SUM($C544,$D544,$E544)</f>
        <v>0</v>
      </c>
      <c r="C544" s="37">
        <f>$AB544</f>
        <v>0</v>
      </c>
      <c r="D544" s="37">
        <f>$AF544</f>
        <v>0</v>
      </c>
      <c r="E544" s="37">
        <f>$AJ544</f>
        <v>0</v>
      </c>
      <c r="F544" s="45"/>
      <c r="K544" s="3" t="s">
        <v>295</v>
      </c>
      <c r="AA544" s="40" t="s">
        <v>2660</v>
      </c>
      <c r="AB544" s="8">
        <f>ROUND(0,2)</f>
        <v>0</v>
      </c>
      <c r="AC544" s="40" t="s">
        <v>1650</v>
      </c>
      <c r="AD544" s="7">
        <f>$AB544</f>
        <v>0</v>
      </c>
      <c r="AE544" s="40" t="s">
        <v>5305</v>
      </c>
      <c r="AF544" s="8">
        <f>ROUND(0,2)</f>
        <v>0</v>
      </c>
      <c r="AG544" s="40" t="s">
        <v>5439</v>
      </c>
      <c r="AH544" s="7">
        <f>$AF544</f>
        <v>0</v>
      </c>
      <c r="AI544" s="40" t="s">
        <v>3519</v>
      </c>
      <c r="AJ544" s="8">
        <f>ROUND(0,2)</f>
        <v>0</v>
      </c>
      <c r="AK544" s="40" t="s">
        <v>4149</v>
      </c>
      <c r="AL544" s="7">
        <f>$AJ544</f>
        <v>0</v>
      </c>
    </row>
    <row r="545" spans="1:11" ht="18.399999999999999" customHeight="1">
      <c r="A545" s="41" t="s">
        <v>5524</v>
      </c>
      <c r="B545" s="37"/>
      <c r="C545" s="37"/>
      <c r="D545" s="37"/>
      <c r="E545" s="37"/>
      <c r="F545" s="45"/>
      <c r="K545" s="3" t="s">
        <v>3427</v>
      </c>
    </row>
    <row r="546" spans="1:11" ht="18.399999999999999" customHeight="1">
      <c r="A546" s="41" t="s">
        <v>6232</v>
      </c>
      <c r="B546" s="37"/>
      <c r="C546" s="37"/>
      <c r="D546" s="37"/>
      <c r="E546" s="37"/>
      <c r="F546" s="45"/>
      <c r="K546" s="3" t="s">
        <v>6232</v>
      </c>
    </row>
    <row r="547" spans="1:11" ht="18.399999999999999" customHeight="1">
      <c r="A547" s="41" t="s">
        <v>2653</v>
      </c>
      <c r="B547" s="37"/>
      <c r="C547" s="37"/>
      <c r="D547" s="37"/>
      <c r="E547" s="37"/>
      <c r="F547" s="45"/>
      <c r="K547" s="3" t="s">
        <v>2793</v>
      </c>
    </row>
    <row r="548" spans="1:11" ht="18.399999999999999" customHeight="1">
      <c r="A548" s="41" t="s">
        <v>52</v>
      </c>
      <c r="B548" s="37"/>
      <c r="C548" s="37"/>
      <c r="D548" s="37"/>
      <c r="E548" s="37"/>
      <c r="F548" s="45"/>
      <c r="K548" s="3" t="s">
        <v>3020</v>
      </c>
    </row>
    <row r="549" spans="1:11" ht="18.399999999999999" customHeight="1">
      <c r="A549" s="41" t="s">
        <v>6232</v>
      </c>
      <c r="B549" s="37"/>
      <c r="C549" s="37"/>
      <c r="D549" s="37"/>
      <c r="E549" s="37"/>
      <c r="F549" s="45"/>
      <c r="K549" s="3" t="s">
        <v>6232</v>
      </c>
    </row>
    <row r="550" spans="1:11" ht="18.399999999999999" customHeight="1">
      <c r="A550" s="41" t="s">
        <v>3700</v>
      </c>
      <c r="B550" s="37"/>
      <c r="C550" s="37"/>
      <c r="D550" s="37"/>
      <c r="E550" s="37"/>
      <c r="F550" s="45"/>
      <c r="K550" s="3" t="s">
        <v>2773</v>
      </c>
    </row>
    <row r="551" spans="1:11" ht="18.399999999999999" customHeight="1">
      <c r="A551" s="41" t="s">
        <v>679</v>
      </c>
      <c r="B551" s="37"/>
      <c r="C551" s="37"/>
      <c r="D551" s="37"/>
      <c r="E551" s="37"/>
      <c r="F551" s="45"/>
      <c r="K551" s="3" t="s">
        <v>1995</v>
      </c>
    </row>
    <row r="552" spans="1:11" ht="18.399999999999999" customHeight="1">
      <c r="A552" s="41" t="s">
        <v>5867</v>
      </c>
      <c r="B552" s="37"/>
      <c r="C552" s="37"/>
      <c r="D552" s="37"/>
      <c r="E552" s="37"/>
      <c r="F552" s="45"/>
      <c r="K552" s="3" t="s">
        <v>2096</v>
      </c>
    </row>
    <row r="553" spans="1:11" ht="18.399999999999999" customHeight="1">
      <c r="A553" s="41" t="s">
        <v>6232</v>
      </c>
      <c r="B553" s="37"/>
      <c r="C553" s="37"/>
      <c r="D553" s="37"/>
      <c r="E553" s="37"/>
      <c r="F553" s="45"/>
      <c r="K553" s="3" t="s">
        <v>6232</v>
      </c>
    </row>
    <row r="554" spans="1:11" ht="18.399999999999999" customHeight="1">
      <c r="A554" s="41" t="s">
        <v>663</v>
      </c>
      <c r="B554" s="37"/>
      <c r="C554" s="37"/>
      <c r="D554" s="37"/>
      <c r="E554" s="37"/>
      <c r="F554" s="45"/>
      <c r="K554" s="3" t="s">
        <v>1707</v>
      </c>
    </row>
    <row r="555" spans="1:11" ht="18.399999999999999" customHeight="1">
      <c r="A555" s="41" t="s">
        <v>6232</v>
      </c>
      <c r="B555" s="37"/>
      <c r="C555" s="37"/>
      <c r="D555" s="37"/>
      <c r="E555" s="37"/>
      <c r="F555" s="45"/>
      <c r="K555" s="3" t="s">
        <v>6232</v>
      </c>
    </row>
    <row r="556" spans="1:11" ht="18.399999999999999" customHeight="1">
      <c r="A556" s="41" t="s">
        <v>6134</v>
      </c>
      <c r="B556" s="37"/>
      <c r="C556" s="37"/>
      <c r="D556" s="37"/>
      <c r="E556" s="37"/>
      <c r="F556" s="45"/>
      <c r="K556" s="3" t="s">
        <v>4089</v>
      </c>
    </row>
    <row r="557" spans="1:11" ht="18.399999999999999" customHeight="1">
      <c r="A557" s="41" t="s">
        <v>6232</v>
      </c>
      <c r="B557" s="37"/>
      <c r="C557" s="37"/>
      <c r="D557" s="37"/>
      <c r="E557" s="37"/>
      <c r="F557" s="45"/>
      <c r="K557" s="3" t="s">
        <v>6232</v>
      </c>
    </row>
    <row r="558" spans="1:11" ht="18.399999999999999" customHeight="1">
      <c r="A558" s="41" t="s">
        <v>1517</v>
      </c>
      <c r="B558" s="37"/>
      <c r="C558" s="37"/>
      <c r="D558" s="37"/>
      <c r="E558" s="37"/>
      <c r="F558" s="45"/>
      <c r="K558" s="3" t="s">
        <v>2275</v>
      </c>
    </row>
    <row r="559" spans="1:11" ht="18.399999999999999" customHeight="1">
      <c r="A559" s="41" t="s">
        <v>6232</v>
      </c>
      <c r="B559" s="37"/>
      <c r="C559" s="37"/>
      <c r="D559" s="37"/>
      <c r="E559" s="37"/>
      <c r="F559" s="45"/>
      <c r="K559" s="3" t="s">
        <v>6232</v>
      </c>
    </row>
    <row r="560" spans="1:11" ht="18.399999999999999" customHeight="1">
      <c r="A560" s="41" t="s">
        <v>257</v>
      </c>
      <c r="B560" s="37"/>
      <c r="C560" s="37"/>
      <c r="D560" s="37"/>
      <c r="E560" s="37"/>
      <c r="F560" s="45"/>
      <c r="K560" s="3" t="s">
        <v>1264</v>
      </c>
    </row>
    <row r="561" spans="1:34" ht="18.399999999999999" customHeight="1">
      <c r="A561" s="41" t="s">
        <v>6232</v>
      </c>
      <c r="B561" s="37"/>
      <c r="C561" s="37"/>
      <c r="D561" s="37"/>
      <c r="E561" s="37"/>
      <c r="F561" s="45"/>
      <c r="K561" s="3" t="s">
        <v>6232</v>
      </c>
    </row>
    <row r="562" spans="1:34" ht="18.399999999999999" customHeight="1">
      <c r="A562" s="42" t="str">
        <f>CONCATENATE("   - 1차당 적재량(본)         Q=",TEXT($AB562,"#,##0.00"),"  본")</f>
        <v xml:space="preserve">   - 1차당 적재량(본)         Q=9.00  본</v>
      </c>
      <c r="B562" s="37"/>
      <c r="C562" s="37"/>
      <c r="D562" s="37"/>
      <c r="E562" s="37"/>
      <c r="F562" s="45"/>
      <c r="K562" s="10" t="str">
        <f>SUBSTITUTE(SUBSTITUTE("  _x001D_- 1차당 적재량(본)_x001D_        Q  =  9 _x001D_본_x001D_","9",TEXT($AB562,"#,##0"),1),"_x001D_","'")</f>
        <v xml:space="preserve">  '- 1차당 적재량(본)'        Q  =  9 '본'</v>
      </c>
      <c r="AA562" s="39" t="s">
        <v>4337</v>
      </c>
      <c r="AB562" s="6">
        <v>9</v>
      </c>
      <c r="AC562" s="39" t="s">
        <v>4337</v>
      </c>
      <c r="AD562" s="7">
        <f>$AB562</f>
        <v>9</v>
      </c>
    </row>
    <row r="563" spans="1:34" ht="18.399999999999999" customHeight="1">
      <c r="A563" s="41" t="s">
        <v>6232</v>
      </c>
      <c r="B563" s="37"/>
      <c r="C563" s="37"/>
      <c r="D563" s="37"/>
      <c r="E563" s="37"/>
      <c r="F563" s="45"/>
      <c r="K563" s="3" t="s">
        <v>6232</v>
      </c>
    </row>
    <row r="564" spans="1:34" ht="18.399999999999999" customHeight="1">
      <c r="A564" s="42" t="str">
        <f>CONCATENATE("   - 운반차량 대기시간(12M당)    T1=",TEXT($AB564,"#,##0.00"),"   분")</f>
        <v xml:space="preserve">   - 운반차량 대기시간(12M당)    T1=12.00   분</v>
      </c>
      <c r="B564" s="37"/>
      <c r="C564" s="37"/>
      <c r="D564" s="37"/>
      <c r="E564" s="37"/>
      <c r="F564" s="45"/>
      <c r="K564" s="10" t="str">
        <f>SUBSTITUTE(SUBSTITUTE("  _x001D_- 운반차량 대기시간(12M당)_x001D_   T1 = 12  _x001D_분_x001D_","12",TEXT($AB564,"#,##0"),1),"_x001D_","'")</f>
        <v xml:space="preserve">  '- 운반차량 대기시간(12M당)'   T1 = 12  '분'</v>
      </c>
      <c r="AA564" s="39" t="s">
        <v>4528</v>
      </c>
      <c r="AB564" s="6">
        <v>12</v>
      </c>
      <c r="AC564" s="39" t="s">
        <v>4528</v>
      </c>
      <c r="AD564" s="7">
        <f>$AB564</f>
        <v>12</v>
      </c>
    </row>
    <row r="565" spans="1:34" ht="18.399999999999999" customHeight="1">
      <c r="A565" s="41" t="s">
        <v>6232</v>
      </c>
      <c r="B565" s="37"/>
      <c r="C565" s="37"/>
      <c r="D565" s="37"/>
      <c r="E565" s="37"/>
      <c r="F565" s="45"/>
      <c r="K565" s="3" t="s">
        <v>6232</v>
      </c>
    </row>
    <row r="566" spans="1:34" ht="18.399999999999999" customHeight="1">
      <c r="A566" s="41" t="s">
        <v>4838</v>
      </c>
      <c r="B566" s="37"/>
      <c r="C566" s="37"/>
      <c r="D566" s="37"/>
      <c r="E566" s="37"/>
      <c r="F566" s="45"/>
      <c r="K566" s="3" t="s">
        <v>6093</v>
      </c>
    </row>
    <row r="567" spans="1:34" ht="18.399999999999999" customHeight="1">
      <c r="A567" s="41" t="s">
        <v>6232</v>
      </c>
      <c r="B567" s="37"/>
      <c r="C567" s="37"/>
      <c r="D567" s="37"/>
      <c r="E567" s="37"/>
      <c r="F567" s="45"/>
      <c r="K567" s="3" t="s">
        <v>6232</v>
      </c>
    </row>
    <row r="568" spans="1:34" ht="18.399999999999999" customHeight="1">
      <c r="A568" s="42" t="str">
        <f>CONCATENATE("    T2 = (L / V * 2 * 60 + 20) / Q = ",TEXT($AF568,"#,##0.00")," 분 ")</f>
        <v xml:space="preserve">    T2 = (L / V * 2 * 60 + 20) / Q = 4.00 분 </v>
      </c>
      <c r="B568" s="37">
        <f>SUM($C568,$D568,$E568)</f>
        <v>0</v>
      </c>
      <c r="C568" s="37"/>
      <c r="D568" s="37"/>
      <c r="E568" s="37"/>
      <c r="F568" s="45"/>
      <c r="K568" s="3" t="s">
        <v>3353</v>
      </c>
      <c r="AA568" s="39" t="s">
        <v>5897</v>
      </c>
      <c r="AB568" s="8">
        <f>ROUND(($AD541/$AD543*2*60+20)/$AD562,2)</f>
        <v>4</v>
      </c>
      <c r="AC568" s="39" t="s">
        <v>2053</v>
      </c>
      <c r="AD568" s="7">
        <f>$AB568</f>
        <v>4</v>
      </c>
      <c r="AE568" s="39" t="s">
        <v>4877</v>
      </c>
      <c r="AF568" s="8">
        <f>ROUND(ROUND(($AD541/$AD543*2*60+20)/$AD562,2),2)</f>
        <v>4</v>
      </c>
      <c r="AG568" s="39" t="s">
        <v>2956</v>
      </c>
      <c r="AH568" s="7">
        <f>$AF568</f>
        <v>4</v>
      </c>
    </row>
    <row r="569" spans="1:34" ht="18.399999999999999" customHeight="1">
      <c r="A569" s="41" t="s">
        <v>6232</v>
      </c>
      <c r="B569" s="37"/>
      <c r="C569" s="37"/>
      <c r="D569" s="37"/>
      <c r="E569" s="37"/>
      <c r="F569" s="45"/>
      <c r="K569" s="3" t="s">
        <v>6232</v>
      </c>
    </row>
    <row r="570" spans="1:34" ht="18.399999999999999" customHeight="1">
      <c r="A570" s="41" t="s">
        <v>2391</v>
      </c>
      <c r="B570" s="37"/>
      <c r="C570" s="37"/>
      <c r="D570" s="37"/>
      <c r="E570" s="37"/>
      <c r="F570" s="45"/>
      <c r="K570" s="3" t="s">
        <v>4710</v>
      </c>
    </row>
    <row r="571" spans="1:34" ht="18.399999999999999" customHeight="1">
      <c r="A571" s="41" t="s">
        <v>6232</v>
      </c>
      <c r="B571" s="37"/>
      <c r="C571" s="37"/>
      <c r="D571" s="37"/>
      <c r="E571" s="37"/>
      <c r="F571" s="45"/>
      <c r="K571" s="3" t="s">
        <v>6232</v>
      </c>
    </row>
    <row r="572" spans="1:34" ht="18.399999999999999" customHeight="1">
      <c r="A572" s="42" t="str">
        <f>CONCATENATE("    CM = T1 + T2 = ",TEXT($AF572,"#,##0.00")," 분 ")</f>
        <v xml:space="preserve">    CM = T1 + T2 = 16.00 분 </v>
      </c>
      <c r="B572" s="37">
        <f>SUM($C572,$D572,$E572)</f>
        <v>0</v>
      </c>
      <c r="C572" s="37"/>
      <c r="D572" s="37"/>
      <c r="E572" s="37"/>
      <c r="F572" s="45"/>
      <c r="K572" s="3" t="s">
        <v>6049</v>
      </c>
      <c r="AA572" s="39" t="s">
        <v>5026</v>
      </c>
      <c r="AB572" s="8">
        <f>ROUND($AD564+$AD568,2)</f>
        <v>16</v>
      </c>
      <c r="AC572" s="39" t="s">
        <v>289</v>
      </c>
      <c r="AD572" s="7">
        <f>$AB572</f>
        <v>16</v>
      </c>
      <c r="AE572" s="39" t="s">
        <v>2548</v>
      </c>
      <c r="AF572" s="8">
        <f>ROUND(ROUND($AD564+$AD568,2),2)</f>
        <v>16</v>
      </c>
      <c r="AG572" s="39" t="s">
        <v>5834</v>
      </c>
      <c r="AH572" s="7">
        <f>$AF572</f>
        <v>16</v>
      </c>
    </row>
    <row r="573" spans="1:34" ht="18.399999999999999" customHeight="1">
      <c r="A573" s="41" t="s">
        <v>6232</v>
      </c>
      <c r="B573" s="37"/>
      <c r="C573" s="37"/>
      <c r="D573" s="37"/>
      <c r="E573" s="37"/>
      <c r="F573" s="45"/>
      <c r="K573" s="3" t="s">
        <v>6232</v>
      </c>
    </row>
    <row r="574" spans="1:34" ht="18.399999999999999" customHeight="1">
      <c r="A574" s="41" t="s">
        <v>5848</v>
      </c>
      <c r="B574" s="37"/>
      <c r="C574" s="37"/>
      <c r="D574" s="37"/>
      <c r="E574" s="37"/>
      <c r="F574" s="45"/>
      <c r="K574" s="3" t="s">
        <v>788</v>
      </c>
    </row>
    <row r="575" spans="1:34" ht="18.399999999999999" customHeight="1">
      <c r="A575" s="41" t="s">
        <v>6232</v>
      </c>
      <c r="B575" s="37"/>
      <c r="C575" s="37"/>
      <c r="D575" s="37"/>
      <c r="E575" s="37"/>
      <c r="F575" s="45"/>
      <c r="K575" s="3" t="s">
        <v>6232</v>
      </c>
    </row>
    <row r="576" spans="1:34" ht="18.399999999999999" customHeight="1">
      <c r="A576" s="42" t="str">
        <f>CONCATENATE("    Qo = T2 / CM = ",TEXT($AF576,"#,##0.00")," 분 ")</f>
        <v xml:space="preserve">    Qo = T2 / CM = 0.25 분 </v>
      </c>
      <c r="B576" s="37">
        <f>SUM($C576,$D576,$E576)</f>
        <v>0</v>
      </c>
      <c r="C576" s="37"/>
      <c r="D576" s="37"/>
      <c r="E576" s="37"/>
      <c r="F576" s="45"/>
      <c r="K576" s="3" t="s">
        <v>882</v>
      </c>
      <c r="AA576" s="39" t="s">
        <v>1501</v>
      </c>
      <c r="AB576" s="8">
        <f>ROUND($AD568/$AD572,2)</f>
        <v>0.25</v>
      </c>
      <c r="AC576" s="39" t="s">
        <v>2425</v>
      </c>
      <c r="AD576" s="7">
        <f>$AB576</f>
        <v>0.25</v>
      </c>
      <c r="AE576" s="39" t="s">
        <v>2465</v>
      </c>
      <c r="AF576" s="8">
        <f>ROUND(ROUND($AD568/$AD572,2),2)</f>
        <v>0.25</v>
      </c>
      <c r="AG576" s="39" t="s">
        <v>232</v>
      </c>
      <c r="AH576" s="7">
        <f>$AF576</f>
        <v>0.25</v>
      </c>
    </row>
    <row r="577" spans="1:30" ht="18.399999999999999" customHeight="1">
      <c r="A577" s="41" t="s">
        <v>6232</v>
      </c>
      <c r="B577" s="37"/>
      <c r="C577" s="37"/>
      <c r="D577" s="37"/>
      <c r="E577" s="37"/>
      <c r="F577" s="45"/>
      <c r="K577" s="3" t="s">
        <v>6232</v>
      </c>
    </row>
    <row r="578" spans="1:30" ht="18.399999999999999" customHeight="1">
      <c r="A578" s="41" t="s">
        <v>1042</v>
      </c>
      <c r="B578" s="37"/>
      <c r="C578" s="37"/>
      <c r="D578" s="37"/>
      <c r="E578" s="37"/>
      <c r="F578" s="45"/>
      <c r="K578" s="3" t="s">
        <v>1008</v>
      </c>
    </row>
    <row r="579" spans="1:30" ht="18.399999999999999" customHeight="1">
      <c r="A579" s="41" t="s">
        <v>6232</v>
      </c>
      <c r="B579" s="37"/>
      <c r="C579" s="37"/>
      <c r="D579" s="37"/>
      <c r="E579" s="37"/>
      <c r="F579" s="45"/>
      <c r="K579" s="3" t="s">
        <v>6232</v>
      </c>
    </row>
    <row r="580" spans="1:30" ht="18.399999999999999" customHeight="1">
      <c r="A580" s="42" t="str">
        <f>CONCATENATE("      보통인부 :  2.0 인  * _x001D_169,804_x001D_ * (CM + 6 ) / 60 / 8 = ",TEXT($AB580,"#,##0.0"))</f>
        <v xml:space="preserve">      보통인부 :  2.0 인  * _x001D_169,804_x001D_ * (CM + 6 ) / 60 / 8 = 15,772.9</v>
      </c>
      <c r="B580" s="37">
        <f>SUM($C580,$D580,$E580)</f>
        <v>15772.9</v>
      </c>
      <c r="C580" s="37"/>
      <c r="D580" s="37">
        <f>$AB580</f>
        <v>15772.9</v>
      </c>
      <c r="E580" s="37"/>
      <c r="F580" s="45" t="s">
        <v>6232</v>
      </c>
      <c r="K580" s="3" t="s">
        <v>3933</v>
      </c>
      <c r="AA580" s="40" t="s">
        <v>5305</v>
      </c>
      <c r="AB580" s="8">
        <f>TRUNC(2*노임!D3*($AD572+6)/60/8,1)</f>
        <v>15772.9</v>
      </c>
      <c r="AC580" s="40" t="s">
        <v>5439</v>
      </c>
      <c r="AD580" s="7">
        <f>$AH544+$AB580</f>
        <v>15772.9</v>
      </c>
    </row>
    <row r="581" spans="1:30" ht="18.399999999999999" customHeight="1">
      <c r="A581" s="41" t="s">
        <v>6232</v>
      </c>
      <c r="B581" s="37"/>
      <c r="C581" s="37"/>
      <c r="D581" s="37"/>
      <c r="E581" s="37"/>
      <c r="F581" s="45"/>
      <c r="K581" s="3" t="s">
        <v>6232</v>
      </c>
    </row>
    <row r="582" spans="1:30" ht="18.399999999999999" customHeight="1">
      <c r="A582" s="41" t="s">
        <v>5801</v>
      </c>
      <c r="B582" s="37"/>
      <c r="C582" s="37"/>
      <c r="D582" s="37"/>
      <c r="E582" s="37"/>
      <c r="F582" s="45"/>
      <c r="K582" s="3" t="s">
        <v>775</v>
      </c>
    </row>
    <row r="583" spans="1:30" ht="18.399999999999999" customHeight="1">
      <c r="A583" s="41" t="s">
        <v>6232</v>
      </c>
      <c r="B583" s="37"/>
      <c r="C583" s="37"/>
      <c r="D583" s="37"/>
      <c r="E583" s="37"/>
      <c r="F583" s="45"/>
      <c r="K583" s="3" t="s">
        <v>6232</v>
      </c>
    </row>
    <row r="584" spans="1:30" ht="18.399999999999999" customHeight="1">
      <c r="A584" s="41" t="s">
        <v>2913</v>
      </c>
      <c r="B584" s="37"/>
      <c r="C584" s="37"/>
      <c r="D584" s="37"/>
      <c r="E584" s="37"/>
      <c r="F584" s="45"/>
      <c r="K584" s="3" t="s">
        <v>2204</v>
      </c>
    </row>
    <row r="585" spans="1:30" ht="18.399999999999999" customHeight="1">
      <c r="A585" s="41" t="s">
        <v>6232</v>
      </c>
      <c r="B585" s="37"/>
      <c r="C585" s="37"/>
      <c r="D585" s="37"/>
      <c r="E585" s="37"/>
      <c r="F585" s="45"/>
      <c r="K585" s="3" t="s">
        <v>6232</v>
      </c>
    </row>
    <row r="586" spans="1:30" ht="18.399999999999999" customHeight="1">
      <c r="A586" s="42" t="str">
        <f>CONCATENATE("     재료비:  _x001D_10,105_x001D_ * 18 / 60 = ",TEXT($AB586,"#,##0.0"))</f>
        <v xml:space="preserve">     재료비:  _x001D_10,105_x001D_ * 18 / 60 = 0.0</v>
      </c>
      <c r="B586" s="37">
        <f>SUM($C586,$D586,$E586)</f>
        <v>0</v>
      </c>
      <c r="C586" s="37">
        <f>$AB586</f>
        <v>0</v>
      </c>
      <c r="D586" s="37"/>
      <c r="E586" s="37"/>
      <c r="F586" s="45" t="s">
        <v>6232</v>
      </c>
      <c r="K586" s="3" t="s">
        <v>5894</v>
      </c>
      <c r="AA586" s="40" t="s">
        <v>2660</v>
      </c>
      <c r="AB586" s="8">
        <f>TRUNC(중기사용료목록!E5*18/60,1)</f>
        <v>0</v>
      </c>
      <c r="AC586" s="40" t="s">
        <v>1650</v>
      </c>
      <c r="AD586" s="7">
        <f>$AD544+$AB586</f>
        <v>0</v>
      </c>
    </row>
    <row r="587" spans="1:30" ht="18.399999999999999" customHeight="1">
      <c r="A587" s="41" t="s">
        <v>6232</v>
      </c>
      <c r="B587" s="37"/>
      <c r="C587" s="37"/>
      <c r="D587" s="37"/>
      <c r="E587" s="37"/>
      <c r="F587" s="45"/>
      <c r="K587" s="3" t="s">
        <v>6232</v>
      </c>
    </row>
    <row r="588" spans="1:30" ht="18.399999999999999" customHeight="1">
      <c r="A588" s="42" t="str">
        <f>CONCATENATE("     노무비:  _x001D_57,077_x001D_ * 18 / 60 = ",TEXT($AB588,"#,##0.0"))</f>
        <v xml:space="preserve">     노무비:  _x001D_57,077_x001D_ * 18 / 60 = 0.0</v>
      </c>
      <c r="B588" s="37">
        <f>SUM($C588,$D588,$E588)</f>
        <v>0</v>
      </c>
      <c r="C588" s="37"/>
      <c r="D588" s="37">
        <f>$AB588</f>
        <v>0</v>
      </c>
      <c r="E588" s="37"/>
      <c r="F588" s="45" t="s">
        <v>6232</v>
      </c>
      <c r="K588" s="3" t="s">
        <v>1213</v>
      </c>
      <c r="AA588" s="40" t="s">
        <v>5305</v>
      </c>
      <c r="AB588" s="8">
        <f>TRUNC(중기사용료목록!F5*18/60,1)</f>
        <v>0</v>
      </c>
      <c r="AC588" s="40" t="s">
        <v>5439</v>
      </c>
      <c r="AD588" s="7">
        <f>$AD580+$AB588</f>
        <v>15772.9</v>
      </c>
    </row>
    <row r="589" spans="1:30" ht="18.399999999999999" customHeight="1">
      <c r="A589" s="41" t="s">
        <v>6232</v>
      </c>
      <c r="B589" s="37"/>
      <c r="C589" s="37"/>
      <c r="D589" s="37"/>
      <c r="E589" s="37"/>
      <c r="F589" s="45"/>
      <c r="K589" s="3" t="s">
        <v>6232</v>
      </c>
    </row>
    <row r="590" spans="1:30" ht="18.399999999999999" customHeight="1">
      <c r="A590" s="42" t="str">
        <f>CONCATENATE("     경  비:  _x001D_52,687_x001D_ * 18 / 60 = ",TEXT($AB590,"#,##0.0"))</f>
        <v xml:space="preserve">     경  비:  _x001D_52,687_x001D_ * 18 / 60 = 36,875.1</v>
      </c>
      <c r="B590" s="37">
        <f>SUM($C590,$D590,$E590)</f>
        <v>36875.1</v>
      </c>
      <c r="C590" s="37"/>
      <c r="D590" s="37"/>
      <c r="E590" s="37">
        <f>$AB590</f>
        <v>36875.1</v>
      </c>
      <c r="F590" s="45" t="s">
        <v>6232</v>
      </c>
      <c r="K590" s="3" t="s">
        <v>1534</v>
      </c>
      <c r="AA590" s="40" t="s">
        <v>3519</v>
      </c>
      <c r="AB590" s="8">
        <f>TRUNC(중기사용료목록!G5*18/60,1)</f>
        <v>36875.1</v>
      </c>
      <c r="AC590" s="40" t="s">
        <v>4149</v>
      </c>
      <c r="AD590" s="7">
        <f>$AL544+$AB590</f>
        <v>36875.1</v>
      </c>
    </row>
    <row r="591" spans="1:30" ht="18.399999999999999" customHeight="1">
      <c r="A591" s="41" t="s">
        <v>6232</v>
      </c>
      <c r="B591" s="37"/>
      <c r="C591" s="37"/>
      <c r="D591" s="37"/>
      <c r="E591" s="37"/>
      <c r="F591" s="45"/>
      <c r="K591" s="3" t="s">
        <v>6232</v>
      </c>
    </row>
    <row r="592" spans="1:30" ht="18.399999999999999" customHeight="1">
      <c r="A592" s="41" t="s">
        <v>1530</v>
      </c>
      <c r="B592" s="37"/>
      <c r="C592" s="37"/>
      <c r="D592" s="37"/>
      <c r="E592" s="37"/>
      <c r="F592" s="45"/>
      <c r="K592" s="3" t="s">
        <v>2021</v>
      </c>
    </row>
    <row r="593" spans="1:38" ht="18.399999999999999" customHeight="1">
      <c r="A593" s="41" t="s">
        <v>6232</v>
      </c>
      <c r="B593" s="37"/>
      <c r="C593" s="37"/>
      <c r="D593" s="37"/>
      <c r="E593" s="37"/>
      <c r="F593" s="45"/>
      <c r="K593" s="3" t="s">
        <v>6232</v>
      </c>
    </row>
    <row r="594" spans="1:38" ht="18.399999999999999" customHeight="1">
      <c r="A594" s="42" t="str">
        <f>CONCATENATE("     재료비:  _x001D_30,878_x001D_ * CM / 60 * Qo = ",TEXT($AB594,"#,##0.0"))</f>
        <v xml:space="preserve">     재료비:  _x001D_30,878_x001D_ * CM / 60 * Qo = 0.0</v>
      </c>
      <c r="B594" s="37">
        <f>SUM($C594,$D594,$E594)</f>
        <v>0</v>
      </c>
      <c r="C594" s="37">
        <f>$AB594</f>
        <v>0</v>
      </c>
      <c r="D594" s="37"/>
      <c r="E594" s="37"/>
      <c r="F594" s="45" t="s">
        <v>6232</v>
      </c>
      <c r="K594" s="3" t="s">
        <v>4711</v>
      </c>
      <c r="AA594" s="40" t="s">
        <v>2660</v>
      </c>
      <c r="AB594" s="8">
        <f>TRUNC(중기사용료목록!E7*$AD572/60*$AD576,1)</f>
        <v>0</v>
      </c>
      <c r="AC594" s="40" t="s">
        <v>1650</v>
      </c>
      <c r="AD594" s="7">
        <f>$AD586+$AB594</f>
        <v>0</v>
      </c>
    </row>
    <row r="595" spans="1:38" ht="18.399999999999999" customHeight="1">
      <c r="A595" s="41" t="s">
        <v>6232</v>
      </c>
      <c r="B595" s="37"/>
      <c r="C595" s="37"/>
      <c r="D595" s="37"/>
      <c r="E595" s="37"/>
      <c r="F595" s="45"/>
      <c r="K595" s="3" t="s">
        <v>6232</v>
      </c>
    </row>
    <row r="596" spans="1:38" ht="18.399999999999999" customHeight="1">
      <c r="A596" s="42" t="str">
        <f>CONCATENATE("     노무비:  _x001D_57,077_x001D_ * CM / 60 = ",TEXT($AB596,"#,##0.0"))</f>
        <v xml:space="preserve">     노무비:  _x001D_57,077_x001D_ * CM / 60 = 0.0</v>
      </c>
      <c r="B596" s="37">
        <f>SUM($C596,$D596,$E596)</f>
        <v>0</v>
      </c>
      <c r="C596" s="37"/>
      <c r="D596" s="37">
        <f>$AB596</f>
        <v>0</v>
      </c>
      <c r="E596" s="37"/>
      <c r="F596" s="45" t="s">
        <v>6232</v>
      </c>
      <c r="K596" s="3" t="s">
        <v>3619</v>
      </c>
      <c r="AA596" s="40" t="s">
        <v>5305</v>
      </c>
      <c r="AB596" s="8">
        <f>TRUNC(중기사용료목록!F7*$AD572/60,1)</f>
        <v>0</v>
      </c>
      <c r="AC596" s="40" t="s">
        <v>5439</v>
      </c>
      <c r="AD596" s="7">
        <f>$AD588+$AB596</f>
        <v>15772.9</v>
      </c>
    </row>
    <row r="597" spans="1:38" ht="18.399999999999999" customHeight="1">
      <c r="A597" s="41" t="s">
        <v>6232</v>
      </c>
      <c r="B597" s="37"/>
      <c r="C597" s="37"/>
      <c r="D597" s="37"/>
      <c r="E597" s="37"/>
      <c r="F597" s="45"/>
      <c r="K597" s="3" t="s">
        <v>6232</v>
      </c>
    </row>
    <row r="598" spans="1:38" ht="18.399999999999999" customHeight="1">
      <c r="A598" s="42" t="str">
        <f>CONCATENATE("     경  비:  _x001D_16,873_x001D_ * CM / 60 = ",TEXT($AB598,"#,##0.0"))</f>
        <v xml:space="preserve">     경  비:  _x001D_16,873_x001D_ * CM / 60 = 29,769.3</v>
      </c>
      <c r="B598" s="37">
        <f>SUM($C598,$D598,$E598)</f>
        <v>29769.3</v>
      </c>
      <c r="C598" s="37"/>
      <c r="D598" s="37"/>
      <c r="E598" s="37">
        <f>$AB598</f>
        <v>29769.3</v>
      </c>
      <c r="F598" s="45" t="s">
        <v>6232</v>
      </c>
      <c r="K598" s="3" t="s">
        <v>5622</v>
      </c>
      <c r="AA598" s="40" t="s">
        <v>3519</v>
      </c>
      <c r="AB598" s="8">
        <f>TRUNC(중기사용료목록!G7*$AD572/60,1)</f>
        <v>29769.3</v>
      </c>
      <c r="AC598" s="40" t="s">
        <v>4149</v>
      </c>
      <c r="AD598" s="7">
        <f>$AD590+$AB598</f>
        <v>66644.399999999994</v>
      </c>
    </row>
    <row r="599" spans="1:38" ht="18.399999999999999" customHeight="1">
      <c r="A599" s="41" t="s">
        <v>6232</v>
      </c>
      <c r="B599" s="37"/>
      <c r="C599" s="37"/>
      <c r="D599" s="37"/>
      <c r="E599" s="37"/>
      <c r="F599" s="45"/>
      <c r="K599" s="3" t="s">
        <v>6232</v>
      </c>
    </row>
    <row r="600" spans="1:38" ht="18.399999999999999" customHeight="1">
      <c r="A600" s="41" t="s">
        <v>4035</v>
      </c>
      <c r="B600" s="37">
        <v>73304.399999999994</v>
      </c>
      <c r="C600" s="37">
        <v>5090</v>
      </c>
      <c r="D600" s="37">
        <v>47908.9</v>
      </c>
      <c r="E600" s="37">
        <v>20305.5</v>
      </c>
      <c r="F600" s="45"/>
      <c r="K600" s="3" t="s">
        <v>6070</v>
      </c>
    </row>
    <row r="601" spans="1:38" ht="18.399999999999999" customHeight="1">
      <c r="A601" s="41" t="s">
        <v>6232</v>
      </c>
      <c r="B601" s="37">
        <f>SUM($C601,$D601,$E601)</f>
        <v>0</v>
      </c>
      <c r="C601" s="37">
        <f>$AB601</f>
        <v>0</v>
      </c>
      <c r="D601" s="37">
        <f>$AF601</f>
        <v>0</v>
      </c>
      <c r="E601" s="37">
        <f>$AJ601</f>
        <v>0</v>
      </c>
      <c r="F601" s="45"/>
      <c r="K601" s="3" t="s">
        <v>5506</v>
      </c>
      <c r="AA601" s="40" t="s">
        <v>4586</v>
      </c>
      <c r="AB601" s="8">
        <f>ROUND(0,2)</f>
        <v>0</v>
      </c>
      <c r="AC601" s="40" t="s">
        <v>4161</v>
      </c>
      <c r="AD601" s="7">
        <f>$AB601</f>
        <v>0</v>
      </c>
      <c r="AE601" s="40" t="s">
        <v>222</v>
      </c>
      <c r="AF601" s="8">
        <f>ROUND(0,2)</f>
        <v>0</v>
      </c>
      <c r="AG601" s="40" t="s">
        <v>334</v>
      </c>
      <c r="AH601" s="7">
        <f>$AF601</f>
        <v>0</v>
      </c>
      <c r="AI601" s="40" t="s">
        <v>1574</v>
      </c>
      <c r="AJ601" s="8">
        <f>ROUND(0,2)</f>
        <v>0</v>
      </c>
      <c r="AK601" s="40" t="s">
        <v>1622</v>
      </c>
      <c r="AL601" s="7">
        <f>$AJ601</f>
        <v>0</v>
      </c>
    </row>
    <row r="602" spans="1:38" ht="18.399999999999999" customHeight="1">
      <c r="A602" s="41" t="s">
        <v>6073</v>
      </c>
      <c r="B602" s="37">
        <f>SUM($C602,$D602,$E602)</f>
        <v>6868.1</v>
      </c>
      <c r="C602" s="37">
        <f>$AB602</f>
        <v>0</v>
      </c>
      <c r="D602" s="37">
        <f>$AF602</f>
        <v>1314.4</v>
      </c>
      <c r="E602" s="37">
        <f>$AJ602</f>
        <v>5553.7</v>
      </c>
      <c r="F602" s="45"/>
      <c r="K602" s="3" t="s">
        <v>4286</v>
      </c>
      <c r="AA602" s="40" t="s">
        <v>4586</v>
      </c>
      <c r="AB602" s="8">
        <f>TRUNC($AD594/12,1)</f>
        <v>0</v>
      </c>
      <c r="AC602" s="40" t="s">
        <v>4161</v>
      </c>
      <c r="AD602" s="7">
        <f>$AB602</f>
        <v>0</v>
      </c>
      <c r="AE602" s="40" t="s">
        <v>222</v>
      </c>
      <c r="AF602" s="8">
        <f>TRUNC($AD596/12,1)</f>
        <v>1314.4</v>
      </c>
      <c r="AG602" s="40" t="s">
        <v>334</v>
      </c>
      <c r="AH602" s="7">
        <f>$AF602</f>
        <v>1314.4</v>
      </c>
      <c r="AI602" s="40" t="s">
        <v>1574</v>
      </c>
      <c r="AJ602" s="8">
        <f>TRUNC($AD598/12,1)</f>
        <v>5553.7</v>
      </c>
      <c r="AK602" s="40" t="s">
        <v>1622</v>
      </c>
      <c r="AL602" s="7">
        <f>$AJ602</f>
        <v>5553.7</v>
      </c>
    </row>
    <row r="603" spans="1:38" ht="18.399999999999999" customHeight="1">
      <c r="A603" s="41" t="s">
        <v>6232</v>
      </c>
      <c r="B603" s="37"/>
      <c r="C603" s="37"/>
      <c r="D603" s="37"/>
      <c r="E603" s="37"/>
      <c r="F603" s="45"/>
      <c r="K603" s="3" t="s">
        <v>6232</v>
      </c>
    </row>
    <row r="604" spans="1:38" ht="18.399999999999999" customHeight="1">
      <c r="A604" s="41" t="s">
        <v>3436</v>
      </c>
      <c r="B604" s="37">
        <v>6108.6</v>
      </c>
      <c r="C604" s="37">
        <v>424.1</v>
      </c>
      <c r="D604" s="37">
        <v>3992.4</v>
      </c>
      <c r="E604" s="37">
        <v>1692.1</v>
      </c>
      <c r="F604" s="45"/>
      <c r="K604" s="3" t="s">
        <v>1342</v>
      </c>
    </row>
    <row r="605" spans="1:38" ht="18.399999999999999" customHeight="1">
      <c r="A605" s="41" t="s">
        <v>6232</v>
      </c>
      <c r="B605" s="37">
        <f>SUM($C605,$D605,$E605)</f>
        <v>0</v>
      </c>
      <c r="C605" s="37">
        <f>$AB605</f>
        <v>0</v>
      </c>
      <c r="D605" s="37">
        <f>$AF605</f>
        <v>0</v>
      </c>
      <c r="E605" s="37">
        <f>$AJ605</f>
        <v>0</v>
      </c>
      <c r="F605" s="45"/>
      <c r="K605" s="3" t="s">
        <v>3238</v>
      </c>
      <c r="AA605" s="40" t="s">
        <v>308</v>
      </c>
      <c r="AB605" s="8">
        <f>ROUND(0,2)</f>
        <v>0</v>
      </c>
      <c r="AC605" s="40" t="s">
        <v>5000</v>
      </c>
      <c r="AD605" s="7">
        <f>$AB605</f>
        <v>0</v>
      </c>
      <c r="AE605" s="40" t="s">
        <v>4500</v>
      </c>
      <c r="AF605" s="8">
        <f>ROUND(0,2)</f>
        <v>0</v>
      </c>
      <c r="AG605" s="40" t="s">
        <v>2603</v>
      </c>
      <c r="AH605" s="7">
        <f>$AF605</f>
        <v>0</v>
      </c>
      <c r="AI605" s="40" t="s">
        <v>5878</v>
      </c>
      <c r="AJ605" s="8">
        <f>ROUND(0,2)</f>
        <v>0</v>
      </c>
      <c r="AK605" s="40" t="s">
        <v>787</v>
      </c>
      <c r="AL605" s="7">
        <f>$AJ605</f>
        <v>0</v>
      </c>
    </row>
    <row r="606" spans="1:38" ht="18.399999999999999" customHeight="1">
      <c r="A606" s="41" t="s">
        <v>729</v>
      </c>
      <c r="B606" s="37">
        <f>SUM($C606,$D606,$E606)</f>
        <v>7534.2</v>
      </c>
      <c r="C606" s="37">
        <f>$AB606</f>
        <v>0</v>
      </c>
      <c r="D606" s="37">
        <f>$AF606</f>
        <v>1441.8</v>
      </c>
      <c r="E606" s="37">
        <f>$AJ606</f>
        <v>6092.4</v>
      </c>
      <c r="F606" s="45"/>
      <c r="K606" s="3" t="s">
        <v>2347</v>
      </c>
      <c r="AA606" s="40" t="s">
        <v>308</v>
      </c>
      <c r="AB606" s="8">
        <f>TRUNC($AD602*1.097,1)</f>
        <v>0</v>
      </c>
      <c r="AC606" s="40" t="s">
        <v>5000</v>
      </c>
      <c r="AD606" s="7">
        <f>$AB606</f>
        <v>0</v>
      </c>
      <c r="AE606" s="40" t="s">
        <v>4500</v>
      </c>
      <c r="AF606" s="8">
        <f>TRUNC($AH602*1.097,1)</f>
        <v>1441.8</v>
      </c>
      <c r="AG606" s="40" t="s">
        <v>2603</v>
      </c>
      <c r="AH606" s="7">
        <f>$AF606</f>
        <v>1441.8</v>
      </c>
      <c r="AI606" s="40" t="s">
        <v>5878</v>
      </c>
      <c r="AJ606" s="8">
        <f>TRUNC($AL602*1.097,1)</f>
        <v>6092.4</v>
      </c>
      <c r="AK606" s="40" t="s">
        <v>787</v>
      </c>
      <c r="AL606" s="7">
        <f>$AJ606</f>
        <v>6092.4</v>
      </c>
    </row>
    <row r="607" spans="1:38" ht="18.399999999999999" customHeight="1">
      <c r="A607" s="41" t="s">
        <v>6232</v>
      </c>
      <c r="B607" s="37"/>
      <c r="C607" s="37"/>
      <c r="D607" s="37"/>
      <c r="E607" s="37"/>
      <c r="F607" s="45"/>
      <c r="K607" s="3" t="s">
        <v>6232</v>
      </c>
    </row>
    <row r="608" spans="1:38" ht="18.399999999999999" customHeight="1">
      <c r="A608" s="41" t="s">
        <v>3436</v>
      </c>
      <c r="B608" s="37">
        <f>SUM($C608,$D608,$E608)</f>
        <v>7534.2</v>
      </c>
      <c r="C608" s="37">
        <f>$AB608</f>
        <v>0</v>
      </c>
      <c r="D608" s="37">
        <f>$AF608</f>
        <v>1441.8</v>
      </c>
      <c r="E608" s="37">
        <f>$AJ608</f>
        <v>6092.4</v>
      </c>
      <c r="F608" s="45"/>
      <c r="K608" s="3" t="s">
        <v>4527</v>
      </c>
      <c r="AA608" s="40" t="s">
        <v>4592</v>
      </c>
      <c r="AB608" s="8">
        <f>TRUNC($AD606,1)</f>
        <v>0</v>
      </c>
      <c r="AC608" s="40" t="s">
        <v>5149</v>
      </c>
      <c r="AD608" s="7">
        <f>$AB608</f>
        <v>0</v>
      </c>
      <c r="AE608" s="40" t="s">
        <v>666</v>
      </c>
      <c r="AF608" s="8">
        <f>TRUNC($AH606,1)</f>
        <v>1441.8</v>
      </c>
      <c r="AG608" s="40" t="s">
        <v>2431</v>
      </c>
      <c r="AH608" s="7">
        <f>$AF608</f>
        <v>1441.8</v>
      </c>
      <c r="AI608" s="40" t="s">
        <v>1930</v>
      </c>
      <c r="AJ608" s="8">
        <f>TRUNC($AL606,1)</f>
        <v>6092.4</v>
      </c>
      <c r="AK608" s="40" t="s">
        <v>3349</v>
      </c>
      <c r="AL608" s="7">
        <f>$AJ608</f>
        <v>6092.4</v>
      </c>
    </row>
    <row r="609" spans="1:38" ht="18.399999999999999" customHeight="1">
      <c r="A609" s="41"/>
      <c r="B609" s="3"/>
      <c r="C609" s="3"/>
      <c r="D609" s="3"/>
      <c r="E609" s="3"/>
      <c r="F609" s="44"/>
    </row>
    <row r="610" spans="1:38" ht="18.399999999999999" customHeight="1">
      <c r="A610" s="43" t="s">
        <v>3543</v>
      </c>
      <c r="B610" s="38">
        <f>SUM($C610,$D610,$E610)</f>
        <v>7533</v>
      </c>
      <c r="C610" s="38">
        <f>TRUNC(SUM($AD608),0)</f>
        <v>0</v>
      </c>
      <c r="D610" s="38">
        <f>TRUNC(SUM($AH608),0)</f>
        <v>1441</v>
      </c>
      <c r="E610" s="38">
        <f>TRUNC(SUM($AL608),0)</f>
        <v>6092</v>
      </c>
      <c r="F610" s="46"/>
    </row>
    <row r="611" spans="1:38" ht="18.399999999999999" customHeight="1">
      <c r="A611" s="41"/>
      <c r="B611" s="3"/>
      <c r="C611" s="3"/>
      <c r="D611" s="3"/>
      <c r="E611" s="3"/>
      <c r="F611" s="44"/>
    </row>
    <row r="612" spans="1:38" ht="18.399999999999999" customHeight="1">
      <c r="A612" s="41" t="s">
        <v>4588</v>
      </c>
      <c r="B612" s="36">
        <f>$B686</f>
        <v>4434</v>
      </c>
      <c r="C612" s="36">
        <f>$C686</f>
        <v>0</v>
      </c>
      <c r="D612" s="36">
        <f>$D686</f>
        <v>1048</v>
      </c>
      <c r="E612" s="36">
        <f>$E686</f>
        <v>3386</v>
      </c>
      <c r="F612" s="44" t="s">
        <v>3378</v>
      </c>
      <c r="G612" t="s">
        <v>6232</v>
      </c>
      <c r="H612" t="s">
        <v>1781</v>
      </c>
      <c r="K612">
        <v>1</v>
      </c>
      <c r="Y612" s="7" t="b">
        <f>EXACT($Z612,$B686)</f>
        <v>0</v>
      </c>
      <c r="Z612" s="38">
        <v>3992</v>
      </c>
    </row>
    <row r="613" spans="1:38" ht="18.399999999999999" customHeight="1">
      <c r="A613" s="41"/>
      <c r="B613" s="3"/>
      <c r="C613" s="3"/>
      <c r="D613" s="3"/>
      <c r="E613" s="3"/>
      <c r="F613" s="44"/>
    </row>
    <row r="614" spans="1:38" ht="18.399999999999999" customHeight="1">
      <c r="A614" s="41" t="s">
        <v>6232</v>
      </c>
      <c r="B614" s="3"/>
      <c r="C614" s="3"/>
      <c r="D614" s="3"/>
      <c r="E614" s="3"/>
      <c r="F614" s="44"/>
      <c r="G614" t="s">
        <v>6232</v>
      </c>
      <c r="I614" t="s">
        <v>742</v>
      </c>
      <c r="J614" t="s">
        <v>6232</v>
      </c>
      <c r="K614" t="s">
        <v>5235</v>
      </c>
    </row>
    <row r="615" spans="1:38" ht="18.399999999999999" customHeight="1">
      <c r="A615" s="41" t="s">
        <v>2130</v>
      </c>
      <c r="B615" s="37"/>
      <c r="C615" s="37"/>
      <c r="D615" s="37"/>
      <c r="E615" s="37"/>
      <c r="F615" s="45"/>
      <c r="K615" s="3" t="s">
        <v>1133</v>
      </c>
    </row>
    <row r="616" spans="1:38" ht="18.399999999999999" customHeight="1">
      <c r="A616" s="41" t="s">
        <v>6232</v>
      </c>
      <c r="B616" s="37"/>
      <c r="C616" s="37"/>
      <c r="D616" s="37"/>
      <c r="E616" s="37"/>
      <c r="F616" s="45"/>
      <c r="K616" s="3" t="s">
        <v>6232</v>
      </c>
    </row>
    <row r="617" spans="1:38" ht="18.399999999999999" customHeight="1">
      <c r="A617" s="42" t="str">
        <f>CONCATENATE("                L=",TEXT($AB617,"#,##0.0"),"   KM  실시공후 정산")</f>
        <v xml:space="preserve">                L=4.0   KM  실시공후 정산</v>
      </c>
      <c r="B617" s="37"/>
      <c r="C617" s="37"/>
      <c r="D617" s="37"/>
      <c r="E617" s="37"/>
      <c r="F617" s="45"/>
      <c r="K617" s="10" t="str">
        <f>SUBSTITUTE(SUBSTITUTE("                L = 4.0  _x001D_KM_x001D__x001D_실시공후 정산_x001D_","4.0",TEXT($AB617,"#,##0.0"),1),"_x001D_","'")</f>
        <v xml:space="preserve">                L = 4.0  'KM''실시공후 정산'</v>
      </c>
      <c r="AA617" s="39" t="s">
        <v>5842</v>
      </c>
      <c r="AB617" s="6">
        <v>4</v>
      </c>
      <c r="AC617" s="39" t="s">
        <v>5842</v>
      </c>
      <c r="AD617" s="7">
        <f>$AB617</f>
        <v>4</v>
      </c>
    </row>
    <row r="618" spans="1:38" ht="18.399999999999999" customHeight="1">
      <c r="A618" s="41" t="s">
        <v>6214</v>
      </c>
      <c r="B618" s="37"/>
      <c r="C618" s="37"/>
      <c r="D618" s="37"/>
      <c r="E618" s="37"/>
      <c r="F618" s="45"/>
      <c r="K618" s="3" t="s">
        <v>3965</v>
      </c>
    </row>
    <row r="619" spans="1:38" ht="18.399999999999999" customHeight="1">
      <c r="A619" s="42" t="str">
        <f>CONCATENATE("                V=",TEXT($AB619,"#,##0.0"),"  KM/hr")</f>
        <v xml:space="preserve">                V=30.0  KM/hr</v>
      </c>
      <c r="B619" s="37"/>
      <c r="C619" s="37"/>
      <c r="D619" s="37"/>
      <c r="E619" s="37"/>
      <c r="F619" s="45"/>
      <c r="K619" s="10" t="str">
        <f>SUBSTITUTE(SUBSTITUTE("                V = 30.0 _x001D_KM/hr_x001D_","30.0",TEXT($AB619,"#,##0.0"),1),"_x001D_","'")</f>
        <v xml:space="preserve">                V = 30.0 'KM/hr'</v>
      </c>
      <c r="AA619" s="39" t="s">
        <v>247</v>
      </c>
      <c r="AB619" s="6">
        <v>30</v>
      </c>
      <c r="AC619" s="39" t="s">
        <v>247</v>
      </c>
      <c r="AD619" s="7">
        <f>$AB619</f>
        <v>30</v>
      </c>
    </row>
    <row r="620" spans="1:38" ht="18.399999999999999" customHeight="1">
      <c r="A620" s="41" t="s">
        <v>6232</v>
      </c>
      <c r="B620" s="37">
        <f>SUM($C620,$D620,$E620)</f>
        <v>0</v>
      </c>
      <c r="C620" s="37">
        <f>$AB620</f>
        <v>0</v>
      </c>
      <c r="D620" s="37">
        <f>$AF620</f>
        <v>0</v>
      </c>
      <c r="E620" s="37">
        <f>$AJ620</f>
        <v>0</v>
      </c>
      <c r="F620" s="45"/>
      <c r="K620" s="3" t="s">
        <v>295</v>
      </c>
      <c r="AA620" s="40" t="s">
        <v>2660</v>
      </c>
      <c r="AB620" s="8">
        <f>ROUND(0,2)</f>
        <v>0</v>
      </c>
      <c r="AC620" s="40" t="s">
        <v>1650</v>
      </c>
      <c r="AD620" s="7">
        <f>$AB620</f>
        <v>0</v>
      </c>
      <c r="AE620" s="40" t="s">
        <v>5305</v>
      </c>
      <c r="AF620" s="8">
        <f>ROUND(0,2)</f>
        <v>0</v>
      </c>
      <c r="AG620" s="40" t="s">
        <v>5439</v>
      </c>
      <c r="AH620" s="7">
        <f>$AF620</f>
        <v>0</v>
      </c>
      <c r="AI620" s="40" t="s">
        <v>3519</v>
      </c>
      <c r="AJ620" s="8">
        <f>ROUND(0,2)</f>
        <v>0</v>
      </c>
      <c r="AK620" s="40" t="s">
        <v>4149</v>
      </c>
      <c r="AL620" s="7">
        <f>$AJ620</f>
        <v>0</v>
      </c>
    </row>
    <row r="621" spans="1:38" ht="18.399999999999999" customHeight="1">
      <c r="A621" s="41" t="s">
        <v>5524</v>
      </c>
      <c r="B621" s="37"/>
      <c r="C621" s="37"/>
      <c r="D621" s="37"/>
      <c r="E621" s="37"/>
      <c r="F621" s="45"/>
      <c r="K621" s="3" t="s">
        <v>3427</v>
      </c>
    </row>
    <row r="622" spans="1:38" ht="18.399999999999999" customHeight="1">
      <c r="A622" s="41" t="s">
        <v>6232</v>
      </c>
      <c r="B622" s="37"/>
      <c r="C622" s="37"/>
      <c r="D622" s="37"/>
      <c r="E622" s="37"/>
      <c r="F622" s="45"/>
      <c r="K622" s="3" t="s">
        <v>6232</v>
      </c>
    </row>
    <row r="623" spans="1:38" ht="18.399999999999999" customHeight="1">
      <c r="A623" s="41" t="s">
        <v>2653</v>
      </c>
      <c r="B623" s="37"/>
      <c r="C623" s="37"/>
      <c r="D623" s="37"/>
      <c r="E623" s="37"/>
      <c r="F623" s="45"/>
      <c r="K623" s="3" t="s">
        <v>2793</v>
      </c>
    </row>
    <row r="624" spans="1:38" ht="18.399999999999999" customHeight="1">
      <c r="A624" s="41" t="s">
        <v>52</v>
      </c>
      <c r="B624" s="37"/>
      <c r="C624" s="37"/>
      <c r="D624" s="37"/>
      <c r="E624" s="37"/>
      <c r="F624" s="45"/>
      <c r="K624" s="3" t="s">
        <v>3020</v>
      </c>
    </row>
    <row r="625" spans="1:30" ht="18.399999999999999" customHeight="1">
      <c r="A625" s="41" t="s">
        <v>6232</v>
      </c>
      <c r="B625" s="37"/>
      <c r="C625" s="37"/>
      <c r="D625" s="37"/>
      <c r="E625" s="37"/>
      <c r="F625" s="45"/>
      <c r="K625" s="3" t="s">
        <v>6232</v>
      </c>
    </row>
    <row r="626" spans="1:30" ht="18.399999999999999" customHeight="1">
      <c r="A626" s="41" t="s">
        <v>3700</v>
      </c>
      <c r="B626" s="37"/>
      <c r="C626" s="37"/>
      <c r="D626" s="37"/>
      <c r="E626" s="37"/>
      <c r="F626" s="45"/>
      <c r="K626" s="3" t="s">
        <v>2773</v>
      </c>
    </row>
    <row r="627" spans="1:30" ht="18.399999999999999" customHeight="1">
      <c r="A627" s="41" t="s">
        <v>679</v>
      </c>
      <c r="B627" s="37"/>
      <c r="C627" s="37"/>
      <c r="D627" s="37"/>
      <c r="E627" s="37"/>
      <c r="F627" s="45"/>
      <c r="K627" s="3" t="s">
        <v>1995</v>
      </c>
    </row>
    <row r="628" spans="1:30" ht="18.399999999999999" customHeight="1">
      <c r="A628" s="41" t="s">
        <v>5867</v>
      </c>
      <c r="B628" s="37"/>
      <c r="C628" s="37"/>
      <c r="D628" s="37"/>
      <c r="E628" s="37"/>
      <c r="F628" s="45"/>
      <c r="K628" s="3" t="s">
        <v>2096</v>
      </c>
    </row>
    <row r="629" spans="1:30" ht="18.399999999999999" customHeight="1">
      <c r="A629" s="41" t="s">
        <v>6232</v>
      </c>
      <c r="B629" s="37"/>
      <c r="C629" s="37"/>
      <c r="D629" s="37"/>
      <c r="E629" s="37"/>
      <c r="F629" s="45"/>
      <c r="K629" s="3" t="s">
        <v>6232</v>
      </c>
    </row>
    <row r="630" spans="1:30" ht="18.399999999999999" customHeight="1">
      <c r="A630" s="41" t="s">
        <v>663</v>
      </c>
      <c r="B630" s="37"/>
      <c r="C630" s="37"/>
      <c r="D630" s="37"/>
      <c r="E630" s="37"/>
      <c r="F630" s="45"/>
      <c r="K630" s="3" t="s">
        <v>1707</v>
      </c>
    </row>
    <row r="631" spans="1:30" ht="18.399999999999999" customHeight="1">
      <c r="A631" s="41" t="s">
        <v>6232</v>
      </c>
      <c r="B631" s="37"/>
      <c r="C631" s="37"/>
      <c r="D631" s="37"/>
      <c r="E631" s="37"/>
      <c r="F631" s="45"/>
      <c r="K631" s="3" t="s">
        <v>6232</v>
      </c>
    </row>
    <row r="632" spans="1:30" ht="18.399999999999999" customHeight="1">
      <c r="A632" s="41" t="s">
        <v>6134</v>
      </c>
      <c r="B632" s="37"/>
      <c r="C632" s="37"/>
      <c r="D632" s="37"/>
      <c r="E632" s="37"/>
      <c r="F632" s="45"/>
      <c r="K632" s="3" t="s">
        <v>4089</v>
      </c>
    </row>
    <row r="633" spans="1:30" ht="18.399999999999999" customHeight="1">
      <c r="A633" s="41" t="s">
        <v>6232</v>
      </c>
      <c r="B633" s="37"/>
      <c r="C633" s="37"/>
      <c r="D633" s="37"/>
      <c r="E633" s="37"/>
      <c r="F633" s="45"/>
      <c r="K633" s="3" t="s">
        <v>6232</v>
      </c>
    </row>
    <row r="634" spans="1:30" ht="18.399999999999999" customHeight="1">
      <c r="A634" s="41" t="s">
        <v>1517</v>
      </c>
      <c r="B634" s="37"/>
      <c r="C634" s="37"/>
      <c r="D634" s="37"/>
      <c r="E634" s="37"/>
      <c r="F634" s="45"/>
      <c r="K634" s="3" t="s">
        <v>2275</v>
      </c>
    </row>
    <row r="635" spans="1:30" ht="18.399999999999999" customHeight="1">
      <c r="A635" s="41" t="s">
        <v>6232</v>
      </c>
      <c r="B635" s="37"/>
      <c r="C635" s="37"/>
      <c r="D635" s="37"/>
      <c r="E635" s="37"/>
      <c r="F635" s="45"/>
      <c r="K635" s="3" t="s">
        <v>6232</v>
      </c>
    </row>
    <row r="636" spans="1:30" ht="18.399999999999999" customHeight="1">
      <c r="A636" s="41" t="s">
        <v>257</v>
      </c>
      <c r="B636" s="37"/>
      <c r="C636" s="37"/>
      <c r="D636" s="37"/>
      <c r="E636" s="37"/>
      <c r="F636" s="45"/>
      <c r="K636" s="3" t="s">
        <v>1264</v>
      </c>
    </row>
    <row r="637" spans="1:30" ht="18.399999999999999" customHeight="1">
      <c r="A637" s="41" t="s">
        <v>6232</v>
      </c>
      <c r="B637" s="37"/>
      <c r="C637" s="37"/>
      <c r="D637" s="37"/>
      <c r="E637" s="37"/>
      <c r="F637" s="45"/>
      <c r="K637" s="3" t="s">
        <v>6232</v>
      </c>
    </row>
    <row r="638" spans="1:30" ht="18.399999999999999" customHeight="1">
      <c r="A638" s="42" t="str">
        <f>CONCATENATE("   - 1차당 적재량(본)         Q=",TEXT($AB638,"#,##0.00"),"  본")</f>
        <v xml:space="preserve">   - 1차당 적재량(본)         Q=9.00  본</v>
      </c>
      <c r="B638" s="37"/>
      <c r="C638" s="37"/>
      <c r="D638" s="37"/>
      <c r="E638" s="37"/>
      <c r="F638" s="45"/>
      <c r="K638" s="10" t="str">
        <f>SUBSTITUTE(SUBSTITUTE("  _x001D_- 1차당 적재량(본)_x001D_        Q  =  9 _x001D_본_x001D_","9",TEXT($AB638,"#,##0"),1),"_x001D_","'")</f>
        <v xml:space="preserve">  '- 1차당 적재량(본)'        Q  =  9 '본'</v>
      </c>
      <c r="AA638" s="39" t="s">
        <v>4337</v>
      </c>
      <c r="AB638" s="6">
        <v>9</v>
      </c>
      <c r="AC638" s="39" t="s">
        <v>4337</v>
      </c>
      <c r="AD638" s="7">
        <f>$AB638</f>
        <v>9</v>
      </c>
    </row>
    <row r="639" spans="1:30" ht="18.399999999999999" customHeight="1">
      <c r="A639" s="41" t="s">
        <v>6232</v>
      </c>
      <c r="B639" s="37"/>
      <c r="C639" s="37"/>
      <c r="D639" s="37"/>
      <c r="E639" s="37"/>
      <c r="F639" s="45"/>
      <c r="K639" s="3" t="s">
        <v>6232</v>
      </c>
    </row>
    <row r="640" spans="1:30" ht="18.399999999999999" customHeight="1">
      <c r="A640" s="42" t="str">
        <f>CONCATENATE("   - 운반차량 대기시간(12M당)    T1=",TEXT($AB640,"#,##0.00"),"  분")</f>
        <v xml:space="preserve">   - 운반차량 대기시간(12M당)    T1=6.00  분</v>
      </c>
      <c r="B640" s="37"/>
      <c r="C640" s="37"/>
      <c r="D640" s="37"/>
      <c r="E640" s="37"/>
      <c r="F640" s="45"/>
      <c r="K640" s="10" t="str">
        <f>SUBSTITUTE(SUBSTITUTE("  _x001D_- 운반차량 대기시간(12M당)_x001D_   T1 = 6 _x001D_분_x001D_","6",TEXT($AB640,"#,##0"),1),"_x001D_","'")</f>
        <v xml:space="preserve">  '- 운반차량 대기시간(12M당)'   T1 = 6 '분'</v>
      </c>
      <c r="AA640" s="39" t="s">
        <v>4528</v>
      </c>
      <c r="AB640" s="6">
        <v>6</v>
      </c>
      <c r="AC640" s="39" t="s">
        <v>4528</v>
      </c>
      <c r="AD640" s="7">
        <f>$AB640</f>
        <v>6</v>
      </c>
    </row>
    <row r="641" spans="1:34" ht="18.399999999999999" customHeight="1">
      <c r="A641" s="41" t="s">
        <v>6232</v>
      </c>
      <c r="B641" s="37"/>
      <c r="C641" s="37"/>
      <c r="D641" s="37"/>
      <c r="E641" s="37"/>
      <c r="F641" s="45"/>
      <c r="K641" s="3" t="s">
        <v>6232</v>
      </c>
    </row>
    <row r="642" spans="1:34" ht="18.399999999999999" customHeight="1">
      <c r="A642" s="41" t="s">
        <v>4838</v>
      </c>
      <c r="B642" s="37"/>
      <c r="C642" s="37"/>
      <c r="D642" s="37"/>
      <c r="E642" s="37"/>
      <c r="F642" s="45"/>
      <c r="K642" s="3" t="s">
        <v>6093</v>
      </c>
    </row>
    <row r="643" spans="1:34" ht="18.399999999999999" customHeight="1">
      <c r="A643" s="41" t="s">
        <v>6232</v>
      </c>
      <c r="B643" s="37"/>
      <c r="C643" s="37"/>
      <c r="D643" s="37"/>
      <c r="E643" s="37"/>
      <c r="F643" s="45"/>
      <c r="K643" s="3" t="s">
        <v>6232</v>
      </c>
    </row>
    <row r="644" spans="1:34" ht="18.399999999999999" customHeight="1">
      <c r="A644" s="42" t="str">
        <f>CONCATENATE("    T2 = (L / V * 2 * 60 + 20) / Q = ",TEXT($AF644,"#,##0.00")," 분 ")</f>
        <v xml:space="preserve">    T2 = (L / V * 2 * 60 + 20) / Q = 4.00 분 </v>
      </c>
      <c r="B644" s="37">
        <f>SUM($C644,$D644,$E644)</f>
        <v>0</v>
      </c>
      <c r="C644" s="37"/>
      <c r="D644" s="37"/>
      <c r="E644" s="37"/>
      <c r="F644" s="45"/>
      <c r="K644" s="3" t="s">
        <v>3353</v>
      </c>
      <c r="AA644" s="39" t="s">
        <v>5897</v>
      </c>
      <c r="AB644" s="8">
        <f>ROUND(($AD617/$AD619*2*60+20)/$AD638,2)</f>
        <v>4</v>
      </c>
      <c r="AC644" s="39" t="s">
        <v>2053</v>
      </c>
      <c r="AD644" s="7">
        <f>$AB644</f>
        <v>4</v>
      </c>
      <c r="AE644" s="39" t="s">
        <v>5453</v>
      </c>
      <c r="AF644" s="8">
        <f>ROUND(ROUND(($AD617/$AD619*2*60+20)/$AD638,2),2)</f>
        <v>4</v>
      </c>
      <c r="AG644" s="39" t="s">
        <v>4306</v>
      </c>
      <c r="AH644" s="7">
        <f>$AF644</f>
        <v>4</v>
      </c>
    </row>
    <row r="645" spans="1:34" ht="18.399999999999999" customHeight="1">
      <c r="A645" s="41" t="s">
        <v>6232</v>
      </c>
      <c r="B645" s="37"/>
      <c r="C645" s="37"/>
      <c r="D645" s="37"/>
      <c r="E645" s="37"/>
      <c r="F645" s="45"/>
      <c r="K645" s="3" t="s">
        <v>6232</v>
      </c>
    </row>
    <row r="646" spans="1:34" ht="18.399999999999999" customHeight="1">
      <c r="A646" s="41" t="s">
        <v>2391</v>
      </c>
      <c r="B646" s="37"/>
      <c r="C646" s="37"/>
      <c r="D646" s="37"/>
      <c r="E646" s="37"/>
      <c r="F646" s="45"/>
      <c r="K646" s="3" t="s">
        <v>4710</v>
      </c>
    </row>
    <row r="647" spans="1:34" ht="18.399999999999999" customHeight="1">
      <c r="A647" s="41" t="s">
        <v>6232</v>
      </c>
      <c r="B647" s="37"/>
      <c r="C647" s="37"/>
      <c r="D647" s="37"/>
      <c r="E647" s="37"/>
      <c r="F647" s="45"/>
      <c r="K647" s="3" t="s">
        <v>6232</v>
      </c>
    </row>
    <row r="648" spans="1:34" ht="18.399999999999999" customHeight="1">
      <c r="A648" s="42" t="str">
        <f>CONCATENATE("    CM = T1 + T2 = ",TEXT($AF648,"#,##0.00")," 분 ")</f>
        <v xml:space="preserve">    CM = T1 + T2 = 10.00 분 </v>
      </c>
      <c r="B648" s="37">
        <f>SUM($C648,$D648,$E648)</f>
        <v>0</v>
      </c>
      <c r="C648" s="37"/>
      <c r="D648" s="37"/>
      <c r="E648" s="37"/>
      <c r="F648" s="45"/>
      <c r="K648" s="3" t="s">
        <v>6049</v>
      </c>
      <c r="AA648" s="39" t="s">
        <v>5026</v>
      </c>
      <c r="AB648" s="8">
        <f>ROUND($AD640+$AD644,2)</f>
        <v>10</v>
      </c>
      <c r="AC648" s="39" t="s">
        <v>289</v>
      </c>
      <c r="AD648" s="7">
        <f>$AB648</f>
        <v>10</v>
      </c>
      <c r="AE648" s="39" t="s">
        <v>5963</v>
      </c>
      <c r="AF648" s="8">
        <f>ROUND(ROUND($AD640+$AD644,2),2)</f>
        <v>10</v>
      </c>
      <c r="AG648" s="39" t="s">
        <v>6188</v>
      </c>
      <c r="AH648" s="7">
        <f>$AF648</f>
        <v>10</v>
      </c>
    </row>
    <row r="649" spans="1:34" ht="18.399999999999999" customHeight="1">
      <c r="A649" s="41" t="s">
        <v>6232</v>
      </c>
      <c r="B649" s="37"/>
      <c r="C649" s="37"/>
      <c r="D649" s="37"/>
      <c r="E649" s="37"/>
      <c r="F649" s="45"/>
      <c r="K649" s="3" t="s">
        <v>6232</v>
      </c>
    </row>
    <row r="650" spans="1:34" ht="18.399999999999999" customHeight="1">
      <c r="A650" s="41" t="s">
        <v>5848</v>
      </c>
      <c r="B650" s="37"/>
      <c r="C650" s="37"/>
      <c r="D650" s="37"/>
      <c r="E650" s="37"/>
      <c r="F650" s="45"/>
      <c r="K650" s="3" t="s">
        <v>788</v>
      </c>
    </row>
    <row r="651" spans="1:34" ht="18.399999999999999" customHeight="1">
      <c r="A651" s="41" t="s">
        <v>6232</v>
      </c>
      <c r="B651" s="37"/>
      <c r="C651" s="37"/>
      <c r="D651" s="37"/>
      <c r="E651" s="37"/>
      <c r="F651" s="45"/>
      <c r="K651" s="3" t="s">
        <v>6232</v>
      </c>
    </row>
    <row r="652" spans="1:34" ht="18.399999999999999" customHeight="1">
      <c r="A652" s="42" t="str">
        <f>CONCATENATE("    Qo = T2 / CM = ",TEXT($AF652,"#,##0.00")," 분 ")</f>
        <v xml:space="preserve">    Qo = T2 / CM = 0.40 분 </v>
      </c>
      <c r="B652" s="37">
        <f>SUM($C652,$D652,$E652)</f>
        <v>0</v>
      </c>
      <c r="C652" s="37"/>
      <c r="D652" s="37"/>
      <c r="E652" s="37"/>
      <c r="F652" s="45"/>
      <c r="K652" s="3" t="s">
        <v>882</v>
      </c>
      <c r="AA652" s="39" t="s">
        <v>1501</v>
      </c>
      <c r="AB652" s="8">
        <f>ROUND($AD644/$AD648,2)</f>
        <v>0.4</v>
      </c>
      <c r="AC652" s="39" t="s">
        <v>2425</v>
      </c>
      <c r="AD652" s="7">
        <f>$AB652</f>
        <v>0.4</v>
      </c>
      <c r="AE652" s="39" t="s">
        <v>2041</v>
      </c>
      <c r="AF652" s="8">
        <f>ROUND(ROUND($AD644/$AD648,2),2)</f>
        <v>0.4</v>
      </c>
      <c r="AG652" s="39" t="s">
        <v>2811</v>
      </c>
      <c r="AH652" s="7">
        <f>$AF652</f>
        <v>0.4</v>
      </c>
    </row>
    <row r="653" spans="1:34" ht="18.399999999999999" customHeight="1">
      <c r="A653" s="41" t="s">
        <v>6232</v>
      </c>
      <c r="B653" s="37"/>
      <c r="C653" s="37"/>
      <c r="D653" s="37"/>
      <c r="E653" s="37"/>
      <c r="F653" s="45"/>
      <c r="K653" s="3" t="s">
        <v>6232</v>
      </c>
    </row>
    <row r="654" spans="1:34" ht="18.399999999999999" customHeight="1">
      <c r="A654" s="41" t="s">
        <v>1042</v>
      </c>
      <c r="B654" s="37"/>
      <c r="C654" s="37"/>
      <c r="D654" s="37"/>
      <c r="E654" s="37"/>
      <c r="F654" s="45"/>
      <c r="K654" s="3" t="s">
        <v>1008</v>
      </c>
    </row>
    <row r="655" spans="1:34" ht="18.399999999999999" customHeight="1">
      <c r="A655" s="41" t="s">
        <v>6232</v>
      </c>
      <c r="B655" s="37"/>
      <c r="C655" s="37"/>
      <c r="D655" s="37"/>
      <c r="E655" s="37"/>
      <c r="F655" s="45"/>
      <c r="K655" s="3" t="s">
        <v>6232</v>
      </c>
    </row>
    <row r="656" spans="1:34" ht="18.399999999999999" customHeight="1">
      <c r="A656" s="42" t="str">
        <f>CONCATENATE("      보통인부 :  2.0 인  * _x001D_169,804_x001D_ * (CM + 6 ) / 60 / 8 = ",TEXT($AB656,"#,##0.0"))</f>
        <v xml:space="preserve">      보통인부 :  2.0 인  * _x001D_169,804_x001D_ * (CM + 6 ) / 60 / 8 = 11,471.2</v>
      </c>
      <c r="B656" s="37">
        <f>SUM($C656,$D656,$E656)</f>
        <v>11471.2</v>
      </c>
      <c r="C656" s="37"/>
      <c r="D656" s="37">
        <f>$AB656</f>
        <v>11471.2</v>
      </c>
      <c r="E656" s="37"/>
      <c r="F656" s="45" t="s">
        <v>6232</v>
      </c>
      <c r="K656" s="3" t="s">
        <v>3933</v>
      </c>
      <c r="AA656" s="40" t="s">
        <v>5305</v>
      </c>
      <c r="AB656" s="8">
        <f>TRUNC(2*노임!D3*($AD648+6)/60/8,1)</f>
        <v>11471.2</v>
      </c>
      <c r="AC656" s="40" t="s">
        <v>5439</v>
      </c>
      <c r="AD656" s="7">
        <f>$AH620+$AB656</f>
        <v>11471.2</v>
      </c>
    </row>
    <row r="657" spans="1:30" ht="18.399999999999999" customHeight="1">
      <c r="A657" s="41" t="s">
        <v>6232</v>
      </c>
      <c r="B657" s="37"/>
      <c r="C657" s="37"/>
      <c r="D657" s="37"/>
      <c r="E657" s="37"/>
      <c r="F657" s="45"/>
      <c r="K657" s="3" t="s">
        <v>6232</v>
      </c>
    </row>
    <row r="658" spans="1:30" ht="18.399999999999999" customHeight="1">
      <c r="A658" s="41" t="s">
        <v>5801</v>
      </c>
      <c r="B658" s="37"/>
      <c r="C658" s="37"/>
      <c r="D658" s="37"/>
      <c r="E658" s="37"/>
      <c r="F658" s="45"/>
      <c r="K658" s="3" t="s">
        <v>775</v>
      </c>
    </row>
    <row r="659" spans="1:30" ht="18.399999999999999" customHeight="1">
      <c r="A659" s="41" t="s">
        <v>6232</v>
      </c>
      <c r="B659" s="37"/>
      <c r="C659" s="37"/>
      <c r="D659" s="37"/>
      <c r="E659" s="37"/>
      <c r="F659" s="45"/>
      <c r="K659" s="3" t="s">
        <v>6232</v>
      </c>
    </row>
    <row r="660" spans="1:30" ht="18.399999999999999" customHeight="1">
      <c r="A660" s="41" t="s">
        <v>2913</v>
      </c>
      <c r="B660" s="37"/>
      <c r="C660" s="37"/>
      <c r="D660" s="37"/>
      <c r="E660" s="37"/>
      <c r="F660" s="45"/>
      <c r="K660" s="3" t="s">
        <v>2204</v>
      </c>
    </row>
    <row r="661" spans="1:30" ht="18.399999999999999" customHeight="1">
      <c r="A661" s="41" t="s">
        <v>6232</v>
      </c>
      <c r="B661" s="37"/>
      <c r="C661" s="37"/>
      <c r="D661" s="37"/>
      <c r="E661" s="37"/>
      <c r="F661" s="45"/>
      <c r="K661" s="3" t="s">
        <v>6232</v>
      </c>
    </row>
    <row r="662" spans="1:30" ht="18.399999999999999" customHeight="1">
      <c r="A662" s="42" t="str">
        <f>CONCATENATE("     재료비:  _x001D_10,105_x001D_ * 9 / 60 = ",TEXT($AB662,"#,##0.0"))</f>
        <v xml:space="preserve">     재료비:  _x001D_10,105_x001D_ * 9 / 60 = 0.0</v>
      </c>
      <c r="B662" s="37">
        <f>SUM($C662,$D662,$E662)</f>
        <v>0</v>
      </c>
      <c r="C662" s="37">
        <f>$AB662</f>
        <v>0</v>
      </c>
      <c r="D662" s="37"/>
      <c r="E662" s="37"/>
      <c r="F662" s="45" t="s">
        <v>6232</v>
      </c>
      <c r="K662" s="3" t="s">
        <v>4139</v>
      </c>
      <c r="AA662" s="40" t="s">
        <v>2660</v>
      </c>
      <c r="AB662" s="8">
        <f>TRUNC(중기사용료목록!E5*9/60,1)</f>
        <v>0</v>
      </c>
      <c r="AC662" s="40" t="s">
        <v>1650</v>
      </c>
      <c r="AD662" s="7">
        <f>$AD620+$AB662</f>
        <v>0</v>
      </c>
    </row>
    <row r="663" spans="1:30" ht="18.399999999999999" customHeight="1">
      <c r="A663" s="41" t="s">
        <v>6232</v>
      </c>
      <c r="B663" s="37"/>
      <c r="C663" s="37"/>
      <c r="D663" s="37"/>
      <c r="E663" s="37"/>
      <c r="F663" s="45"/>
      <c r="K663" s="3" t="s">
        <v>6232</v>
      </c>
    </row>
    <row r="664" spans="1:30" ht="18.399999999999999" customHeight="1">
      <c r="A664" s="42" t="str">
        <f>CONCATENATE("     노무비:  _x001D_57,077_x001D_ * 9 / 60 = ",TEXT($AB664,"#,##0.0"))</f>
        <v xml:space="preserve">     노무비:  _x001D_57,077_x001D_ * 9 / 60 = 0.0</v>
      </c>
      <c r="B664" s="37">
        <f>SUM($C664,$D664,$E664)</f>
        <v>0</v>
      </c>
      <c r="C664" s="37"/>
      <c r="D664" s="37">
        <f>$AB664</f>
        <v>0</v>
      </c>
      <c r="E664" s="37"/>
      <c r="F664" s="45" t="s">
        <v>6232</v>
      </c>
      <c r="K664" s="3" t="s">
        <v>573</v>
      </c>
      <c r="AA664" s="40" t="s">
        <v>5305</v>
      </c>
      <c r="AB664" s="8">
        <f>TRUNC(중기사용료목록!F5*9/60,1)</f>
        <v>0</v>
      </c>
      <c r="AC664" s="40" t="s">
        <v>5439</v>
      </c>
      <c r="AD664" s="7">
        <f>$AD656+$AB664</f>
        <v>11471.2</v>
      </c>
    </row>
    <row r="665" spans="1:30" ht="18.399999999999999" customHeight="1">
      <c r="A665" s="41" t="s">
        <v>6232</v>
      </c>
      <c r="B665" s="37"/>
      <c r="C665" s="37"/>
      <c r="D665" s="37"/>
      <c r="E665" s="37"/>
      <c r="F665" s="45"/>
      <c r="K665" s="3" t="s">
        <v>6232</v>
      </c>
    </row>
    <row r="666" spans="1:30" ht="18.399999999999999" customHeight="1">
      <c r="A666" s="42" t="str">
        <f>CONCATENATE("     경  비:  _x001D_52,687_x001D_ * 9 / 60 = ",TEXT($AB666,"#,##0.0"))</f>
        <v xml:space="preserve">     경  비:  _x001D_52,687_x001D_ * 9 / 60 = 18,437.5</v>
      </c>
      <c r="B666" s="37">
        <f>SUM($C666,$D666,$E666)</f>
        <v>18437.5</v>
      </c>
      <c r="C666" s="37"/>
      <c r="D666" s="37"/>
      <c r="E666" s="37">
        <f>$AB666</f>
        <v>18437.5</v>
      </c>
      <c r="F666" s="45" t="s">
        <v>6232</v>
      </c>
      <c r="K666" s="3" t="s">
        <v>1261</v>
      </c>
      <c r="AA666" s="40" t="s">
        <v>3519</v>
      </c>
      <c r="AB666" s="8">
        <f>TRUNC(중기사용료목록!G5*9/60,1)</f>
        <v>18437.5</v>
      </c>
      <c r="AC666" s="40" t="s">
        <v>4149</v>
      </c>
      <c r="AD666" s="7">
        <f>$AL620+$AB666</f>
        <v>18437.5</v>
      </c>
    </row>
    <row r="667" spans="1:30" ht="18.399999999999999" customHeight="1">
      <c r="A667" s="41" t="s">
        <v>6232</v>
      </c>
      <c r="B667" s="37"/>
      <c r="C667" s="37"/>
      <c r="D667" s="37"/>
      <c r="E667" s="37"/>
      <c r="F667" s="45"/>
      <c r="K667" s="3" t="s">
        <v>6232</v>
      </c>
    </row>
    <row r="668" spans="1:30" ht="18.399999999999999" customHeight="1">
      <c r="A668" s="41" t="s">
        <v>1530</v>
      </c>
      <c r="B668" s="37"/>
      <c r="C668" s="37"/>
      <c r="D668" s="37"/>
      <c r="E668" s="37"/>
      <c r="F668" s="45"/>
      <c r="K668" s="3" t="s">
        <v>2021</v>
      </c>
    </row>
    <row r="669" spans="1:30" ht="18.399999999999999" customHeight="1">
      <c r="A669" s="41" t="s">
        <v>6232</v>
      </c>
      <c r="B669" s="37"/>
      <c r="C669" s="37"/>
      <c r="D669" s="37"/>
      <c r="E669" s="37"/>
      <c r="F669" s="45"/>
      <c r="K669" s="3" t="s">
        <v>6232</v>
      </c>
    </row>
    <row r="670" spans="1:30" ht="18.399999999999999" customHeight="1">
      <c r="A670" s="42" t="str">
        <f>CONCATENATE("     재료비:  _x001D_30,878_x001D_ * CM / 60 * Qo = ",TEXT($AB670,"#,##0.0"))</f>
        <v xml:space="preserve">     재료비:  _x001D_30,878_x001D_ * CM / 60 * Qo = 0.0</v>
      </c>
      <c r="B670" s="37">
        <f>SUM($C670,$D670,$E670)</f>
        <v>0</v>
      </c>
      <c r="C670" s="37">
        <f>$AB670</f>
        <v>0</v>
      </c>
      <c r="D670" s="37"/>
      <c r="E670" s="37"/>
      <c r="F670" s="45" t="s">
        <v>6232</v>
      </c>
      <c r="K670" s="3" t="s">
        <v>4711</v>
      </c>
      <c r="AA670" s="40" t="s">
        <v>2660</v>
      </c>
      <c r="AB670" s="8">
        <f>TRUNC(중기사용료목록!E7*$AD648/60*$AD652,1)</f>
        <v>0</v>
      </c>
      <c r="AC670" s="40" t="s">
        <v>1650</v>
      </c>
      <c r="AD670" s="7">
        <f>$AD662+$AB670</f>
        <v>0</v>
      </c>
    </row>
    <row r="671" spans="1:30" ht="18.399999999999999" customHeight="1">
      <c r="A671" s="41" t="s">
        <v>6232</v>
      </c>
      <c r="B671" s="37"/>
      <c r="C671" s="37"/>
      <c r="D671" s="37"/>
      <c r="E671" s="37"/>
      <c r="F671" s="45"/>
      <c r="K671" s="3" t="s">
        <v>6232</v>
      </c>
    </row>
    <row r="672" spans="1:30" ht="18.399999999999999" customHeight="1">
      <c r="A672" s="42" t="str">
        <f>CONCATENATE("     노무비:  _x001D_57,077_x001D_ * CM / 60 = ",TEXT($AB672,"#,##0.0"))</f>
        <v xml:space="preserve">     노무비:  _x001D_57,077_x001D_ * CM / 60 = 0.0</v>
      </c>
      <c r="B672" s="37">
        <f>SUM($C672,$D672,$E672)</f>
        <v>0</v>
      </c>
      <c r="C672" s="37"/>
      <c r="D672" s="37">
        <f>$AB672</f>
        <v>0</v>
      </c>
      <c r="E672" s="37"/>
      <c r="F672" s="45" t="s">
        <v>6232</v>
      </c>
      <c r="K672" s="3" t="s">
        <v>3619</v>
      </c>
      <c r="AA672" s="40" t="s">
        <v>5305</v>
      </c>
      <c r="AB672" s="8">
        <f>TRUNC(중기사용료목록!F7*$AD648/60,1)</f>
        <v>0</v>
      </c>
      <c r="AC672" s="40" t="s">
        <v>5439</v>
      </c>
      <c r="AD672" s="7">
        <f>$AD664+$AB672</f>
        <v>11471.2</v>
      </c>
    </row>
    <row r="673" spans="1:38" ht="18.399999999999999" customHeight="1">
      <c r="A673" s="41" t="s">
        <v>6232</v>
      </c>
      <c r="B673" s="37"/>
      <c r="C673" s="37"/>
      <c r="D673" s="37"/>
      <c r="E673" s="37"/>
      <c r="F673" s="45"/>
      <c r="K673" s="3" t="s">
        <v>6232</v>
      </c>
    </row>
    <row r="674" spans="1:38" ht="18.399999999999999" customHeight="1">
      <c r="A674" s="42" t="str">
        <f>CONCATENATE("     경  비:  _x001D_16,873_x001D_ * CM / 60 = ",TEXT($AB674,"#,##0.0"))</f>
        <v xml:space="preserve">     경  비:  _x001D_16,873_x001D_ * CM / 60 = 18,605.8</v>
      </c>
      <c r="B674" s="37">
        <f>SUM($C674,$D674,$E674)</f>
        <v>18605.8</v>
      </c>
      <c r="C674" s="37"/>
      <c r="D674" s="37"/>
      <c r="E674" s="37">
        <f>$AB674</f>
        <v>18605.8</v>
      </c>
      <c r="F674" s="45" t="s">
        <v>6232</v>
      </c>
      <c r="K674" s="3" t="s">
        <v>5622</v>
      </c>
      <c r="AA674" s="40" t="s">
        <v>3519</v>
      </c>
      <c r="AB674" s="8">
        <f>TRUNC(중기사용료목록!G7*$AD648/60,1)</f>
        <v>18605.8</v>
      </c>
      <c r="AC674" s="40" t="s">
        <v>4149</v>
      </c>
      <c r="AD674" s="7">
        <f>$AD666+$AB674</f>
        <v>37043.300000000003</v>
      </c>
    </row>
    <row r="675" spans="1:38" ht="18.399999999999999" customHeight="1">
      <c r="A675" s="41" t="s">
        <v>6232</v>
      </c>
      <c r="B675" s="37"/>
      <c r="C675" s="37"/>
      <c r="D675" s="37"/>
      <c r="E675" s="37"/>
      <c r="F675" s="45"/>
      <c r="K675" s="3" t="s">
        <v>6232</v>
      </c>
    </row>
    <row r="676" spans="1:38" ht="18.399999999999999" customHeight="1">
      <c r="A676" s="41" t="s">
        <v>4035</v>
      </c>
      <c r="B676" s="37">
        <v>43683.799999999996</v>
      </c>
      <c r="C676" s="37">
        <v>3574.2</v>
      </c>
      <c r="D676" s="37">
        <v>29394.5</v>
      </c>
      <c r="E676" s="37">
        <v>10715.1</v>
      </c>
      <c r="F676" s="45"/>
      <c r="K676" s="3" t="s">
        <v>6070</v>
      </c>
    </row>
    <row r="677" spans="1:38" ht="18.399999999999999" customHeight="1">
      <c r="A677" s="41" t="s">
        <v>6232</v>
      </c>
      <c r="B677" s="37">
        <f>SUM($C677,$D677,$E677)</f>
        <v>0</v>
      </c>
      <c r="C677" s="37">
        <f>$AB677</f>
        <v>0</v>
      </c>
      <c r="D677" s="37">
        <f>$AF677</f>
        <v>0</v>
      </c>
      <c r="E677" s="37">
        <f>$AJ677</f>
        <v>0</v>
      </c>
      <c r="F677" s="45"/>
      <c r="K677" s="3" t="s">
        <v>5506</v>
      </c>
      <c r="AA677" s="40" t="s">
        <v>4586</v>
      </c>
      <c r="AB677" s="8">
        <f>ROUND(0,2)</f>
        <v>0</v>
      </c>
      <c r="AC677" s="40" t="s">
        <v>4161</v>
      </c>
      <c r="AD677" s="7">
        <f>$AB677</f>
        <v>0</v>
      </c>
      <c r="AE677" s="40" t="s">
        <v>222</v>
      </c>
      <c r="AF677" s="8">
        <f>ROUND(0,2)</f>
        <v>0</v>
      </c>
      <c r="AG677" s="40" t="s">
        <v>334</v>
      </c>
      <c r="AH677" s="7">
        <f>$AF677</f>
        <v>0</v>
      </c>
      <c r="AI677" s="40" t="s">
        <v>1574</v>
      </c>
      <c r="AJ677" s="8">
        <f>ROUND(0,2)</f>
        <v>0</v>
      </c>
      <c r="AK677" s="40" t="s">
        <v>1622</v>
      </c>
      <c r="AL677" s="7">
        <f>$AJ677</f>
        <v>0</v>
      </c>
    </row>
    <row r="678" spans="1:38" ht="18.399999999999999" customHeight="1">
      <c r="A678" s="41" t="s">
        <v>3009</v>
      </c>
      <c r="B678" s="37">
        <f>SUM($C678,$D678,$E678)</f>
        <v>4042.8</v>
      </c>
      <c r="C678" s="37">
        <f>$AB678</f>
        <v>0</v>
      </c>
      <c r="D678" s="37">
        <f>$AF678</f>
        <v>955.9</v>
      </c>
      <c r="E678" s="37">
        <f>$AJ678</f>
        <v>3086.9</v>
      </c>
      <c r="F678" s="45"/>
      <c r="K678" s="3" t="s">
        <v>4286</v>
      </c>
      <c r="AA678" s="40" t="s">
        <v>4586</v>
      </c>
      <c r="AB678" s="8">
        <f>TRUNC($AD670/12,1)</f>
        <v>0</v>
      </c>
      <c r="AC678" s="40" t="s">
        <v>4161</v>
      </c>
      <c r="AD678" s="7">
        <f>$AB678</f>
        <v>0</v>
      </c>
      <c r="AE678" s="40" t="s">
        <v>222</v>
      </c>
      <c r="AF678" s="8">
        <f>TRUNC($AD672/12,1)</f>
        <v>955.9</v>
      </c>
      <c r="AG678" s="40" t="s">
        <v>334</v>
      </c>
      <c r="AH678" s="7">
        <f>$AF678</f>
        <v>955.9</v>
      </c>
      <c r="AI678" s="40" t="s">
        <v>1574</v>
      </c>
      <c r="AJ678" s="8">
        <f>TRUNC($AD674/12,1)</f>
        <v>3086.9</v>
      </c>
      <c r="AK678" s="40" t="s">
        <v>1622</v>
      </c>
      <c r="AL678" s="7">
        <f>$AJ678</f>
        <v>3086.9</v>
      </c>
    </row>
    <row r="679" spans="1:38" ht="18.399999999999999" customHeight="1">
      <c r="A679" s="41" t="s">
        <v>6232</v>
      </c>
      <c r="B679" s="37"/>
      <c r="C679" s="37"/>
      <c r="D679" s="37"/>
      <c r="E679" s="37"/>
      <c r="F679" s="45"/>
      <c r="K679" s="3" t="s">
        <v>6232</v>
      </c>
    </row>
    <row r="680" spans="1:38" ht="18.399999999999999" customHeight="1">
      <c r="A680" s="41" t="s">
        <v>3436</v>
      </c>
      <c r="B680" s="37">
        <v>3640.2</v>
      </c>
      <c r="C680" s="37">
        <v>297.8</v>
      </c>
      <c r="D680" s="37">
        <v>2449.5</v>
      </c>
      <c r="E680" s="37">
        <v>892.9</v>
      </c>
      <c r="F680" s="45"/>
      <c r="K680" s="3" t="s">
        <v>1342</v>
      </c>
    </row>
    <row r="681" spans="1:38" ht="18.399999999999999" customHeight="1">
      <c r="A681" s="41" t="s">
        <v>6232</v>
      </c>
      <c r="B681" s="37">
        <f>SUM($C681,$D681,$E681)</f>
        <v>0</v>
      </c>
      <c r="C681" s="37">
        <f>$AB681</f>
        <v>0</v>
      </c>
      <c r="D681" s="37">
        <f>$AF681</f>
        <v>0</v>
      </c>
      <c r="E681" s="37">
        <f>$AJ681</f>
        <v>0</v>
      </c>
      <c r="F681" s="45"/>
      <c r="K681" s="3" t="s">
        <v>3238</v>
      </c>
      <c r="AA681" s="40" t="s">
        <v>308</v>
      </c>
      <c r="AB681" s="8">
        <f>ROUND(0,2)</f>
        <v>0</v>
      </c>
      <c r="AC681" s="40" t="s">
        <v>5000</v>
      </c>
      <c r="AD681" s="7">
        <f>$AB681</f>
        <v>0</v>
      </c>
      <c r="AE681" s="40" t="s">
        <v>4500</v>
      </c>
      <c r="AF681" s="8">
        <f>ROUND(0,2)</f>
        <v>0</v>
      </c>
      <c r="AG681" s="40" t="s">
        <v>2603</v>
      </c>
      <c r="AH681" s="7">
        <f>$AF681</f>
        <v>0</v>
      </c>
      <c r="AI681" s="40" t="s">
        <v>5878</v>
      </c>
      <c r="AJ681" s="8">
        <f>ROUND(0,2)</f>
        <v>0</v>
      </c>
      <c r="AK681" s="40" t="s">
        <v>787</v>
      </c>
      <c r="AL681" s="7">
        <f>$AJ681</f>
        <v>0</v>
      </c>
    </row>
    <row r="682" spans="1:38" ht="18.399999999999999" customHeight="1">
      <c r="A682" s="41" t="s">
        <v>2374</v>
      </c>
      <c r="B682" s="37">
        <f>SUM($C682,$D682,$E682)</f>
        <v>4434.8999999999996</v>
      </c>
      <c r="C682" s="37">
        <f>$AB682</f>
        <v>0</v>
      </c>
      <c r="D682" s="37">
        <f>$AF682</f>
        <v>1048.5999999999999</v>
      </c>
      <c r="E682" s="37">
        <f>$AJ682</f>
        <v>3386.3</v>
      </c>
      <c r="F682" s="45"/>
      <c r="K682" s="3" t="s">
        <v>2347</v>
      </c>
      <c r="AA682" s="40" t="s">
        <v>308</v>
      </c>
      <c r="AB682" s="8">
        <f>TRUNC($AD678*1.097,1)</f>
        <v>0</v>
      </c>
      <c r="AC682" s="40" t="s">
        <v>5000</v>
      </c>
      <c r="AD682" s="7">
        <f>$AB682</f>
        <v>0</v>
      </c>
      <c r="AE682" s="40" t="s">
        <v>4500</v>
      </c>
      <c r="AF682" s="8">
        <f>TRUNC($AH678*1.097,1)</f>
        <v>1048.5999999999999</v>
      </c>
      <c r="AG682" s="40" t="s">
        <v>2603</v>
      </c>
      <c r="AH682" s="7">
        <f>$AF682</f>
        <v>1048.5999999999999</v>
      </c>
      <c r="AI682" s="40" t="s">
        <v>5878</v>
      </c>
      <c r="AJ682" s="8">
        <f>TRUNC($AL678*1.097,1)</f>
        <v>3386.3</v>
      </c>
      <c r="AK682" s="40" t="s">
        <v>787</v>
      </c>
      <c r="AL682" s="7">
        <f>$AJ682</f>
        <v>3386.3</v>
      </c>
    </row>
    <row r="683" spans="1:38" ht="18.399999999999999" customHeight="1">
      <c r="A683" s="41" t="s">
        <v>6232</v>
      </c>
      <c r="B683" s="37"/>
      <c r="C683" s="37"/>
      <c r="D683" s="37"/>
      <c r="E683" s="37"/>
      <c r="F683" s="45"/>
      <c r="K683" s="3" t="s">
        <v>6232</v>
      </c>
    </row>
    <row r="684" spans="1:38" ht="18.399999999999999" customHeight="1">
      <c r="A684" s="41" t="s">
        <v>3436</v>
      </c>
      <c r="B684" s="37">
        <f>SUM($C684,$D684,$E684)</f>
        <v>4434.8999999999996</v>
      </c>
      <c r="C684" s="37">
        <f>$AB684</f>
        <v>0</v>
      </c>
      <c r="D684" s="37">
        <f>$AF684</f>
        <v>1048.5999999999999</v>
      </c>
      <c r="E684" s="37">
        <f>$AJ684</f>
        <v>3386.3</v>
      </c>
      <c r="F684" s="45"/>
      <c r="K684" s="3" t="s">
        <v>4527</v>
      </c>
      <c r="AA684" s="40" t="s">
        <v>4592</v>
      </c>
      <c r="AB684" s="8">
        <f>TRUNC($AD682,1)</f>
        <v>0</v>
      </c>
      <c r="AC684" s="40" t="s">
        <v>5149</v>
      </c>
      <c r="AD684" s="7">
        <f>$AB684</f>
        <v>0</v>
      </c>
      <c r="AE684" s="40" t="s">
        <v>666</v>
      </c>
      <c r="AF684" s="8">
        <f>TRUNC($AH682,1)</f>
        <v>1048.5999999999999</v>
      </c>
      <c r="AG684" s="40" t="s">
        <v>2431</v>
      </c>
      <c r="AH684" s="7">
        <f>$AF684</f>
        <v>1048.5999999999999</v>
      </c>
      <c r="AI684" s="40" t="s">
        <v>1930</v>
      </c>
      <c r="AJ684" s="8">
        <f>TRUNC($AL682,1)</f>
        <v>3386.3</v>
      </c>
      <c r="AK684" s="40" t="s">
        <v>3349</v>
      </c>
      <c r="AL684" s="7">
        <f>$AJ684</f>
        <v>3386.3</v>
      </c>
    </row>
    <row r="685" spans="1:38" ht="18.399999999999999" customHeight="1">
      <c r="A685" s="41"/>
      <c r="B685" s="3"/>
      <c r="C685" s="3"/>
      <c r="D685" s="3"/>
      <c r="E685" s="3"/>
      <c r="F685" s="44"/>
    </row>
    <row r="686" spans="1:38" ht="18.399999999999999" customHeight="1">
      <c r="A686" s="43" t="s">
        <v>3543</v>
      </c>
      <c r="B686" s="38">
        <f>SUM($C686,$D686,$E686)</f>
        <v>4434</v>
      </c>
      <c r="C686" s="38">
        <f>TRUNC(SUM($AD684),0)</f>
        <v>0</v>
      </c>
      <c r="D686" s="38">
        <f>TRUNC(SUM($AH684),0)</f>
        <v>1048</v>
      </c>
      <c r="E686" s="38">
        <f>TRUNC(SUM($AL684),0)</f>
        <v>3386</v>
      </c>
      <c r="F686" s="46"/>
    </row>
    <row r="687" spans="1:38" ht="18.399999999999999" customHeight="1">
      <c r="A687" s="41"/>
      <c r="B687" s="3"/>
      <c r="C687" s="3"/>
      <c r="D687" s="3"/>
      <c r="E687" s="3"/>
      <c r="F687" s="44"/>
    </row>
    <row r="688" spans="1:38" ht="18.399999999999999" customHeight="1">
      <c r="A688" s="41" t="s">
        <v>5689</v>
      </c>
      <c r="B688" s="36">
        <f>$B762</f>
        <v>4199</v>
      </c>
      <c r="C688" s="36">
        <f>$C762</f>
        <v>0</v>
      </c>
      <c r="D688" s="36">
        <f>$D762</f>
        <v>983</v>
      </c>
      <c r="E688" s="36">
        <f>$E762</f>
        <v>3216</v>
      </c>
      <c r="F688" s="44" t="s">
        <v>3378</v>
      </c>
      <c r="G688" t="s">
        <v>6232</v>
      </c>
      <c r="H688" t="s">
        <v>340</v>
      </c>
      <c r="K688">
        <v>1</v>
      </c>
      <c r="Y688" s="7" t="b">
        <f>EXACT($Z688,$B762)</f>
        <v>0</v>
      </c>
      <c r="Z688" s="38">
        <v>3766</v>
      </c>
    </row>
    <row r="689" spans="1:38" ht="18.399999999999999" customHeight="1">
      <c r="A689" s="41"/>
      <c r="B689" s="3"/>
      <c r="C689" s="3"/>
      <c r="D689" s="3"/>
      <c r="E689" s="3"/>
      <c r="F689" s="44"/>
    </row>
    <row r="690" spans="1:38" ht="18.399999999999999" customHeight="1">
      <c r="A690" s="41" t="s">
        <v>6232</v>
      </c>
      <c r="B690" s="3"/>
      <c r="C690" s="3"/>
      <c r="D690" s="3"/>
      <c r="E690" s="3"/>
      <c r="F690" s="44"/>
      <c r="G690" t="s">
        <v>6232</v>
      </c>
      <c r="I690" t="s">
        <v>742</v>
      </c>
      <c r="J690" t="s">
        <v>6232</v>
      </c>
      <c r="K690" t="s">
        <v>5235</v>
      </c>
    </row>
    <row r="691" spans="1:38" ht="18.399999999999999" customHeight="1">
      <c r="A691" s="41" t="s">
        <v>1869</v>
      </c>
      <c r="B691" s="37"/>
      <c r="C691" s="37"/>
      <c r="D691" s="37"/>
      <c r="E691" s="37"/>
      <c r="F691" s="45"/>
      <c r="K691" s="3" t="s">
        <v>4858</v>
      </c>
    </row>
    <row r="692" spans="1:38" ht="18.399999999999999" customHeight="1">
      <c r="A692" s="41" t="s">
        <v>6232</v>
      </c>
      <c r="B692" s="37"/>
      <c r="C692" s="37"/>
      <c r="D692" s="37"/>
      <c r="E692" s="37"/>
      <c r="F692" s="45"/>
      <c r="K692" s="3" t="s">
        <v>6232</v>
      </c>
    </row>
    <row r="693" spans="1:38" ht="18.399999999999999" customHeight="1">
      <c r="A693" s="42" t="str">
        <f>CONCATENATE("                L=",TEXT($AB693,"#,##0.0"),"   KM  실시공후 정산")</f>
        <v xml:space="preserve">                L=4.0   KM  실시공후 정산</v>
      </c>
      <c r="B693" s="37"/>
      <c r="C693" s="37"/>
      <c r="D693" s="37"/>
      <c r="E693" s="37"/>
      <c r="F693" s="45"/>
      <c r="K693" s="10" t="str">
        <f>SUBSTITUTE(SUBSTITUTE("                L = 4.0  _x001D_KM_x001D__x001D_실시공후 정산_x001D_","4.0",TEXT($AB693,"#,##0.0"),1),"_x001D_","'")</f>
        <v xml:space="preserve">                L = 4.0  'KM''실시공후 정산'</v>
      </c>
      <c r="AA693" s="39" t="s">
        <v>5842</v>
      </c>
      <c r="AB693" s="6">
        <v>4</v>
      </c>
      <c r="AC693" s="39" t="s">
        <v>5842</v>
      </c>
      <c r="AD693" s="7">
        <f>$AB693</f>
        <v>4</v>
      </c>
    </row>
    <row r="694" spans="1:38" ht="18.399999999999999" customHeight="1">
      <c r="A694" s="41" t="s">
        <v>6214</v>
      </c>
      <c r="B694" s="37"/>
      <c r="C694" s="37"/>
      <c r="D694" s="37"/>
      <c r="E694" s="37"/>
      <c r="F694" s="45"/>
      <c r="K694" s="3" t="s">
        <v>3965</v>
      </c>
    </row>
    <row r="695" spans="1:38" ht="18.399999999999999" customHeight="1">
      <c r="A695" s="42" t="str">
        <f>CONCATENATE("                V=",TEXT($AB695,"#,##0.0"),"  KM/hr")</f>
        <v xml:space="preserve">                V=30.0  KM/hr</v>
      </c>
      <c r="B695" s="37"/>
      <c r="C695" s="37"/>
      <c r="D695" s="37"/>
      <c r="E695" s="37"/>
      <c r="F695" s="45"/>
      <c r="K695" s="10" t="str">
        <f>SUBSTITUTE(SUBSTITUTE("                V = 30.0 _x001D_KM/hr_x001D_","30.0",TEXT($AB695,"#,##0.0"),1),"_x001D_","'")</f>
        <v xml:space="preserve">                V = 30.0 'KM/hr'</v>
      </c>
      <c r="AA695" s="39" t="s">
        <v>247</v>
      </c>
      <c r="AB695" s="6">
        <v>30</v>
      </c>
      <c r="AC695" s="39" t="s">
        <v>247</v>
      </c>
      <c r="AD695" s="7">
        <f>$AB695</f>
        <v>30</v>
      </c>
    </row>
    <row r="696" spans="1:38" ht="18.399999999999999" customHeight="1">
      <c r="A696" s="41" t="s">
        <v>6232</v>
      </c>
      <c r="B696" s="37">
        <f>SUM($C696,$D696,$E696)</f>
        <v>0</v>
      </c>
      <c r="C696" s="37">
        <f>$AB696</f>
        <v>0</v>
      </c>
      <c r="D696" s="37">
        <f>$AF696</f>
        <v>0</v>
      </c>
      <c r="E696" s="37">
        <f>$AJ696</f>
        <v>0</v>
      </c>
      <c r="F696" s="45"/>
      <c r="K696" s="3" t="s">
        <v>295</v>
      </c>
      <c r="AA696" s="40" t="s">
        <v>2660</v>
      </c>
      <c r="AB696" s="8">
        <f>ROUND(0,2)</f>
        <v>0</v>
      </c>
      <c r="AC696" s="40" t="s">
        <v>1650</v>
      </c>
      <c r="AD696" s="7">
        <f>$AB696</f>
        <v>0</v>
      </c>
      <c r="AE696" s="40" t="s">
        <v>5305</v>
      </c>
      <c r="AF696" s="8">
        <f>ROUND(0,2)</f>
        <v>0</v>
      </c>
      <c r="AG696" s="40" t="s">
        <v>5439</v>
      </c>
      <c r="AH696" s="7">
        <f>$AF696</f>
        <v>0</v>
      </c>
      <c r="AI696" s="40" t="s">
        <v>3519</v>
      </c>
      <c r="AJ696" s="8">
        <f>ROUND(0,2)</f>
        <v>0</v>
      </c>
      <c r="AK696" s="40" t="s">
        <v>4149</v>
      </c>
      <c r="AL696" s="7">
        <f>$AJ696</f>
        <v>0</v>
      </c>
    </row>
    <row r="697" spans="1:38" ht="18.399999999999999" customHeight="1">
      <c r="A697" s="41" t="s">
        <v>5524</v>
      </c>
      <c r="B697" s="37"/>
      <c r="C697" s="37"/>
      <c r="D697" s="37"/>
      <c r="E697" s="37"/>
      <c r="F697" s="45"/>
      <c r="K697" s="3" t="s">
        <v>3427</v>
      </c>
    </row>
    <row r="698" spans="1:38" ht="18.399999999999999" customHeight="1">
      <c r="A698" s="41" t="s">
        <v>6232</v>
      </c>
      <c r="B698" s="37"/>
      <c r="C698" s="37"/>
      <c r="D698" s="37"/>
      <c r="E698" s="37"/>
      <c r="F698" s="45"/>
      <c r="K698" s="3" t="s">
        <v>6232</v>
      </c>
    </row>
    <row r="699" spans="1:38" ht="18.399999999999999" customHeight="1">
      <c r="A699" s="41" t="s">
        <v>2653</v>
      </c>
      <c r="B699" s="37"/>
      <c r="C699" s="37"/>
      <c r="D699" s="37"/>
      <c r="E699" s="37"/>
      <c r="F699" s="45"/>
      <c r="K699" s="3" t="s">
        <v>2793</v>
      </c>
    </row>
    <row r="700" spans="1:38" ht="18.399999999999999" customHeight="1">
      <c r="A700" s="41" t="s">
        <v>52</v>
      </c>
      <c r="B700" s="37"/>
      <c r="C700" s="37"/>
      <c r="D700" s="37"/>
      <c r="E700" s="37"/>
      <c r="F700" s="45"/>
      <c r="K700" s="3" t="s">
        <v>3020</v>
      </c>
    </row>
    <row r="701" spans="1:38" ht="18.399999999999999" customHeight="1">
      <c r="A701" s="41" t="s">
        <v>6232</v>
      </c>
      <c r="B701" s="37"/>
      <c r="C701" s="37"/>
      <c r="D701" s="37"/>
      <c r="E701" s="37"/>
      <c r="F701" s="45"/>
      <c r="K701" s="3" t="s">
        <v>6232</v>
      </c>
    </row>
    <row r="702" spans="1:38" ht="18.399999999999999" customHeight="1">
      <c r="A702" s="41" t="s">
        <v>3700</v>
      </c>
      <c r="B702" s="37"/>
      <c r="C702" s="37"/>
      <c r="D702" s="37"/>
      <c r="E702" s="37"/>
      <c r="F702" s="45"/>
      <c r="K702" s="3" t="s">
        <v>2773</v>
      </c>
    </row>
    <row r="703" spans="1:38" ht="18.399999999999999" customHeight="1">
      <c r="A703" s="41" t="s">
        <v>679</v>
      </c>
      <c r="B703" s="37"/>
      <c r="C703" s="37"/>
      <c r="D703" s="37"/>
      <c r="E703" s="37"/>
      <c r="F703" s="45"/>
      <c r="K703" s="3" t="s">
        <v>1995</v>
      </c>
    </row>
    <row r="704" spans="1:38" ht="18.399999999999999" customHeight="1">
      <c r="A704" s="41" t="s">
        <v>5867</v>
      </c>
      <c r="B704" s="37"/>
      <c r="C704" s="37"/>
      <c r="D704" s="37"/>
      <c r="E704" s="37"/>
      <c r="F704" s="45"/>
      <c r="K704" s="3" t="s">
        <v>2096</v>
      </c>
    </row>
    <row r="705" spans="1:34" ht="18.399999999999999" customHeight="1">
      <c r="A705" s="41" t="s">
        <v>6232</v>
      </c>
      <c r="B705" s="37"/>
      <c r="C705" s="37"/>
      <c r="D705" s="37"/>
      <c r="E705" s="37"/>
      <c r="F705" s="45"/>
      <c r="K705" s="3" t="s">
        <v>6232</v>
      </c>
    </row>
    <row r="706" spans="1:34" ht="18.399999999999999" customHeight="1">
      <c r="A706" s="41" t="s">
        <v>663</v>
      </c>
      <c r="B706" s="37"/>
      <c r="C706" s="37"/>
      <c r="D706" s="37"/>
      <c r="E706" s="37"/>
      <c r="F706" s="45"/>
      <c r="K706" s="3" t="s">
        <v>1707</v>
      </c>
    </row>
    <row r="707" spans="1:34" ht="18.399999999999999" customHeight="1">
      <c r="A707" s="41" t="s">
        <v>6232</v>
      </c>
      <c r="B707" s="37"/>
      <c r="C707" s="37"/>
      <c r="D707" s="37"/>
      <c r="E707" s="37"/>
      <c r="F707" s="45"/>
      <c r="K707" s="3" t="s">
        <v>6232</v>
      </c>
    </row>
    <row r="708" spans="1:34" ht="18.399999999999999" customHeight="1">
      <c r="A708" s="41" t="s">
        <v>6134</v>
      </c>
      <c r="B708" s="37"/>
      <c r="C708" s="37"/>
      <c r="D708" s="37"/>
      <c r="E708" s="37"/>
      <c r="F708" s="45"/>
      <c r="K708" s="3" t="s">
        <v>4089</v>
      </c>
    </row>
    <row r="709" spans="1:34" ht="18.399999999999999" customHeight="1">
      <c r="A709" s="41" t="s">
        <v>6232</v>
      </c>
      <c r="B709" s="37"/>
      <c r="C709" s="37"/>
      <c r="D709" s="37"/>
      <c r="E709" s="37"/>
      <c r="F709" s="45"/>
      <c r="K709" s="3" t="s">
        <v>6232</v>
      </c>
    </row>
    <row r="710" spans="1:34" ht="18.399999999999999" customHeight="1">
      <c r="A710" s="41" t="s">
        <v>1517</v>
      </c>
      <c r="B710" s="37"/>
      <c r="C710" s="37"/>
      <c r="D710" s="37"/>
      <c r="E710" s="37"/>
      <c r="F710" s="45"/>
      <c r="K710" s="3" t="s">
        <v>2275</v>
      </c>
    </row>
    <row r="711" spans="1:34" ht="18.399999999999999" customHeight="1">
      <c r="A711" s="41" t="s">
        <v>6232</v>
      </c>
      <c r="B711" s="37"/>
      <c r="C711" s="37"/>
      <c r="D711" s="37"/>
      <c r="E711" s="37"/>
      <c r="F711" s="45"/>
      <c r="K711" s="3" t="s">
        <v>6232</v>
      </c>
    </row>
    <row r="712" spans="1:34" ht="18.399999999999999" customHeight="1">
      <c r="A712" s="41" t="s">
        <v>257</v>
      </c>
      <c r="B712" s="37"/>
      <c r="C712" s="37"/>
      <c r="D712" s="37"/>
      <c r="E712" s="37"/>
      <c r="F712" s="45"/>
      <c r="K712" s="3" t="s">
        <v>1264</v>
      </c>
    </row>
    <row r="713" spans="1:34" ht="18.399999999999999" customHeight="1">
      <c r="A713" s="41" t="s">
        <v>6232</v>
      </c>
      <c r="B713" s="37"/>
      <c r="C713" s="37"/>
      <c r="D713" s="37"/>
      <c r="E713" s="37"/>
      <c r="F713" s="45"/>
      <c r="K713" s="3" t="s">
        <v>6232</v>
      </c>
    </row>
    <row r="714" spans="1:34" ht="18.399999999999999" customHeight="1">
      <c r="A714" s="42" t="str">
        <f>CONCATENATE("   - 1차당 적재량(본)         Q=",TEXT($AB714,"#,##0.00"),"  본")</f>
        <v xml:space="preserve">   - 1차당 적재량(본)         Q=12.00  본</v>
      </c>
      <c r="B714" s="37"/>
      <c r="C714" s="37"/>
      <c r="D714" s="37"/>
      <c r="E714" s="37"/>
      <c r="F714" s="45"/>
      <c r="K714" s="10" t="str">
        <f>SUBSTITUTE(SUBSTITUTE("  _x001D_- 1차당 적재량(본)_x001D_        Q  =  12 _x001D_본_x001D_","12",TEXT($AB714,"#,##0"),1),"_x001D_","'")</f>
        <v xml:space="preserve">  '- 1차당 적재량(본)'        Q  =  12 '본'</v>
      </c>
      <c r="AA714" s="39" t="s">
        <v>4337</v>
      </c>
      <c r="AB714" s="6">
        <v>12</v>
      </c>
      <c r="AC714" s="39" t="s">
        <v>4337</v>
      </c>
      <c r="AD714" s="7">
        <f>$AB714</f>
        <v>12</v>
      </c>
    </row>
    <row r="715" spans="1:34" ht="18.399999999999999" customHeight="1">
      <c r="A715" s="41" t="s">
        <v>6232</v>
      </c>
      <c r="B715" s="37"/>
      <c r="C715" s="37"/>
      <c r="D715" s="37"/>
      <c r="E715" s="37"/>
      <c r="F715" s="45"/>
      <c r="K715" s="3" t="s">
        <v>6232</v>
      </c>
    </row>
    <row r="716" spans="1:34" ht="18.399999999999999" customHeight="1">
      <c r="A716" s="42" t="str">
        <f>CONCATENATE("   - 운반차량 대기시간(12M당)    T1=",TEXT($AB716,"#,##0.00"),"  분")</f>
        <v xml:space="preserve">   - 운반차량 대기시간(12M당)    T1=6.00  분</v>
      </c>
      <c r="B716" s="37"/>
      <c r="C716" s="37"/>
      <c r="D716" s="37"/>
      <c r="E716" s="37"/>
      <c r="F716" s="45"/>
      <c r="K716" s="10" t="str">
        <f>SUBSTITUTE(SUBSTITUTE("  _x001D_- 운반차량 대기시간(12M당)_x001D_   T1 = 6 _x001D_분_x001D_","6",TEXT($AB716,"#,##0"),1),"_x001D_","'")</f>
        <v xml:space="preserve">  '- 운반차량 대기시간(12M당)'   T1 = 6 '분'</v>
      </c>
      <c r="AA716" s="39" t="s">
        <v>4528</v>
      </c>
      <c r="AB716" s="6">
        <v>6</v>
      </c>
      <c r="AC716" s="39" t="s">
        <v>4528</v>
      </c>
      <c r="AD716" s="7">
        <f>$AB716</f>
        <v>6</v>
      </c>
    </row>
    <row r="717" spans="1:34" ht="18.399999999999999" customHeight="1">
      <c r="A717" s="41" t="s">
        <v>6232</v>
      </c>
      <c r="B717" s="37"/>
      <c r="C717" s="37"/>
      <c r="D717" s="37"/>
      <c r="E717" s="37"/>
      <c r="F717" s="45"/>
      <c r="K717" s="3" t="s">
        <v>6232</v>
      </c>
    </row>
    <row r="718" spans="1:34" ht="18.399999999999999" customHeight="1">
      <c r="A718" s="41" t="s">
        <v>4838</v>
      </c>
      <c r="B718" s="37"/>
      <c r="C718" s="37"/>
      <c r="D718" s="37"/>
      <c r="E718" s="37"/>
      <c r="F718" s="45"/>
      <c r="K718" s="3" t="s">
        <v>6093</v>
      </c>
    </row>
    <row r="719" spans="1:34" ht="18.399999999999999" customHeight="1">
      <c r="A719" s="41" t="s">
        <v>6232</v>
      </c>
      <c r="B719" s="37"/>
      <c r="C719" s="37"/>
      <c r="D719" s="37"/>
      <c r="E719" s="37"/>
      <c r="F719" s="45"/>
      <c r="K719" s="3" t="s">
        <v>6232</v>
      </c>
    </row>
    <row r="720" spans="1:34" ht="18.399999999999999" customHeight="1">
      <c r="A720" s="42" t="str">
        <f>CONCATENATE("    T2 = (L / V * 2 * 60 + 20) / Q = ",TEXT($AF720,"#,##0.00")," 분 ")</f>
        <v xml:space="preserve">    T2 = (L / V * 2 * 60 + 20) / Q = 3.00 분 </v>
      </c>
      <c r="B720" s="37">
        <f>SUM($C720,$D720,$E720)</f>
        <v>0</v>
      </c>
      <c r="C720" s="37"/>
      <c r="D720" s="37"/>
      <c r="E720" s="37"/>
      <c r="F720" s="45"/>
      <c r="K720" s="3" t="s">
        <v>3353</v>
      </c>
      <c r="AA720" s="39" t="s">
        <v>5897</v>
      </c>
      <c r="AB720" s="8">
        <f>ROUND(($AD693/$AD695*2*60+20)/$AD714,2)</f>
        <v>3</v>
      </c>
      <c r="AC720" s="39" t="s">
        <v>2053</v>
      </c>
      <c r="AD720" s="7">
        <f>$AB720</f>
        <v>3</v>
      </c>
      <c r="AE720" s="39" t="s">
        <v>2582</v>
      </c>
      <c r="AF720" s="8">
        <f>ROUND(ROUND(($AD693/$AD695*2*60+20)/$AD714,2),2)</f>
        <v>3</v>
      </c>
      <c r="AG720" s="39" t="s">
        <v>6209</v>
      </c>
      <c r="AH720" s="7">
        <f>$AF720</f>
        <v>3</v>
      </c>
    </row>
    <row r="721" spans="1:34" ht="18.399999999999999" customHeight="1">
      <c r="A721" s="41" t="s">
        <v>6232</v>
      </c>
      <c r="B721" s="37"/>
      <c r="C721" s="37"/>
      <c r="D721" s="37"/>
      <c r="E721" s="37"/>
      <c r="F721" s="45"/>
      <c r="K721" s="3" t="s">
        <v>6232</v>
      </c>
    </row>
    <row r="722" spans="1:34" ht="18.399999999999999" customHeight="1">
      <c r="A722" s="41" t="s">
        <v>2391</v>
      </c>
      <c r="B722" s="37"/>
      <c r="C722" s="37"/>
      <c r="D722" s="37"/>
      <c r="E722" s="37"/>
      <c r="F722" s="45"/>
      <c r="K722" s="3" t="s">
        <v>4710</v>
      </c>
    </row>
    <row r="723" spans="1:34" ht="18.399999999999999" customHeight="1">
      <c r="A723" s="41" t="s">
        <v>6232</v>
      </c>
      <c r="B723" s="37"/>
      <c r="C723" s="37"/>
      <c r="D723" s="37"/>
      <c r="E723" s="37"/>
      <c r="F723" s="45"/>
      <c r="K723" s="3" t="s">
        <v>6232</v>
      </c>
    </row>
    <row r="724" spans="1:34" ht="18.399999999999999" customHeight="1">
      <c r="A724" s="42" t="str">
        <f>CONCATENATE("    CM = T1 + T2 = ",TEXT($AF724,"#,##0.00")," 분 ")</f>
        <v xml:space="preserve">    CM = T1 + T2 = 9.00 분 </v>
      </c>
      <c r="B724" s="37">
        <f>SUM($C724,$D724,$E724)</f>
        <v>0</v>
      </c>
      <c r="C724" s="37"/>
      <c r="D724" s="37"/>
      <c r="E724" s="37"/>
      <c r="F724" s="45"/>
      <c r="K724" s="3" t="s">
        <v>6049</v>
      </c>
      <c r="AA724" s="39" t="s">
        <v>5026</v>
      </c>
      <c r="AB724" s="8">
        <f>ROUND($AD716+$AD720,2)</f>
        <v>9</v>
      </c>
      <c r="AC724" s="39" t="s">
        <v>289</v>
      </c>
      <c r="AD724" s="7">
        <f>$AB724</f>
        <v>9</v>
      </c>
      <c r="AE724" s="39" t="s">
        <v>2479</v>
      </c>
      <c r="AF724" s="8">
        <f>ROUND(ROUND($AD716+$AD720,2),2)</f>
        <v>9</v>
      </c>
      <c r="AG724" s="39" t="s">
        <v>111</v>
      </c>
      <c r="AH724" s="7">
        <f>$AF724</f>
        <v>9</v>
      </c>
    </row>
    <row r="725" spans="1:34" ht="18.399999999999999" customHeight="1">
      <c r="A725" s="41" t="s">
        <v>6232</v>
      </c>
      <c r="B725" s="37"/>
      <c r="C725" s="37"/>
      <c r="D725" s="37"/>
      <c r="E725" s="37"/>
      <c r="F725" s="45"/>
      <c r="K725" s="3" t="s">
        <v>6232</v>
      </c>
    </row>
    <row r="726" spans="1:34" ht="18.399999999999999" customHeight="1">
      <c r="A726" s="41" t="s">
        <v>5848</v>
      </c>
      <c r="B726" s="37"/>
      <c r="C726" s="37"/>
      <c r="D726" s="37"/>
      <c r="E726" s="37"/>
      <c r="F726" s="45"/>
      <c r="K726" s="3" t="s">
        <v>788</v>
      </c>
    </row>
    <row r="727" spans="1:34" ht="18.399999999999999" customHeight="1">
      <c r="A727" s="41" t="s">
        <v>6232</v>
      </c>
      <c r="B727" s="37"/>
      <c r="C727" s="37"/>
      <c r="D727" s="37"/>
      <c r="E727" s="37"/>
      <c r="F727" s="45"/>
      <c r="K727" s="3" t="s">
        <v>6232</v>
      </c>
    </row>
    <row r="728" spans="1:34" ht="18.399999999999999" customHeight="1">
      <c r="A728" s="42" t="str">
        <f>CONCATENATE("    Qo = T2 / CM = ",TEXT($AF728,"#,##0.00")," 분 ")</f>
        <v xml:space="preserve">    Qo = T2 / CM = 0.33 분 </v>
      </c>
      <c r="B728" s="37">
        <f>SUM($C728,$D728,$E728)</f>
        <v>0</v>
      </c>
      <c r="C728" s="37"/>
      <c r="D728" s="37"/>
      <c r="E728" s="37"/>
      <c r="F728" s="45"/>
      <c r="K728" s="3" t="s">
        <v>882</v>
      </c>
      <c r="AA728" s="39" t="s">
        <v>1501</v>
      </c>
      <c r="AB728" s="8">
        <f>ROUND($AD720/$AD724,2)</f>
        <v>0.33</v>
      </c>
      <c r="AC728" s="39" t="s">
        <v>2425</v>
      </c>
      <c r="AD728" s="7">
        <f>$AB728</f>
        <v>0.33</v>
      </c>
      <c r="AE728" s="39" t="s">
        <v>2741</v>
      </c>
      <c r="AF728" s="8">
        <f>ROUND(ROUND($AD720/$AD724,2),2)</f>
        <v>0.33</v>
      </c>
      <c r="AG728" s="39" t="s">
        <v>1760</v>
      </c>
      <c r="AH728" s="7">
        <f>$AF728</f>
        <v>0.33</v>
      </c>
    </row>
    <row r="729" spans="1:34" ht="18.399999999999999" customHeight="1">
      <c r="A729" s="41" t="s">
        <v>6232</v>
      </c>
      <c r="B729" s="37"/>
      <c r="C729" s="37"/>
      <c r="D729" s="37"/>
      <c r="E729" s="37"/>
      <c r="F729" s="45"/>
      <c r="K729" s="3" t="s">
        <v>6232</v>
      </c>
    </row>
    <row r="730" spans="1:34" ht="18.399999999999999" customHeight="1">
      <c r="A730" s="41" t="s">
        <v>1042</v>
      </c>
      <c r="B730" s="37"/>
      <c r="C730" s="37"/>
      <c r="D730" s="37"/>
      <c r="E730" s="37"/>
      <c r="F730" s="45"/>
      <c r="K730" s="3" t="s">
        <v>1008</v>
      </c>
    </row>
    <row r="731" spans="1:34" ht="18.399999999999999" customHeight="1">
      <c r="A731" s="41" t="s">
        <v>6232</v>
      </c>
      <c r="B731" s="37"/>
      <c r="C731" s="37"/>
      <c r="D731" s="37"/>
      <c r="E731" s="37"/>
      <c r="F731" s="45"/>
      <c r="K731" s="3" t="s">
        <v>6232</v>
      </c>
    </row>
    <row r="732" spans="1:34" ht="18.399999999999999" customHeight="1">
      <c r="A732" s="42" t="str">
        <f>CONCATENATE("      보통인부 :  2.0 인  * _x001D_169,804_x001D_ * (CM + 6 ) / 60 / 8 = ",TEXT($AB732,"#,##0.0"))</f>
        <v xml:space="preserve">      보통인부 :  2.0 인  * _x001D_169,804_x001D_ * (CM + 6 ) / 60 / 8 = 10,754.2</v>
      </c>
      <c r="B732" s="37">
        <f>SUM($C732,$D732,$E732)</f>
        <v>10754.2</v>
      </c>
      <c r="C732" s="37"/>
      <c r="D732" s="37">
        <f>$AB732</f>
        <v>10754.2</v>
      </c>
      <c r="E732" s="37"/>
      <c r="F732" s="45" t="s">
        <v>6232</v>
      </c>
      <c r="K732" s="3" t="s">
        <v>3933</v>
      </c>
      <c r="AA732" s="40" t="s">
        <v>5305</v>
      </c>
      <c r="AB732" s="8">
        <f>TRUNC(2*노임!D3*($AD724+6)/60/8,1)</f>
        <v>10754.2</v>
      </c>
      <c r="AC732" s="40" t="s">
        <v>5439</v>
      </c>
      <c r="AD732" s="7">
        <f>$AH696+$AB732</f>
        <v>10754.2</v>
      </c>
    </row>
    <row r="733" spans="1:34" ht="18.399999999999999" customHeight="1">
      <c r="A733" s="41" t="s">
        <v>6232</v>
      </c>
      <c r="B733" s="37"/>
      <c r="C733" s="37"/>
      <c r="D733" s="37"/>
      <c r="E733" s="37"/>
      <c r="F733" s="45"/>
      <c r="K733" s="3" t="s">
        <v>6232</v>
      </c>
    </row>
    <row r="734" spans="1:34" ht="18.399999999999999" customHeight="1">
      <c r="A734" s="41" t="s">
        <v>5801</v>
      </c>
      <c r="B734" s="37"/>
      <c r="C734" s="37"/>
      <c r="D734" s="37"/>
      <c r="E734" s="37"/>
      <c r="F734" s="45"/>
      <c r="K734" s="3" t="s">
        <v>775</v>
      </c>
    </row>
    <row r="735" spans="1:34" ht="18.399999999999999" customHeight="1">
      <c r="A735" s="41" t="s">
        <v>6232</v>
      </c>
      <c r="B735" s="37"/>
      <c r="C735" s="37"/>
      <c r="D735" s="37"/>
      <c r="E735" s="37"/>
      <c r="F735" s="45"/>
      <c r="K735" s="3" t="s">
        <v>6232</v>
      </c>
    </row>
    <row r="736" spans="1:34" ht="18.399999999999999" customHeight="1">
      <c r="A736" s="41" t="s">
        <v>2913</v>
      </c>
      <c r="B736" s="37"/>
      <c r="C736" s="37"/>
      <c r="D736" s="37"/>
      <c r="E736" s="37"/>
      <c r="F736" s="45"/>
      <c r="K736" s="3" t="s">
        <v>2204</v>
      </c>
    </row>
    <row r="737" spans="1:30" ht="18.399999999999999" customHeight="1">
      <c r="A737" s="41" t="s">
        <v>6232</v>
      </c>
      <c r="B737" s="37"/>
      <c r="C737" s="37"/>
      <c r="D737" s="37"/>
      <c r="E737" s="37"/>
      <c r="F737" s="45"/>
      <c r="K737" s="3" t="s">
        <v>6232</v>
      </c>
    </row>
    <row r="738" spans="1:30" ht="18.399999999999999" customHeight="1">
      <c r="A738" s="42" t="str">
        <f>CONCATENATE("     재료비:  _x001D_10,105_x001D_ * 9 / 60 = ",TEXT($AB738,"#,##0.0"))</f>
        <v xml:space="preserve">     재료비:  _x001D_10,105_x001D_ * 9 / 60 = 0.0</v>
      </c>
      <c r="B738" s="37">
        <f>SUM($C738,$D738,$E738)</f>
        <v>0</v>
      </c>
      <c r="C738" s="37">
        <f>$AB738</f>
        <v>0</v>
      </c>
      <c r="D738" s="37"/>
      <c r="E738" s="37"/>
      <c r="F738" s="45" t="s">
        <v>6232</v>
      </c>
      <c r="K738" s="3" t="s">
        <v>4139</v>
      </c>
      <c r="AA738" s="40" t="s">
        <v>2660</v>
      </c>
      <c r="AB738" s="8">
        <f>TRUNC(중기사용료목록!E5*9/60,1)</f>
        <v>0</v>
      </c>
      <c r="AC738" s="40" t="s">
        <v>1650</v>
      </c>
      <c r="AD738" s="7">
        <f>$AD696+$AB738</f>
        <v>0</v>
      </c>
    </row>
    <row r="739" spans="1:30" ht="18.399999999999999" customHeight="1">
      <c r="A739" s="41" t="s">
        <v>6232</v>
      </c>
      <c r="B739" s="37"/>
      <c r="C739" s="37"/>
      <c r="D739" s="37"/>
      <c r="E739" s="37"/>
      <c r="F739" s="45"/>
      <c r="K739" s="3" t="s">
        <v>6232</v>
      </c>
    </row>
    <row r="740" spans="1:30" ht="18.399999999999999" customHeight="1">
      <c r="A740" s="42" t="str">
        <f>CONCATENATE("     노무비:  _x001D_57,077_x001D_ * 9 / 60 = ",TEXT($AB740,"#,##0.0"))</f>
        <v xml:space="preserve">     노무비:  _x001D_57,077_x001D_ * 9 / 60 = 0.0</v>
      </c>
      <c r="B740" s="37">
        <f>SUM($C740,$D740,$E740)</f>
        <v>0</v>
      </c>
      <c r="C740" s="37"/>
      <c r="D740" s="37">
        <f>$AB740</f>
        <v>0</v>
      </c>
      <c r="E740" s="37"/>
      <c r="F740" s="45" t="s">
        <v>6232</v>
      </c>
      <c r="K740" s="3" t="s">
        <v>573</v>
      </c>
      <c r="AA740" s="40" t="s">
        <v>5305</v>
      </c>
      <c r="AB740" s="8">
        <f>TRUNC(중기사용료목록!F5*9/60,1)</f>
        <v>0</v>
      </c>
      <c r="AC740" s="40" t="s">
        <v>5439</v>
      </c>
      <c r="AD740" s="7">
        <f>$AD732+$AB740</f>
        <v>10754.2</v>
      </c>
    </row>
    <row r="741" spans="1:30" ht="18.399999999999999" customHeight="1">
      <c r="A741" s="41" t="s">
        <v>6232</v>
      </c>
      <c r="B741" s="37"/>
      <c r="C741" s="37"/>
      <c r="D741" s="37"/>
      <c r="E741" s="37"/>
      <c r="F741" s="45"/>
      <c r="K741" s="3" t="s">
        <v>6232</v>
      </c>
    </row>
    <row r="742" spans="1:30" ht="18.399999999999999" customHeight="1">
      <c r="A742" s="42" t="str">
        <f>CONCATENATE("     경  비:  _x001D_52,687_x001D_ * 9 / 60 = ",TEXT($AB742,"#,##0.0"))</f>
        <v xml:space="preserve">     경  비:  _x001D_52,687_x001D_ * 9 / 60 = 18,437.5</v>
      </c>
      <c r="B742" s="37">
        <f>SUM($C742,$D742,$E742)</f>
        <v>18437.5</v>
      </c>
      <c r="C742" s="37"/>
      <c r="D742" s="37"/>
      <c r="E742" s="37">
        <f>$AB742</f>
        <v>18437.5</v>
      </c>
      <c r="F742" s="45" t="s">
        <v>6232</v>
      </c>
      <c r="K742" s="3" t="s">
        <v>1261</v>
      </c>
      <c r="AA742" s="40" t="s">
        <v>3519</v>
      </c>
      <c r="AB742" s="8">
        <f>TRUNC(중기사용료목록!G5*9/60,1)</f>
        <v>18437.5</v>
      </c>
      <c r="AC742" s="40" t="s">
        <v>4149</v>
      </c>
      <c r="AD742" s="7">
        <f>$AL696+$AB742</f>
        <v>18437.5</v>
      </c>
    </row>
    <row r="743" spans="1:30" ht="18.399999999999999" customHeight="1">
      <c r="A743" s="41" t="s">
        <v>6232</v>
      </c>
      <c r="B743" s="37"/>
      <c r="C743" s="37"/>
      <c r="D743" s="37"/>
      <c r="E743" s="37"/>
      <c r="F743" s="45"/>
      <c r="K743" s="3" t="s">
        <v>6232</v>
      </c>
    </row>
    <row r="744" spans="1:30" ht="18.399999999999999" customHeight="1">
      <c r="A744" s="41" t="s">
        <v>1530</v>
      </c>
      <c r="B744" s="37"/>
      <c r="C744" s="37"/>
      <c r="D744" s="37"/>
      <c r="E744" s="37"/>
      <c r="F744" s="45"/>
      <c r="K744" s="3" t="s">
        <v>2021</v>
      </c>
    </row>
    <row r="745" spans="1:30" ht="18.399999999999999" customHeight="1">
      <c r="A745" s="41" t="s">
        <v>6232</v>
      </c>
      <c r="B745" s="37"/>
      <c r="C745" s="37"/>
      <c r="D745" s="37"/>
      <c r="E745" s="37"/>
      <c r="F745" s="45"/>
      <c r="K745" s="3" t="s">
        <v>6232</v>
      </c>
    </row>
    <row r="746" spans="1:30" ht="18.399999999999999" customHeight="1">
      <c r="A746" s="42" t="str">
        <f>CONCATENATE("     재료비:  _x001D_30,878_x001D_ * CM / 60 * Qo = ",TEXT($AB746,"#,##0.0"))</f>
        <v xml:space="preserve">     재료비:  _x001D_30,878_x001D_ * CM / 60 * Qo = 0.0</v>
      </c>
      <c r="B746" s="37">
        <f>SUM($C746,$D746,$E746)</f>
        <v>0</v>
      </c>
      <c r="C746" s="37">
        <f>$AB746</f>
        <v>0</v>
      </c>
      <c r="D746" s="37"/>
      <c r="E746" s="37"/>
      <c r="F746" s="45" t="s">
        <v>6232</v>
      </c>
      <c r="K746" s="3" t="s">
        <v>4711</v>
      </c>
      <c r="AA746" s="40" t="s">
        <v>2660</v>
      </c>
      <c r="AB746" s="8">
        <f>TRUNC(중기사용료목록!E7*$AD724/60*$AD728,1)</f>
        <v>0</v>
      </c>
      <c r="AC746" s="40" t="s">
        <v>1650</v>
      </c>
      <c r="AD746" s="7">
        <f>$AD738+$AB746</f>
        <v>0</v>
      </c>
    </row>
    <row r="747" spans="1:30" ht="18.399999999999999" customHeight="1">
      <c r="A747" s="41" t="s">
        <v>6232</v>
      </c>
      <c r="B747" s="37"/>
      <c r="C747" s="37"/>
      <c r="D747" s="37"/>
      <c r="E747" s="37"/>
      <c r="F747" s="45"/>
      <c r="K747" s="3" t="s">
        <v>6232</v>
      </c>
    </row>
    <row r="748" spans="1:30" ht="18.399999999999999" customHeight="1">
      <c r="A748" s="42" t="str">
        <f>CONCATENATE("     노무비:  _x001D_57,077_x001D_ * CM / 60 = ",TEXT($AB748,"#,##0.0"))</f>
        <v xml:space="preserve">     노무비:  _x001D_57,077_x001D_ * CM / 60 = 0.0</v>
      </c>
      <c r="B748" s="37">
        <f>SUM($C748,$D748,$E748)</f>
        <v>0</v>
      </c>
      <c r="C748" s="37"/>
      <c r="D748" s="37">
        <f>$AB748</f>
        <v>0</v>
      </c>
      <c r="E748" s="37"/>
      <c r="F748" s="45" t="s">
        <v>6232</v>
      </c>
      <c r="K748" s="3" t="s">
        <v>3619</v>
      </c>
      <c r="AA748" s="40" t="s">
        <v>5305</v>
      </c>
      <c r="AB748" s="8">
        <f>TRUNC(중기사용료목록!F7*$AD724/60,1)</f>
        <v>0</v>
      </c>
      <c r="AC748" s="40" t="s">
        <v>5439</v>
      </c>
      <c r="AD748" s="7">
        <f>$AD740+$AB748</f>
        <v>10754.2</v>
      </c>
    </row>
    <row r="749" spans="1:30" ht="18.399999999999999" customHeight="1">
      <c r="A749" s="41" t="s">
        <v>6232</v>
      </c>
      <c r="B749" s="37"/>
      <c r="C749" s="37"/>
      <c r="D749" s="37"/>
      <c r="E749" s="37"/>
      <c r="F749" s="45"/>
      <c r="K749" s="3" t="s">
        <v>6232</v>
      </c>
    </row>
    <row r="750" spans="1:30" ht="18.399999999999999" customHeight="1">
      <c r="A750" s="42" t="str">
        <f>CONCATENATE("     경  비:  _x001D_16,873_x001D_ * CM / 60 = ",TEXT($AB750,"#,##0.0"))</f>
        <v xml:space="preserve">     경  비:  _x001D_16,873_x001D_ * CM / 60 = 16,745.2</v>
      </c>
      <c r="B750" s="37">
        <f>SUM($C750,$D750,$E750)</f>
        <v>16745.2</v>
      </c>
      <c r="C750" s="37"/>
      <c r="D750" s="37"/>
      <c r="E750" s="37">
        <f>$AB750</f>
        <v>16745.2</v>
      </c>
      <c r="F750" s="45" t="s">
        <v>6232</v>
      </c>
      <c r="K750" s="3" t="s">
        <v>5622</v>
      </c>
      <c r="AA750" s="40" t="s">
        <v>3519</v>
      </c>
      <c r="AB750" s="8">
        <f>TRUNC(중기사용료목록!G7*$AD724/60,1)</f>
        <v>16745.2</v>
      </c>
      <c r="AC750" s="40" t="s">
        <v>4149</v>
      </c>
      <c r="AD750" s="7">
        <f>$AD742+$AB750</f>
        <v>35182.699999999997</v>
      </c>
    </row>
    <row r="751" spans="1:30" ht="18.399999999999999" customHeight="1">
      <c r="A751" s="41" t="s">
        <v>6232</v>
      </c>
      <c r="B751" s="37"/>
      <c r="C751" s="37"/>
      <c r="D751" s="37"/>
      <c r="E751" s="37"/>
      <c r="F751" s="45"/>
      <c r="K751" s="3" t="s">
        <v>6232</v>
      </c>
    </row>
    <row r="752" spans="1:30" ht="18.399999999999999" customHeight="1">
      <c r="A752" s="41" t="s">
        <v>4035</v>
      </c>
      <c r="B752" s="37">
        <v>41213.699999999997</v>
      </c>
      <c r="C752" s="37">
        <v>3044.1</v>
      </c>
      <c r="D752" s="37">
        <v>27735.7</v>
      </c>
      <c r="E752" s="37">
        <v>10433.9</v>
      </c>
      <c r="F752" s="45"/>
      <c r="K752" s="3" t="s">
        <v>6070</v>
      </c>
    </row>
    <row r="753" spans="1:38" ht="18.399999999999999" customHeight="1">
      <c r="A753" s="41" t="s">
        <v>6232</v>
      </c>
      <c r="B753" s="37">
        <f>SUM($C753,$D753,$E753)</f>
        <v>0</v>
      </c>
      <c r="C753" s="37">
        <f>$AB753</f>
        <v>0</v>
      </c>
      <c r="D753" s="37">
        <f>$AF753</f>
        <v>0</v>
      </c>
      <c r="E753" s="37">
        <f>$AJ753</f>
        <v>0</v>
      </c>
      <c r="F753" s="45"/>
      <c r="K753" s="3" t="s">
        <v>5506</v>
      </c>
      <c r="AA753" s="40" t="s">
        <v>4586</v>
      </c>
      <c r="AB753" s="8">
        <f>ROUND(0,2)</f>
        <v>0</v>
      </c>
      <c r="AC753" s="40" t="s">
        <v>4161</v>
      </c>
      <c r="AD753" s="7">
        <f>$AB753</f>
        <v>0</v>
      </c>
      <c r="AE753" s="40" t="s">
        <v>222</v>
      </c>
      <c r="AF753" s="8">
        <f>ROUND(0,2)</f>
        <v>0</v>
      </c>
      <c r="AG753" s="40" t="s">
        <v>334</v>
      </c>
      <c r="AH753" s="7">
        <f>$AF753</f>
        <v>0</v>
      </c>
      <c r="AI753" s="40" t="s">
        <v>1574</v>
      </c>
      <c r="AJ753" s="8">
        <f>ROUND(0,2)</f>
        <v>0</v>
      </c>
      <c r="AK753" s="40" t="s">
        <v>1622</v>
      </c>
      <c r="AL753" s="7">
        <f>$AJ753</f>
        <v>0</v>
      </c>
    </row>
    <row r="754" spans="1:38" ht="18.399999999999999" customHeight="1">
      <c r="A754" s="41" t="s">
        <v>318</v>
      </c>
      <c r="B754" s="37">
        <f>SUM($C754,$D754,$E754)</f>
        <v>3827.9</v>
      </c>
      <c r="C754" s="37">
        <f>$AB754</f>
        <v>0</v>
      </c>
      <c r="D754" s="37">
        <f>$AF754</f>
        <v>896.1</v>
      </c>
      <c r="E754" s="37">
        <f>$AJ754</f>
        <v>2931.8</v>
      </c>
      <c r="F754" s="45"/>
      <c r="K754" s="3" t="s">
        <v>4286</v>
      </c>
      <c r="AA754" s="40" t="s">
        <v>4586</v>
      </c>
      <c r="AB754" s="8">
        <f>TRUNC($AD746/12,1)</f>
        <v>0</v>
      </c>
      <c r="AC754" s="40" t="s">
        <v>4161</v>
      </c>
      <c r="AD754" s="7">
        <f>$AB754</f>
        <v>0</v>
      </c>
      <c r="AE754" s="40" t="s">
        <v>222</v>
      </c>
      <c r="AF754" s="8">
        <f>TRUNC($AD748/12,1)</f>
        <v>896.1</v>
      </c>
      <c r="AG754" s="40" t="s">
        <v>334</v>
      </c>
      <c r="AH754" s="7">
        <f>$AF754</f>
        <v>896.1</v>
      </c>
      <c r="AI754" s="40" t="s">
        <v>1574</v>
      </c>
      <c r="AJ754" s="8">
        <f>TRUNC($AD750/12,1)</f>
        <v>2931.8</v>
      </c>
      <c r="AK754" s="40" t="s">
        <v>1622</v>
      </c>
      <c r="AL754" s="7">
        <f>$AJ754</f>
        <v>2931.8</v>
      </c>
    </row>
    <row r="755" spans="1:38" ht="18.399999999999999" customHeight="1">
      <c r="A755" s="41" t="s">
        <v>6232</v>
      </c>
      <c r="B755" s="37"/>
      <c r="C755" s="37"/>
      <c r="D755" s="37"/>
      <c r="E755" s="37"/>
      <c r="F755" s="45"/>
      <c r="K755" s="3" t="s">
        <v>6232</v>
      </c>
    </row>
    <row r="756" spans="1:38" ht="18.399999999999999" customHeight="1">
      <c r="A756" s="41" t="s">
        <v>3436</v>
      </c>
      <c r="B756" s="37">
        <v>3434.3</v>
      </c>
      <c r="C756" s="37">
        <v>253.6</v>
      </c>
      <c r="D756" s="37">
        <v>2311.3000000000002</v>
      </c>
      <c r="E756" s="37">
        <v>869.4</v>
      </c>
      <c r="F756" s="45"/>
      <c r="K756" s="3" t="s">
        <v>1342</v>
      </c>
    </row>
    <row r="757" spans="1:38" ht="18.399999999999999" customHeight="1">
      <c r="A757" s="41" t="s">
        <v>6232</v>
      </c>
      <c r="B757" s="37">
        <f>SUM($C757,$D757,$E757)</f>
        <v>0</v>
      </c>
      <c r="C757" s="37">
        <f>$AB757</f>
        <v>0</v>
      </c>
      <c r="D757" s="37">
        <f>$AF757</f>
        <v>0</v>
      </c>
      <c r="E757" s="37">
        <f>$AJ757</f>
        <v>0</v>
      </c>
      <c r="F757" s="45"/>
      <c r="K757" s="3" t="s">
        <v>3238</v>
      </c>
      <c r="AA757" s="40" t="s">
        <v>308</v>
      </c>
      <c r="AB757" s="8">
        <f>ROUND(0,2)</f>
        <v>0</v>
      </c>
      <c r="AC757" s="40" t="s">
        <v>5000</v>
      </c>
      <c r="AD757" s="7">
        <f>$AB757</f>
        <v>0</v>
      </c>
      <c r="AE757" s="40" t="s">
        <v>4500</v>
      </c>
      <c r="AF757" s="8">
        <f>ROUND(0,2)</f>
        <v>0</v>
      </c>
      <c r="AG757" s="40" t="s">
        <v>2603</v>
      </c>
      <c r="AH757" s="7">
        <f>$AF757</f>
        <v>0</v>
      </c>
      <c r="AI757" s="40" t="s">
        <v>5878</v>
      </c>
      <c r="AJ757" s="8">
        <f>ROUND(0,2)</f>
        <v>0</v>
      </c>
      <c r="AK757" s="40" t="s">
        <v>787</v>
      </c>
      <c r="AL757" s="7">
        <f>$AJ757</f>
        <v>0</v>
      </c>
    </row>
    <row r="758" spans="1:38" ht="18.399999999999999" customHeight="1">
      <c r="A758" s="41" t="s">
        <v>2605</v>
      </c>
      <c r="B758" s="37">
        <f>SUM($C758,$D758,$E758)</f>
        <v>4199.1000000000004</v>
      </c>
      <c r="C758" s="37">
        <f>$AB758</f>
        <v>0</v>
      </c>
      <c r="D758" s="37">
        <f>$AF758</f>
        <v>983</v>
      </c>
      <c r="E758" s="37">
        <f>$AJ758</f>
        <v>3216.1</v>
      </c>
      <c r="F758" s="45"/>
      <c r="K758" s="3" t="s">
        <v>2347</v>
      </c>
      <c r="AA758" s="40" t="s">
        <v>308</v>
      </c>
      <c r="AB758" s="8">
        <f>TRUNC($AD754*1.097,1)</f>
        <v>0</v>
      </c>
      <c r="AC758" s="40" t="s">
        <v>5000</v>
      </c>
      <c r="AD758" s="7">
        <f>$AB758</f>
        <v>0</v>
      </c>
      <c r="AE758" s="40" t="s">
        <v>4500</v>
      </c>
      <c r="AF758" s="8">
        <f>TRUNC($AH754*1.097,1)</f>
        <v>983</v>
      </c>
      <c r="AG758" s="40" t="s">
        <v>2603</v>
      </c>
      <c r="AH758" s="7">
        <f>$AF758</f>
        <v>983</v>
      </c>
      <c r="AI758" s="40" t="s">
        <v>5878</v>
      </c>
      <c r="AJ758" s="8">
        <f>TRUNC($AL754*1.097,1)</f>
        <v>3216.1</v>
      </c>
      <c r="AK758" s="40" t="s">
        <v>787</v>
      </c>
      <c r="AL758" s="7">
        <f>$AJ758</f>
        <v>3216.1</v>
      </c>
    </row>
    <row r="759" spans="1:38" ht="18.399999999999999" customHeight="1">
      <c r="A759" s="41" t="s">
        <v>6232</v>
      </c>
      <c r="B759" s="37"/>
      <c r="C759" s="37"/>
      <c r="D759" s="37"/>
      <c r="E759" s="37"/>
      <c r="F759" s="45"/>
      <c r="K759" s="3" t="s">
        <v>6232</v>
      </c>
    </row>
    <row r="760" spans="1:38" ht="18.399999999999999" customHeight="1">
      <c r="A760" s="41" t="s">
        <v>3436</v>
      </c>
      <c r="B760" s="37">
        <f>SUM($C760,$D760,$E760)</f>
        <v>4199.1000000000004</v>
      </c>
      <c r="C760" s="37">
        <f>$AB760</f>
        <v>0</v>
      </c>
      <c r="D760" s="37">
        <f>$AF760</f>
        <v>983</v>
      </c>
      <c r="E760" s="37">
        <f>$AJ760</f>
        <v>3216.1</v>
      </c>
      <c r="F760" s="45"/>
      <c r="K760" s="3" t="s">
        <v>4527</v>
      </c>
      <c r="AA760" s="40" t="s">
        <v>4592</v>
      </c>
      <c r="AB760" s="8">
        <f>TRUNC($AD758,1)</f>
        <v>0</v>
      </c>
      <c r="AC760" s="40" t="s">
        <v>5149</v>
      </c>
      <c r="AD760" s="7">
        <f>$AB760</f>
        <v>0</v>
      </c>
      <c r="AE760" s="40" t="s">
        <v>666</v>
      </c>
      <c r="AF760" s="8">
        <f>TRUNC($AH758,1)</f>
        <v>983</v>
      </c>
      <c r="AG760" s="40" t="s">
        <v>2431</v>
      </c>
      <c r="AH760" s="7">
        <f>$AF760</f>
        <v>983</v>
      </c>
      <c r="AI760" s="40" t="s">
        <v>1930</v>
      </c>
      <c r="AJ760" s="8">
        <f>TRUNC($AL758,1)</f>
        <v>3216.1</v>
      </c>
      <c r="AK760" s="40" t="s">
        <v>3349</v>
      </c>
      <c r="AL760" s="7">
        <f>$AJ760</f>
        <v>3216.1</v>
      </c>
    </row>
    <row r="761" spans="1:38" ht="18.399999999999999" customHeight="1">
      <c r="A761" s="41"/>
      <c r="B761" s="3"/>
      <c r="C761" s="3"/>
      <c r="D761" s="3"/>
      <c r="E761" s="3"/>
      <c r="F761" s="44"/>
    </row>
    <row r="762" spans="1:38" ht="18.399999999999999" customHeight="1">
      <c r="A762" s="43" t="s">
        <v>3543</v>
      </c>
      <c r="B762" s="38">
        <f>SUM($C762,$D762,$E762)</f>
        <v>4199</v>
      </c>
      <c r="C762" s="38">
        <f>TRUNC(SUM($AD760),0)</f>
        <v>0</v>
      </c>
      <c r="D762" s="38">
        <f>TRUNC(SUM($AH760),0)</f>
        <v>983</v>
      </c>
      <c r="E762" s="38">
        <f>TRUNC(SUM($AL760),0)</f>
        <v>3216</v>
      </c>
      <c r="F762" s="46"/>
    </row>
    <row r="763" spans="1:38" ht="18.399999999999999" customHeight="1">
      <c r="A763" s="41"/>
      <c r="B763" s="3"/>
      <c r="C763" s="3"/>
      <c r="D763" s="3"/>
      <c r="E763" s="3"/>
      <c r="F763" s="44"/>
    </row>
    <row r="764" spans="1:38" ht="18.399999999999999" customHeight="1">
      <c r="A764" s="41" t="s">
        <v>707</v>
      </c>
      <c r="B764" s="36">
        <f>$B838</f>
        <v>3889</v>
      </c>
      <c r="C764" s="36">
        <f>$C838</f>
        <v>0</v>
      </c>
      <c r="D764" s="36">
        <f>$D838</f>
        <v>943</v>
      </c>
      <c r="E764" s="36">
        <f>$E838</f>
        <v>2946</v>
      </c>
      <c r="F764" s="44" t="s">
        <v>3378</v>
      </c>
      <c r="G764" t="s">
        <v>6232</v>
      </c>
      <c r="H764" t="s">
        <v>3017</v>
      </c>
      <c r="K764">
        <v>1</v>
      </c>
      <c r="Y764" s="7" t="b">
        <f>EXACT($Z764,$B838)</f>
        <v>0</v>
      </c>
      <c r="Z764" s="38">
        <v>3470</v>
      </c>
    </row>
    <row r="765" spans="1:38" ht="18.399999999999999" customHeight="1">
      <c r="A765" s="41"/>
      <c r="B765" s="3"/>
      <c r="C765" s="3"/>
      <c r="D765" s="3"/>
      <c r="E765" s="3"/>
      <c r="F765" s="44"/>
    </row>
    <row r="766" spans="1:38" ht="18.399999999999999" customHeight="1">
      <c r="A766" s="41" t="s">
        <v>6232</v>
      </c>
      <c r="B766" s="3"/>
      <c r="C766" s="3"/>
      <c r="D766" s="3"/>
      <c r="E766" s="3"/>
      <c r="F766" s="44"/>
      <c r="G766" t="s">
        <v>6232</v>
      </c>
      <c r="I766" t="s">
        <v>742</v>
      </c>
      <c r="J766" t="s">
        <v>6232</v>
      </c>
      <c r="K766" t="s">
        <v>5235</v>
      </c>
    </row>
    <row r="767" spans="1:38" ht="18.399999999999999" customHeight="1">
      <c r="A767" s="41" t="s">
        <v>4475</v>
      </c>
      <c r="B767" s="37"/>
      <c r="C767" s="37"/>
      <c r="D767" s="37"/>
      <c r="E767" s="37"/>
      <c r="F767" s="45"/>
      <c r="K767" s="3" t="s">
        <v>2543</v>
      </c>
    </row>
    <row r="768" spans="1:38" ht="18.399999999999999" customHeight="1">
      <c r="A768" s="41" t="s">
        <v>6232</v>
      </c>
      <c r="B768" s="37"/>
      <c r="C768" s="37"/>
      <c r="D768" s="37"/>
      <c r="E768" s="37"/>
      <c r="F768" s="45"/>
      <c r="K768" s="3" t="s">
        <v>6232</v>
      </c>
    </row>
    <row r="769" spans="1:38" ht="18.399999999999999" customHeight="1">
      <c r="A769" s="42" t="str">
        <f>CONCATENATE("                L=",TEXT($AB769,"#,##0.0"),"   KM  실시공후 정산")</f>
        <v xml:space="preserve">                L=4.0   KM  실시공후 정산</v>
      </c>
      <c r="B769" s="37"/>
      <c r="C769" s="37"/>
      <c r="D769" s="37"/>
      <c r="E769" s="37"/>
      <c r="F769" s="45"/>
      <c r="K769" s="10" t="str">
        <f>SUBSTITUTE(SUBSTITUTE("                L = 4.0  _x001D_KM_x001D__x001D_실시공후 정산_x001D_","4.0",TEXT($AB769,"#,##0.0"),1),"_x001D_","'")</f>
        <v xml:space="preserve">                L = 4.0  'KM''실시공후 정산'</v>
      </c>
      <c r="AA769" s="39" t="s">
        <v>5842</v>
      </c>
      <c r="AB769" s="6">
        <v>4</v>
      </c>
      <c r="AC769" s="39" t="s">
        <v>5842</v>
      </c>
      <c r="AD769" s="7">
        <f>$AB769</f>
        <v>4</v>
      </c>
    </row>
    <row r="770" spans="1:38" ht="18.399999999999999" customHeight="1">
      <c r="A770" s="41" t="s">
        <v>6214</v>
      </c>
      <c r="B770" s="37"/>
      <c r="C770" s="37"/>
      <c r="D770" s="37"/>
      <c r="E770" s="37"/>
      <c r="F770" s="45"/>
      <c r="K770" s="3" t="s">
        <v>3965</v>
      </c>
    </row>
    <row r="771" spans="1:38" ht="18.399999999999999" customHeight="1">
      <c r="A771" s="42" t="str">
        <f>CONCATENATE("                V=",TEXT($AB771,"#,##0.0"),"  KM/hr")</f>
        <v xml:space="preserve">                V=30.0  KM/hr</v>
      </c>
      <c r="B771" s="37"/>
      <c r="C771" s="37"/>
      <c r="D771" s="37"/>
      <c r="E771" s="37"/>
      <c r="F771" s="45"/>
      <c r="K771" s="10" t="str">
        <f>SUBSTITUTE(SUBSTITUTE("                V = 30.0 _x001D_KM/hr_x001D_","30.0",TEXT($AB771,"#,##0.0"),1),"_x001D_","'")</f>
        <v xml:space="preserve">                V = 30.0 'KM/hr'</v>
      </c>
      <c r="AA771" s="39" t="s">
        <v>247</v>
      </c>
      <c r="AB771" s="6">
        <v>30</v>
      </c>
      <c r="AC771" s="39" t="s">
        <v>247</v>
      </c>
      <c r="AD771" s="7">
        <f>$AB771</f>
        <v>30</v>
      </c>
    </row>
    <row r="772" spans="1:38" ht="18.399999999999999" customHeight="1">
      <c r="A772" s="41" t="s">
        <v>6232</v>
      </c>
      <c r="B772" s="37">
        <f>SUM($C772,$D772,$E772)</f>
        <v>0</v>
      </c>
      <c r="C772" s="37">
        <f>$AB772</f>
        <v>0</v>
      </c>
      <c r="D772" s="37">
        <f>$AF772</f>
        <v>0</v>
      </c>
      <c r="E772" s="37">
        <f>$AJ772</f>
        <v>0</v>
      </c>
      <c r="F772" s="45"/>
      <c r="K772" s="3" t="s">
        <v>295</v>
      </c>
      <c r="AA772" s="40" t="s">
        <v>2660</v>
      </c>
      <c r="AB772" s="8">
        <f>ROUND(0,2)</f>
        <v>0</v>
      </c>
      <c r="AC772" s="40" t="s">
        <v>1650</v>
      </c>
      <c r="AD772" s="7">
        <f>$AB772</f>
        <v>0</v>
      </c>
      <c r="AE772" s="40" t="s">
        <v>5305</v>
      </c>
      <c r="AF772" s="8">
        <f>ROUND(0,2)</f>
        <v>0</v>
      </c>
      <c r="AG772" s="40" t="s">
        <v>5439</v>
      </c>
      <c r="AH772" s="7">
        <f>$AF772</f>
        <v>0</v>
      </c>
      <c r="AI772" s="40" t="s">
        <v>3519</v>
      </c>
      <c r="AJ772" s="8">
        <f>ROUND(0,2)</f>
        <v>0</v>
      </c>
      <c r="AK772" s="40" t="s">
        <v>4149</v>
      </c>
      <c r="AL772" s="7">
        <f>$AJ772</f>
        <v>0</v>
      </c>
    </row>
    <row r="773" spans="1:38" ht="18.399999999999999" customHeight="1">
      <c r="A773" s="41" t="s">
        <v>5524</v>
      </c>
      <c r="B773" s="37"/>
      <c r="C773" s="37"/>
      <c r="D773" s="37"/>
      <c r="E773" s="37"/>
      <c r="F773" s="45"/>
      <c r="K773" s="3" t="s">
        <v>3427</v>
      </c>
    </row>
    <row r="774" spans="1:38" ht="18.399999999999999" customHeight="1">
      <c r="A774" s="41" t="s">
        <v>6232</v>
      </c>
      <c r="B774" s="37"/>
      <c r="C774" s="37"/>
      <c r="D774" s="37"/>
      <c r="E774" s="37"/>
      <c r="F774" s="45"/>
      <c r="K774" s="3" t="s">
        <v>6232</v>
      </c>
    </row>
    <row r="775" spans="1:38" ht="18.399999999999999" customHeight="1">
      <c r="A775" s="41" t="s">
        <v>2653</v>
      </c>
      <c r="B775" s="37"/>
      <c r="C775" s="37"/>
      <c r="D775" s="37"/>
      <c r="E775" s="37"/>
      <c r="F775" s="45"/>
      <c r="K775" s="3" t="s">
        <v>2793</v>
      </c>
    </row>
    <row r="776" spans="1:38" ht="18.399999999999999" customHeight="1">
      <c r="A776" s="41" t="s">
        <v>52</v>
      </c>
      <c r="B776" s="37"/>
      <c r="C776" s="37"/>
      <c r="D776" s="37"/>
      <c r="E776" s="37"/>
      <c r="F776" s="45"/>
      <c r="K776" s="3" t="s">
        <v>3020</v>
      </c>
    </row>
    <row r="777" spans="1:38" ht="18.399999999999999" customHeight="1">
      <c r="A777" s="41" t="s">
        <v>6232</v>
      </c>
      <c r="B777" s="37"/>
      <c r="C777" s="37"/>
      <c r="D777" s="37"/>
      <c r="E777" s="37"/>
      <c r="F777" s="45"/>
      <c r="K777" s="3" t="s">
        <v>6232</v>
      </c>
    </row>
    <row r="778" spans="1:38" ht="18.399999999999999" customHeight="1">
      <c r="A778" s="41" t="s">
        <v>3700</v>
      </c>
      <c r="B778" s="37"/>
      <c r="C778" s="37"/>
      <c r="D778" s="37"/>
      <c r="E778" s="37"/>
      <c r="F778" s="45"/>
      <c r="K778" s="3" t="s">
        <v>2773</v>
      </c>
    </row>
    <row r="779" spans="1:38" ht="18.399999999999999" customHeight="1">
      <c r="A779" s="41" t="s">
        <v>679</v>
      </c>
      <c r="B779" s="37"/>
      <c r="C779" s="37"/>
      <c r="D779" s="37"/>
      <c r="E779" s="37"/>
      <c r="F779" s="45"/>
      <c r="K779" s="3" t="s">
        <v>1995</v>
      </c>
    </row>
    <row r="780" spans="1:38" ht="18.399999999999999" customHeight="1">
      <c r="A780" s="41" t="s">
        <v>5867</v>
      </c>
      <c r="B780" s="37"/>
      <c r="C780" s="37"/>
      <c r="D780" s="37"/>
      <c r="E780" s="37"/>
      <c r="F780" s="45"/>
      <c r="K780" s="3" t="s">
        <v>2096</v>
      </c>
    </row>
    <row r="781" spans="1:38" ht="18.399999999999999" customHeight="1">
      <c r="A781" s="41" t="s">
        <v>6232</v>
      </c>
      <c r="B781" s="37"/>
      <c r="C781" s="37"/>
      <c r="D781" s="37"/>
      <c r="E781" s="37"/>
      <c r="F781" s="45"/>
      <c r="K781" s="3" t="s">
        <v>6232</v>
      </c>
    </row>
    <row r="782" spans="1:38" ht="18.399999999999999" customHeight="1">
      <c r="A782" s="41" t="s">
        <v>5833</v>
      </c>
      <c r="B782" s="37"/>
      <c r="C782" s="37"/>
      <c r="D782" s="37"/>
      <c r="E782" s="37"/>
      <c r="F782" s="45"/>
      <c r="K782" s="3" t="s">
        <v>2794</v>
      </c>
    </row>
    <row r="783" spans="1:38" ht="18.399999999999999" customHeight="1">
      <c r="A783" s="41" t="s">
        <v>6232</v>
      </c>
      <c r="B783" s="37"/>
      <c r="C783" s="37"/>
      <c r="D783" s="37"/>
      <c r="E783" s="37"/>
      <c r="F783" s="45"/>
      <c r="K783" s="3" t="s">
        <v>6232</v>
      </c>
    </row>
    <row r="784" spans="1:38" ht="18.399999999999999" customHeight="1">
      <c r="A784" s="41" t="s">
        <v>6134</v>
      </c>
      <c r="B784" s="37"/>
      <c r="C784" s="37"/>
      <c r="D784" s="37"/>
      <c r="E784" s="37"/>
      <c r="F784" s="45"/>
      <c r="K784" s="3" t="s">
        <v>4089</v>
      </c>
    </row>
    <row r="785" spans="1:34" ht="18.399999999999999" customHeight="1">
      <c r="A785" s="41" t="s">
        <v>6232</v>
      </c>
      <c r="B785" s="37"/>
      <c r="C785" s="37"/>
      <c r="D785" s="37"/>
      <c r="E785" s="37"/>
      <c r="F785" s="45"/>
      <c r="K785" s="3" t="s">
        <v>6232</v>
      </c>
    </row>
    <row r="786" spans="1:34" ht="18.399999999999999" customHeight="1">
      <c r="A786" s="41" t="s">
        <v>2299</v>
      </c>
      <c r="B786" s="37"/>
      <c r="C786" s="37"/>
      <c r="D786" s="37"/>
      <c r="E786" s="37"/>
      <c r="F786" s="45"/>
      <c r="K786" s="3" t="s">
        <v>3083</v>
      </c>
    </row>
    <row r="787" spans="1:34" ht="18.399999999999999" customHeight="1">
      <c r="A787" s="41" t="s">
        <v>6232</v>
      </c>
      <c r="B787" s="37"/>
      <c r="C787" s="37"/>
      <c r="D787" s="37"/>
      <c r="E787" s="37"/>
      <c r="F787" s="45"/>
      <c r="K787" s="3" t="s">
        <v>6232</v>
      </c>
    </row>
    <row r="788" spans="1:34" ht="18.399999999999999" customHeight="1">
      <c r="A788" s="41" t="s">
        <v>257</v>
      </c>
      <c r="B788" s="37"/>
      <c r="C788" s="37"/>
      <c r="D788" s="37"/>
      <c r="E788" s="37"/>
      <c r="F788" s="45"/>
      <c r="K788" s="3" t="s">
        <v>1264</v>
      </c>
    </row>
    <row r="789" spans="1:34" ht="18.399999999999999" customHeight="1">
      <c r="A789" s="41" t="s">
        <v>6232</v>
      </c>
      <c r="B789" s="37"/>
      <c r="C789" s="37"/>
      <c r="D789" s="37"/>
      <c r="E789" s="37"/>
      <c r="F789" s="45"/>
      <c r="K789" s="3" t="s">
        <v>6232</v>
      </c>
    </row>
    <row r="790" spans="1:34" ht="18.399999999999999" customHeight="1">
      <c r="A790" s="42" t="str">
        <f>CONCATENATE("   - 1차당 적재량(본)         Q=",TEXT($AB790,"#,##0.00"),"  본")</f>
        <v xml:space="preserve">   - 1차당 적재량(본)         Q=15.00  본</v>
      </c>
      <c r="B790" s="37"/>
      <c r="C790" s="37"/>
      <c r="D790" s="37"/>
      <c r="E790" s="37"/>
      <c r="F790" s="45"/>
      <c r="K790" s="10" t="str">
        <f>SUBSTITUTE(SUBSTITUTE("  _x001D_- 1차당 적재량(본)_x001D_        Q  =  15 _x001D_본_x001D_","15",TEXT($AB790,"#,##0"),1),"_x001D_","'")</f>
        <v xml:space="preserve">  '- 1차당 적재량(본)'        Q  =  15 '본'</v>
      </c>
      <c r="AA790" s="39" t="s">
        <v>4337</v>
      </c>
      <c r="AB790" s="6">
        <v>15</v>
      </c>
      <c r="AC790" s="39" t="s">
        <v>4337</v>
      </c>
      <c r="AD790" s="7">
        <f>$AB790</f>
        <v>15</v>
      </c>
    </row>
    <row r="791" spans="1:34" ht="18.399999999999999" customHeight="1">
      <c r="A791" s="41" t="s">
        <v>6232</v>
      </c>
      <c r="B791" s="37"/>
      <c r="C791" s="37"/>
      <c r="D791" s="37"/>
      <c r="E791" s="37"/>
      <c r="F791" s="45"/>
      <c r="K791" s="3" t="s">
        <v>6232</v>
      </c>
    </row>
    <row r="792" spans="1:34" ht="18.399999999999999" customHeight="1">
      <c r="A792" s="42" t="str">
        <f>CONCATENATE("   - 운반차량 대기시간(12M당)    T1=",TEXT($AB792,"#,##0.00"),"   분")</f>
        <v xml:space="preserve">   - 운반차량 대기시간(12M당)    T1=6.00   분</v>
      </c>
      <c r="B792" s="37"/>
      <c r="C792" s="37"/>
      <c r="D792" s="37"/>
      <c r="E792" s="37"/>
      <c r="F792" s="45"/>
      <c r="K792" s="10" t="str">
        <f>SUBSTITUTE(SUBSTITUTE("  _x001D_- 운반차량 대기시간(12M당)_x001D_   T1 = 6  _x001D_분_x001D_","6",TEXT($AB792,"#,##0"),1),"_x001D_","'")</f>
        <v xml:space="preserve">  '- 운반차량 대기시간(12M당)'   T1 = 6  '분'</v>
      </c>
      <c r="AA792" s="39" t="s">
        <v>4528</v>
      </c>
      <c r="AB792" s="6">
        <v>6</v>
      </c>
      <c r="AC792" s="39" t="s">
        <v>4528</v>
      </c>
      <c r="AD792" s="7">
        <f>$AB792</f>
        <v>6</v>
      </c>
    </row>
    <row r="793" spans="1:34" ht="18.399999999999999" customHeight="1">
      <c r="A793" s="41" t="s">
        <v>6232</v>
      </c>
      <c r="B793" s="37"/>
      <c r="C793" s="37"/>
      <c r="D793" s="37"/>
      <c r="E793" s="37"/>
      <c r="F793" s="45"/>
      <c r="K793" s="3" t="s">
        <v>6232</v>
      </c>
    </row>
    <row r="794" spans="1:34" ht="18.399999999999999" customHeight="1">
      <c r="A794" s="41" t="s">
        <v>4838</v>
      </c>
      <c r="B794" s="37"/>
      <c r="C794" s="37"/>
      <c r="D794" s="37"/>
      <c r="E794" s="37"/>
      <c r="F794" s="45"/>
      <c r="K794" s="3" t="s">
        <v>6093</v>
      </c>
    </row>
    <row r="795" spans="1:34" ht="18.399999999999999" customHeight="1">
      <c r="A795" s="41" t="s">
        <v>6232</v>
      </c>
      <c r="B795" s="37"/>
      <c r="C795" s="37"/>
      <c r="D795" s="37"/>
      <c r="E795" s="37"/>
      <c r="F795" s="45"/>
      <c r="K795" s="3" t="s">
        <v>6232</v>
      </c>
    </row>
    <row r="796" spans="1:34" ht="18.399999999999999" customHeight="1">
      <c r="A796" s="42" t="str">
        <f>CONCATENATE("    T2 = (L / V * 2 * 60 + 20) / Q = ",TEXT($AF796,"#,##0.00")," 분 ")</f>
        <v xml:space="preserve">    T2 = (L / V * 2 * 60 + 20) / Q = 2.40 분 </v>
      </c>
      <c r="B796" s="37">
        <f>SUM($C796,$D796,$E796)</f>
        <v>0</v>
      </c>
      <c r="C796" s="37"/>
      <c r="D796" s="37"/>
      <c r="E796" s="37"/>
      <c r="F796" s="45"/>
      <c r="K796" s="3" t="s">
        <v>3353</v>
      </c>
      <c r="AA796" s="39" t="s">
        <v>5897</v>
      </c>
      <c r="AB796" s="8">
        <f>ROUND(($AD769/$AD771*2*60+20)/$AD790,2)</f>
        <v>2.4</v>
      </c>
      <c r="AC796" s="39" t="s">
        <v>2053</v>
      </c>
      <c r="AD796" s="7">
        <f>$AB796</f>
        <v>2.4</v>
      </c>
      <c r="AE796" s="39" t="s">
        <v>576</v>
      </c>
      <c r="AF796" s="8">
        <f>ROUND(ROUND(($AD769/$AD771*2*60+20)/$AD790,2),2)</f>
        <v>2.4</v>
      </c>
      <c r="AG796" s="39" t="s">
        <v>4033</v>
      </c>
      <c r="AH796" s="7">
        <f>$AF796</f>
        <v>2.4</v>
      </c>
    </row>
    <row r="797" spans="1:34" ht="18.399999999999999" customHeight="1">
      <c r="A797" s="41" t="s">
        <v>6232</v>
      </c>
      <c r="B797" s="37"/>
      <c r="C797" s="37"/>
      <c r="D797" s="37"/>
      <c r="E797" s="37"/>
      <c r="F797" s="45"/>
      <c r="K797" s="3" t="s">
        <v>6232</v>
      </c>
    </row>
    <row r="798" spans="1:34" ht="18.399999999999999" customHeight="1">
      <c r="A798" s="41" t="s">
        <v>2391</v>
      </c>
      <c r="B798" s="37"/>
      <c r="C798" s="37"/>
      <c r="D798" s="37"/>
      <c r="E798" s="37"/>
      <c r="F798" s="45"/>
      <c r="K798" s="3" t="s">
        <v>4710</v>
      </c>
    </row>
    <row r="799" spans="1:34" ht="18.399999999999999" customHeight="1">
      <c r="A799" s="41" t="s">
        <v>6232</v>
      </c>
      <c r="B799" s="37"/>
      <c r="C799" s="37"/>
      <c r="D799" s="37"/>
      <c r="E799" s="37"/>
      <c r="F799" s="45"/>
      <c r="K799" s="3" t="s">
        <v>6232</v>
      </c>
    </row>
    <row r="800" spans="1:34" ht="18.399999999999999" customHeight="1">
      <c r="A800" s="42" t="str">
        <f>CONCATENATE("    CM = T1 + T2 = ",TEXT($AF800,"#,##0.00")," 분 ")</f>
        <v xml:space="preserve">    CM = T1 + T2 = 8.40 분 </v>
      </c>
      <c r="B800" s="37">
        <f>SUM($C800,$D800,$E800)</f>
        <v>0</v>
      </c>
      <c r="C800" s="37"/>
      <c r="D800" s="37"/>
      <c r="E800" s="37"/>
      <c r="F800" s="45"/>
      <c r="K800" s="3" t="s">
        <v>6049</v>
      </c>
      <c r="AA800" s="39" t="s">
        <v>5026</v>
      </c>
      <c r="AB800" s="8">
        <f>ROUND($AD792+$AD796,2)</f>
        <v>8.4</v>
      </c>
      <c r="AC800" s="39" t="s">
        <v>289</v>
      </c>
      <c r="AD800" s="7">
        <f>$AB800</f>
        <v>8.4</v>
      </c>
      <c r="AE800" s="39" t="s">
        <v>3506</v>
      </c>
      <c r="AF800" s="8">
        <f>ROUND(ROUND($AD792+$AD796,2),2)</f>
        <v>8.4</v>
      </c>
      <c r="AG800" s="39" t="s">
        <v>5934</v>
      </c>
      <c r="AH800" s="7">
        <f>$AF800</f>
        <v>8.4</v>
      </c>
    </row>
    <row r="801" spans="1:34" ht="18.399999999999999" customHeight="1">
      <c r="A801" s="41" t="s">
        <v>6232</v>
      </c>
      <c r="B801" s="37"/>
      <c r="C801" s="37"/>
      <c r="D801" s="37"/>
      <c r="E801" s="37"/>
      <c r="F801" s="45"/>
      <c r="K801" s="3" t="s">
        <v>6232</v>
      </c>
    </row>
    <row r="802" spans="1:34" ht="18.399999999999999" customHeight="1">
      <c r="A802" s="41" t="s">
        <v>5848</v>
      </c>
      <c r="B802" s="37"/>
      <c r="C802" s="37"/>
      <c r="D802" s="37"/>
      <c r="E802" s="37"/>
      <c r="F802" s="45"/>
      <c r="K802" s="3" t="s">
        <v>788</v>
      </c>
    </row>
    <row r="803" spans="1:34" ht="18.399999999999999" customHeight="1">
      <c r="A803" s="41" t="s">
        <v>6232</v>
      </c>
      <c r="B803" s="37"/>
      <c r="C803" s="37"/>
      <c r="D803" s="37"/>
      <c r="E803" s="37"/>
      <c r="F803" s="45"/>
      <c r="K803" s="3" t="s">
        <v>6232</v>
      </c>
    </row>
    <row r="804" spans="1:34" ht="18.399999999999999" customHeight="1">
      <c r="A804" s="42" t="str">
        <f>CONCATENATE("    Qo = T2 / CM = ",TEXT($AF804,"#,##0.00")," 분 ")</f>
        <v xml:space="preserve">    Qo = T2 / CM = 0.29 분 </v>
      </c>
      <c r="B804" s="37">
        <f>SUM($C804,$D804,$E804)</f>
        <v>0</v>
      </c>
      <c r="C804" s="37"/>
      <c r="D804" s="37"/>
      <c r="E804" s="37"/>
      <c r="F804" s="45"/>
      <c r="K804" s="3" t="s">
        <v>882</v>
      </c>
      <c r="AA804" s="39" t="s">
        <v>1501</v>
      </c>
      <c r="AB804" s="8">
        <f>ROUND($AD796/$AD800,2)</f>
        <v>0.28999999999999998</v>
      </c>
      <c r="AC804" s="39" t="s">
        <v>2425</v>
      </c>
      <c r="AD804" s="7">
        <f>$AB804</f>
        <v>0.28999999999999998</v>
      </c>
      <c r="AE804" s="39" t="s">
        <v>3810</v>
      </c>
      <c r="AF804" s="8">
        <f>ROUND(ROUND($AD796/$AD800,2),2)</f>
        <v>0.28999999999999998</v>
      </c>
      <c r="AG804" s="39" t="s">
        <v>316</v>
      </c>
      <c r="AH804" s="7">
        <f>$AF804</f>
        <v>0.28999999999999998</v>
      </c>
    </row>
    <row r="805" spans="1:34" ht="18.399999999999999" customHeight="1">
      <c r="A805" s="41" t="s">
        <v>6232</v>
      </c>
      <c r="B805" s="37"/>
      <c r="C805" s="37"/>
      <c r="D805" s="37"/>
      <c r="E805" s="37"/>
      <c r="F805" s="45"/>
      <c r="K805" s="3" t="s">
        <v>6232</v>
      </c>
    </row>
    <row r="806" spans="1:34" ht="18.399999999999999" customHeight="1">
      <c r="A806" s="41" t="s">
        <v>78</v>
      </c>
      <c r="B806" s="37"/>
      <c r="C806" s="37"/>
      <c r="D806" s="37"/>
      <c r="E806" s="37"/>
      <c r="F806" s="45"/>
      <c r="K806" s="3" t="s">
        <v>5459</v>
      </c>
    </row>
    <row r="807" spans="1:34" ht="18.399999999999999" customHeight="1">
      <c r="A807" s="41" t="s">
        <v>6232</v>
      </c>
      <c r="B807" s="37"/>
      <c r="C807" s="37"/>
      <c r="D807" s="37"/>
      <c r="E807" s="37"/>
      <c r="F807" s="45"/>
      <c r="K807" s="3" t="s">
        <v>6232</v>
      </c>
    </row>
    <row r="808" spans="1:34" ht="18.399999999999999" customHeight="1">
      <c r="A808" s="42" t="str">
        <f>CONCATENATE("      보통인부 :  2.0 인  * _x001D_169,804_x001D_ * (CM + 6 ) / 60 / 8 = ",TEXT($AB808,"#,##0.0"))</f>
        <v xml:space="preserve">      보통인부 :  2.0 인  * _x001D_169,804_x001D_ * (CM + 6 ) / 60 / 8 = 10,324.0</v>
      </c>
      <c r="B808" s="37">
        <f>SUM($C808,$D808,$E808)</f>
        <v>10324</v>
      </c>
      <c r="C808" s="37"/>
      <c r="D808" s="37">
        <f>$AB808</f>
        <v>10324</v>
      </c>
      <c r="E808" s="37"/>
      <c r="F808" s="45" t="s">
        <v>6232</v>
      </c>
      <c r="K808" s="3" t="s">
        <v>3933</v>
      </c>
      <c r="AA808" s="40" t="s">
        <v>5305</v>
      </c>
      <c r="AB808" s="8">
        <f>TRUNC(2*노임!D3*($AD800+6)/60/8,1)</f>
        <v>10324</v>
      </c>
      <c r="AC808" s="40" t="s">
        <v>5439</v>
      </c>
      <c r="AD808" s="7">
        <f>$AH772+$AB808</f>
        <v>10324</v>
      </c>
    </row>
    <row r="809" spans="1:34" ht="18.399999999999999" customHeight="1">
      <c r="A809" s="41" t="s">
        <v>6232</v>
      </c>
      <c r="B809" s="37"/>
      <c r="C809" s="37"/>
      <c r="D809" s="37"/>
      <c r="E809" s="37"/>
      <c r="F809" s="45"/>
      <c r="K809" s="3" t="s">
        <v>6232</v>
      </c>
    </row>
    <row r="810" spans="1:34" ht="18.399999999999999" customHeight="1">
      <c r="A810" s="41" t="s">
        <v>1528</v>
      </c>
      <c r="B810" s="37"/>
      <c r="C810" s="37"/>
      <c r="D810" s="37"/>
      <c r="E810" s="37"/>
      <c r="F810" s="45"/>
      <c r="K810" s="3" t="s">
        <v>3746</v>
      </c>
    </row>
    <row r="811" spans="1:34" ht="18.399999999999999" customHeight="1">
      <c r="A811" s="41" t="s">
        <v>6232</v>
      </c>
      <c r="B811" s="37"/>
      <c r="C811" s="37"/>
      <c r="D811" s="37"/>
      <c r="E811" s="37"/>
      <c r="F811" s="45"/>
      <c r="K811" s="3" t="s">
        <v>6232</v>
      </c>
    </row>
    <row r="812" spans="1:34" ht="18.399999999999999" customHeight="1">
      <c r="A812" s="41" t="s">
        <v>4967</v>
      </c>
      <c r="B812" s="37"/>
      <c r="C812" s="37"/>
      <c r="D812" s="37"/>
      <c r="E812" s="37"/>
      <c r="F812" s="45"/>
      <c r="K812" s="3" t="s">
        <v>3483</v>
      </c>
    </row>
    <row r="813" spans="1:34" ht="18.399999999999999" customHeight="1">
      <c r="A813" s="41" t="s">
        <v>6232</v>
      </c>
      <c r="B813" s="37"/>
      <c r="C813" s="37"/>
      <c r="D813" s="37"/>
      <c r="E813" s="37"/>
      <c r="F813" s="45"/>
      <c r="K813" s="3" t="s">
        <v>6232</v>
      </c>
    </row>
    <row r="814" spans="1:34" ht="18.399999999999999" customHeight="1">
      <c r="A814" s="42" t="str">
        <f>CONCATENATE("     재료비:  _x001D_8,795_x001D_ * 9 / 60 = ",TEXT($AB814,"#,##0.0"))</f>
        <v xml:space="preserve">     재료비:  _x001D_8,795_x001D_ * 9 / 60 = 0.0</v>
      </c>
      <c r="B814" s="37">
        <f>SUM($C814,$D814,$E814)</f>
        <v>0</v>
      </c>
      <c r="C814" s="37">
        <f>$AB814</f>
        <v>0</v>
      </c>
      <c r="D814" s="37"/>
      <c r="E814" s="37"/>
      <c r="F814" s="45" t="s">
        <v>6232</v>
      </c>
      <c r="K814" s="3" t="s">
        <v>194</v>
      </c>
      <c r="AA814" s="40" t="s">
        <v>2660</v>
      </c>
      <c r="AB814" s="8">
        <f>TRUNC(중기사용료목록!E4*9/60,1)</f>
        <v>0</v>
      </c>
      <c r="AC814" s="40" t="s">
        <v>1650</v>
      </c>
      <c r="AD814" s="7">
        <f>$AD772+$AB814</f>
        <v>0</v>
      </c>
    </row>
    <row r="815" spans="1:34" ht="18.399999999999999" customHeight="1">
      <c r="A815" s="41" t="s">
        <v>6232</v>
      </c>
      <c r="B815" s="37"/>
      <c r="C815" s="37"/>
      <c r="D815" s="37"/>
      <c r="E815" s="37"/>
      <c r="F815" s="45"/>
      <c r="K815" s="3" t="s">
        <v>6232</v>
      </c>
    </row>
    <row r="816" spans="1:34" ht="18.399999999999999" customHeight="1">
      <c r="A816" s="42" t="str">
        <f>CONCATENATE("     노무비:  _x001D_57,077_x001D_ * 9 / 60 = ",TEXT($AB816,"#,##0.0"))</f>
        <v xml:space="preserve">     노무비:  _x001D_57,077_x001D_ * 9 / 60 = 0.0</v>
      </c>
      <c r="B816" s="37">
        <f>SUM($C816,$D816,$E816)</f>
        <v>0</v>
      </c>
      <c r="C816" s="37"/>
      <c r="D816" s="37">
        <f>$AB816</f>
        <v>0</v>
      </c>
      <c r="E816" s="37"/>
      <c r="F816" s="45" t="s">
        <v>6232</v>
      </c>
      <c r="K816" s="3" t="s">
        <v>4398</v>
      </c>
      <c r="AA816" s="40" t="s">
        <v>5305</v>
      </c>
      <c r="AB816" s="8">
        <f>TRUNC(중기사용료목록!F4*9/60,1)</f>
        <v>0</v>
      </c>
      <c r="AC816" s="40" t="s">
        <v>5439</v>
      </c>
      <c r="AD816" s="7">
        <f>$AD808+$AB816</f>
        <v>10324</v>
      </c>
    </row>
    <row r="817" spans="1:38" ht="18.399999999999999" customHeight="1">
      <c r="A817" s="41" t="s">
        <v>6232</v>
      </c>
      <c r="B817" s="37"/>
      <c r="C817" s="37"/>
      <c r="D817" s="37"/>
      <c r="E817" s="37"/>
      <c r="F817" s="45"/>
      <c r="K817" s="3" t="s">
        <v>6232</v>
      </c>
    </row>
    <row r="818" spans="1:38" ht="18.399999999999999" customHeight="1">
      <c r="A818" s="42" t="str">
        <f>CONCATENATE("     경  비:  _x001D_41,995_x001D_ * 9 / 60 = ",TEXT($AB818,"#,##0.0"))</f>
        <v xml:space="preserve">     경  비:  _x001D_41,995_x001D_ * 9 / 60 = 16,601.7</v>
      </c>
      <c r="B818" s="37">
        <f>SUM($C818,$D818,$E818)</f>
        <v>16601.7</v>
      </c>
      <c r="C818" s="37"/>
      <c r="D818" s="37"/>
      <c r="E818" s="37">
        <f>$AB818</f>
        <v>16601.7</v>
      </c>
      <c r="F818" s="45" t="s">
        <v>6232</v>
      </c>
      <c r="K818" s="3" t="s">
        <v>3653</v>
      </c>
      <c r="AA818" s="40" t="s">
        <v>3519</v>
      </c>
      <c r="AB818" s="8">
        <f>TRUNC(중기사용료목록!G4*9/60,1)</f>
        <v>16601.7</v>
      </c>
      <c r="AC818" s="40" t="s">
        <v>4149</v>
      </c>
      <c r="AD818" s="7">
        <f>$AL772+$AB818</f>
        <v>16601.7</v>
      </c>
    </row>
    <row r="819" spans="1:38" ht="18.399999999999999" customHeight="1">
      <c r="A819" s="41" t="s">
        <v>6232</v>
      </c>
      <c r="B819" s="37"/>
      <c r="C819" s="37"/>
      <c r="D819" s="37"/>
      <c r="E819" s="37"/>
      <c r="F819" s="45"/>
      <c r="K819" s="3" t="s">
        <v>6232</v>
      </c>
    </row>
    <row r="820" spans="1:38" ht="18.399999999999999" customHeight="1">
      <c r="A820" s="41" t="s">
        <v>1530</v>
      </c>
      <c r="B820" s="37"/>
      <c r="C820" s="37"/>
      <c r="D820" s="37"/>
      <c r="E820" s="37"/>
      <c r="F820" s="45"/>
      <c r="K820" s="3" t="s">
        <v>2021</v>
      </c>
    </row>
    <row r="821" spans="1:38" ht="18.399999999999999" customHeight="1">
      <c r="A821" s="41" t="s">
        <v>6232</v>
      </c>
      <c r="B821" s="37"/>
      <c r="C821" s="37"/>
      <c r="D821" s="37"/>
      <c r="E821" s="37"/>
      <c r="F821" s="45"/>
      <c r="K821" s="3" t="s">
        <v>6232</v>
      </c>
    </row>
    <row r="822" spans="1:38" ht="18.399999999999999" customHeight="1">
      <c r="A822" s="42" t="str">
        <f>CONCATENATE("     재료비:  _x001D_30,878_x001D_ * CM / 60 * Qo = ",TEXT($AB822,"#,##0.0"))</f>
        <v xml:space="preserve">     재료비:  _x001D_30,878_x001D_ * CM / 60 * Qo = 0.0</v>
      </c>
      <c r="B822" s="37">
        <f>SUM($C822,$D822,$E822)</f>
        <v>0</v>
      </c>
      <c r="C822" s="37">
        <f>$AB822</f>
        <v>0</v>
      </c>
      <c r="D822" s="37"/>
      <c r="E822" s="37"/>
      <c r="F822" s="45" t="s">
        <v>6232</v>
      </c>
      <c r="K822" s="3" t="s">
        <v>4711</v>
      </c>
      <c r="AA822" s="40" t="s">
        <v>2660</v>
      </c>
      <c r="AB822" s="8">
        <f>TRUNC(중기사용료목록!E7*$AD800/60*$AD804,1)</f>
        <v>0</v>
      </c>
      <c r="AC822" s="40" t="s">
        <v>1650</v>
      </c>
      <c r="AD822" s="7">
        <f>$AD814+$AB822</f>
        <v>0</v>
      </c>
    </row>
    <row r="823" spans="1:38" ht="18.399999999999999" customHeight="1">
      <c r="A823" s="41" t="s">
        <v>6232</v>
      </c>
      <c r="B823" s="37"/>
      <c r="C823" s="37"/>
      <c r="D823" s="37"/>
      <c r="E823" s="37"/>
      <c r="F823" s="45"/>
      <c r="K823" s="3" t="s">
        <v>6232</v>
      </c>
    </row>
    <row r="824" spans="1:38" ht="18.399999999999999" customHeight="1">
      <c r="A824" s="42" t="str">
        <f>CONCATENATE("     노무비:  _x001D_57,077_x001D_ * CM / 60 = ",TEXT($AB824,"#,##0.0"))</f>
        <v xml:space="preserve">     노무비:  _x001D_57,077_x001D_ * CM / 60 = 0.0</v>
      </c>
      <c r="B824" s="37">
        <f>SUM($C824,$D824,$E824)</f>
        <v>0</v>
      </c>
      <c r="C824" s="37"/>
      <c r="D824" s="37">
        <f>$AB824</f>
        <v>0</v>
      </c>
      <c r="E824" s="37"/>
      <c r="F824" s="45" t="s">
        <v>6232</v>
      </c>
      <c r="K824" s="3" t="s">
        <v>3619</v>
      </c>
      <c r="AA824" s="40" t="s">
        <v>5305</v>
      </c>
      <c r="AB824" s="8">
        <f>TRUNC(중기사용료목록!F7*$AD800/60,1)</f>
        <v>0</v>
      </c>
      <c r="AC824" s="40" t="s">
        <v>5439</v>
      </c>
      <c r="AD824" s="7">
        <f>$AD816+$AB824</f>
        <v>10324</v>
      </c>
    </row>
    <row r="825" spans="1:38" ht="18.399999999999999" customHeight="1">
      <c r="A825" s="41" t="s">
        <v>6232</v>
      </c>
      <c r="B825" s="37"/>
      <c r="C825" s="37"/>
      <c r="D825" s="37"/>
      <c r="E825" s="37"/>
      <c r="F825" s="45"/>
      <c r="K825" s="3" t="s">
        <v>6232</v>
      </c>
    </row>
    <row r="826" spans="1:38" ht="18.399999999999999" customHeight="1">
      <c r="A826" s="42" t="str">
        <f>CONCATENATE("     경  비:  _x001D_16,873_x001D_ * CM / 60 = ",TEXT($AB826,"#,##0.0"))</f>
        <v xml:space="preserve">     경  비:  _x001D_16,873_x001D_ * CM / 60 = 15,628.9</v>
      </c>
      <c r="B826" s="37">
        <f>SUM($C826,$D826,$E826)</f>
        <v>15628.9</v>
      </c>
      <c r="C826" s="37"/>
      <c r="D826" s="37"/>
      <c r="E826" s="37">
        <f>$AB826</f>
        <v>15628.9</v>
      </c>
      <c r="F826" s="45" t="s">
        <v>6232</v>
      </c>
      <c r="K826" s="3" t="s">
        <v>5622</v>
      </c>
      <c r="AA826" s="40" t="s">
        <v>3519</v>
      </c>
      <c r="AB826" s="8">
        <f>TRUNC(중기사용료목록!G7*$AD800/60,1)</f>
        <v>15628.9</v>
      </c>
      <c r="AC826" s="40" t="s">
        <v>4149</v>
      </c>
      <c r="AD826" s="7">
        <f>$AD818+$AB826</f>
        <v>32230.6</v>
      </c>
    </row>
    <row r="827" spans="1:38" ht="18.399999999999999" customHeight="1">
      <c r="A827" s="41" t="s">
        <v>6232</v>
      </c>
      <c r="B827" s="37"/>
      <c r="C827" s="37"/>
      <c r="D827" s="37"/>
      <c r="E827" s="37"/>
      <c r="F827" s="45"/>
      <c r="K827" s="3" t="s">
        <v>6232</v>
      </c>
    </row>
    <row r="828" spans="1:38" ht="18.399999999999999" customHeight="1">
      <c r="A828" s="41" t="s">
        <v>4035</v>
      </c>
      <c r="B828" s="37">
        <v>37974.6</v>
      </c>
      <c r="C828" s="37">
        <v>2572.8000000000002</v>
      </c>
      <c r="D828" s="37">
        <v>26740.400000000001</v>
      </c>
      <c r="E828" s="37">
        <v>8661.4</v>
      </c>
      <c r="F828" s="45"/>
      <c r="K828" s="3" t="s">
        <v>6070</v>
      </c>
    </row>
    <row r="829" spans="1:38" ht="18.399999999999999" customHeight="1">
      <c r="A829" s="41" t="s">
        <v>6232</v>
      </c>
      <c r="B829" s="37">
        <f>SUM($C829,$D829,$E829)</f>
        <v>0</v>
      </c>
      <c r="C829" s="37">
        <f>$AB829</f>
        <v>0</v>
      </c>
      <c r="D829" s="37">
        <f>$AF829</f>
        <v>0</v>
      </c>
      <c r="E829" s="37">
        <f>$AJ829</f>
        <v>0</v>
      </c>
      <c r="F829" s="45"/>
      <c r="K829" s="3" t="s">
        <v>5506</v>
      </c>
      <c r="AA829" s="40" t="s">
        <v>4586</v>
      </c>
      <c r="AB829" s="8">
        <f>ROUND(0,2)</f>
        <v>0</v>
      </c>
      <c r="AC829" s="40" t="s">
        <v>4161</v>
      </c>
      <c r="AD829" s="7">
        <f>$AB829</f>
        <v>0</v>
      </c>
      <c r="AE829" s="40" t="s">
        <v>222</v>
      </c>
      <c r="AF829" s="8">
        <f>ROUND(0,2)</f>
        <v>0</v>
      </c>
      <c r="AG829" s="40" t="s">
        <v>334</v>
      </c>
      <c r="AH829" s="7">
        <f>$AF829</f>
        <v>0</v>
      </c>
      <c r="AI829" s="40" t="s">
        <v>1574</v>
      </c>
      <c r="AJ829" s="8">
        <f>ROUND(0,2)</f>
        <v>0</v>
      </c>
      <c r="AK829" s="40" t="s">
        <v>1622</v>
      </c>
      <c r="AL829" s="7">
        <f>$AJ829</f>
        <v>0</v>
      </c>
    </row>
    <row r="830" spans="1:38" ht="18.399999999999999" customHeight="1">
      <c r="A830" s="41" t="s">
        <v>5683</v>
      </c>
      <c r="B830" s="37">
        <f>SUM($C830,$D830,$E830)</f>
        <v>3546.1000000000004</v>
      </c>
      <c r="C830" s="37">
        <f>$AB830</f>
        <v>0</v>
      </c>
      <c r="D830" s="37">
        <f>$AF830</f>
        <v>860.3</v>
      </c>
      <c r="E830" s="37">
        <f>$AJ830</f>
        <v>2685.8</v>
      </c>
      <c r="F830" s="45"/>
      <c r="K830" s="3" t="s">
        <v>4286</v>
      </c>
      <c r="AA830" s="40" t="s">
        <v>4586</v>
      </c>
      <c r="AB830" s="8">
        <f>TRUNC($AD822/12,1)</f>
        <v>0</v>
      </c>
      <c r="AC830" s="40" t="s">
        <v>4161</v>
      </c>
      <c r="AD830" s="7">
        <f>$AB830</f>
        <v>0</v>
      </c>
      <c r="AE830" s="40" t="s">
        <v>222</v>
      </c>
      <c r="AF830" s="8">
        <f>TRUNC($AD824/12,1)</f>
        <v>860.3</v>
      </c>
      <c r="AG830" s="40" t="s">
        <v>334</v>
      </c>
      <c r="AH830" s="7">
        <f>$AF830</f>
        <v>860.3</v>
      </c>
      <c r="AI830" s="40" t="s">
        <v>1574</v>
      </c>
      <c r="AJ830" s="8">
        <f>TRUNC($AD826/12,1)</f>
        <v>2685.8</v>
      </c>
      <c r="AK830" s="40" t="s">
        <v>1622</v>
      </c>
      <c r="AL830" s="7">
        <f>$AJ830</f>
        <v>2685.8</v>
      </c>
    </row>
    <row r="831" spans="1:38" ht="18.399999999999999" customHeight="1">
      <c r="A831" s="41" t="s">
        <v>6232</v>
      </c>
      <c r="B831" s="37"/>
      <c r="C831" s="37"/>
      <c r="D831" s="37"/>
      <c r="E831" s="37"/>
      <c r="F831" s="45"/>
      <c r="K831" s="3" t="s">
        <v>6232</v>
      </c>
    </row>
    <row r="832" spans="1:38" ht="18.399999999999999" customHeight="1">
      <c r="A832" s="41" t="s">
        <v>3436</v>
      </c>
      <c r="B832" s="37">
        <v>3164.3999999999996</v>
      </c>
      <c r="C832" s="37">
        <v>214.4</v>
      </c>
      <c r="D832" s="37">
        <v>2228.3000000000002</v>
      </c>
      <c r="E832" s="37">
        <v>721.7</v>
      </c>
      <c r="F832" s="45"/>
      <c r="K832" s="3" t="s">
        <v>1342</v>
      </c>
    </row>
    <row r="833" spans="1:38" ht="18.399999999999999" customHeight="1">
      <c r="A833" s="41" t="s">
        <v>6232</v>
      </c>
      <c r="B833" s="37">
        <f>SUM($C833,$D833,$E833)</f>
        <v>0</v>
      </c>
      <c r="C833" s="37">
        <f>$AB833</f>
        <v>0</v>
      </c>
      <c r="D833" s="37">
        <f>$AF833</f>
        <v>0</v>
      </c>
      <c r="E833" s="37">
        <f>$AJ833</f>
        <v>0</v>
      </c>
      <c r="F833" s="45"/>
      <c r="K833" s="3" t="s">
        <v>3238</v>
      </c>
      <c r="AA833" s="40" t="s">
        <v>308</v>
      </c>
      <c r="AB833" s="8">
        <f>ROUND(0,2)</f>
        <v>0</v>
      </c>
      <c r="AC833" s="40" t="s">
        <v>5000</v>
      </c>
      <c r="AD833" s="7">
        <f>$AB833</f>
        <v>0</v>
      </c>
      <c r="AE833" s="40" t="s">
        <v>4500</v>
      </c>
      <c r="AF833" s="8">
        <f>ROUND(0,2)</f>
        <v>0</v>
      </c>
      <c r="AG833" s="40" t="s">
        <v>2603</v>
      </c>
      <c r="AH833" s="7">
        <f>$AF833</f>
        <v>0</v>
      </c>
      <c r="AI833" s="40" t="s">
        <v>5878</v>
      </c>
      <c r="AJ833" s="8">
        <f>ROUND(0,2)</f>
        <v>0</v>
      </c>
      <c r="AK833" s="40" t="s">
        <v>787</v>
      </c>
      <c r="AL833" s="7">
        <f>$AJ833</f>
        <v>0</v>
      </c>
    </row>
    <row r="834" spans="1:38" ht="18.399999999999999" customHeight="1">
      <c r="A834" s="41" t="s">
        <v>5719</v>
      </c>
      <c r="B834" s="37">
        <f>SUM($C834,$D834,$E834)</f>
        <v>3890</v>
      </c>
      <c r="C834" s="37">
        <f>$AB834</f>
        <v>0</v>
      </c>
      <c r="D834" s="37">
        <f>$AF834</f>
        <v>943.7</v>
      </c>
      <c r="E834" s="37">
        <f>$AJ834</f>
        <v>2946.3</v>
      </c>
      <c r="F834" s="45"/>
      <c r="K834" s="3" t="s">
        <v>2347</v>
      </c>
      <c r="AA834" s="40" t="s">
        <v>308</v>
      </c>
      <c r="AB834" s="8">
        <f>TRUNC($AD830*1.097,1)</f>
        <v>0</v>
      </c>
      <c r="AC834" s="40" t="s">
        <v>5000</v>
      </c>
      <c r="AD834" s="7">
        <f>$AB834</f>
        <v>0</v>
      </c>
      <c r="AE834" s="40" t="s">
        <v>4500</v>
      </c>
      <c r="AF834" s="8">
        <f>TRUNC($AH830*1.097,1)</f>
        <v>943.7</v>
      </c>
      <c r="AG834" s="40" t="s">
        <v>2603</v>
      </c>
      <c r="AH834" s="7">
        <f>$AF834</f>
        <v>943.7</v>
      </c>
      <c r="AI834" s="40" t="s">
        <v>5878</v>
      </c>
      <c r="AJ834" s="8">
        <f>TRUNC($AL830*1.097,1)</f>
        <v>2946.3</v>
      </c>
      <c r="AK834" s="40" t="s">
        <v>787</v>
      </c>
      <c r="AL834" s="7">
        <f>$AJ834</f>
        <v>2946.3</v>
      </c>
    </row>
    <row r="835" spans="1:38" ht="18.399999999999999" customHeight="1">
      <c r="A835" s="41" t="s">
        <v>6232</v>
      </c>
      <c r="B835" s="37"/>
      <c r="C835" s="37"/>
      <c r="D835" s="37"/>
      <c r="E835" s="37"/>
      <c r="F835" s="45"/>
      <c r="K835" s="3" t="s">
        <v>6232</v>
      </c>
    </row>
    <row r="836" spans="1:38" ht="18.399999999999999" customHeight="1">
      <c r="A836" s="41" t="s">
        <v>3436</v>
      </c>
      <c r="B836" s="37">
        <f>SUM($C836,$D836,$E836)</f>
        <v>3890</v>
      </c>
      <c r="C836" s="37">
        <f>$AB836</f>
        <v>0</v>
      </c>
      <c r="D836" s="37">
        <f>$AF836</f>
        <v>943.7</v>
      </c>
      <c r="E836" s="37">
        <f>$AJ836</f>
        <v>2946.3</v>
      </c>
      <c r="F836" s="45"/>
      <c r="K836" s="3" t="s">
        <v>4527</v>
      </c>
      <c r="AA836" s="40" t="s">
        <v>4592</v>
      </c>
      <c r="AB836" s="8">
        <f>TRUNC($AD834,1)</f>
        <v>0</v>
      </c>
      <c r="AC836" s="40" t="s">
        <v>5149</v>
      </c>
      <c r="AD836" s="7">
        <f>$AB836</f>
        <v>0</v>
      </c>
      <c r="AE836" s="40" t="s">
        <v>666</v>
      </c>
      <c r="AF836" s="8">
        <f>TRUNC($AH834,1)</f>
        <v>943.7</v>
      </c>
      <c r="AG836" s="40" t="s">
        <v>2431</v>
      </c>
      <c r="AH836" s="7">
        <f>$AF836</f>
        <v>943.7</v>
      </c>
      <c r="AI836" s="40" t="s">
        <v>1930</v>
      </c>
      <c r="AJ836" s="8">
        <f>TRUNC($AL834,1)</f>
        <v>2946.3</v>
      </c>
      <c r="AK836" s="40" t="s">
        <v>3349</v>
      </c>
      <c r="AL836" s="7">
        <f>$AJ836</f>
        <v>2946.3</v>
      </c>
    </row>
    <row r="837" spans="1:38" ht="18.399999999999999" customHeight="1">
      <c r="A837" s="41"/>
      <c r="B837" s="3"/>
      <c r="C837" s="3"/>
      <c r="D837" s="3"/>
      <c r="E837" s="3"/>
      <c r="F837" s="44"/>
    </row>
    <row r="838" spans="1:38" ht="18.399999999999999" customHeight="1">
      <c r="A838" s="43" t="s">
        <v>3543</v>
      </c>
      <c r="B838" s="38">
        <f>SUM($C838,$D838,$E838)</f>
        <v>3889</v>
      </c>
      <c r="C838" s="38">
        <f>TRUNC(SUM($AD836),0)</f>
        <v>0</v>
      </c>
      <c r="D838" s="38">
        <f>TRUNC(SUM($AH836),0)</f>
        <v>943</v>
      </c>
      <c r="E838" s="38">
        <f>TRUNC(SUM($AL836),0)</f>
        <v>2946</v>
      </c>
      <c r="F838" s="46"/>
    </row>
    <row r="839" spans="1:38" ht="18.399999999999999" customHeight="1">
      <c r="A839" s="41"/>
      <c r="B839" s="3"/>
      <c r="C839" s="3"/>
      <c r="D839" s="3"/>
      <c r="E839" s="3"/>
      <c r="F839" s="44"/>
    </row>
    <row r="840" spans="1:38" ht="18.399999999999999" customHeight="1">
      <c r="A840" s="41" t="s">
        <v>1466</v>
      </c>
      <c r="B840" s="36">
        <f>$B914</f>
        <v>2685</v>
      </c>
      <c r="C840" s="36">
        <f>$C914</f>
        <v>0</v>
      </c>
      <c r="D840" s="36">
        <f>$D914</f>
        <v>749</v>
      </c>
      <c r="E840" s="36">
        <f>$E914</f>
        <v>1936</v>
      </c>
      <c r="F840" s="44" t="s">
        <v>3378</v>
      </c>
      <c r="G840" t="s">
        <v>6232</v>
      </c>
      <c r="H840" t="s">
        <v>1341</v>
      </c>
      <c r="K840">
        <v>1</v>
      </c>
      <c r="Y840" s="7" t="b">
        <f>EXACT($Z840,$B914)</f>
        <v>0</v>
      </c>
      <c r="Z840" s="38">
        <v>2403</v>
      </c>
    </row>
    <row r="841" spans="1:38" ht="18.399999999999999" customHeight="1">
      <c r="A841" s="41"/>
      <c r="B841" s="3"/>
      <c r="C841" s="3"/>
      <c r="D841" s="3"/>
      <c r="E841" s="3"/>
      <c r="F841" s="44"/>
    </row>
    <row r="842" spans="1:38" ht="18.399999999999999" customHeight="1">
      <c r="A842" s="41" t="s">
        <v>6232</v>
      </c>
      <c r="B842" s="3"/>
      <c r="C842" s="3"/>
      <c r="D842" s="3"/>
      <c r="E842" s="3"/>
      <c r="F842" s="44"/>
      <c r="G842" t="s">
        <v>6232</v>
      </c>
      <c r="I842" t="s">
        <v>742</v>
      </c>
      <c r="J842" t="s">
        <v>6232</v>
      </c>
      <c r="K842" t="s">
        <v>5235</v>
      </c>
    </row>
    <row r="843" spans="1:38" ht="18.399999999999999" customHeight="1">
      <c r="A843" s="41" t="s">
        <v>4266</v>
      </c>
      <c r="B843" s="37"/>
      <c r="C843" s="37"/>
      <c r="D843" s="37"/>
      <c r="E843" s="37"/>
      <c r="F843" s="45"/>
      <c r="K843" s="3" t="s">
        <v>3444</v>
      </c>
    </row>
    <row r="844" spans="1:38" ht="18.399999999999999" customHeight="1">
      <c r="A844" s="41" t="s">
        <v>6232</v>
      </c>
      <c r="B844" s="37"/>
      <c r="C844" s="37"/>
      <c r="D844" s="37"/>
      <c r="E844" s="37"/>
      <c r="F844" s="45"/>
      <c r="K844" s="3" t="s">
        <v>6232</v>
      </c>
    </row>
    <row r="845" spans="1:38" ht="18.399999999999999" customHeight="1">
      <c r="A845" s="42" t="str">
        <f>CONCATENATE("                L=",TEXT($AB845,"#,##0.0"),"   KM  실시공후 정산")</f>
        <v xml:space="preserve">                L=4.0   KM  실시공후 정산</v>
      </c>
      <c r="B845" s="37"/>
      <c r="C845" s="37"/>
      <c r="D845" s="37"/>
      <c r="E845" s="37"/>
      <c r="F845" s="45"/>
      <c r="K845" s="10" t="str">
        <f>SUBSTITUTE(SUBSTITUTE("                L = 4.0  _x001D_KM_x001D__x001D_실시공후 정산_x001D_","4.0",TEXT($AB845,"#,##0.0"),1),"_x001D_","'")</f>
        <v xml:space="preserve">                L = 4.0  'KM''실시공후 정산'</v>
      </c>
      <c r="AA845" s="39" t="s">
        <v>5842</v>
      </c>
      <c r="AB845" s="6">
        <v>4</v>
      </c>
      <c r="AC845" s="39" t="s">
        <v>5842</v>
      </c>
      <c r="AD845" s="7">
        <f>$AB845</f>
        <v>4</v>
      </c>
    </row>
    <row r="846" spans="1:38" ht="18.399999999999999" customHeight="1">
      <c r="A846" s="41" t="s">
        <v>6214</v>
      </c>
      <c r="B846" s="37"/>
      <c r="C846" s="37"/>
      <c r="D846" s="37"/>
      <c r="E846" s="37"/>
      <c r="F846" s="45"/>
      <c r="K846" s="3" t="s">
        <v>3965</v>
      </c>
    </row>
    <row r="847" spans="1:38" ht="18.399999999999999" customHeight="1">
      <c r="A847" s="42" t="str">
        <f>CONCATENATE("                V=",TEXT($AB847,"#,##0.0"),"  KM/hr")</f>
        <v xml:space="preserve">                V=30.0  KM/hr</v>
      </c>
      <c r="B847" s="37"/>
      <c r="C847" s="37"/>
      <c r="D847" s="37"/>
      <c r="E847" s="37"/>
      <c r="F847" s="45"/>
      <c r="K847" s="10" t="str">
        <f>SUBSTITUTE(SUBSTITUTE("                V = 30.0 _x001D_KM/hr_x001D_","30.0",TEXT($AB847,"#,##0.0"),1),"_x001D_","'")</f>
        <v xml:space="preserve">                V = 30.0 'KM/hr'</v>
      </c>
      <c r="AA847" s="39" t="s">
        <v>247</v>
      </c>
      <c r="AB847" s="6">
        <v>30</v>
      </c>
      <c r="AC847" s="39" t="s">
        <v>247</v>
      </c>
      <c r="AD847" s="7">
        <f>$AB847</f>
        <v>30</v>
      </c>
    </row>
    <row r="848" spans="1:38" ht="18.399999999999999" customHeight="1">
      <c r="A848" s="41" t="s">
        <v>6232</v>
      </c>
      <c r="B848" s="37">
        <f>SUM($C848,$D848,$E848)</f>
        <v>0</v>
      </c>
      <c r="C848" s="37">
        <f>$AB848</f>
        <v>0</v>
      </c>
      <c r="D848" s="37">
        <f>$AF848</f>
        <v>0</v>
      </c>
      <c r="E848" s="37">
        <f>$AJ848</f>
        <v>0</v>
      </c>
      <c r="F848" s="45"/>
      <c r="K848" s="3" t="s">
        <v>295</v>
      </c>
      <c r="AA848" s="40" t="s">
        <v>2660</v>
      </c>
      <c r="AB848" s="8">
        <f>ROUND(0,2)</f>
        <v>0</v>
      </c>
      <c r="AC848" s="40" t="s">
        <v>1650</v>
      </c>
      <c r="AD848" s="7">
        <f>$AB848</f>
        <v>0</v>
      </c>
      <c r="AE848" s="40" t="s">
        <v>5305</v>
      </c>
      <c r="AF848" s="8">
        <f>ROUND(0,2)</f>
        <v>0</v>
      </c>
      <c r="AG848" s="40" t="s">
        <v>5439</v>
      </c>
      <c r="AH848" s="7">
        <f>$AF848</f>
        <v>0</v>
      </c>
      <c r="AI848" s="40" t="s">
        <v>3519</v>
      </c>
      <c r="AJ848" s="8">
        <f>ROUND(0,2)</f>
        <v>0</v>
      </c>
      <c r="AK848" s="40" t="s">
        <v>4149</v>
      </c>
      <c r="AL848" s="7">
        <f>$AJ848</f>
        <v>0</v>
      </c>
    </row>
    <row r="849" spans="1:11" ht="18.399999999999999" customHeight="1">
      <c r="A849" s="41" t="s">
        <v>5524</v>
      </c>
      <c r="B849" s="37"/>
      <c r="C849" s="37"/>
      <c r="D849" s="37"/>
      <c r="E849" s="37"/>
      <c r="F849" s="45"/>
      <c r="K849" s="3" t="s">
        <v>3427</v>
      </c>
    </row>
    <row r="850" spans="1:11" ht="18.399999999999999" customHeight="1">
      <c r="A850" s="41" t="s">
        <v>6232</v>
      </c>
      <c r="B850" s="37"/>
      <c r="C850" s="37"/>
      <c r="D850" s="37"/>
      <c r="E850" s="37"/>
      <c r="F850" s="45"/>
      <c r="K850" s="3" t="s">
        <v>6232</v>
      </c>
    </row>
    <row r="851" spans="1:11" ht="18.399999999999999" customHeight="1">
      <c r="A851" s="41" t="s">
        <v>2653</v>
      </c>
      <c r="B851" s="37"/>
      <c r="C851" s="37"/>
      <c r="D851" s="37"/>
      <c r="E851" s="37"/>
      <c r="F851" s="45"/>
      <c r="K851" s="3" t="s">
        <v>2793</v>
      </c>
    </row>
    <row r="852" spans="1:11" ht="18.399999999999999" customHeight="1">
      <c r="A852" s="41" t="s">
        <v>52</v>
      </c>
      <c r="B852" s="37"/>
      <c r="C852" s="37"/>
      <c r="D852" s="37"/>
      <c r="E852" s="37"/>
      <c r="F852" s="45"/>
      <c r="K852" s="3" t="s">
        <v>3020</v>
      </c>
    </row>
    <row r="853" spans="1:11" ht="18.399999999999999" customHeight="1">
      <c r="A853" s="41" t="s">
        <v>6232</v>
      </c>
      <c r="B853" s="37"/>
      <c r="C853" s="37"/>
      <c r="D853" s="37"/>
      <c r="E853" s="37"/>
      <c r="F853" s="45"/>
      <c r="K853" s="3" t="s">
        <v>6232</v>
      </c>
    </row>
    <row r="854" spans="1:11" ht="18.399999999999999" customHeight="1">
      <c r="A854" s="41" t="s">
        <v>3700</v>
      </c>
      <c r="B854" s="37"/>
      <c r="C854" s="37"/>
      <c r="D854" s="37"/>
      <c r="E854" s="37"/>
      <c r="F854" s="45"/>
      <c r="K854" s="3" t="s">
        <v>2773</v>
      </c>
    </row>
    <row r="855" spans="1:11" ht="18.399999999999999" customHeight="1">
      <c r="A855" s="41" t="s">
        <v>679</v>
      </c>
      <c r="B855" s="37"/>
      <c r="C855" s="37"/>
      <c r="D855" s="37"/>
      <c r="E855" s="37"/>
      <c r="F855" s="45"/>
      <c r="K855" s="3" t="s">
        <v>1995</v>
      </c>
    </row>
    <row r="856" spans="1:11" ht="18.399999999999999" customHeight="1">
      <c r="A856" s="41" t="s">
        <v>5867</v>
      </c>
      <c r="B856" s="37"/>
      <c r="C856" s="37"/>
      <c r="D856" s="37"/>
      <c r="E856" s="37"/>
      <c r="F856" s="45"/>
      <c r="K856" s="3" t="s">
        <v>2096</v>
      </c>
    </row>
    <row r="857" spans="1:11" ht="18.399999999999999" customHeight="1">
      <c r="A857" s="41" t="s">
        <v>6232</v>
      </c>
      <c r="B857" s="37"/>
      <c r="C857" s="37"/>
      <c r="D857" s="37"/>
      <c r="E857" s="37"/>
      <c r="F857" s="45"/>
      <c r="K857" s="3" t="s">
        <v>6232</v>
      </c>
    </row>
    <row r="858" spans="1:11" ht="18.399999999999999" customHeight="1">
      <c r="A858" s="41" t="s">
        <v>5833</v>
      </c>
      <c r="B858" s="37"/>
      <c r="C858" s="37"/>
      <c r="D858" s="37"/>
      <c r="E858" s="37"/>
      <c r="F858" s="45"/>
      <c r="K858" s="3" t="s">
        <v>2794</v>
      </c>
    </row>
    <row r="859" spans="1:11" ht="18.399999999999999" customHeight="1">
      <c r="A859" s="41" t="s">
        <v>6232</v>
      </c>
      <c r="B859" s="37"/>
      <c r="C859" s="37"/>
      <c r="D859" s="37"/>
      <c r="E859" s="37"/>
      <c r="F859" s="45"/>
      <c r="K859" s="3" t="s">
        <v>6232</v>
      </c>
    </row>
    <row r="860" spans="1:11" ht="18.399999999999999" customHeight="1">
      <c r="A860" s="41" t="s">
        <v>6134</v>
      </c>
      <c r="B860" s="37"/>
      <c r="C860" s="37"/>
      <c r="D860" s="37"/>
      <c r="E860" s="37"/>
      <c r="F860" s="45"/>
      <c r="K860" s="3" t="s">
        <v>4089</v>
      </c>
    </row>
    <row r="861" spans="1:11" ht="18.399999999999999" customHeight="1">
      <c r="A861" s="41" t="s">
        <v>6232</v>
      </c>
      <c r="B861" s="37"/>
      <c r="C861" s="37"/>
      <c r="D861" s="37"/>
      <c r="E861" s="37"/>
      <c r="F861" s="45"/>
      <c r="K861" s="3" t="s">
        <v>6232</v>
      </c>
    </row>
    <row r="862" spans="1:11" ht="18.399999999999999" customHeight="1">
      <c r="A862" s="41" t="s">
        <v>1517</v>
      </c>
      <c r="B862" s="37"/>
      <c r="C862" s="37"/>
      <c r="D862" s="37"/>
      <c r="E862" s="37"/>
      <c r="F862" s="45"/>
      <c r="K862" s="3" t="s">
        <v>2275</v>
      </c>
    </row>
    <row r="863" spans="1:11" ht="18.399999999999999" customHeight="1">
      <c r="A863" s="41" t="s">
        <v>6232</v>
      </c>
      <c r="B863" s="37"/>
      <c r="C863" s="37"/>
      <c r="D863" s="37"/>
      <c r="E863" s="37"/>
      <c r="F863" s="45"/>
      <c r="K863" s="3" t="s">
        <v>6232</v>
      </c>
    </row>
    <row r="864" spans="1:11" ht="18.399999999999999" customHeight="1">
      <c r="A864" s="41" t="s">
        <v>257</v>
      </c>
      <c r="B864" s="37"/>
      <c r="C864" s="37"/>
      <c r="D864" s="37"/>
      <c r="E864" s="37"/>
      <c r="F864" s="45"/>
      <c r="K864" s="3" t="s">
        <v>1264</v>
      </c>
    </row>
    <row r="865" spans="1:34" ht="18.399999999999999" customHeight="1">
      <c r="A865" s="41" t="s">
        <v>6232</v>
      </c>
      <c r="B865" s="37"/>
      <c r="C865" s="37"/>
      <c r="D865" s="37"/>
      <c r="E865" s="37"/>
      <c r="F865" s="45"/>
      <c r="K865" s="3" t="s">
        <v>6232</v>
      </c>
    </row>
    <row r="866" spans="1:34" ht="18.399999999999999" customHeight="1">
      <c r="A866" s="42" t="str">
        <f>CONCATENATE("   - 1차당 적재량(본)         Q=",TEXT($AB866,"#,##0.00"),"  본")</f>
        <v xml:space="preserve">   - 1차당 적재량(본)         Q=25.00  본</v>
      </c>
      <c r="B866" s="37"/>
      <c r="C866" s="37"/>
      <c r="D866" s="37"/>
      <c r="E866" s="37"/>
      <c r="F866" s="45"/>
      <c r="K866" s="10" t="str">
        <f>SUBSTITUTE(SUBSTITUTE("  _x001D_- 1차당 적재량(본)_x001D_        Q  =  25 _x001D_본_x001D_","25",TEXT($AB866,"#,##0"),1),"_x001D_","'")</f>
        <v xml:space="preserve">  '- 1차당 적재량(본)'        Q  =  25 '본'</v>
      </c>
      <c r="AA866" s="39" t="s">
        <v>4337</v>
      </c>
      <c r="AB866" s="6">
        <v>25</v>
      </c>
      <c r="AC866" s="39" t="s">
        <v>4337</v>
      </c>
      <c r="AD866" s="7">
        <f>$AB866</f>
        <v>25</v>
      </c>
    </row>
    <row r="867" spans="1:34" ht="18.399999999999999" customHeight="1">
      <c r="A867" s="41" t="s">
        <v>6232</v>
      </c>
      <c r="B867" s="37"/>
      <c r="C867" s="37"/>
      <c r="D867" s="37"/>
      <c r="E867" s="37"/>
      <c r="F867" s="45"/>
      <c r="K867" s="3" t="s">
        <v>6232</v>
      </c>
    </row>
    <row r="868" spans="1:34" ht="18.399999999999999" customHeight="1">
      <c r="A868" s="42" t="str">
        <f>CONCATENATE("   - 운반차량 대기시간(12M당)    T1=",TEXT($AB868,"#,##0.00"),"   분")</f>
        <v xml:space="preserve">   - 운반차량 대기시간(12M당)    T1=4.00   분</v>
      </c>
      <c r="B868" s="37"/>
      <c r="C868" s="37"/>
      <c r="D868" s="37"/>
      <c r="E868" s="37"/>
      <c r="F868" s="45"/>
      <c r="K868" s="10" t="str">
        <f>SUBSTITUTE(SUBSTITUTE("  _x001D_- 운반차량 대기시간(12M당)_x001D_   T1 = 4  _x001D_분_x001D_","4",TEXT($AB868,"#,##0"),1),"_x001D_","'")</f>
        <v xml:space="preserve">  '- 운반차량 대기시간(12M당)'   T1 = 4  '분'</v>
      </c>
      <c r="AA868" s="39" t="s">
        <v>4528</v>
      </c>
      <c r="AB868" s="6">
        <v>4</v>
      </c>
      <c r="AC868" s="39" t="s">
        <v>4528</v>
      </c>
      <c r="AD868" s="7">
        <f>$AB868</f>
        <v>4</v>
      </c>
    </row>
    <row r="869" spans="1:34" ht="18.399999999999999" customHeight="1">
      <c r="A869" s="41" t="s">
        <v>6232</v>
      </c>
      <c r="B869" s="37"/>
      <c r="C869" s="37"/>
      <c r="D869" s="37"/>
      <c r="E869" s="37"/>
      <c r="F869" s="45"/>
      <c r="K869" s="3" t="s">
        <v>6232</v>
      </c>
    </row>
    <row r="870" spans="1:34" ht="18.399999999999999" customHeight="1">
      <c r="A870" s="41" t="s">
        <v>4838</v>
      </c>
      <c r="B870" s="37"/>
      <c r="C870" s="37"/>
      <c r="D870" s="37"/>
      <c r="E870" s="37"/>
      <c r="F870" s="45"/>
      <c r="K870" s="3" t="s">
        <v>6093</v>
      </c>
    </row>
    <row r="871" spans="1:34" ht="18.399999999999999" customHeight="1">
      <c r="A871" s="41" t="s">
        <v>6232</v>
      </c>
      <c r="B871" s="37"/>
      <c r="C871" s="37"/>
      <c r="D871" s="37"/>
      <c r="E871" s="37"/>
      <c r="F871" s="45"/>
      <c r="K871" s="3" t="s">
        <v>6232</v>
      </c>
    </row>
    <row r="872" spans="1:34" ht="18.399999999999999" customHeight="1">
      <c r="A872" s="42" t="str">
        <f>CONCATENATE("    T2 = (L / V * 2 * 60 + 20) / Q = ",TEXT($AF872,"#,##0.00")," 분 ")</f>
        <v xml:space="preserve">    T2 = (L / V * 2 * 60 + 20) / Q = 1.44 분 </v>
      </c>
      <c r="B872" s="37">
        <f>SUM($C872,$D872,$E872)</f>
        <v>0</v>
      </c>
      <c r="C872" s="37"/>
      <c r="D872" s="37"/>
      <c r="E872" s="37"/>
      <c r="F872" s="45"/>
      <c r="K872" s="3" t="s">
        <v>3353</v>
      </c>
      <c r="AA872" s="39" t="s">
        <v>5897</v>
      </c>
      <c r="AB872" s="8">
        <f>ROUND(($AD845/$AD847*2*60+20)/$AD866,2)</f>
        <v>1.44</v>
      </c>
      <c r="AC872" s="39" t="s">
        <v>2053</v>
      </c>
      <c r="AD872" s="7">
        <f>$AB872</f>
        <v>1.44</v>
      </c>
      <c r="AE872" s="39" t="s">
        <v>2670</v>
      </c>
      <c r="AF872" s="8">
        <f>ROUND(ROUND(($AD845/$AD847*2*60+20)/$AD866,2),2)</f>
        <v>1.44</v>
      </c>
      <c r="AG872" s="39" t="s">
        <v>1521</v>
      </c>
      <c r="AH872" s="7">
        <f>$AF872</f>
        <v>1.44</v>
      </c>
    </row>
    <row r="873" spans="1:34" ht="18.399999999999999" customHeight="1">
      <c r="A873" s="41" t="s">
        <v>6232</v>
      </c>
      <c r="B873" s="37"/>
      <c r="C873" s="37"/>
      <c r="D873" s="37"/>
      <c r="E873" s="37"/>
      <c r="F873" s="45"/>
      <c r="K873" s="3" t="s">
        <v>6232</v>
      </c>
    </row>
    <row r="874" spans="1:34" ht="18.399999999999999" customHeight="1">
      <c r="A874" s="41" t="s">
        <v>2391</v>
      </c>
      <c r="B874" s="37"/>
      <c r="C874" s="37"/>
      <c r="D874" s="37"/>
      <c r="E874" s="37"/>
      <c r="F874" s="45"/>
      <c r="K874" s="3" t="s">
        <v>4710</v>
      </c>
    </row>
    <row r="875" spans="1:34" ht="18.399999999999999" customHeight="1">
      <c r="A875" s="41" t="s">
        <v>6232</v>
      </c>
      <c r="B875" s="37"/>
      <c r="C875" s="37"/>
      <c r="D875" s="37"/>
      <c r="E875" s="37"/>
      <c r="F875" s="45"/>
      <c r="K875" s="3" t="s">
        <v>6232</v>
      </c>
    </row>
    <row r="876" spans="1:34" ht="18.399999999999999" customHeight="1">
      <c r="A876" s="42" t="str">
        <f>CONCATENATE("    CM = T1 + T2 = ",TEXT($AF876,"#,##0.00")," 분 ")</f>
        <v xml:space="preserve">    CM = T1 + T2 = 5.44 분 </v>
      </c>
      <c r="B876" s="37">
        <f>SUM($C876,$D876,$E876)</f>
        <v>0</v>
      </c>
      <c r="C876" s="37"/>
      <c r="D876" s="37"/>
      <c r="E876" s="37"/>
      <c r="F876" s="45"/>
      <c r="K876" s="3" t="s">
        <v>6049</v>
      </c>
      <c r="AA876" s="39" t="s">
        <v>5026</v>
      </c>
      <c r="AB876" s="8">
        <f>ROUND($AD868+$AD872,2)</f>
        <v>5.44</v>
      </c>
      <c r="AC876" s="39" t="s">
        <v>289</v>
      </c>
      <c r="AD876" s="7">
        <f>$AB876</f>
        <v>5.44</v>
      </c>
      <c r="AE876" s="39" t="s">
        <v>2375</v>
      </c>
      <c r="AF876" s="8">
        <f>ROUND(ROUND($AD868+$AD872,2),2)</f>
        <v>5.44</v>
      </c>
      <c r="AG876" s="39" t="s">
        <v>4499</v>
      </c>
      <c r="AH876" s="7">
        <f>$AF876</f>
        <v>5.44</v>
      </c>
    </row>
    <row r="877" spans="1:34" ht="18.399999999999999" customHeight="1">
      <c r="A877" s="41" t="s">
        <v>6232</v>
      </c>
      <c r="B877" s="37"/>
      <c r="C877" s="37"/>
      <c r="D877" s="37"/>
      <c r="E877" s="37"/>
      <c r="F877" s="45"/>
      <c r="K877" s="3" t="s">
        <v>6232</v>
      </c>
    </row>
    <row r="878" spans="1:34" ht="18.399999999999999" customHeight="1">
      <c r="A878" s="41" t="s">
        <v>5848</v>
      </c>
      <c r="B878" s="37"/>
      <c r="C878" s="37"/>
      <c r="D878" s="37"/>
      <c r="E878" s="37"/>
      <c r="F878" s="45"/>
      <c r="K878" s="3" t="s">
        <v>788</v>
      </c>
    </row>
    <row r="879" spans="1:34" ht="18.399999999999999" customHeight="1">
      <c r="A879" s="41" t="s">
        <v>6232</v>
      </c>
      <c r="B879" s="37"/>
      <c r="C879" s="37"/>
      <c r="D879" s="37"/>
      <c r="E879" s="37"/>
      <c r="F879" s="45"/>
      <c r="K879" s="3" t="s">
        <v>6232</v>
      </c>
    </row>
    <row r="880" spans="1:34" ht="18.399999999999999" customHeight="1">
      <c r="A880" s="42" t="str">
        <f>CONCATENATE("    Qo = T2 / CM = ",TEXT($AF880,"#,##0.00")," 분 ")</f>
        <v xml:space="preserve">    Qo = T2 / CM = 0.26 분 </v>
      </c>
      <c r="B880" s="37">
        <f>SUM($C880,$D880,$E880)</f>
        <v>0</v>
      </c>
      <c r="C880" s="37"/>
      <c r="D880" s="37"/>
      <c r="E880" s="37"/>
      <c r="F880" s="45"/>
      <c r="K880" s="3" t="s">
        <v>882</v>
      </c>
      <c r="AA880" s="39" t="s">
        <v>1501</v>
      </c>
      <c r="AB880" s="8">
        <f>ROUND($AD872/$AD876,2)</f>
        <v>0.26</v>
      </c>
      <c r="AC880" s="39" t="s">
        <v>2425</v>
      </c>
      <c r="AD880" s="7">
        <f>$AB880</f>
        <v>0.26</v>
      </c>
      <c r="AE880" s="39" t="s">
        <v>2456</v>
      </c>
      <c r="AF880" s="8">
        <f>ROUND(ROUND($AD872/$AD876,2),2)</f>
        <v>0.26</v>
      </c>
      <c r="AG880" s="39" t="s">
        <v>5748</v>
      </c>
      <c r="AH880" s="7">
        <f>$AF880</f>
        <v>0.26</v>
      </c>
    </row>
    <row r="881" spans="1:30" ht="18.399999999999999" customHeight="1">
      <c r="A881" s="41" t="s">
        <v>6232</v>
      </c>
      <c r="B881" s="37"/>
      <c r="C881" s="37"/>
      <c r="D881" s="37"/>
      <c r="E881" s="37"/>
      <c r="F881" s="45"/>
      <c r="K881" s="3" t="s">
        <v>6232</v>
      </c>
    </row>
    <row r="882" spans="1:30" ht="18.399999999999999" customHeight="1">
      <c r="A882" s="41" t="s">
        <v>1042</v>
      </c>
      <c r="B882" s="37"/>
      <c r="C882" s="37"/>
      <c r="D882" s="37"/>
      <c r="E882" s="37"/>
      <c r="F882" s="45"/>
      <c r="K882" s="3" t="s">
        <v>1008</v>
      </c>
    </row>
    <row r="883" spans="1:30" ht="18.399999999999999" customHeight="1">
      <c r="A883" s="41" t="s">
        <v>6232</v>
      </c>
      <c r="B883" s="37"/>
      <c r="C883" s="37"/>
      <c r="D883" s="37"/>
      <c r="E883" s="37"/>
      <c r="F883" s="45"/>
      <c r="K883" s="3" t="s">
        <v>6232</v>
      </c>
    </row>
    <row r="884" spans="1:30" ht="18.399999999999999" customHeight="1">
      <c r="A884" s="42" t="str">
        <f>CONCATENATE("      보통인부 :  2.0 인  * _x001D_169,804_x001D_ * (CM + 6 ) / 60 / 8 = ",TEXT($AB884,"#,##0.0"))</f>
        <v xml:space="preserve">      보통인부 :  2.0 인  * _x001D_169,804_x001D_ * (CM + 6 ) / 60 / 8 = 8,201.9</v>
      </c>
      <c r="B884" s="37">
        <f>SUM($C884,$D884,$E884)</f>
        <v>8201.9</v>
      </c>
      <c r="C884" s="37"/>
      <c r="D884" s="37">
        <f>$AB884</f>
        <v>8201.9</v>
      </c>
      <c r="E884" s="37"/>
      <c r="F884" s="45" t="s">
        <v>6232</v>
      </c>
      <c r="K884" s="3" t="s">
        <v>3933</v>
      </c>
      <c r="AA884" s="40" t="s">
        <v>5305</v>
      </c>
      <c r="AB884" s="8">
        <f>TRUNC(2*노임!D3*($AD876+6)/60/8,1)</f>
        <v>8201.9</v>
      </c>
      <c r="AC884" s="40" t="s">
        <v>5439</v>
      </c>
      <c r="AD884" s="7">
        <f>$AH848+$AB884</f>
        <v>8201.9</v>
      </c>
    </row>
    <row r="885" spans="1:30" ht="18.399999999999999" customHeight="1">
      <c r="A885" s="41" t="s">
        <v>6232</v>
      </c>
      <c r="B885" s="37"/>
      <c r="C885" s="37"/>
      <c r="D885" s="37"/>
      <c r="E885" s="37"/>
      <c r="F885" s="45"/>
      <c r="K885" s="3" t="s">
        <v>6232</v>
      </c>
    </row>
    <row r="886" spans="1:30" ht="18.399999999999999" customHeight="1">
      <c r="A886" s="41" t="s">
        <v>5801</v>
      </c>
      <c r="B886" s="37"/>
      <c r="C886" s="37"/>
      <c r="D886" s="37"/>
      <c r="E886" s="37"/>
      <c r="F886" s="45"/>
      <c r="K886" s="3" t="s">
        <v>775</v>
      </c>
    </row>
    <row r="887" spans="1:30" ht="18.399999999999999" customHeight="1">
      <c r="A887" s="41" t="s">
        <v>6232</v>
      </c>
      <c r="B887" s="37"/>
      <c r="C887" s="37"/>
      <c r="D887" s="37"/>
      <c r="E887" s="37"/>
      <c r="F887" s="45"/>
      <c r="K887" s="3" t="s">
        <v>6232</v>
      </c>
    </row>
    <row r="888" spans="1:30" ht="18.399999999999999" customHeight="1">
      <c r="A888" s="41" t="s">
        <v>4967</v>
      </c>
      <c r="B888" s="37"/>
      <c r="C888" s="37"/>
      <c r="D888" s="37"/>
      <c r="E888" s="37"/>
      <c r="F888" s="45"/>
      <c r="K888" s="3" t="s">
        <v>3483</v>
      </c>
    </row>
    <row r="889" spans="1:30" ht="18.399999999999999" customHeight="1">
      <c r="A889" s="41" t="s">
        <v>6232</v>
      </c>
      <c r="B889" s="37"/>
      <c r="C889" s="37"/>
      <c r="D889" s="37"/>
      <c r="E889" s="37"/>
      <c r="F889" s="45"/>
      <c r="K889" s="3" t="s">
        <v>6232</v>
      </c>
    </row>
    <row r="890" spans="1:30" ht="18.399999999999999" customHeight="1">
      <c r="A890" s="42" t="str">
        <f>CONCATENATE("     재료비:  _x001D_8,795_x001D_ * 6 / 60 = ",TEXT($AB890,"#,##0.0"))</f>
        <v xml:space="preserve">     재료비:  _x001D_8,795_x001D_ * 6 / 60 = 0.0</v>
      </c>
      <c r="B890" s="37">
        <f>SUM($C890,$D890,$E890)</f>
        <v>0</v>
      </c>
      <c r="C890" s="37">
        <f>$AB890</f>
        <v>0</v>
      </c>
      <c r="D890" s="37"/>
      <c r="E890" s="37"/>
      <c r="F890" s="45" t="s">
        <v>6232</v>
      </c>
      <c r="K890" s="3" t="s">
        <v>4361</v>
      </c>
      <c r="AA890" s="40" t="s">
        <v>2660</v>
      </c>
      <c r="AB890" s="8">
        <f>TRUNC(중기사용료목록!E4*6/60,1)</f>
        <v>0</v>
      </c>
      <c r="AC890" s="40" t="s">
        <v>1650</v>
      </c>
      <c r="AD890" s="7">
        <f>$AD848+$AB890</f>
        <v>0</v>
      </c>
    </row>
    <row r="891" spans="1:30" ht="18.399999999999999" customHeight="1">
      <c r="A891" s="41" t="s">
        <v>6232</v>
      </c>
      <c r="B891" s="37"/>
      <c r="C891" s="37"/>
      <c r="D891" s="37"/>
      <c r="E891" s="37"/>
      <c r="F891" s="45"/>
      <c r="K891" s="3" t="s">
        <v>6232</v>
      </c>
    </row>
    <row r="892" spans="1:30" ht="18.399999999999999" customHeight="1">
      <c r="A892" s="42" t="str">
        <f>CONCATENATE("     노무비:  _x001D_57,077_x001D_ * 6 / 60 = ",TEXT($AB892,"#,##0.0"))</f>
        <v xml:space="preserve">     노무비:  _x001D_57,077_x001D_ * 6 / 60 = 0.0</v>
      </c>
      <c r="B892" s="37">
        <f>SUM($C892,$D892,$E892)</f>
        <v>0</v>
      </c>
      <c r="C892" s="37"/>
      <c r="D892" s="37">
        <f>$AB892</f>
        <v>0</v>
      </c>
      <c r="E892" s="37"/>
      <c r="F892" s="45" t="s">
        <v>6232</v>
      </c>
      <c r="K892" s="3" t="s">
        <v>324</v>
      </c>
      <c r="AA892" s="40" t="s">
        <v>5305</v>
      </c>
      <c r="AB892" s="8">
        <f>TRUNC(중기사용료목록!F4*6/60,1)</f>
        <v>0</v>
      </c>
      <c r="AC892" s="40" t="s">
        <v>5439</v>
      </c>
      <c r="AD892" s="7">
        <f>$AD884+$AB892</f>
        <v>8201.9</v>
      </c>
    </row>
    <row r="893" spans="1:30" ht="18.399999999999999" customHeight="1">
      <c r="A893" s="41" t="s">
        <v>6232</v>
      </c>
      <c r="B893" s="37"/>
      <c r="C893" s="37"/>
      <c r="D893" s="37"/>
      <c r="E893" s="37"/>
      <c r="F893" s="45"/>
      <c r="K893" s="3" t="s">
        <v>6232</v>
      </c>
    </row>
    <row r="894" spans="1:30" ht="18.399999999999999" customHeight="1">
      <c r="A894" s="42" t="str">
        <f>CONCATENATE("     경  비:  _x001D_41,995_x001D_ * 6 / 60 = ",TEXT($AB894,"#,##0.0"))</f>
        <v xml:space="preserve">     경  비:  _x001D_41,995_x001D_ * 6 / 60 = 11,067.8</v>
      </c>
      <c r="B894" s="37">
        <f>SUM($C894,$D894,$E894)</f>
        <v>11067.8</v>
      </c>
      <c r="C894" s="37"/>
      <c r="D894" s="37"/>
      <c r="E894" s="37">
        <f>$AB894</f>
        <v>11067.8</v>
      </c>
      <c r="F894" s="45" t="s">
        <v>6232</v>
      </c>
      <c r="K894" s="3" t="s">
        <v>1076</v>
      </c>
      <c r="AA894" s="40" t="s">
        <v>3519</v>
      </c>
      <c r="AB894" s="8">
        <f>TRUNC(중기사용료목록!G4*6/60,1)</f>
        <v>11067.8</v>
      </c>
      <c r="AC894" s="40" t="s">
        <v>4149</v>
      </c>
      <c r="AD894" s="7">
        <f>$AL848+$AB894</f>
        <v>11067.8</v>
      </c>
    </row>
    <row r="895" spans="1:30" ht="18.399999999999999" customHeight="1">
      <c r="A895" s="41" t="s">
        <v>6232</v>
      </c>
      <c r="B895" s="37"/>
      <c r="C895" s="37"/>
      <c r="D895" s="37"/>
      <c r="E895" s="37"/>
      <c r="F895" s="45"/>
      <c r="K895" s="3" t="s">
        <v>6232</v>
      </c>
    </row>
    <row r="896" spans="1:30" ht="18.399999999999999" customHeight="1">
      <c r="A896" s="41" t="s">
        <v>1530</v>
      </c>
      <c r="B896" s="37"/>
      <c r="C896" s="37"/>
      <c r="D896" s="37"/>
      <c r="E896" s="37"/>
      <c r="F896" s="45"/>
      <c r="K896" s="3" t="s">
        <v>2021</v>
      </c>
    </row>
    <row r="897" spans="1:38" ht="18.399999999999999" customHeight="1">
      <c r="A897" s="41" t="s">
        <v>6232</v>
      </c>
      <c r="B897" s="37"/>
      <c r="C897" s="37"/>
      <c r="D897" s="37"/>
      <c r="E897" s="37"/>
      <c r="F897" s="45"/>
      <c r="K897" s="3" t="s">
        <v>6232</v>
      </c>
    </row>
    <row r="898" spans="1:38" ht="18.399999999999999" customHeight="1">
      <c r="A898" s="42" t="str">
        <f>CONCATENATE("     재료비:  _x001D_30,878_x001D_ * CM / 60 * Qo = ",TEXT($AB898,"#,##0.0"))</f>
        <v xml:space="preserve">     재료비:  _x001D_30,878_x001D_ * CM / 60 * Qo = 0.0</v>
      </c>
      <c r="B898" s="37">
        <f>SUM($C898,$D898,$E898)</f>
        <v>0</v>
      </c>
      <c r="C898" s="37">
        <f>$AB898</f>
        <v>0</v>
      </c>
      <c r="D898" s="37"/>
      <c r="E898" s="37"/>
      <c r="F898" s="45" t="s">
        <v>6232</v>
      </c>
      <c r="K898" s="3" t="s">
        <v>4711</v>
      </c>
      <c r="AA898" s="40" t="s">
        <v>2660</v>
      </c>
      <c r="AB898" s="8">
        <f>TRUNC(중기사용료목록!E7*$AD876/60*$AD880,1)</f>
        <v>0</v>
      </c>
      <c r="AC898" s="40" t="s">
        <v>1650</v>
      </c>
      <c r="AD898" s="7">
        <f>$AD890+$AB898</f>
        <v>0</v>
      </c>
    </row>
    <row r="899" spans="1:38" ht="18.399999999999999" customHeight="1">
      <c r="A899" s="41" t="s">
        <v>6232</v>
      </c>
      <c r="B899" s="37"/>
      <c r="C899" s="37"/>
      <c r="D899" s="37"/>
      <c r="E899" s="37"/>
      <c r="F899" s="45"/>
      <c r="K899" s="3" t="s">
        <v>6232</v>
      </c>
    </row>
    <row r="900" spans="1:38" ht="18.399999999999999" customHeight="1">
      <c r="A900" s="42" t="str">
        <f>CONCATENATE("     노무비:  _x001D_57,077_x001D_ * CM / 60 = ",TEXT($AB900,"#,##0.0"))</f>
        <v xml:space="preserve">     노무비:  _x001D_57,077_x001D_ * CM / 60 = 0.0</v>
      </c>
      <c r="B900" s="37">
        <f>SUM($C900,$D900,$E900)</f>
        <v>0</v>
      </c>
      <c r="C900" s="37"/>
      <c r="D900" s="37">
        <f>$AB900</f>
        <v>0</v>
      </c>
      <c r="E900" s="37"/>
      <c r="F900" s="45" t="s">
        <v>6232</v>
      </c>
      <c r="K900" s="3" t="s">
        <v>3619</v>
      </c>
      <c r="AA900" s="40" t="s">
        <v>5305</v>
      </c>
      <c r="AB900" s="8">
        <f>TRUNC(중기사용료목록!F7*$AD876/60,1)</f>
        <v>0</v>
      </c>
      <c r="AC900" s="40" t="s">
        <v>5439</v>
      </c>
      <c r="AD900" s="7">
        <f>$AD892+$AB900</f>
        <v>8201.9</v>
      </c>
    </row>
    <row r="901" spans="1:38" ht="18.399999999999999" customHeight="1">
      <c r="A901" s="41" t="s">
        <v>6232</v>
      </c>
      <c r="B901" s="37"/>
      <c r="C901" s="37"/>
      <c r="D901" s="37"/>
      <c r="E901" s="37"/>
      <c r="F901" s="45"/>
      <c r="K901" s="3" t="s">
        <v>6232</v>
      </c>
    </row>
    <row r="902" spans="1:38" ht="18.399999999999999" customHeight="1">
      <c r="A902" s="42" t="str">
        <f>CONCATENATE("     경  비:  _x001D_16,873_x001D_ * CM / 60 = ",TEXT($AB902,"#,##0.0"))</f>
        <v xml:space="preserve">     경  비:  _x001D_16,873_x001D_ * CM / 60 = 10,121.5</v>
      </c>
      <c r="B902" s="37">
        <f>SUM($C902,$D902,$E902)</f>
        <v>10121.5</v>
      </c>
      <c r="C902" s="37"/>
      <c r="D902" s="37"/>
      <c r="E902" s="37">
        <f>$AB902</f>
        <v>10121.5</v>
      </c>
      <c r="F902" s="45" t="s">
        <v>6232</v>
      </c>
      <c r="K902" s="3" t="s">
        <v>5622</v>
      </c>
      <c r="AA902" s="40" t="s">
        <v>3519</v>
      </c>
      <c r="AB902" s="8">
        <f>TRUNC(중기사용료목록!G7*$AD876/60,1)</f>
        <v>10121.5</v>
      </c>
      <c r="AC902" s="40" t="s">
        <v>4149</v>
      </c>
      <c r="AD902" s="7">
        <f>$AD894+$AB902</f>
        <v>21189.3</v>
      </c>
    </row>
    <row r="903" spans="1:38" ht="18.399999999999999" customHeight="1">
      <c r="A903" s="41" t="s">
        <v>6232</v>
      </c>
      <c r="B903" s="37"/>
      <c r="C903" s="37"/>
      <c r="D903" s="37"/>
      <c r="E903" s="37"/>
      <c r="F903" s="45"/>
      <c r="K903" s="3" t="s">
        <v>6232</v>
      </c>
    </row>
    <row r="904" spans="1:38" ht="18.399999999999999" customHeight="1">
      <c r="A904" s="41" t="s">
        <v>4035</v>
      </c>
      <c r="B904" s="37">
        <v>26313.1</v>
      </c>
      <c r="C904" s="37">
        <v>1607.3</v>
      </c>
      <c r="D904" s="37">
        <v>18976.5</v>
      </c>
      <c r="E904" s="37">
        <v>5729.3</v>
      </c>
      <c r="F904" s="45"/>
      <c r="K904" s="3" t="s">
        <v>6070</v>
      </c>
    </row>
    <row r="905" spans="1:38" ht="18.399999999999999" customHeight="1">
      <c r="A905" s="41" t="s">
        <v>6232</v>
      </c>
      <c r="B905" s="37">
        <f>SUM($C905,$D905,$E905)</f>
        <v>0</v>
      </c>
      <c r="C905" s="37">
        <f>$AB905</f>
        <v>0</v>
      </c>
      <c r="D905" s="37">
        <f>$AF905</f>
        <v>0</v>
      </c>
      <c r="E905" s="37">
        <f>$AJ905</f>
        <v>0</v>
      </c>
      <c r="F905" s="45"/>
      <c r="K905" s="3" t="s">
        <v>5506</v>
      </c>
      <c r="AA905" s="40" t="s">
        <v>4586</v>
      </c>
      <c r="AB905" s="8">
        <f>ROUND(0,2)</f>
        <v>0</v>
      </c>
      <c r="AC905" s="40" t="s">
        <v>4161</v>
      </c>
      <c r="AD905" s="7">
        <f>$AB905</f>
        <v>0</v>
      </c>
      <c r="AE905" s="40" t="s">
        <v>222</v>
      </c>
      <c r="AF905" s="8">
        <f>ROUND(0,2)</f>
        <v>0</v>
      </c>
      <c r="AG905" s="40" t="s">
        <v>334</v>
      </c>
      <c r="AH905" s="7">
        <f>$AF905</f>
        <v>0</v>
      </c>
      <c r="AI905" s="40" t="s">
        <v>1574</v>
      </c>
      <c r="AJ905" s="8">
        <f>ROUND(0,2)</f>
        <v>0</v>
      </c>
      <c r="AK905" s="40" t="s">
        <v>1622</v>
      </c>
      <c r="AL905" s="7">
        <f>$AJ905</f>
        <v>0</v>
      </c>
    </row>
    <row r="906" spans="1:38" ht="18.399999999999999" customHeight="1">
      <c r="A906" s="41" t="s">
        <v>4195</v>
      </c>
      <c r="B906" s="37">
        <f>SUM($C906,$D906,$E906)</f>
        <v>2449.1</v>
      </c>
      <c r="C906" s="37">
        <f>$AB906</f>
        <v>0</v>
      </c>
      <c r="D906" s="37">
        <f>$AF906</f>
        <v>683.4</v>
      </c>
      <c r="E906" s="37">
        <f>$AJ906</f>
        <v>1765.7</v>
      </c>
      <c r="F906" s="45"/>
      <c r="K906" s="3" t="s">
        <v>4286</v>
      </c>
      <c r="AA906" s="40" t="s">
        <v>4586</v>
      </c>
      <c r="AB906" s="8">
        <f>TRUNC($AD898/12,1)</f>
        <v>0</v>
      </c>
      <c r="AC906" s="40" t="s">
        <v>4161</v>
      </c>
      <c r="AD906" s="7">
        <f>$AB906</f>
        <v>0</v>
      </c>
      <c r="AE906" s="40" t="s">
        <v>222</v>
      </c>
      <c r="AF906" s="8">
        <f>TRUNC($AD900/12,1)</f>
        <v>683.4</v>
      </c>
      <c r="AG906" s="40" t="s">
        <v>334</v>
      </c>
      <c r="AH906" s="7">
        <f>$AF906</f>
        <v>683.4</v>
      </c>
      <c r="AI906" s="40" t="s">
        <v>1574</v>
      </c>
      <c r="AJ906" s="8">
        <f>TRUNC($AD902/12,1)</f>
        <v>1765.7</v>
      </c>
      <c r="AK906" s="40" t="s">
        <v>1622</v>
      </c>
      <c r="AL906" s="7">
        <f>$AJ906</f>
        <v>1765.7</v>
      </c>
    </row>
    <row r="907" spans="1:38" ht="18.399999999999999" customHeight="1">
      <c r="A907" s="41" t="s">
        <v>6232</v>
      </c>
      <c r="B907" s="37"/>
      <c r="C907" s="37"/>
      <c r="D907" s="37"/>
      <c r="E907" s="37"/>
      <c r="F907" s="45"/>
      <c r="K907" s="3" t="s">
        <v>6232</v>
      </c>
    </row>
    <row r="908" spans="1:38" ht="18.399999999999999" customHeight="1">
      <c r="A908" s="41" t="s">
        <v>3436</v>
      </c>
      <c r="B908" s="37">
        <v>2192.6</v>
      </c>
      <c r="C908" s="37">
        <v>133.9</v>
      </c>
      <c r="D908" s="37">
        <v>1581.3</v>
      </c>
      <c r="E908" s="37">
        <v>477.4</v>
      </c>
      <c r="F908" s="45"/>
      <c r="K908" s="3" t="s">
        <v>1342</v>
      </c>
    </row>
    <row r="909" spans="1:38" ht="18.399999999999999" customHeight="1">
      <c r="A909" s="41" t="s">
        <v>6232</v>
      </c>
      <c r="B909" s="37">
        <f>SUM($C909,$D909,$E909)</f>
        <v>0</v>
      </c>
      <c r="C909" s="37">
        <f>$AB909</f>
        <v>0</v>
      </c>
      <c r="D909" s="37">
        <f>$AF909</f>
        <v>0</v>
      </c>
      <c r="E909" s="37">
        <f>$AJ909</f>
        <v>0</v>
      </c>
      <c r="F909" s="45"/>
      <c r="K909" s="3" t="s">
        <v>3238</v>
      </c>
      <c r="AA909" s="40" t="s">
        <v>308</v>
      </c>
      <c r="AB909" s="8">
        <f>ROUND(0,2)</f>
        <v>0</v>
      </c>
      <c r="AC909" s="40" t="s">
        <v>5000</v>
      </c>
      <c r="AD909" s="7">
        <f>$AB909</f>
        <v>0</v>
      </c>
      <c r="AE909" s="40" t="s">
        <v>4500</v>
      </c>
      <c r="AF909" s="8">
        <f>ROUND(0,2)</f>
        <v>0</v>
      </c>
      <c r="AG909" s="40" t="s">
        <v>2603</v>
      </c>
      <c r="AH909" s="7">
        <f>$AF909</f>
        <v>0</v>
      </c>
      <c r="AI909" s="40" t="s">
        <v>5878</v>
      </c>
      <c r="AJ909" s="8">
        <f>ROUND(0,2)</f>
        <v>0</v>
      </c>
      <c r="AK909" s="40" t="s">
        <v>787</v>
      </c>
      <c r="AL909" s="7">
        <f>$AJ909</f>
        <v>0</v>
      </c>
    </row>
    <row r="910" spans="1:38" ht="18.399999999999999" customHeight="1">
      <c r="A910" s="41" t="s">
        <v>1938</v>
      </c>
      <c r="B910" s="37">
        <f>SUM($C910,$D910,$E910)</f>
        <v>2686.5</v>
      </c>
      <c r="C910" s="37">
        <f>$AB910</f>
        <v>0</v>
      </c>
      <c r="D910" s="37">
        <f>$AF910</f>
        <v>749.6</v>
      </c>
      <c r="E910" s="37">
        <f>$AJ910</f>
        <v>1936.9</v>
      </c>
      <c r="F910" s="45"/>
      <c r="K910" s="3" t="s">
        <v>2347</v>
      </c>
      <c r="AA910" s="40" t="s">
        <v>308</v>
      </c>
      <c r="AB910" s="8">
        <f>TRUNC($AD906*1.097,1)</f>
        <v>0</v>
      </c>
      <c r="AC910" s="40" t="s">
        <v>5000</v>
      </c>
      <c r="AD910" s="7">
        <f>$AB910</f>
        <v>0</v>
      </c>
      <c r="AE910" s="40" t="s">
        <v>4500</v>
      </c>
      <c r="AF910" s="8">
        <f>TRUNC($AH906*1.097,1)</f>
        <v>749.6</v>
      </c>
      <c r="AG910" s="40" t="s">
        <v>2603</v>
      </c>
      <c r="AH910" s="7">
        <f>$AF910</f>
        <v>749.6</v>
      </c>
      <c r="AI910" s="40" t="s">
        <v>5878</v>
      </c>
      <c r="AJ910" s="8">
        <f>TRUNC($AL906*1.097,1)</f>
        <v>1936.9</v>
      </c>
      <c r="AK910" s="40" t="s">
        <v>787</v>
      </c>
      <c r="AL910" s="7">
        <f>$AJ910</f>
        <v>1936.9</v>
      </c>
    </row>
    <row r="911" spans="1:38" ht="18.399999999999999" customHeight="1">
      <c r="A911" s="41" t="s">
        <v>6232</v>
      </c>
      <c r="B911" s="37"/>
      <c r="C911" s="37"/>
      <c r="D911" s="37"/>
      <c r="E911" s="37"/>
      <c r="F911" s="45"/>
      <c r="K911" s="3" t="s">
        <v>6232</v>
      </c>
    </row>
    <row r="912" spans="1:38" ht="18.399999999999999" customHeight="1">
      <c r="A912" s="41" t="s">
        <v>3436</v>
      </c>
      <c r="B912" s="37">
        <f>SUM($C912,$D912,$E912)</f>
        <v>2686.5</v>
      </c>
      <c r="C912" s="37">
        <f>$AB912</f>
        <v>0</v>
      </c>
      <c r="D912" s="37">
        <f>$AF912</f>
        <v>749.6</v>
      </c>
      <c r="E912" s="37">
        <f>$AJ912</f>
        <v>1936.9</v>
      </c>
      <c r="F912" s="45"/>
      <c r="K912" s="3" t="s">
        <v>4527</v>
      </c>
      <c r="AA912" s="40" t="s">
        <v>4592</v>
      </c>
      <c r="AB912" s="8">
        <f>TRUNC($AD910,1)</f>
        <v>0</v>
      </c>
      <c r="AC912" s="40" t="s">
        <v>5149</v>
      </c>
      <c r="AD912" s="7">
        <f>$AB912</f>
        <v>0</v>
      </c>
      <c r="AE912" s="40" t="s">
        <v>666</v>
      </c>
      <c r="AF912" s="8">
        <f>TRUNC($AH910,1)</f>
        <v>749.6</v>
      </c>
      <c r="AG912" s="40" t="s">
        <v>2431</v>
      </c>
      <c r="AH912" s="7">
        <f>$AF912</f>
        <v>749.6</v>
      </c>
      <c r="AI912" s="40" t="s">
        <v>1930</v>
      </c>
      <c r="AJ912" s="8">
        <f>TRUNC($AL910,1)</f>
        <v>1936.9</v>
      </c>
      <c r="AK912" s="40" t="s">
        <v>3349</v>
      </c>
      <c r="AL912" s="7">
        <f>$AJ912</f>
        <v>1936.9</v>
      </c>
    </row>
    <row r="913" spans="1:38" ht="18.399999999999999" customHeight="1">
      <c r="A913" s="41"/>
      <c r="B913" s="3"/>
      <c r="C913" s="3"/>
      <c r="D913" s="3"/>
      <c r="E913" s="3"/>
      <c r="F913" s="44"/>
    </row>
    <row r="914" spans="1:38" ht="18.399999999999999" customHeight="1">
      <c r="A914" s="43" t="s">
        <v>3543</v>
      </c>
      <c r="B914" s="38">
        <f>SUM($C914,$D914,$E914)</f>
        <v>2685</v>
      </c>
      <c r="C914" s="38">
        <f>TRUNC(SUM($AD912),0)</f>
        <v>0</v>
      </c>
      <c r="D914" s="38">
        <f>TRUNC(SUM($AH912),0)</f>
        <v>749</v>
      </c>
      <c r="E914" s="38">
        <f>TRUNC(SUM($AL912),0)</f>
        <v>1936</v>
      </c>
      <c r="F914" s="46"/>
    </row>
    <row r="915" spans="1:38" ht="18.399999999999999" customHeight="1">
      <c r="A915" s="41"/>
      <c r="B915" s="3"/>
      <c r="C915" s="3"/>
      <c r="D915" s="3"/>
      <c r="E915" s="3"/>
      <c r="F915" s="44"/>
    </row>
    <row r="916" spans="1:38" ht="18.399999999999999" customHeight="1">
      <c r="A916" s="41" t="s">
        <v>2049</v>
      </c>
      <c r="B916" s="36">
        <f>$B989</f>
        <v>2075</v>
      </c>
      <c r="C916" s="36">
        <f>$C989</f>
        <v>0</v>
      </c>
      <c r="D916" s="36">
        <f>$D989</f>
        <v>650</v>
      </c>
      <c r="E916" s="36">
        <f>$E989</f>
        <v>1425</v>
      </c>
      <c r="F916" s="44" t="s">
        <v>3378</v>
      </c>
      <c r="G916" t="s">
        <v>6232</v>
      </c>
      <c r="H916" t="s">
        <v>887</v>
      </c>
      <c r="K916">
        <v>1</v>
      </c>
      <c r="Y916" s="7" t="b">
        <f>EXACT($Z916,$B989)</f>
        <v>0</v>
      </c>
      <c r="Z916" s="38">
        <v>1863</v>
      </c>
    </row>
    <row r="917" spans="1:38" ht="18.399999999999999" customHeight="1">
      <c r="A917" s="41"/>
      <c r="B917" s="3"/>
      <c r="C917" s="3"/>
      <c r="D917" s="3"/>
      <c r="E917" s="3"/>
      <c r="F917" s="44"/>
    </row>
    <row r="918" spans="1:38" ht="18.399999999999999" customHeight="1">
      <c r="A918" s="41" t="s">
        <v>6232</v>
      </c>
      <c r="B918" s="3"/>
      <c r="C918" s="3"/>
      <c r="D918" s="3"/>
      <c r="E918" s="3"/>
      <c r="F918" s="44"/>
      <c r="G918" t="s">
        <v>6232</v>
      </c>
      <c r="I918" t="s">
        <v>742</v>
      </c>
      <c r="J918" t="s">
        <v>6232</v>
      </c>
      <c r="K918" t="s">
        <v>5235</v>
      </c>
    </row>
    <row r="919" spans="1:38" ht="18.399999999999999" customHeight="1">
      <c r="A919" s="41" t="s">
        <v>205</v>
      </c>
      <c r="B919" s="37"/>
      <c r="C919" s="37"/>
      <c r="D919" s="37"/>
      <c r="E919" s="37"/>
      <c r="F919" s="45"/>
      <c r="K919" s="3" t="s">
        <v>2157</v>
      </c>
    </row>
    <row r="920" spans="1:38" ht="18.399999999999999" customHeight="1">
      <c r="A920" s="41" t="s">
        <v>6232</v>
      </c>
      <c r="B920" s="37"/>
      <c r="C920" s="37"/>
      <c r="D920" s="37"/>
      <c r="E920" s="37"/>
      <c r="F920" s="45"/>
      <c r="K920" s="3" t="s">
        <v>6232</v>
      </c>
    </row>
    <row r="921" spans="1:38" ht="18.399999999999999" customHeight="1">
      <c r="A921" s="42" t="str">
        <f>CONCATENATE("                L=",TEXT($AB921,"#,##0.0"),"   KM")</f>
        <v xml:space="preserve">                L=4.0   KM</v>
      </c>
      <c r="B921" s="37"/>
      <c r="C921" s="37"/>
      <c r="D921" s="37"/>
      <c r="E921" s="37"/>
      <c r="F921" s="45"/>
      <c r="K921" s="10" t="str">
        <f>SUBSTITUTE(SUBSTITUTE("                L = 4.0  _x001D_KM_x001D_","4.0",TEXT($AB921,"#,##0.0"),1),"_x001D_","'")</f>
        <v xml:space="preserve">                L = 4.0  'KM'</v>
      </c>
      <c r="AA921" s="39" t="s">
        <v>5842</v>
      </c>
      <c r="AB921" s="6">
        <v>4</v>
      </c>
      <c r="AC921" s="39" t="s">
        <v>5842</v>
      </c>
      <c r="AD921" s="7">
        <f>$AB921</f>
        <v>4</v>
      </c>
    </row>
    <row r="922" spans="1:38" ht="18.399999999999999" customHeight="1">
      <c r="A922" s="41" t="s">
        <v>6214</v>
      </c>
      <c r="B922" s="37"/>
      <c r="C922" s="37"/>
      <c r="D922" s="37"/>
      <c r="E922" s="37"/>
      <c r="F922" s="45"/>
      <c r="K922" s="3" t="s">
        <v>3965</v>
      </c>
    </row>
    <row r="923" spans="1:38" ht="18.399999999999999" customHeight="1">
      <c r="A923" s="42" t="str">
        <f>CONCATENATE("                V=",TEXT($AB923,"#,##0.0"),"  KM/hr")</f>
        <v xml:space="preserve">                V=30.0  KM/hr</v>
      </c>
      <c r="B923" s="37"/>
      <c r="C923" s="37"/>
      <c r="D923" s="37"/>
      <c r="E923" s="37"/>
      <c r="F923" s="45"/>
      <c r="K923" s="10" t="str">
        <f>SUBSTITUTE(SUBSTITUTE("                V = 30.0 _x001D_KM/hr_x001D_","30.0",TEXT($AB923,"#,##0.0"),1),"_x001D_","'")</f>
        <v xml:space="preserve">                V = 30.0 'KM/hr'</v>
      </c>
      <c r="AA923" s="39" t="s">
        <v>247</v>
      </c>
      <c r="AB923" s="6">
        <v>30</v>
      </c>
      <c r="AC923" s="39" t="s">
        <v>247</v>
      </c>
      <c r="AD923" s="7">
        <f>$AB923</f>
        <v>30</v>
      </c>
    </row>
    <row r="924" spans="1:38" ht="18.399999999999999" customHeight="1">
      <c r="A924" s="41" t="s">
        <v>6232</v>
      </c>
      <c r="B924" s="37">
        <f>SUM($C924,$D924,$E924)</f>
        <v>0</v>
      </c>
      <c r="C924" s="37">
        <f>$AB924</f>
        <v>0</v>
      </c>
      <c r="D924" s="37">
        <f>$AF924</f>
        <v>0</v>
      </c>
      <c r="E924" s="37">
        <f>$AJ924</f>
        <v>0</v>
      </c>
      <c r="F924" s="45"/>
      <c r="K924" s="3" t="s">
        <v>295</v>
      </c>
      <c r="AA924" s="40" t="s">
        <v>2660</v>
      </c>
      <c r="AB924" s="8">
        <f>ROUND(0,2)</f>
        <v>0</v>
      </c>
      <c r="AC924" s="40" t="s">
        <v>1650</v>
      </c>
      <c r="AD924" s="7">
        <f>$AB924</f>
        <v>0</v>
      </c>
      <c r="AE924" s="40" t="s">
        <v>5305</v>
      </c>
      <c r="AF924" s="8">
        <f>ROUND(0,2)</f>
        <v>0</v>
      </c>
      <c r="AG924" s="40" t="s">
        <v>5439</v>
      </c>
      <c r="AH924" s="7">
        <f>$AF924</f>
        <v>0</v>
      </c>
      <c r="AI924" s="40" t="s">
        <v>3519</v>
      </c>
      <c r="AJ924" s="8">
        <f>ROUND(0,2)</f>
        <v>0</v>
      </c>
      <c r="AK924" s="40" t="s">
        <v>4149</v>
      </c>
      <c r="AL924" s="7">
        <f>$AJ924</f>
        <v>0</v>
      </c>
    </row>
    <row r="925" spans="1:38" ht="18.399999999999999" customHeight="1">
      <c r="A925" s="41" t="s">
        <v>3557</v>
      </c>
      <c r="B925" s="37"/>
      <c r="C925" s="37"/>
      <c r="D925" s="37"/>
      <c r="E925" s="37"/>
      <c r="F925" s="45"/>
      <c r="K925" s="3" t="s">
        <v>5146</v>
      </c>
    </row>
    <row r="926" spans="1:38" ht="18.399999999999999" customHeight="1">
      <c r="A926" s="41" t="s">
        <v>6232</v>
      </c>
      <c r="B926" s="37"/>
      <c r="C926" s="37"/>
      <c r="D926" s="37"/>
      <c r="E926" s="37"/>
      <c r="F926" s="45"/>
      <c r="K926" s="3" t="s">
        <v>6232</v>
      </c>
    </row>
    <row r="927" spans="1:38" ht="18.399999999999999" customHeight="1">
      <c r="A927" s="41" t="s">
        <v>2653</v>
      </c>
      <c r="B927" s="37"/>
      <c r="C927" s="37"/>
      <c r="D927" s="37"/>
      <c r="E927" s="37"/>
      <c r="F927" s="45"/>
      <c r="K927" s="3" t="s">
        <v>2793</v>
      </c>
    </row>
    <row r="928" spans="1:38" ht="18.399999999999999" customHeight="1">
      <c r="A928" s="41" t="s">
        <v>52</v>
      </c>
      <c r="B928" s="37"/>
      <c r="C928" s="37"/>
      <c r="D928" s="37"/>
      <c r="E928" s="37"/>
      <c r="F928" s="45"/>
      <c r="K928" s="3" t="s">
        <v>3020</v>
      </c>
    </row>
    <row r="929" spans="1:30" ht="18.399999999999999" customHeight="1">
      <c r="A929" s="41" t="s">
        <v>6232</v>
      </c>
      <c r="B929" s="37"/>
      <c r="C929" s="37"/>
      <c r="D929" s="37"/>
      <c r="E929" s="37"/>
      <c r="F929" s="45"/>
      <c r="K929" s="3" t="s">
        <v>6232</v>
      </c>
    </row>
    <row r="930" spans="1:30" ht="18.399999999999999" customHeight="1">
      <c r="A930" s="41" t="s">
        <v>3700</v>
      </c>
      <c r="B930" s="37"/>
      <c r="C930" s="37"/>
      <c r="D930" s="37"/>
      <c r="E930" s="37"/>
      <c r="F930" s="45"/>
      <c r="K930" s="3" t="s">
        <v>2773</v>
      </c>
    </row>
    <row r="931" spans="1:30" ht="18.399999999999999" customHeight="1">
      <c r="A931" s="41" t="s">
        <v>679</v>
      </c>
      <c r="B931" s="37"/>
      <c r="C931" s="37"/>
      <c r="D931" s="37"/>
      <c r="E931" s="37"/>
      <c r="F931" s="45"/>
      <c r="K931" s="3" t="s">
        <v>1995</v>
      </c>
    </row>
    <row r="932" spans="1:30" ht="18.399999999999999" customHeight="1">
      <c r="A932" s="41" t="s">
        <v>5867</v>
      </c>
      <c r="B932" s="37"/>
      <c r="C932" s="37"/>
      <c r="D932" s="37"/>
      <c r="E932" s="37"/>
      <c r="F932" s="45"/>
      <c r="K932" s="3" t="s">
        <v>2096</v>
      </c>
    </row>
    <row r="933" spans="1:30" ht="18.399999999999999" customHeight="1">
      <c r="A933" s="41" t="s">
        <v>6232</v>
      </c>
      <c r="B933" s="37"/>
      <c r="C933" s="37"/>
      <c r="D933" s="37"/>
      <c r="E933" s="37"/>
      <c r="F933" s="45"/>
      <c r="K933" s="3" t="s">
        <v>6232</v>
      </c>
    </row>
    <row r="934" spans="1:30" ht="18.399999999999999" customHeight="1">
      <c r="A934" s="41" t="s">
        <v>5833</v>
      </c>
      <c r="B934" s="37"/>
      <c r="C934" s="37"/>
      <c r="D934" s="37"/>
      <c r="E934" s="37"/>
      <c r="F934" s="45"/>
      <c r="K934" s="3" t="s">
        <v>2794</v>
      </c>
    </row>
    <row r="935" spans="1:30" ht="18.399999999999999" customHeight="1">
      <c r="A935" s="41" t="s">
        <v>6232</v>
      </c>
      <c r="B935" s="37"/>
      <c r="C935" s="37"/>
      <c r="D935" s="37"/>
      <c r="E935" s="37"/>
      <c r="F935" s="45"/>
      <c r="K935" s="3" t="s">
        <v>6232</v>
      </c>
    </row>
    <row r="936" spans="1:30" ht="18.399999999999999" customHeight="1">
      <c r="A936" s="41" t="s">
        <v>6134</v>
      </c>
      <c r="B936" s="37"/>
      <c r="C936" s="37"/>
      <c r="D936" s="37"/>
      <c r="E936" s="37"/>
      <c r="F936" s="45"/>
      <c r="K936" s="3" t="s">
        <v>4089</v>
      </c>
    </row>
    <row r="937" spans="1:30" ht="18.399999999999999" customHeight="1">
      <c r="A937" s="41" t="s">
        <v>6232</v>
      </c>
      <c r="B937" s="37"/>
      <c r="C937" s="37"/>
      <c r="D937" s="37"/>
      <c r="E937" s="37"/>
      <c r="F937" s="45"/>
      <c r="K937" s="3" t="s">
        <v>6232</v>
      </c>
    </row>
    <row r="938" spans="1:30" ht="18.399999999999999" customHeight="1">
      <c r="A938" s="41" t="s">
        <v>2299</v>
      </c>
      <c r="B938" s="37"/>
      <c r="C938" s="37"/>
      <c r="D938" s="37"/>
      <c r="E938" s="37"/>
      <c r="F938" s="45"/>
      <c r="K938" s="3" t="s">
        <v>3083</v>
      </c>
    </row>
    <row r="939" spans="1:30" ht="18.399999999999999" customHeight="1">
      <c r="A939" s="41" t="s">
        <v>257</v>
      </c>
      <c r="B939" s="37"/>
      <c r="C939" s="37"/>
      <c r="D939" s="37"/>
      <c r="E939" s="37"/>
      <c r="F939" s="45"/>
      <c r="K939" s="3" t="s">
        <v>1264</v>
      </c>
    </row>
    <row r="940" spans="1:30" ht="18.399999999999999" customHeight="1">
      <c r="A940" s="41" t="s">
        <v>6232</v>
      </c>
      <c r="B940" s="37"/>
      <c r="C940" s="37"/>
      <c r="D940" s="37"/>
      <c r="E940" s="37"/>
      <c r="F940" s="45"/>
      <c r="K940" s="3" t="s">
        <v>6232</v>
      </c>
    </row>
    <row r="941" spans="1:30" ht="18.399999999999999" customHeight="1">
      <c r="A941" s="42" t="str">
        <f>CONCATENATE("   - 1차당 적재량(본)         Q=",TEXT($AB941,"#,##0.00"),"  본")</f>
        <v xml:space="preserve">   - 1차당 적재량(본)         Q=39.00  본</v>
      </c>
      <c r="B941" s="37"/>
      <c r="C941" s="37"/>
      <c r="D941" s="37"/>
      <c r="E941" s="37"/>
      <c r="F941" s="45"/>
      <c r="K941" s="10" t="str">
        <f>SUBSTITUTE(SUBSTITUTE("  _x001D_- 1차당 적재량(본)_x001D_        Q  =  39 _x001D_본_x001D_","39",TEXT($AB941,"#,##0"),1),"_x001D_","'")</f>
        <v xml:space="preserve">  '- 1차당 적재량(본)'        Q  =  39 '본'</v>
      </c>
      <c r="AA941" s="39" t="s">
        <v>4337</v>
      </c>
      <c r="AB941" s="6">
        <v>39</v>
      </c>
      <c r="AC941" s="39" t="s">
        <v>4337</v>
      </c>
      <c r="AD941" s="7">
        <f>$AB941</f>
        <v>39</v>
      </c>
    </row>
    <row r="942" spans="1:30" ht="18.399999999999999" customHeight="1">
      <c r="A942" s="41" t="s">
        <v>6232</v>
      </c>
      <c r="B942" s="37"/>
      <c r="C942" s="37"/>
      <c r="D942" s="37"/>
      <c r="E942" s="37"/>
      <c r="F942" s="45"/>
      <c r="K942" s="3" t="s">
        <v>6232</v>
      </c>
    </row>
    <row r="943" spans="1:30" ht="18.399999999999999" customHeight="1">
      <c r="A943" s="42" t="str">
        <f>CONCATENATE("   - 운반차량 대기시간(12M당)    T1=",TEXT($AB943,"#,##0.00"),"  분")</f>
        <v xml:space="preserve">   - 운반차량 대기시간(12M당)    T1=3.00  분</v>
      </c>
      <c r="B943" s="37"/>
      <c r="C943" s="37"/>
      <c r="D943" s="37"/>
      <c r="E943" s="37"/>
      <c r="F943" s="45"/>
      <c r="K943" s="10" t="str">
        <f>SUBSTITUTE(SUBSTITUTE("  _x001D_- 운반차량 대기시간(12M당)_x001D_   T1 = 3 _x001D_분_x001D_","3",TEXT($AB943,"#,##0"),1),"_x001D_","'")</f>
        <v xml:space="preserve">  '- 운반차량 대기시간(12M당)'   T1 = 3 '분'</v>
      </c>
      <c r="AA943" s="39" t="s">
        <v>4528</v>
      </c>
      <c r="AB943" s="6">
        <v>3</v>
      </c>
      <c r="AC943" s="39" t="s">
        <v>4528</v>
      </c>
      <c r="AD943" s="7">
        <f>$AB943</f>
        <v>3</v>
      </c>
    </row>
    <row r="944" spans="1:30" ht="18.399999999999999" customHeight="1">
      <c r="A944" s="41" t="s">
        <v>6232</v>
      </c>
      <c r="B944" s="37"/>
      <c r="C944" s="37"/>
      <c r="D944" s="37"/>
      <c r="E944" s="37"/>
      <c r="F944" s="45"/>
      <c r="K944" s="3" t="s">
        <v>6232</v>
      </c>
    </row>
    <row r="945" spans="1:34" ht="18.399999999999999" customHeight="1">
      <c r="A945" s="41" t="s">
        <v>4838</v>
      </c>
      <c r="B945" s="37"/>
      <c r="C945" s="37"/>
      <c r="D945" s="37"/>
      <c r="E945" s="37"/>
      <c r="F945" s="45"/>
      <c r="K945" s="3" t="s">
        <v>6093</v>
      </c>
    </row>
    <row r="946" spans="1:34" ht="18.399999999999999" customHeight="1">
      <c r="A946" s="41" t="s">
        <v>6232</v>
      </c>
      <c r="B946" s="37"/>
      <c r="C946" s="37"/>
      <c r="D946" s="37"/>
      <c r="E946" s="37"/>
      <c r="F946" s="45"/>
      <c r="K946" s="3" t="s">
        <v>6232</v>
      </c>
    </row>
    <row r="947" spans="1:34" ht="18.399999999999999" customHeight="1">
      <c r="A947" s="42" t="str">
        <f>CONCATENATE("    T2 = (L / V * 2 * 60 + 20) / Q = ",TEXT($AF947,"#,##0.00")," 분 ")</f>
        <v xml:space="preserve">    T2 = (L / V * 2 * 60 + 20) / Q = 0.92 분 </v>
      </c>
      <c r="B947" s="37">
        <f>SUM($C947,$D947,$E947)</f>
        <v>0</v>
      </c>
      <c r="C947" s="37"/>
      <c r="D947" s="37"/>
      <c r="E947" s="37"/>
      <c r="F947" s="45"/>
      <c r="K947" s="3" t="s">
        <v>3353</v>
      </c>
      <c r="AA947" s="39" t="s">
        <v>5897</v>
      </c>
      <c r="AB947" s="8">
        <f>ROUND(($AD921/$AD923*2*60+20)/$AD941,2)</f>
        <v>0.92</v>
      </c>
      <c r="AC947" s="39" t="s">
        <v>2053</v>
      </c>
      <c r="AD947" s="7">
        <f>$AB947</f>
        <v>0.92</v>
      </c>
      <c r="AE947" s="39" t="s">
        <v>5502</v>
      </c>
      <c r="AF947" s="8">
        <f>ROUND(ROUND(($AD921/$AD923*2*60+20)/$AD941,2),2)</f>
        <v>0.92</v>
      </c>
      <c r="AG947" s="39" t="s">
        <v>5415</v>
      </c>
      <c r="AH947" s="7">
        <f>$AF947</f>
        <v>0.92</v>
      </c>
    </row>
    <row r="948" spans="1:34" ht="18.399999999999999" customHeight="1">
      <c r="A948" s="41" t="s">
        <v>6232</v>
      </c>
      <c r="B948" s="37"/>
      <c r="C948" s="37"/>
      <c r="D948" s="37"/>
      <c r="E948" s="37"/>
      <c r="F948" s="45"/>
      <c r="K948" s="3" t="s">
        <v>6232</v>
      </c>
    </row>
    <row r="949" spans="1:34" ht="18.399999999999999" customHeight="1">
      <c r="A949" s="41" t="s">
        <v>2391</v>
      </c>
      <c r="B949" s="37"/>
      <c r="C949" s="37"/>
      <c r="D949" s="37"/>
      <c r="E949" s="37"/>
      <c r="F949" s="45"/>
      <c r="K949" s="3" t="s">
        <v>4710</v>
      </c>
    </row>
    <row r="950" spans="1:34" ht="18.399999999999999" customHeight="1">
      <c r="A950" s="41" t="s">
        <v>6232</v>
      </c>
      <c r="B950" s="37"/>
      <c r="C950" s="37"/>
      <c r="D950" s="37"/>
      <c r="E950" s="37"/>
      <c r="F950" s="45"/>
      <c r="K950" s="3" t="s">
        <v>6232</v>
      </c>
    </row>
    <row r="951" spans="1:34" ht="18.399999999999999" customHeight="1">
      <c r="A951" s="42" t="str">
        <f>CONCATENATE("    CM = T1 + T2 = ",TEXT($AF951,"#,##0.00")," 분 ")</f>
        <v xml:space="preserve">    CM = T1 + T2 = 3.92 분 </v>
      </c>
      <c r="B951" s="37">
        <f>SUM($C951,$D951,$E951)</f>
        <v>0</v>
      </c>
      <c r="C951" s="37"/>
      <c r="D951" s="37"/>
      <c r="E951" s="37"/>
      <c r="F951" s="45"/>
      <c r="K951" s="3" t="s">
        <v>6049</v>
      </c>
      <c r="AA951" s="39" t="s">
        <v>5026</v>
      </c>
      <c r="AB951" s="8">
        <f>ROUND($AD943+$AD947,2)</f>
        <v>3.92</v>
      </c>
      <c r="AC951" s="39" t="s">
        <v>289</v>
      </c>
      <c r="AD951" s="7">
        <f>$AB951</f>
        <v>3.92</v>
      </c>
      <c r="AE951" s="39" t="s">
        <v>2081</v>
      </c>
      <c r="AF951" s="8">
        <f>ROUND(ROUND($AD943+$AD947,2),2)</f>
        <v>3.92</v>
      </c>
      <c r="AG951" s="39" t="s">
        <v>657</v>
      </c>
      <c r="AH951" s="7">
        <f>$AF951</f>
        <v>3.92</v>
      </c>
    </row>
    <row r="952" spans="1:34" ht="18.399999999999999" customHeight="1">
      <c r="A952" s="41" t="s">
        <v>6232</v>
      </c>
      <c r="B952" s="37"/>
      <c r="C952" s="37"/>
      <c r="D952" s="37"/>
      <c r="E952" s="37"/>
      <c r="F952" s="45"/>
      <c r="K952" s="3" t="s">
        <v>6232</v>
      </c>
    </row>
    <row r="953" spans="1:34" ht="18.399999999999999" customHeight="1">
      <c r="A953" s="41" t="s">
        <v>5848</v>
      </c>
      <c r="B953" s="37"/>
      <c r="C953" s="37"/>
      <c r="D953" s="37"/>
      <c r="E953" s="37"/>
      <c r="F953" s="45"/>
      <c r="K953" s="3" t="s">
        <v>788</v>
      </c>
    </row>
    <row r="954" spans="1:34" ht="18.399999999999999" customHeight="1">
      <c r="A954" s="41" t="s">
        <v>6232</v>
      </c>
      <c r="B954" s="37"/>
      <c r="C954" s="37"/>
      <c r="D954" s="37"/>
      <c r="E954" s="37"/>
      <c r="F954" s="45"/>
      <c r="K954" s="3" t="s">
        <v>6232</v>
      </c>
    </row>
    <row r="955" spans="1:34" ht="18.399999999999999" customHeight="1">
      <c r="A955" s="42" t="str">
        <f>CONCATENATE("    Qo = T2 / CM = ",TEXT($AF955,"#,##0.00")," 분 ")</f>
        <v xml:space="preserve">    Qo = T2 / CM = 0.23 분 </v>
      </c>
      <c r="B955" s="37">
        <f>SUM($C955,$D955,$E955)</f>
        <v>0</v>
      </c>
      <c r="C955" s="37"/>
      <c r="D955" s="37"/>
      <c r="E955" s="37"/>
      <c r="F955" s="45"/>
      <c r="K955" s="3" t="s">
        <v>882</v>
      </c>
      <c r="AA955" s="39" t="s">
        <v>1501</v>
      </c>
      <c r="AB955" s="8">
        <f>ROUND($AD947/$AD951,2)</f>
        <v>0.23</v>
      </c>
      <c r="AC955" s="39" t="s">
        <v>2425</v>
      </c>
      <c r="AD955" s="7">
        <f>$AB955</f>
        <v>0.23</v>
      </c>
      <c r="AE955" s="39" t="s">
        <v>2171</v>
      </c>
      <c r="AF955" s="8">
        <f>ROUND(ROUND($AD947/$AD951,2),2)</f>
        <v>0.23</v>
      </c>
      <c r="AG955" s="39" t="s">
        <v>5456</v>
      </c>
      <c r="AH955" s="7">
        <f>$AF955</f>
        <v>0.23</v>
      </c>
    </row>
    <row r="956" spans="1:34" ht="18.399999999999999" customHeight="1">
      <c r="A956" s="41" t="s">
        <v>6232</v>
      </c>
      <c r="B956" s="37"/>
      <c r="C956" s="37"/>
      <c r="D956" s="37"/>
      <c r="E956" s="37"/>
      <c r="F956" s="45"/>
      <c r="K956" s="3" t="s">
        <v>6232</v>
      </c>
    </row>
    <row r="957" spans="1:34" ht="18.399999999999999" customHeight="1">
      <c r="A957" s="41" t="s">
        <v>78</v>
      </c>
      <c r="B957" s="37"/>
      <c r="C957" s="37"/>
      <c r="D957" s="37"/>
      <c r="E957" s="37"/>
      <c r="F957" s="45"/>
      <c r="K957" s="3" t="s">
        <v>5459</v>
      </c>
    </row>
    <row r="958" spans="1:34" ht="18.399999999999999" customHeight="1">
      <c r="A958" s="41" t="s">
        <v>6232</v>
      </c>
      <c r="B958" s="37"/>
      <c r="C958" s="37"/>
      <c r="D958" s="37"/>
      <c r="E958" s="37"/>
      <c r="F958" s="45"/>
      <c r="K958" s="3" t="s">
        <v>6232</v>
      </c>
    </row>
    <row r="959" spans="1:34" ht="18.399999999999999" customHeight="1">
      <c r="A959" s="42" t="str">
        <f>CONCATENATE("      보통인부 :  2.0 인  * _x001D_169,804_x001D_ * (CM + 6 ) / 60 / 8 = ",TEXT($AB959,"#,##0.0"))</f>
        <v xml:space="preserve">      보통인부 :  2.0 인  * _x001D_169,804_x001D_ * (CM + 6 ) / 60 / 8 = 7,112.1</v>
      </c>
      <c r="B959" s="37">
        <f>SUM($C959,$D959,$E959)</f>
        <v>7112.1</v>
      </c>
      <c r="C959" s="37"/>
      <c r="D959" s="37">
        <f>$AB959</f>
        <v>7112.1</v>
      </c>
      <c r="E959" s="37"/>
      <c r="F959" s="45" t="s">
        <v>6232</v>
      </c>
      <c r="K959" s="3" t="s">
        <v>3933</v>
      </c>
      <c r="AA959" s="40" t="s">
        <v>5305</v>
      </c>
      <c r="AB959" s="8">
        <f>TRUNC(2*노임!D3*($AD951+6)/60/8,1)</f>
        <v>7112.1</v>
      </c>
      <c r="AC959" s="40" t="s">
        <v>5439</v>
      </c>
      <c r="AD959" s="7">
        <f>$AH924+$AB959</f>
        <v>7112.1</v>
      </c>
    </row>
    <row r="960" spans="1:34" ht="18.399999999999999" customHeight="1">
      <c r="A960" s="41" t="s">
        <v>6232</v>
      </c>
      <c r="B960" s="37"/>
      <c r="C960" s="37"/>
      <c r="D960" s="37"/>
      <c r="E960" s="37"/>
      <c r="F960" s="45"/>
      <c r="K960" s="3" t="s">
        <v>6232</v>
      </c>
    </row>
    <row r="961" spans="1:30" ht="18.399999999999999" customHeight="1">
      <c r="A961" s="41" t="s">
        <v>1528</v>
      </c>
      <c r="B961" s="37"/>
      <c r="C961" s="37"/>
      <c r="D961" s="37"/>
      <c r="E961" s="37"/>
      <c r="F961" s="45"/>
      <c r="K961" s="3" t="s">
        <v>3746</v>
      </c>
    </row>
    <row r="962" spans="1:30" ht="18.399999999999999" customHeight="1">
      <c r="A962" s="41" t="s">
        <v>6232</v>
      </c>
      <c r="B962" s="37"/>
      <c r="C962" s="37"/>
      <c r="D962" s="37"/>
      <c r="E962" s="37"/>
      <c r="F962" s="45"/>
      <c r="K962" s="3" t="s">
        <v>6232</v>
      </c>
    </row>
    <row r="963" spans="1:30" ht="18.399999999999999" customHeight="1">
      <c r="A963" s="41" t="s">
        <v>4967</v>
      </c>
      <c r="B963" s="37"/>
      <c r="C963" s="37"/>
      <c r="D963" s="37"/>
      <c r="E963" s="37"/>
      <c r="F963" s="45"/>
      <c r="K963" s="3" t="s">
        <v>3483</v>
      </c>
    </row>
    <row r="964" spans="1:30" ht="18.399999999999999" customHeight="1">
      <c r="A964" s="41" t="s">
        <v>6232</v>
      </c>
      <c r="B964" s="37"/>
      <c r="C964" s="37"/>
      <c r="D964" s="37"/>
      <c r="E964" s="37"/>
      <c r="F964" s="45"/>
      <c r="K964" s="3" t="s">
        <v>6232</v>
      </c>
    </row>
    <row r="965" spans="1:30" ht="18.399999999999999" customHeight="1">
      <c r="A965" s="42" t="str">
        <f>CONCATENATE("     재료비:  _x001D_8,795_x001D_ * 4.5 / 60 = ",TEXT($AB965,"#,##0.0"))</f>
        <v xml:space="preserve">     재료비:  _x001D_8,795_x001D_ * 4.5 / 60 = 0.0</v>
      </c>
      <c r="B965" s="37">
        <f>SUM($C965,$D965,$E965)</f>
        <v>0</v>
      </c>
      <c r="C965" s="37">
        <f>$AB965</f>
        <v>0</v>
      </c>
      <c r="D965" s="37"/>
      <c r="E965" s="37"/>
      <c r="F965" s="45" t="s">
        <v>6232</v>
      </c>
      <c r="K965" s="3" t="s">
        <v>5203</v>
      </c>
      <c r="AA965" s="40" t="s">
        <v>2660</v>
      </c>
      <c r="AB965" s="8">
        <f>TRUNC(중기사용료목록!E4*4.5/60,1)</f>
        <v>0</v>
      </c>
      <c r="AC965" s="40" t="s">
        <v>1650</v>
      </c>
      <c r="AD965" s="7">
        <f>$AD924+$AB965</f>
        <v>0</v>
      </c>
    </row>
    <row r="966" spans="1:30" ht="18.399999999999999" customHeight="1">
      <c r="A966" s="41" t="s">
        <v>6232</v>
      </c>
      <c r="B966" s="37"/>
      <c r="C966" s="37"/>
      <c r="D966" s="37"/>
      <c r="E966" s="37"/>
      <c r="F966" s="45"/>
      <c r="K966" s="3" t="s">
        <v>6232</v>
      </c>
    </row>
    <row r="967" spans="1:30" ht="18.399999999999999" customHeight="1">
      <c r="A967" s="42" t="str">
        <f>CONCATENATE("     노무비:  _x001D_57,077_x001D_ * 4.5 / 60 = ",TEXT($AB967,"#,##0.0"))</f>
        <v xml:space="preserve">     노무비:  _x001D_57,077_x001D_ * 4.5 / 60 = 0.0</v>
      </c>
      <c r="B967" s="37">
        <f>SUM($C967,$D967,$E967)</f>
        <v>0</v>
      </c>
      <c r="C967" s="37"/>
      <c r="D967" s="37">
        <f>$AB967</f>
        <v>0</v>
      </c>
      <c r="E967" s="37"/>
      <c r="F967" s="45" t="s">
        <v>6232</v>
      </c>
      <c r="K967" s="3" t="s">
        <v>1442</v>
      </c>
      <c r="AA967" s="40" t="s">
        <v>5305</v>
      </c>
      <c r="AB967" s="8">
        <f>TRUNC(중기사용료목록!F4*4.5/60,1)</f>
        <v>0</v>
      </c>
      <c r="AC967" s="40" t="s">
        <v>5439</v>
      </c>
      <c r="AD967" s="7">
        <f>$AD959+$AB967</f>
        <v>7112.1</v>
      </c>
    </row>
    <row r="968" spans="1:30" ht="18.399999999999999" customHeight="1">
      <c r="A968" s="41" t="s">
        <v>6232</v>
      </c>
      <c r="B968" s="37"/>
      <c r="C968" s="37"/>
      <c r="D968" s="37"/>
      <c r="E968" s="37"/>
      <c r="F968" s="45"/>
      <c r="K968" s="3" t="s">
        <v>6232</v>
      </c>
    </row>
    <row r="969" spans="1:30" ht="18.399999999999999" customHeight="1">
      <c r="A969" s="42" t="str">
        <f>CONCATENATE("     경  비:  _x001D_41,995_x001D_ * 4.5 / 60 = ",TEXT($AB969,"#,##0.0"))</f>
        <v xml:space="preserve">     경  비:  _x001D_41,995_x001D_ * 4.5 / 60 = 8,300.8</v>
      </c>
      <c r="B969" s="37">
        <f>SUM($C969,$D969,$E969)</f>
        <v>8300.7999999999993</v>
      </c>
      <c r="C969" s="37"/>
      <c r="D969" s="37"/>
      <c r="E969" s="37">
        <f>$AB969</f>
        <v>8300.7999999999993</v>
      </c>
      <c r="F969" s="45" t="s">
        <v>6232</v>
      </c>
      <c r="K969" s="3" t="s">
        <v>6104</v>
      </c>
      <c r="AA969" s="40" t="s">
        <v>3519</v>
      </c>
      <c r="AB969" s="8">
        <f>TRUNC(중기사용료목록!G4*4.5/60,1)</f>
        <v>8300.7999999999993</v>
      </c>
      <c r="AC969" s="40" t="s">
        <v>4149</v>
      </c>
      <c r="AD969" s="7">
        <f>$AL924+$AB969</f>
        <v>8300.7999999999993</v>
      </c>
    </row>
    <row r="970" spans="1:30" ht="18.399999999999999" customHeight="1">
      <c r="A970" s="41" t="s">
        <v>6232</v>
      </c>
      <c r="B970" s="37"/>
      <c r="C970" s="37"/>
      <c r="D970" s="37"/>
      <c r="E970" s="37"/>
      <c r="F970" s="45"/>
      <c r="K970" s="3" t="s">
        <v>6232</v>
      </c>
    </row>
    <row r="971" spans="1:30" ht="18.399999999999999" customHeight="1">
      <c r="A971" s="41" t="s">
        <v>1530</v>
      </c>
      <c r="B971" s="37"/>
      <c r="C971" s="37"/>
      <c r="D971" s="37"/>
      <c r="E971" s="37"/>
      <c r="F971" s="45"/>
      <c r="K971" s="3" t="s">
        <v>2021</v>
      </c>
    </row>
    <row r="972" spans="1:30" ht="18.399999999999999" customHeight="1">
      <c r="A972" s="41" t="s">
        <v>6232</v>
      </c>
      <c r="B972" s="37"/>
      <c r="C972" s="37"/>
      <c r="D972" s="37"/>
      <c r="E972" s="37"/>
      <c r="F972" s="45"/>
      <c r="K972" s="3" t="s">
        <v>6232</v>
      </c>
    </row>
    <row r="973" spans="1:30" ht="18.399999999999999" customHeight="1">
      <c r="A973" s="42" t="str">
        <f>CONCATENATE("     재료비:  _x001D_30,878_x001D_ * CM / 60 * Qo = ",TEXT($AB973,"#,##0.0"))</f>
        <v xml:space="preserve">     재료비:  _x001D_30,878_x001D_ * CM / 60 * Qo = 0.0</v>
      </c>
      <c r="B973" s="37">
        <f>SUM($C973,$D973,$E973)</f>
        <v>0</v>
      </c>
      <c r="C973" s="37">
        <f>$AB973</f>
        <v>0</v>
      </c>
      <c r="D973" s="37"/>
      <c r="E973" s="37"/>
      <c r="F973" s="45" t="s">
        <v>6232</v>
      </c>
      <c r="K973" s="3" t="s">
        <v>4711</v>
      </c>
      <c r="AA973" s="40" t="s">
        <v>2660</v>
      </c>
      <c r="AB973" s="8">
        <f>TRUNC(중기사용료목록!E7*$AD951/60*$AD955,1)</f>
        <v>0</v>
      </c>
      <c r="AC973" s="40" t="s">
        <v>1650</v>
      </c>
      <c r="AD973" s="7">
        <f>$AD965+$AB973</f>
        <v>0</v>
      </c>
    </row>
    <row r="974" spans="1:30" ht="18.399999999999999" customHeight="1">
      <c r="A974" s="41" t="s">
        <v>6232</v>
      </c>
      <c r="B974" s="37"/>
      <c r="C974" s="37"/>
      <c r="D974" s="37"/>
      <c r="E974" s="37"/>
      <c r="F974" s="45"/>
      <c r="K974" s="3" t="s">
        <v>6232</v>
      </c>
    </row>
    <row r="975" spans="1:30" ht="18.399999999999999" customHeight="1">
      <c r="A975" s="42" t="str">
        <f>CONCATENATE("     노무비:  _x001D_57,077_x001D_ * CM / 60 = ",TEXT($AB975,"#,##0.0"))</f>
        <v xml:space="preserve">     노무비:  _x001D_57,077_x001D_ * CM / 60 = 0.0</v>
      </c>
      <c r="B975" s="37">
        <f>SUM($C975,$D975,$E975)</f>
        <v>0</v>
      </c>
      <c r="C975" s="37"/>
      <c r="D975" s="37">
        <f>$AB975</f>
        <v>0</v>
      </c>
      <c r="E975" s="37"/>
      <c r="F975" s="45" t="s">
        <v>6232</v>
      </c>
      <c r="K975" s="3" t="s">
        <v>3619</v>
      </c>
      <c r="AA975" s="40" t="s">
        <v>5305</v>
      </c>
      <c r="AB975" s="8">
        <f>TRUNC(중기사용료목록!F7*$AD951/60,1)</f>
        <v>0</v>
      </c>
      <c r="AC975" s="40" t="s">
        <v>5439</v>
      </c>
      <c r="AD975" s="7">
        <f>$AD967+$AB975</f>
        <v>7112.1</v>
      </c>
    </row>
    <row r="976" spans="1:30" ht="18.399999999999999" customHeight="1">
      <c r="A976" s="41" t="s">
        <v>6232</v>
      </c>
      <c r="B976" s="37"/>
      <c r="C976" s="37"/>
      <c r="D976" s="37"/>
      <c r="E976" s="37"/>
      <c r="F976" s="45"/>
      <c r="K976" s="3" t="s">
        <v>6232</v>
      </c>
    </row>
    <row r="977" spans="1:38" ht="18.399999999999999" customHeight="1">
      <c r="A977" s="42" t="str">
        <f>CONCATENATE("     경  비:  _x001D_16,873_x001D_ * CM / 60 = ",TEXT($AB977,"#,##0.0"))</f>
        <v xml:space="preserve">     경  비:  _x001D_16,873_x001D_ * CM / 60 = 7,293.4</v>
      </c>
      <c r="B977" s="37">
        <f>SUM($C977,$D977,$E977)</f>
        <v>7293.4</v>
      </c>
      <c r="C977" s="37"/>
      <c r="D977" s="37"/>
      <c r="E977" s="37">
        <f>$AB977</f>
        <v>7293.4</v>
      </c>
      <c r="F977" s="45" t="s">
        <v>6232</v>
      </c>
      <c r="K977" s="3" t="s">
        <v>5622</v>
      </c>
      <c r="AA977" s="40" t="s">
        <v>3519</v>
      </c>
      <c r="AB977" s="8">
        <f>TRUNC(중기사용료목록!G7*$AD951/60,1)</f>
        <v>7293.4</v>
      </c>
      <c r="AC977" s="40" t="s">
        <v>4149</v>
      </c>
      <c r="AD977" s="7">
        <f>$AD969+$AB977</f>
        <v>15594.199999999999</v>
      </c>
    </row>
    <row r="978" spans="1:38" ht="18.399999999999999" customHeight="1">
      <c r="A978" s="41" t="s">
        <v>6232</v>
      </c>
      <c r="B978" s="37"/>
      <c r="C978" s="37"/>
      <c r="D978" s="37"/>
      <c r="E978" s="37"/>
      <c r="F978" s="45"/>
      <c r="K978" s="3" t="s">
        <v>6232</v>
      </c>
    </row>
    <row r="979" spans="1:38" ht="18.399999999999999" customHeight="1">
      <c r="A979" s="41" t="s">
        <v>4035</v>
      </c>
      <c r="B979" s="37">
        <v>20403.600000000002</v>
      </c>
      <c r="C979" s="37">
        <v>1123.5</v>
      </c>
      <c r="D979" s="37">
        <v>15028.2</v>
      </c>
      <c r="E979" s="37">
        <v>4251.8999999999996</v>
      </c>
      <c r="F979" s="45"/>
      <c r="K979" s="3" t="s">
        <v>6070</v>
      </c>
    </row>
    <row r="980" spans="1:38" ht="18.399999999999999" customHeight="1">
      <c r="A980" s="41" t="s">
        <v>6232</v>
      </c>
      <c r="B980" s="37">
        <f>SUM($C980,$D980,$E980)</f>
        <v>0</v>
      </c>
      <c r="C980" s="37">
        <f>$AB980</f>
        <v>0</v>
      </c>
      <c r="D980" s="37">
        <f>$AF980</f>
        <v>0</v>
      </c>
      <c r="E980" s="37">
        <f>$AJ980</f>
        <v>0</v>
      </c>
      <c r="F980" s="45"/>
      <c r="K980" s="3" t="s">
        <v>5506</v>
      </c>
      <c r="AA980" s="40" t="s">
        <v>4586</v>
      </c>
      <c r="AB980" s="8">
        <f>ROUND(0,2)</f>
        <v>0</v>
      </c>
      <c r="AC980" s="40" t="s">
        <v>4161</v>
      </c>
      <c r="AD980" s="7">
        <f>$AB980</f>
        <v>0</v>
      </c>
      <c r="AE980" s="40" t="s">
        <v>222</v>
      </c>
      <c r="AF980" s="8">
        <f>ROUND(0,2)</f>
        <v>0</v>
      </c>
      <c r="AG980" s="40" t="s">
        <v>334</v>
      </c>
      <c r="AH980" s="7">
        <f>$AF980</f>
        <v>0</v>
      </c>
      <c r="AI980" s="40" t="s">
        <v>1574</v>
      </c>
      <c r="AJ980" s="8">
        <f>ROUND(0,2)</f>
        <v>0</v>
      </c>
      <c r="AK980" s="40" t="s">
        <v>1622</v>
      </c>
      <c r="AL980" s="7">
        <f>$AJ980</f>
        <v>0</v>
      </c>
    </row>
    <row r="981" spans="1:38" ht="18.399999999999999" customHeight="1">
      <c r="A981" s="41" t="s">
        <v>493</v>
      </c>
      <c r="B981" s="37">
        <f>SUM($C981,$D981,$E981)</f>
        <v>1892.1</v>
      </c>
      <c r="C981" s="37">
        <f>$AB981</f>
        <v>0</v>
      </c>
      <c r="D981" s="37">
        <f>$AF981</f>
        <v>592.6</v>
      </c>
      <c r="E981" s="37">
        <f>$AJ981</f>
        <v>1299.5</v>
      </c>
      <c r="F981" s="45"/>
      <c r="K981" s="3" t="s">
        <v>4286</v>
      </c>
      <c r="AA981" s="40" t="s">
        <v>4586</v>
      </c>
      <c r="AB981" s="8">
        <f>TRUNC($AD973/12,1)</f>
        <v>0</v>
      </c>
      <c r="AC981" s="40" t="s">
        <v>4161</v>
      </c>
      <c r="AD981" s="7">
        <f>$AB981</f>
        <v>0</v>
      </c>
      <c r="AE981" s="40" t="s">
        <v>222</v>
      </c>
      <c r="AF981" s="8">
        <f>TRUNC($AD975/12,1)</f>
        <v>592.6</v>
      </c>
      <c r="AG981" s="40" t="s">
        <v>334</v>
      </c>
      <c r="AH981" s="7">
        <f>$AF981</f>
        <v>592.6</v>
      </c>
      <c r="AI981" s="40" t="s">
        <v>1574</v>
      </c>
      <c r="AJ981" s="8">
        <f>TRUNC($AD977/12,1)</f>
        <v>1299.5</v>
      </c>
      <c r="AK981" s="40" t="s">
        <v>1622</v>
      </c>
      <c r="AL981" s="7">
        <f>$AJ981</f>
        <v>1299.5</v>
      </c>
    </row>
    <row r="982" spans="1:38" ht="18.399999999999999" customHeight="1">
      <c r="A982" s="41" t="s">
        <v>6232</v>
      </c>
      <c r="B982" s="37"/>
      <c r="C982" s="37"/>
      <c r="D982" s="37"/>
      <c r="E982" s="37"/>
      <c r="F982" s="45"/>
      <c r="K982" s="3" t="s">
        <v>6232</v>
      </c>
    </row>
    <row r="983" spans="1:38" ht="18.399999999999999" customHeight="1">
      <c r="A983" s="41" t="s">
        <v>3436</v>
      </c>
      <c r="B983" s="37">
        <v>1700.2</v>
      </c>
      <c r="C983" s="37">
        <v>93.6</v>
      </c>
      <c r="D983" s="37">
        <v>1252.3</v>
      </c>
      <c r="E983" s="37">
        <v>354.3</v>
      </c>
      <c r="F983" s="45"/>
      <c r="K983" s="3" t="s">
        <v>1342</v>
      </c>
    </row>
    <row r="984" spans="1:38" ht="18.399999999999999" customHeight="1">
      <c r="A984" s="41" t="s">
        <v>6232</v>
      </c>
      <c r="B984" s="37">
        <f>SUM($C984,$D984,$E984)</f>
        <v>0</v>
      </c>
      <c r="C984" s="37">
        <f>$AB984</f>
        <v>0</v>
      </c>
      <c r="D984" s="37">
        <f>$AF984</f>
        <v>0</v>
      </c>
      <c r="E984" s="37">
        <f>$AJ984</f>
        <v>0</v>
      </c>
      <c r="F984" s="45"/>
      <c r="K984" s="3" t="s">
        <v>3238</v>
      </c>
      <c r="AA984" s="40" t="s">
        <v>308</v>
      </c>
      <c r="AB984" s="8">
        <f>ROUND(0,2)</f>
        <v>0</v>
      </c>
      <c r="AC984" s="40" t="s">
        <v>5000</v>
      </c>
      <c r="AD984" s="7">
        <f>$AB984</f>
        <v>0</v>
      </c>
      <c r="AE984" s="40" t="s">
        <v>4500</v>
      </c>
      <c r="AF984" s="8">
        <f>ROUND(0,2)</f>
        <v>0</v>
      </c>
      <c r="AG984" s="40" t="s">
        <v>2603</v>
      </c>
      <c r="AH984" s="7">
        <f>$AF984</f>
        <v>0</v>
      </c>
      <c r="AI984" s="40" t="s">
        <v>5878</v>
      </c>
      <c r="AJ984" s="8">
        <f>ROUND(0,2)</f>
        <v>0</v>
      </c>
      <c r="AK984" s="40" t="s">
        <v>787</v>
      </c>
      <c r="AL984" s="7">
        <f>$AJ984</f>
        <v>0</v>
      </c>
    </row>
    <row r="985" spans="1:38" ht="18.399999999999999" customHeight="1">
      <c r="A985" s="41" t="s">
        <v>1110</v>
      </c>
      <c r="B985" s="37">
        <f>SUM($C985,$D985,$E985)</f>
        <v>2075.5</v>
      </c>
      <c r="C985" s="37">
        <f>$AB985</f>
        <v>0</v>
      </c>
      <c r="D985" s="37">
        <f>$AF985</f>
        <v>650</v>
      </c>
      <c r="E985" s="37">
        <f>$AJ985</f>
        <v>1425.5</v>
      </c>
      <c r="F985" s="45"/>
      <c r="K985" s="3" t="s">
        <v>2347</v>
      </c>
      <c r="AA985" s="40" t="s">
        <v>308</v>
      </c>
      <c r="AB985" s="8">
        <f>TRUNC($AD981*1.097,1)</f>
        <v>0</v>
      </c>
      <c r="AC985" s="40" t="s">
        <v>5000</v>
      </c>
      <c r="AD985" s="7">
        <f>$AB985</f>
        <v>0</v>
      </c>
      <c r="AE985" s="40" t="s">
        <v>4500</v>
      </c>
      <c r="AF985" s="8">
        <f>TRUNC($AH981*1.097,1)</f>
        <v>650</v>
      </c>
      <c r="AG985" s="40" t="s">
        <v>2603</v>
      </c>
      <c r="AH985" s="7">
        <f>$AF985</f>
        <v>650</v>
      </c>
      <c r="AI985" s="40" t="s">
        <v>5878</v>
      </c>
      <c r="AJ985" s="8">
        <f>TRUNC($AL981*1.097,1)</f>
        <v>1425.5</v>
      </c>
      <c r="AK985" s="40" t="s">
        <v>787</v>
      </c>
      <c r="AL985" s="7">
        <f>$AJ985</f>
        <v>1425.5</v>
      </c>
    </row>
    <row r="986" spans="1:38" ht="18.399999999999999" customHeight="1">
      <c r="A986" s="41" t="s">
        <v>6232</v>
      </c>
      <c r="B986" s="37"/>
      <c r="C986" s="37"/>
      <c r="D986" s="37"/>
      <c r="E986" s="37"/>
      <c r="F986" s="45"/>
      <c r="K986" s="3" t="s">
        <v>6232</v>
      </c>
    </row>
    <row r="987" spans="1:38" ht="18.399999999999999" customHeight="1">
      <c r="A987" s="41" t="s">
        <v>3436</v>
      </c>
      <c r="B987" s="37">
        <f>SUM($C987,$D987,$E987)</f>
        <v>2075.5</v>
      </c>
      <c r="C987" s="37">
        <f>$AB987</f>
        <v>0</v>
      </c>
      <c r="D987" s="37">
        <f>$AF987</f>
        <v>650</v>
      </c>
      <c r="E987" s="37">
        <f>$AJ987</f>
        <v>1425.5</v>
      </c>
      <c r="F987" s="45"/>
      <c r="K987" s="3" t="s">
        <v>4527</v>
      </c>
      <c r="AA987" s="40" t="s">
        <v>4592</v>
      </c>
      <c r="AB987" s="8">
        <f>TRUNC($AD985,1)</f>
        <v>0</v>
      </c>
      <c r="AC987" s="40" t="s">
        <v>5149</v>
      </c>
      <c r="AD987" s="7">
        <f>$AB987</f>
        <v>0</v>
      </c>
      <c r="AE987" s="40" t="s">
        <v>666</v>
      </c>
      <c r="AF987" s="8">
        <f>TRUNC($AH985,1)</f>
        <v>650</v>
      </c>
      <c r="AG987" s="40" t="s">
        <v>2431</v>
      </c>
      <c r="AH987" s="7">
        <f>$AF987</f>
        <v>650</v>
      </c>
      <c r="AI987" s="40" t="s">
        <v>1930</v>
      </c>
      <c r="AJ987" s="8">
        <f>TRUNC($AL985,1)</f>
        <v>1425.5</v>
      </c>
      <c r="AK987" s="40" t="s">
        <v>3349</v>
      </c>
      <c r="AL987" s="7">
        <f>$AJ987</f>
        <v>1425.5</v>
      </c>
    </row>
    <row r="988" spans="1:38" ht="18.399999999999999" customHeight="1">
      <c r="A988" s="41"/>
      <c r="B988" s="3"/>
      <c r="C988" s="3"/>
      <c r="D988" s="3"/>
      <c r="E988" s="3"/>
      <c r="F988" s="44"/>
    </row>
    <row r="989" spans="1:38" ht="18.399999999999999" customHeight="1">
      <c r="A989" s="43" t="s">
        <v>3543</v>
      </c>
      <c r="B989" s="38">
        <f>SUM($C989,$D989,$E989)</f>
        <v>2075</v>
      </c>
      <c r="C989" s="38">
        <f>TRUNC(SUM($AD987),0)</f>
        <v>0</v>
      </c>
      <c r="D989" s="38">
        <f>TRUNC(SUM($AH987),0)</f>
        <v>650</v>
      </c>
      <c r="E989" s="38">
        <f>TRUNC(SUM($AL987),0)</f>
        <v>1425</v>
      </c>
      <c r="F989" s="46"/>
    </row>
    <row r="990" spans="1:38" ht="18.399999999999999" customHeight="1">
      <c r="A990" s="41"/>
      <c r="B990" s="3"/>
      <c r="C990" s="3"/>
      <c r="D990" s="3"/>
      <c r="E990" s="3"/>
      <c r="F990" s="44"/>
    </row>
    <row r="991" spans="1:38" ht="18.399999999999999" customHeight="1">
      <c r="A991" s="41" t="s">
        <v>2230</v>
      </c>
      <c r="B991" s="36">
        <f>$B1065</f>
        <v>2047</v>
      </c>
      <c r="C991" s="36">
        <f>$C1065</f>
        <v>0</v>
      </c>
      <c r="D991" s="36">
        <f>$D1065</f>
        <v>642</v>
      </c>
      <c r="E991" s="36">
        <f>$E1065</f>
        <v>1405</v>
      </c>
      <c r="F991" s="44" t="s">
        <v>3378</v>
      </c>
      <c r="G991" t="s">
        <v>6232</v>
      </c>
      <c r="H991" t="s">
        <v>2625</v>
      </c>
      <c r="K991">
        <v>1</v>
      </c>
      <c r="Y991" s="7" t="b">
        <f>EXACT($Z991,$B1065)</f>
        <v>0</v>
      </c>
      <c r="Z991" s="38">
        <v>1837</v>
      </c>
    </row>
    <row r="992" spans="1:38" ht="18.399999999999999" customHeight="1">
      <c r="A992" s="41"/>
      <c r="B992" s="3"/>
      <c r="C992" s="3"/>
      <c r="D992" s="3"/>
      <c r="E992" s="3"/>
      <c r="F992" s="44"/>
    </row>
    <row r="993" spans="1:38" ht="18.399999999999999" customHeight="1">
      <c r="A993" s="41" t="s">
        <v>6232</v>
      </c>
      <c r="B993" s="3"/>
      <c r="C993" s="3"/>
      <c r="D993" s="3"/>
      <c r="E993" s="3"/>
      <c r="F993" s="44"/>
      <c r="G993" t="s">
        <v>6232</v>
      </c>
      <c r="I993" t="s">
        <v>742</v>
      </c>
      <c r="J993" t="s">
        <v>6232</v>
      </c>
      <c r="K993" t="s">
        <v>5235</v>
      </c>
    </row>
    <row r="994" spans="1:38" ht="18.399999999999999" customHeight="1">
      <c r="A994" s="41" t="s">
        <v>3007</v>
      </c>
      <c r="B994" s="37"/>
      <c r="C994" s="37"/>
      <c r="D994" s="37"/>
      <c r="E994" s="37"/>
      <c r="F994" s="45"/>
      <c r="K994" s="3" t="s">
        <v>2938</v>
      </c>
    </row>
    <row r="995" spans="1:38" ht="18.399999999999999" customHeight="1">
      <c r="A995" s="41" t="s">
        <v>6232</v>
      </c>
      <c r="B995" s="37"/>
      <c r="C995" s="37"/>
      <c r="D995" s="37"/>
      <c r="E995" s="37"/>
      <c r="F995" s="45"/>
      <c r="K995" s="3" t="s">
        <v>6232</v>
      </c>
    </row>
    <row r="996" spans="1:38" ht="18.399999999999999" customHeight="1">
      <c r="A996" s="42" t="str">
        <f>CONCATENATE("                L=",TEXT($AB996,"#,##0.0"),"   KM  실시공후 정산")</f>
        <v xml:space="preserve">                L=4.0   KM  실시공후 정산</v>
      </c>
      <c r="B996" s="37"/>
      <c r="C996" s="37"/>
      <c r="D996" s="37"/>
      <c r="E996" s="37"/>
      <c r="F996" s="45"/>
      <c r="K996" s="10" t="str">
        <f>SUBSTITUTE(SUBSTITUTE("                L = 4.0  _x001D_KM_x001D__x001D_실시공후 정산_x001D_","4.0",TEXT($AB996,"#,##0.0"),1),"_x001D_","'")</f>
        <v xml:space="preserve">                L = 4.0  'KM''실시공후 정산'</v>
      </c>
      <c r="AA996" s="39" t="s">
        <v>5842</v>
      </c>
      <c r="AB996" s="6">
        <v>4</v>
      </c>
      <c r="AC996" s="39" t="s">
        <v>5842</v>
      </c>
      <c r="AD996" s="7">
        <f>$AB996</f>
        <v>4</v>
      </c>
    </row>
    <row r="997" spans="1:38" ht="18.399999999999999" customHeight="1">
      <c r="A997" s="41" t="s">
        <v>6214</v>
      </c>
      <c r="B997" s="37"/>
      <c r="C997" s="37"/>
      <c r="D997" s="37"/>
      <c r="E997" s="37"/>
      <c r="F997" s="45"/>
      <c r="K997" s="3" t="s">
        <v>3965</v>
      </c>
    </row>
    <row r="998" spans="1:38" ht="18.399999999999999" customHeight="1">
      <c r="A998" s="42" t="str">
        <f>CONCATENATE("                V=",TEXT($AB998,"#,##0.0"),"  KM/hr")</f>
        <v xml:space="preserve">                V=30.0  KM/hr</v>
      </c>
      <c r="B998" s="37"/>
      <c r="C998" s="37"/>
      <c r="D998" s="37"/>
      <c r="E998" s="37"/>
      <c r="F998" s="45"/>
      <c r="K998" s="10" t="str">
        <f>SUBSTITUTE(SUBSTITUTE("                V = 30.0 _x001D_KM/hr_x001D_","30.0",TEXT($AB998,"#,##0.0"),1),"_x001D_","'")</f>
        <v xml:space="preserve">                V = 30.0 'KM/hr'</v>
      </c>
      <c r="AA998" s="39" t="s">
        <v>247</v>
      </c>
      <c r="AB998" s="6">
        <v>30</v>
      </c>
      <c r="AC998" s="39" t="s">
        <v>247</v>
      </c>
      <c r="AD998" s="7">
        <f>$AB998</f>
        <v>30</v>
      </c>
    </row>
    <row r="999" spans="1:38" ht="18.399999999999999" customHeight="1">
      <c r="A999" s="41" t="s">
        <v>6232</v>
      </c>
      <c r="B999" s="37">
        <f>SUM($C999,$D999,$E999)</f>
        <v>0</v>
      </c>
      <c r="C999" s="37">
        <f>$AB999</f>
        <v>0</v>
      </c>
      <c r="D999" s="37">
        <f>$AF999</f>
        <v>0</v>
      </c>
      <c r="E999" s="37">
        <f>$AJ999</f>
        <v>0</v>
      </c>
      <c r="F999" s="45"/>
      <c r="K999" s="3" t="s">
        <v>295</v>
      </c>
      <c r="AA999" s="40" t="s">
        <v>2660</v>
      </c>
      <c r="AB999" s="8">
        <f>ROUND(0,2)</f>
        <v>0</v>
      </c>
      <c r="AC999" s="40" t="s">
        <v>1650</v>
      </c>
      <c r="AD999" s="7">
        <f>$AB999</f>
        <v>0</v>
      </c>
      <c r="AE999" s="40" t="s">
        <v>5305</v>
      </c>
      <c r="AF999" s="8">
        <f>ROUND(0,2)</f>
        <v>0</v>
      </c>
      <c r="AG999" s="40" t="s">
        <v>5439</v>
      </c>
      <c r="AH999" s="7">
        <f>$AF999</f>
        <v>0</v>
      </c>
      <c r="AI999" s="40" t="s">
        <v>3519</v>
      </c>
      <c r="AJ999" s="8">
        <f>ROUND(0,2)</f>
        <v>0</v>
      </c>
      <c r="AK999" s="40" t="s">
        <v>4149</v>
      </c>
      <c r="AL999" s="7">
        <f>$AJ999</f>
        <v>0</v>
      </c>
    </row>
    <row r="1000" spans="1:38" ht="18.399999999999999" customHeight="1">
      <c r="A1000" s="41" t="s">
        <v>5524</v>
      </c>
      <c r="B1000" s="37"/>
      <c r="C1000" s="37"/>
      <c r="D1000" s="37"/>
      <c r="E1000" s="37"/>
      <c r="F1000" s="45"/>
      <c r="K1000" s="3" t="s">
        <v>3427</v>
      </c>
    </row>
    <row r="1001" spans="1:38" ht="18.399999999999999" customHeight="1">
      <c r="A1001" s="41" t="s">
        <v>6232</v>
      </c>
      <c r="B1001" s="37"/>
      <c r="C1001" s="37"/>
      <c r="D1001" s="37"/>
      <c r="E1001" s="37"/>
      <c r="F1001" s="45"/>
      <c r="K1001" s="3" t="s">
        <v>6232</v>
      </c>
    </row>
    <row r="1002" spans="1:38" ht="18.399999999999999" customHeight="1">
      <c r="A1002" s="41" t="s">
        <v>2653</v>
      </c>
      <c r="B1002" s="37"/>
      <c r="C1002" s="37"/>
      <c r="D1002" s="37"/>
      <c r="E1002" s="37"/>
      <c r="F1002" s="45"/>
      <c r="K1002" s="3" t="s">
        <v>2793</v>
      </c>
    </row>
    <row r="1003" spans="1:38" ht="18.399999999999999" customHeight="1">
      <c r="A1003" s="41" t="s">
        <v>52</v>
      </c>
      <c r="B1003" s="37"/>
      <c r="C1003" s="37"/>
      <c r="D1003" s="37"/>
      <c r="E1003" s="37"/>
      <c r="F1003" s="45"/>
      <c r="K1003" s="3" t="s">
        <v>3020</v>
      </c>
    </row>
    <row r="1004" spans="1:38" ht="18.399999999999999" customHeight="1">
      <c r="A1004" s="41" t="s">
        <v>6232</v>
      </c>
      <c r="B1004" s="37"/>
      <c r="C1004" s="37"/>
      <c r="D1004" s="37"/>
      <c r="E1004" s="37"/>
      <c r="F1004" s="45"/>
      <c r="K1004" s="3" t="s">
        <v>6232</v>
      </c>
    </row>
    <row r="1005" spans="1:38" ht="18.399999999999999" customHeight="1">
      <c r="A1005" s="41" t="s">
        <v>3700</v>
      </c>
      <c r="B1005" s="37"/>
      <c r="C1005" s="37"/>
      <c r="D1005" s="37"/>
      <c r="E1005" s="37"/>
      <c r="F1005" s="45"/>
      <c r="K1005" s="3" t="s">
        <v>2773</v>
      </c>
    </row>
    <row r="1006" spans="1:38" ht="18.399999999999999" customHeight="1">
      <c r="A1006" s="41" t="s">
        <v>679</v>
      </c>
      <c r="B1006" s="37"/>
      <c r="C1006" s="37"/>
      <c r="D1006" s="37"/>
      <c r="E1006" s="37"/>
      <c r="F1006" s="45"/>
      <c r="K1006" s="3" t="s">
        <v>1995</v>
      </c>
    </row>
    <row r="1007" spans="1:38" ht="18.399999999999999" customHeight="1">
      <c r="A1007" s="41" t="s">
        <v>5867</v>
      </c>
      <c r="B1007" s="37"/>
      <c r="C1007" s="37"/>
      <c r="D1007" s="37"/>
      <c r="E1007" s="37"/>
      <c r="F1007" s="45"/>
      <c r="K1007" s="3" t="s">
        <v>2096</v>
      </c>
    </row>
    <row r="1008" spans="1:38" ht="18.399999999999999" customHeight="1">
      <c r="A1008" s="41" t="s">
        <v>6232</v>
      </c>
      <c r="B1008" s="37"/>
      <c r="C1008" s="37"/>
      <c r="D1008" s="37"/>
      <c r="E1008" s="37"/>
      <c r="F1008" s="45"/>
      <c r="K1008" s="3" t="s">
        <v>6232</v>
      </c>
    </row>
    <row r="1009" spans="1:34" ht="18.399999999999999" customHeight="1">
      <c r="A1009" s="41" t="s">
        <v>5833</v>
      </c>
      <c r="B1009" s="37"/>
      <c r="C1009" s="37"/>
      <c r="D1009" s="37"/>
      <c r="E1009" s="37"/>
      <c r="F1009" s="45"/>
      <c r="K1009" s="3" t="s">
        <v>2794</v>
      </c>
    </row>
    <row r="1010" spans="1:34" ht="18.399999999999999" customHeight="1">
      <c r="A1010" s="41" t="s">
        <v>6232</v>
      </c>
      <c r="B1010" s="37"/>
      <c r="C1010" s="37"/>
      <c r="D1010" s="37"/>
      <c r="E1010" s="37"/>
      <c r="F1010" s="45"/>
      <c r="K1010" s="3" t="s">
        <v>6232</v>
      </c>
    </row>
    <row r="1011" spans="1:34" ht="18.399999999999999" customHeight="1">
      <c r="A1011" s="41" t="s">
        <v>6134</v>
      </c>
      <c r="B1011" s="37"/>
      <c r="C1011" s="37"/>
      <c r="D1011" s="37"/>
      <c r="E1011" s="37"/>
      <c r="F1011" s="45"/>
      <c r="K1011" s="3" t="s">
        <v>4089</v>
      </c>
    </row>
    <row r="1012" spans="1:34" ht="18.399999999999999" customHeight="1">
      <c r="A1012" s="41" t="s">
        <v>6232</v>
      </c>
      <c r="B1012" s="37"/>
      <c r="C1012" s="37"/>
      <c r="D1012" s="37"/>
      <c r="E1012" s="37"/>
      <c r="F1012" s="45"/>
      <c r="K1012" s="3" t="s">
        <v>6232</v>
      </c>
    </row>
    <row r="1013" spans="1:34" ht="18.399999999999999" customHeight="1">
      <c r="A1013" s="41" t="s">
        <v>1517</v>
      </c>
      <c r="B1013" s="37"/>
      <c r="C1013" s="37"/>
      <c r="D1013" s="37"/>
      <c r="E1013" s="37"/>
      <c r="F1013" s="45"/>
      <c r="K1013" s="3" t="s">
        <v>2275</v>
      </c>
    </row>
    <row r="1014" spans="1:34" ht="18.399999999999999" customHeight="1">
      <c r="A1014" s="41" t="s">
        <v>6232</v>
      </c>
      <c r="B1014" s="37"/>
      <c r="C1014" s="37"/>
      <c r="D1014" s="37"/>
      <c r="E1014" s="37"/>
      <c r="F1014" s="45"/>
      <c r="K1014" s="3" t="s">
        <v>6232</v>
      </c>
    </row>
    <row r="1015" spans="1:34" ht="18.399999999999999" customHeight="1">
      <c r="A1015" s="41" t="s">
        <v>257</v>
      </c>
      <c r="B1015" s="37"/>
      <c r="C1015" s="37"/>
      <c r="D1015" s="37"/>
      <c r="E1015" s="37"/>
      <c r="F1015" s="45"/>
      <c r="K1015" s="3" t="s">
        <v>1264</v>
      </c>
    </row>
    <row r="1016" spans="1:34" ht="18.399999999999999" customHeight="1">
      <c r="A1016" s="41" t="s">
        <v>6232</v>
      </c>
      <c r="B1016" s="37"/>
      <c r="C1016" s="37"/>
      <c r="D1016" s="37"/>
      <c r="E1016" s="37"/>
      <c r="F1016" s="45"/>
      <c r="K1016" s="3" t="s">
        <v>6232</v>
      </c>
    </row>
    <row r="1017" spans="1:34" ht="18.399999999999999" customHeight="1">
      <c r="A1017" s="42" t="str">
        <f>CONCATENATE("   - 1차당 적재량(본)         Q=",TEXT($AB1017,"#,##0.00"),"  본")</f>
        <v xml:space="preserve">   - 1차당 적재량(본)         Q=45.00  본</v>
      </c>
      <c r="B1017" s="37"/>
      <c r="C1017" s="37"/>
      <c r="D1017" s="37"/>
      <c r="E1017" s="37"/>
      <c r="F1017" s="45"/>
      <c r="K1017" s="10" t="str">
        <f>SUBSTITUTE(SUBSTITUTE("  _x001D_- 1차당 적재량(본)_x001D_        Q  =  45 _x001D_본_x001D_","45",TEXT($AB1017,"#,##0"),1),"_x001D_","'")</f>
        <v xml:space="preserve">  '- 1차당 적재량(본)'        Q  =  45 '본'</v>
      </c>
      <c r="AA1017" s="39" t="s">
        <v>4337</v>
      </c>
      <c r="AB1017" s="6">
        <v>45</v>
      </c>
      <c r="AC1017" s="39" t="s">
        <v>4337</v>
      </c>
      <c r="AD1017" s="7">
        <f>$AB1017</f>
        <v>45</v>
      </c>
    </row>
    <row r="1018" spans="1:34" ht="18.399999999999999" customHeight="1">
      <c r="A1018" s="41" t="s">
        <v>6232</v>
      </c>
      <c r="B1018" s="37"/>
      <c r="C1018" s="37"/>
      <c r="D1018" s="37"/>
      <c r="E1018" s="37"/>
      <c r="F1018" s="45"/>
      <c r="K1018" s="3" t="s">
        <v>6232</v>
      </c>
    </row>
    <row r="1019" spans="1:34" ht="18.399999999999999" customHeight="1">
      <c r="A1019" s="42" t="str">
        <f>CONCATENATE("   - 운반차량 대기시간(12M당)    T1=",TEXT($AB1019,"#,##0.00"),"  분")</f>
        <v xml:space="preserve">   - 운반차량 대기시간(12M당)    T1=3.00  분</v>
      </c>
      <c r="B1019" s="37"/>
      <c r="C1019" s="37"/>
      <c r="D1019" s="37"/>
      <c r="E1019" s="37"/>
      <c r="F1019" s="45"/>
      <c r="K1019" s="10" t="str">
        <f>SUBSTITUTE(SUBSTITUTE("  _x001D_- 운반차량 대기시간(12M당)_x001D_   T1 = 3 _x001D_분_x001D_","3",TEXT($AB1019,"#,##0"),1),"_x001D_","'")</f>
        <v xml:space="preserve">  '- 운반차량 대기시간(12M당)'   T1 = 3 '분'</v>
      </c>
      <c r="AA1019" s="39" t="s">
        <v>4528</v>
      </c>
      <c r="AB1019" s="6">
        <v>3</v>
      </c>
      <c r="AC1019" s="39" t="s">
        <v>4528</v>
      </c>
      <c r="AD1019" s="7">
        <f>$AB1019</f>
        <v>3</v>
      </c>
    </row>
    <row r="1020" spans="1:34" ht="18.399999999999999" customHeight="1">
      <c r="A1020" s="41" t="s">
        <v>6232</v>
      </c>
      <c r="B1020" s="37"/>
      <c r="C1020" s="37"/>
      <c r="D1020" s="37"/>
      <c r="E1020" s="37"/>
      <c r="F1020" s="45"/>
      <c r="K1020" s="3" t="s">
        <v>6232</v>
      </c>
    </row>
    <row r="1021" spans="1:34" ht="18.399999999999999" customHeight="1">
      <c r="A1021" s="41" t="s">
        <v>4838</v>
      </c>
      <c r="B1021" s="37"/>
      <c r="C1021" s="37"/>
      <c r="D1021" s="37"/>
      <c r="E1021" s="37"/>
      <c r="F1021" s="45"/>
      <c r="K1021" s="3" t="s">
        <v>6093</v>
      </c>
    </row>
    <row r="1022" spans="1:34" ht="18.399999999999999" customHeight="1">
      <c r="A1022" s="41" t="s">
        <v>6232</v>
      </c>
      <c r="B1022" s="37"/>
      <c r="C1022" s="37"/>
      <c r="D1022" s="37"/>
      <c r="E1022" s="37"/>
      <c r="F1022" s="45"/>
      <c r="K1022" s="3" t="s">
        <v>6232</v>
      </c>
    </row>
    <row r="1023" spans="1:34" ht="18.399999999999999" customHeight="1">
      <c r="A1023" s="42" t="str">
        <f>CONCATENATE("    T2 = (L / V * 2 * 60 + 20) / Q = ",TEXT($AF1023,"#,##0.00")," 분 ")</f>
        <v xml:space="preserve">    T2 = (L / V * 2 * 60 + 20) / Q = 0.80 분 </v>
      </c>
      <c r="B1023" s="37">
        <f>SUM($C1023,$D1023,$E1023)</f>
        <v>0</v>
      </c>
      <c r="C1023" s="37"/>
      <c r="D1023" s="37"/>
      <c r="E1023" s="37"/>
      <c r="F1023" s="45"/>
      <c r="K1023" s="3" t="s">
        <v>3353</v>
      </c>
      <c r="AA1023" s="39" t="s">
        <v>5897</v>
      </c>
      <c r="AB1023" s="8">
        <f>ROUND(($AD996/$AD998*2*60+20)/$AD1017,2)</f>
        <v>0.8</v>
      </c>
      <c r="AC1023" s="39" t="s">
        <v>2053</v>
      </c>
      <c r="AD1023" s="7">
        <f>$AB1023</f>
        <v>0.8</v>
      </c>
      <c r="AE1023" s="39" t="s">
        <v>4770</v>
      </c>
      <c r="AF1023" s="8">
        <f>ROUND(ROUND(($AD996/$AD998*2*60+20)/$AD1017,2),2)</f>
        <v>0.8</v>
      </c>
      <c r="AG1023" s="39" t="s">
        <v>850</v>
      </c>
      <c r="AH1023" s="7">
        <f>$AF1023</f>
        <v>0.8</v>
      </c>
    </row>
    <row r="1024" spans="1:34" ht="18.399999999999999" customHeight="1">
      <c r="A1024" s="41" t="s">
        <v>6232</v>
      </c>
      <c r="B1024" s="37"/>
      <c r="C1024" s="37"/>
      <c r="D1024" s="37"/>
      <c r="E1024" s="37"/>
      <c r="F1024" s="45"/>
      <c r="K1024" s="3" t="s">
        <v>6232</v>
      </c>
    </row>
    <row r="1025" spans="1:34" ht="18.399999999999999" customHeight="1">
      <c r="A1025" s="41" t="s">
        <v>2391</v>
      </c>
      <c r="B1025" s="37"/>
      <c r="C1025" s="37"/>
      <c r="D1025" s="37"/>
      <c r="E1025" s="37"/>
      <c r="F1025" s="45"/>
      <c r="K1025" s="3" t="s">
        <v>4710</v>
      </c>
    </row>
    <row r="1026" spans="1:34" ht="18.399999999999999" customHeight="1">
      <c r="A1026" s="41" t="s">
        <v>6232</v>
      </c>
      <c r="B1026" s="37"/>
      <c r="C1026" s="37"/>
      <c r="D1026" s="37"/>
      <c r="E1026" s="37"/>
      <c r="F1026" s="45"/>
      <c r="K1026" s="3" t="s">
        <v>6232</v>
      </c>
    </row>
    <row r="1027" spans="1:34" ht="18.399999999999999" customHeight="1">
      <c r="A1027" s="42" t="str">
        <f>CONCATENATE("    CM = T1 + T2 = ",TEXT($AF1027,"#,##0.00")," 분 ")</f>
        <v xml:space="preserve">    CM = T1 + T2 = 3.80 분 </v>
      </c>
      <c r="B1027" s="37">
        <f>SUM($C1027,$D1027,$E1027)</f>
        <v>0</v>
      </c>
      <c r="C1027" s="37"/>
      <c r="D1027" s="37"/>
      <c r="E1027" s="37"/>
      <c r="F1027" s="45"/>
      <c r="K1027" s="3" t="s">
        <v>6049</v>
      </c>
      <c r="AA1027" s="39" t="s">
        <v>5026</v>
      </c>
      <c r="AB1027" s="8">
        <f>ROUND($AD1019+$AD1023,2)</f>
        <v>3.8</v>
      </c>
      <c r="AC1027" s="39" t="s">
        <v>289</v>
      </c>
      <c r="AD1027" s="7">
        <f>$AB1027</f>
        <v>3.8</v>
      </c>
      <c r="AE1027" s="39" t="s">
        <v>4857</v>
      </c>
      <c r="AF1027" s="8">
        <f>ROUND(ROUND($AD1019+$AD1023,2),2)</f>
        <v>3.8</v>
      </c>
      <c r="AG1027" s="39" t="s">
        <v>5266</v>
      </c>
      <c r="AH1027" s="7">
        <f>$AF1027</f>
        <v>3.8</v>
      </c>
    </row>
    <row r="1028" spans="1:34" ht="18.399999999999999" customHeight="1">
      <c r="A1028" s="41" t="s">
        <v>6232</v>
      </c>
      <c r="B1028" s="37"/>
      <c r="C1028" s="37"/>
      <c r="D1028" s="37"/>
      <c r="E1028" s="37"/>
      <c r="F1028" s="45"/>
      <c r="K1028" s="3" t="s">
        <v>6232</v>
      </c>
    </row>
    <row r="1029" spans="1:34" ht="18.399999999999999" customHeight="1">
      <c r="A1029" s="41" t="s">
        <v>5848</v>
      </c>
      <c r="B1029" s="37"/>
      <c r="C1029" s="37"/>
      <c r="D1029" s="37"/>
      <c r="E1029" s="37"/>
      <c r="F1029" s="45"/>
      <c r="K1029" s="3" t="s">
        <v>788</v>
      </c>
    </row>
    <row r="1030" spans="1:34" ht="18.399999999999999" customHeight="1">
      <c r="A1030" s="41" t="s">
        <v>6232</v>
      </c>
      <c r="B1030" s="37"/>
      <c r="C1030" s="37"/>
      <c r="D1030" s="37"/>
      <c r="E1030" s="37"/>
      <c r="F1030" s="45"/>
      <c r="K1030" s="3" t="s">
        <v>6232</v>
      </c>
    </row>
    <row r="1031" spans="1:34" ht="18.399999999999999" customHeight="1">
      <c r="A1031" s="42" t="str">
        <f>CONCATENATE("    Qo = T2 / CM = ",TEXT($AF1031,"#,##0.00")," 분 ")</f>
        <v xml:space="preserve">    Qo = T2 / CM = 0.21 분 </v>
      </c>
      <c r="B1031" s="37">
        <f>SUM($C1031,$D1031,$E1031)</f>
        <v>0</v>
      </c>
      <c r="C1031" s="37"/>
      <c r="D1031" s="37"/>
      <c r="E1031" s="37"/>
      <c r="F1031" s="45"/>
      <c r="K1031" s="3" t="s">
        <v>882</v>
      </c>
      <c r="AA1031" s="39" t="s">
        <v>1501</v>
      </c>
      <c r="AB1031" s="8">
        <f>ROUND($AD1023/$AD1027,2)</f>
        <v>0.21</v>
      </c>
      <c r="AC1031" s="39" t="s">
        <v>2425</v>
      </c>
      <c r="AD1031" s="7">
        <f>$AB1031</f>
        <v>0.21</v>
      </c>
      <c r="AE1031" s="39" t="s">
        <v>2985</v>
      </c>
      <c r="AF1031" s="8">
        <f>ROUND(ROUND($AD1023/$AD1027,2),2)</f>
        <v>0.21</v>
      </c>
      <c r="AG1031" s="39" t="s">
        <v>705</v>
      </c>
      <c r="AH1031" s="7">
        <f>$AF1031</f>
        <v>0.21</v>
      </c>
    </row>
    <row r="1032" spans="1:34" ht="18.399999999999999" customHeight="1">
      <c r="A1032" s="41" t="s">
        <v>6232</v>
      </c>
      <c r="B1032" s="37"/>
      <c r="C1032" s="37"/>
      <c r="D1032" s="37"/>
      <c r="E1032" s="37"/>
      <c r="F1032" s="45"/>
      <c r="K1032" s="3" t="s">
        <v>6232</v>
      </c>
    </row>
    <row r="1033" spans="1:34" ht="18.399999999999999" customHeight="1">
      <c r="A1033" s="41" t="s">
        <v>1042</v>
      </c>
      <c r="B1033" s="37"/>
      <c r="C1033" s="37"/>
      <c r="D1033" s="37"/>
      <c r="E1033" s="37"/>
      <c r="F1033" s="45"/>
      <c r="K1033" s="3" t="s">
        <v>1008</v>
      </c>
    </row>
    <row r="1034" spans="1:34" ht="18.399999999999999" customHeight="1">
      <c r="A1034" s="41" t="s">
        <v>6232</v>
      </c>
      <c r="B1034" s="37"/>
      <c r="C1034" s="37"/>
      <c r="D1034" s="37"/>
      <c r="E1034" s="37"/>
      <c r="F1034" s="45"/>
      <c r="K1034" s="3" t="s">
        <v>6232</v>
      </c>
    </row>
    <row r="1035" spans="1:34" ht="18.399999999999999" customHeight="1">
      <c r="A1035" s="42" t="str">
        <f>CONCATENATE("      보통인부 :  2.0 인  * _x001D_169,804_x001D_ * (CM + 6 ) / 60 / 8 = ",TEXT($AB1035,"#,##0.0"))</f>
        <v xml:space="preserve">      보통인부 :  2.0 인  * _x001D_169,804_x001D_ * (CM + 6 ) / 60 / 8 = 7,026.1</v>
      </c>
      <c r="B1035" s="37">
        <f>SUM($C1035,$D1035,$E1035)</f>
        <v>7026.1</v>
      </c>
      <c r="C1035" s="37"/>
      <c r="D1035" s="37">
        <f>$AB1035</f>
        <v>7026.1</v>
      </c>
      <c r="E1035" s="37"/>
      <c r="F1035" s="45" t="s">
        <v>6232</v>
      </c>
      <c r="K1035" s="3" t="s">
        <v>3933</v>
      </c>
      <c r="AA1035" s="40" t="s">
        <v>5305</v>
      </c>
      <c r="AB1035" s="8">
        <f>TRUNC(2*노임!D3*($AD1027+6)/60/8,1)</f>
        <v>7026.1</v>
      </c>
      <c r="AC1035" s="40" t="s">
        <v>5439</v>
      </c>
      <c r="AD1035" s="7">
        <f>$AH999+$AB1035</f>
        <v>7026.1</v>
      </c>
    </row>
    <row r="1036" spans="1:34" ht="18.399999999999999" customHeight="1">
      <c r="A1036" s="41" t="s">
        <v>6232</v>
      </c>
      <c r="B1036" s="37"/>
      <c r="C1036" s="37"/>
      <c r="D1036" s="37"/>
      <c r="E1036" s="37"/>
      <c r="F1036" s="45"/>
      <c r="K1036" s="3" t="s">
        <v>6232</v>
      </c>
    </row>
    <row r="1037" spans="1:34" ht="18.399999999999999" customHeight="1">
      <c r="A1037" s="41" t="s">
        <v>5801</v>
      </c>
      <c r="B1037" s="37"/>
      <c r="C1037" s="37"/>
      <c r="D1037" s="37"/>
      <c r="E1037" s="37"/>
      <c r="F1037" s="45"/>
      <c r="K1037" s="3" t="s">
        <v>775</v>
      </c>
    </row>
    <row r="1038" spans="1:34" ht="18.399999999999999" customHeight="1">
      <c r="A1038" s="41" t="s">
        <v>6232</v>
      </c>
      <c r="B1038" s="37"/>
      <c r="C1038" s="37"/>
      <c r="D1038" s="37"/>
      <c r="E1038" s="37"/>
      <c r="F1038" s="45"/>
      <c r="K1038" s="3" t="s">
        <v>6232</v>
      </c>
    </row>
    <row r="1039" spans="1:34" ht="18.399999999999999" customHeight="1">
      <c r="A1039" s="41" t="s">
        <v>4967</v>
      </c>
      <c r="B1039" s="37"/>
      <c r="C1039" s="37"/>
      <c r="D1039" s="37"/>
      <c r="E1039" s="37"/>
      <c r="F1039" s="45"/>
      <c r="K1039" s="3" t="s">
        <v>3483</v>
      </c>
    </row>
    <row r="1040" spans="1:34" ht="18.399999999999999" customHeight="1">
      <c r="A1040" s="41" t="s">
        <v>6232</v>
      </c>
      <c r="B1040" s="37"/>
      <c r="C1040" s="37"/>
      <c r="D1040" s="37"/>
      <c r="E1040" s="37"/>
      <c r="F1040" s="45"/>
      <c r="K1040" s="3" t="s">
        <v>6232</v>
      </c>
    </row>
    <row r="1041" spans="1:38" ht="18.399999999999999" customHeight="1">
      <c r="A1041" s="42" t="str">
        <f>CONCATENATE("     재료비:  _x001D_8,795_x001D_ * 4.5 / 60 = ",TEXT($AB1041,"#,##0.0"))</f>
        <v xml:space="preserve">     재료비:  _x001D_8,795_x001D_ * 4.5 / 60 = 0.0</v>
      </c>
      <c r="B1041" s="37">
        <f>SUM($C1041,$D1041,$E1041)</f>
        <v>0</v>
      </c>
      <c r="C1041" s="37">
        <f>$AB1041</f>
        <v>0</v>
      </c>
      <c r="D1041" s="37"/>
      <c r="E1041" s="37"/>
      <c r="F1041" s="45" t="s">
        <v>6232</v>
      </c>
      <c r="K1041" s="3" t="s">
        <v>5203</v>
      </c>
      <c r="AA1041" s="40" t="s">
        <v>2660</v>
      </c>
      <c r="AB1041" s="8">
        <f>TRUNC(중기사용료목록!E4*4.5/60,1)</f>
        <v>0</v>
      </c>
      <c r="AC1041" s="40" t="s">
        <v>1650</v>
      </c>
      <c r="AD1041" s="7">
        <f>$AD999+$AB1041</f>
        <v>0</v>
      </c>
    </row>
    <row r="1042" spans="1:38" ht="18.399999999999999" customHeight="1">
      <c r="A1042" s="41" t="s">
        <v>6232</v>
      </c>
      <c r="B1042" s="37"/>
      <c r="C1042" s="37"/>
      <c r="D1042" s="37"/>
      <c r="E1042" s="37"/>
      <c r="F1042" s="45"/>
      <c r="K1042" s="3" t="s">
        <v>6232</v>
      </c>
    </row>
    <row r="1043" spans="1:38" ht="18.399999999999999" customHeight="1">
      <c r="A1043" s="42" t="str">
        <f>CONCATENATE("     노무비:  _x001D_57,077_x001D_ * 4.5 / 60 = ",TEXT($AB1043,"#,##0.0"))</f>
        <v xml:space="preserve">     노무비:  _x001D_57,077_x001D_ * 4.5 / 60 = 0.0</v>
      </c>
      <c r="B1043" s="37">
        <f>SUM($C1043,$D1043,$E1043)</f>
        <v>0</v>
      </c>
      <c r="C1043" s="37"/>
      <c r="D1043" s="37">
        <f>$AB1043</f>
        <v>0</v>
      </c>
      <c r="E1043" s="37"/>
      <c r="F1043" s="45" t="s">
        <v>6232</v>
      </c>
      <c r="K1043" s="3" t="s">
        <v>1442</v>
      </c>
      <c r="AA1043" s="40" t="s">
        <v>5305</v>
      </c>
      <c r="AB1043" s="8">
        <f>TRUNC(중기사용료목록!F4*4.5/60,1)</f>
        <v>0</v>
      </c>
      <c r="AC1043" s="40" t="s">
        <v>5439</v>
      </c>
      <c r="AD1043" s="7">
        <f>$AD1035+$AB1043</f>
        <v>7026.1</v>
      </c>
    </row>
    <row r="1044" spans="1:38" ht="18.399999999999999" customHeight="1">
      <c r="A1044" s="41" t="s">
        <v>6232</v>
      </c>
      <c r="B1044" s="37"/>
      <c r="C1044" s="37"/>
      <c r="D1044" s="37"/>
      <c r="E1044" s="37"/>
      <c r="F1044" s="45"/>
      <c r="K1044" s="3" t="s">
        <v>6232</v>
      </c>
    </row>
    <row r="1045" spans="1:38" ht="18.399999999999999" customHeight="1">
      <c r="A1045" s="42" t="str">
        <f>CONCATENATE("     경  비:  _x001D_41,995_x001D_ * 4.5 / 60 = ",TEXT($AB1045,"#,##0.0"))</f>
        <v xml:space="preserve">     경  비:  _x001D_41,995_x001D_ * 4.5 / 60 = 8,300.8</v>
      </c>
      <c r="B1045" s="37">
        <f>SUM($C1045,$D1045,$E1045)</f>
        <v>8300.7999999999993</v>
      </c>
      <c r="C1045" s="37"/>
      <c r="D1045" s="37"/>
      <c r="E1045" s="37">
        <f>$AB1045</f>
        <v>8300.7999999999993</v>
      </c>
      <c r="F1045" s="45" t="s">
        <v>6232</v>
      </c>
      <c r="K1045" s="3" t="s">
        <v>6104</v>
      </c>
      <c r="AA1045" s="40" t="s">
        <v>3519</v>
      </c>
      <c r="AB1045" s="8">
        <f>TRUNC(중기사용료목록!G4*4.5/60,1)</f>
        <v>8300.7999999999993</v>
      </c>
      <c r="AC1045" s="40" t="s">
        <v>4149</v>
      </c>
      <c r="AD1045" s="7">
        <f>$AL999+$AB1045</f>
        <v>8300.7999999999993</v>
      </c>
    </row>
    <row r="1046" spans="1:38" ht="18.399999999999999" customHeight="1">
      <c r="A1046" s="41" t="s">
        <v>6232</v>
      </c>
      <c r="B1046" s="37"/>
      <c r="C1046" s="37"/>
      <c r="D1046" s="37"/>
      <c r="E1046" s="37"/>
      <c r="F1046" s="45"/>
      <c r="K1046" s="3" t="s">
        <v>6232</v>
      </c>
    </row>
    <row r="1047" spans="1:38" ht="18.399999999999999" customHeight="1">
      <c r="A1047" s="41" t="s">
        <v>1530</v>
      </c>
      <c r="B1047" s="37"/>
      <c r="C1047" s="37"/>
      <c r="D1047" s="37"/>
      <c r="E1047" s="37"/>
      <c r="F1047" s="45"/>
      <c r="K1047" s="3" t="s">
        <v>2021</v>
      </c>
    </row>
    <row r="1048" spans="1:38" ht="18.399999999999999" customHeight="1">
      <c r="A1048" s="41" t="s">
        <v>6232</v>
      </c>
      <c r="B1048" s="37"/>
      <c r="C1048" s="37"/>
      <c r="D1048" s="37"/>
      <c r="E1048" s="37"/>
      <c r="F1048" s="45"/>
      <c r="K1048" s="3" t="s">
        <v>6232</v>
      </c>
    </row>
    <row r="1049" spans="1:38" ht="18.399999999999999" customHeight="1">
      <c r="A1049" s="42" t="str">
        <f>CONCATENATE("     재료비:  _x001D_30,878_x001D_ * CM / 60 * Qo = ",TEXT($AB1049,"#,##0.0"))</f>
        <v xml:space="preserve">     재료비:  _x001D_30,878_x001D_ * CM / 60 * Qo = 0.0</v>
      </c>
      <c r="B1049" s="37">
        <f>SUM($C1049,$D1049,$E1049)</f>
        <v>0</v>
      </c>
      <c r="C1049" s="37">
        <f>$AB1049</f>
        <v>0</v>
      </c>
      <c r="D1049" s="37"/>
      <c r="E1049" s="37"/>
      <c r="F1049" s="45" t="s">
        <v>6232</v>
      </c>
      <c r="K1049" s="3" t="s">
        <v>4711</v>
      </c>
      <c r="AA1049" s="40" t="s">
        <v>2660</v>
      </c>
      <c r="AB1049" s="8">
        <f>TRUNC(중기사용료목록!E7*$AD1027/60*$AD1031,1)</f>
        <v>0</v>
      </c>
      <c r="AC1049" s="40" t="s">
        <v>1650</v>
      </c>
      <c r="AD1049" s="7">
        <f>$AD1041+$AB1049</f>
        <v>0</v>
      </c>
    </row>
    <row r="1050" spans="1:38" ht="18.399999999999999" customHeight="1">
      <c r="A1050" s="41" t="s">
        <v>6232</v>
      </c>
      <c r="B1050" s="37"/>
      <c r="C1050" s="37"/>
      <c r="D1050" s="37"/>
      <c r="E1050" s="37"/>
      <c r="F1050" s="45"/>
      <c r="K1050" s="3" t="s">
        <v>6232</v>
      </c>
    </row>
    <row r="1051" spans="1:38" ht="18.399999999999999" customHeight="1">
      <c r="A1051" s="42" t="str">
        <f>CONCATENATE("     노무비:  _x001D_57,077_x001D_ * CM / 60 = ",TEXT($AB1051,"#,##0.0"))</f>
        <v xml:space="preserve">     노무비:  _x001D_57,077_x001D_ * CM / 60 = 0.0</v>
      </c>
      <c r="B1051" s="37">
        <f>SUM($C1051,$D1051,$E1051)</f>
        <v>0</v>
      </c>
      <c r="C1051" s="37"/>
      <c r="D1051" s="37">
        <f>$AB1051</f>
        <v>0</v>
      </c>
      <c r="E1051" s="37"/>
      <c r="F1051" s="45" t="s">
        <v>6232</v>
      </c>
      <c r="K1051" s="3" t="s">
        <v>3619</v>
      </c>
      <c r="AA1051" s="40" t="s">
        <v>5305</v>
      </c>
      <c r="AB1051" s="8">
        <f>TRUNC(중기사용료목록!F7*$AD1027/60,1)</f>
        <v>0</v>
      </c>
      <c r="AC1051" s="40" t="s">
        <v>5439</v>
      </c>
      <c r="AD1051" s="7">
        <f>$AD1043+$AB1051</f>
        <v>7026.1</v>
      </c>
    </row>
    <row r="1052" spans="1:38" ht="18.399999999999999" customHeight="1">
      <c r="A1052" s="41" t="s">
        <v>6232</v>
      </c>
      <c r="B1052" s="37"/>
      <c r="C1052" s="37"/>
      <c r="D1052" s="37"/>
      <c r="E1052" s="37"/>
      <c r="F1052" s="45"/>
      <c r="K1052" s="3" t="s">
        <v>6232</v>
      </c>
    </row>
    <row r="1053" spans="1:38" ht="18.399999999999999" customHeight="1">
      <c r="A1053" s="42" t="str">
        <f>CONCATENATE("     경  비:  _x001D_16,873_x001D_ * CM / 60 = ",TEXT($AB1053,"#,##0.0"))</f>
        <v xml:space="preserve">     경  비:  _x001D_16,873_x001D_ * CM / 60 = 7,070.2</v>
      </c>
      <c r="B1053" s="37">
        <f>SUM($C1053,$D1053,$E1053)</f>
        <v>7070.2</v>
      </c>
      <c r="C1053" s="37"/>
      <c r="D1053" s="37"/>
      <c r="E1053" s="37">
        <f>$AB1053</f>
        <v>7070.2</v>
      </c>
      <c r="F1053" s="45" t="s">
        <v>6232</v>
      </c>
      <c r="K1053" s="3" t="s">
        <v>5622</v>
      </c>
      <c r="AA1053" s="40" t="s">
        <v>3519</v>
      </c>
      <c r="AB1053" s="8">
        <f>TRUNC(중기사용료목록!G7*$AD1027/60,1)</f>
        <v>7070.2</v>
      </c>
      <c r="AC1053" s="40" t="s">
        <v>4149</v>
      </c>
      <c r="AD1053" s="7">
        <f>$AD1045+$AB1053</f>
        <v>15371</v>
      </c>
    </row>
    <row r="1054" spans="1:38" ht="18.399999999999999" customHeight="1">
      <c r="A1054" s="41" t="s">
        <v>6232</v>
      </c>
      <c r="B1054" s="37"/>
      <c r="C1054" s="37"/>
      <c r="D1054" s="37"/>
      <c r="E1054" s="37"/>
      <c r="F1054" s="45"/>
      <c r="K1054" s="3" t="s">
        <v>6232</v>
      </c>
    </row>
    <row r="1055" spans="1:38" ht="18.399999999999999" customHeight="1">
      <c r="A1055" s="41" t="s">
        <v>4035</v>
      </c>
      <c r="B1055" s="37">
        <v>20117.5</v>
      </c>
      <c r="C1055" s="37">
        <v>1070.2</v>
      </c>
      <c r="D1055" s="37">
        <v>14829.1</v>
      </c>
      <c r="E1055" s="37">
        <v>4218.2</v>
      </c>
      <c r="F1055" s="45"/>
      <c r="K1055" s="3" t="s">
        <v>6070</v>
      </c>
    </row>
    <row r="1056" spans="1:38" ht="18.399999999999999" customHeight="1">
      <c r="A1056" s="41" t="s">
        <v>6232</v>
      </c>
      <c r="B1056" s="37">
        <f>SUM($C1056,$D1056,$E1056)</f>
        <v>0</v>
      </c>
      <c r="C1056" s="37">
        <f>$AB1056</f>
        <v>0</v>
      </c>
      <c r="D1056" s="37">
        <f>$AF1056</f>
        <v>0</v>
      </c>
      <c r="E1056" s="37">
        <f>$AJ1056</f>
        <v>0</v>
      </c>
      <c r="F1056" s="45"/>
      <c r="K1056" s="3" t="s">
        <v>5506</v>
      </c>
      <c r="AA1056" s="40" t="s">
        <v>4586</v>
      </c>
      <c r="AB1056" s="8">
        <f>ROUND(0,2)</f>
        <v>0</v>
      </c>
      <c r="AC1056" s="40" t="s">
        <v>4161</v>
      </c>
      <c r="AD1056" s="7">
        <f>$AB1056</f>
        <v>0</v>
      </c>
      <c r="AE1056" s="40" t="s">
        <v>222</v>
      </c>
      <c r="AF1056" s="8">
        <f>ROUND(0,2)</f>
        <v>0</v>
      </c>
      <c r="AG1056" s="40" t="s">
        <v>334</v>
      </c>
      <c r="AH1056" s="7">
        <f>$AF1056</f>
        <v>0</v>
      </c>
      <c r="AI1056" s="40" t="s">
        <v>1574</v>
      </c>
      <c r="AJ1056" s="8">
        <f>ROUND(0,2)</f>
        <v>0</v>
      </c>
      <c r="AK1056" s="40" t="s">
        <v>1622</v>
      </c>
      <c r="AL1056" s="7">
        <f>$AJ1056</f>
        <v>0</v>
      </c>
    </row>
    <row r="1057" spans="1:38" ht="18.399999999999999" customHeight="1">
      <c r="A1057" s="41" t="s">
        <v>2674</v>
      </c>
      <c r="B1057" s="37">
        <f>SUM($C1057,$D1057,$E1057)</f>
        <v>1866.4</v>
      </c>
      <c r="C1057" s="37">
        <f>$AB1057</f>
        <v>0</v>
      </c>
      <c r="D1057" s="37">
        <f>$AF1057</f>
        <v>585.5</v>
      </c>
      <c r="E1057" s="37">
        <f>$AJ1057</f>
        <v>1280.9000000000001</v>
      </c>
      <c r="F1057" s="45"/>
      <c r="K1057" s="3" t="s">
        <v>4286</v>
      </c>
      <c r="AA1057" s="40" t="s">
        <v>4586</v>
      </c>
      <c r="AB1057" s="8">
        <f>TRUNC($AD1049/12,1)</f>
        <v>0</v>
      </c>
      <c r="AC1057" s="40" t="s">
        <v>4161</v>
      </c>
      <c r="AD1057" s="7">
        <f>$AB1057</f>
        <v>0</v>
      </c>
      <c r="AE1057" s="40" t="s">
        <v>222</v>
      </c>
      <c r="AF1057" s="8">
        <f>TRUNC($AD1051/12,1)</f>
        <v>585.5</v>
      </c>
      <c r="AG1057" s="40" t="s">
        <v>334</v>
      </c>
      <c r="AH1057" s="7">
        <f>$AF1057</f>
        <v>585.5</v>
      </c>
      <c r="AI1057" s="40" t="s">
        <v>1574</v>
      </c>
      <c r="AJ1057" s="8">
        <f>TRUNC($AD1053/12,1)</f>
        <v>1280.9000000000001</v>
      </c>
      <c r="AK1057" s="40" t="s">
        <v>1622</v>
      </c>
      <c r="AL1057" s="7">
        <f>$AJ1057</f>
        <v>1280.9000000000001</v>
      </c>
    </row>
    <row r="1058" spans="1:38" ht="18.399999999999999" customHeight="1">
      <c r="A1058" s="41" t="s">
        <v>6232</v>
      </c>
      <c r="B1058" s="37"/>
      <c r="C1058" s="37"/>
      <c r="D1058" s="37"/>
      <c r="E1058" s="37"/>
      <c r="F1058" s="45"/>
      <c r="K1058" s="3" t="s">
        <v>6232</v>
      </c>
    </row>
    <row r="1059" spans="1:38" ht="18.399999999999999" customHeight="1">
      <c r="A1059" s="41" t="s">
        <v>3436</v>
      </c>
      <c r="B1059" s="37">
        <v>1676.3</v>
      </c>
      <c r="C1059" s="37">
        <v>89.1</v>
      </c>
      <c r="D1059" s="37">
        <v>1235.7</v>
      </c>
      <c r="E1059" s="37">
        <v>351.5</v>
      </c>
      <c r="F1059" s="45"/>
      <c r="K1059" s="3" t="s">
        <v>1342</v>
      </c>
    </row>
    <row r="1060" spans="1:38" ht="18.399999999999999" customHeight="1">
      <c r="A1060" s="41" t="s">
        <v>6232</v>
      </c>
      <c r="B1060" s="37">
        <f>SUM($C1060,$D1060,$E1060)</f>
        <v>0</v>
      </c>
      <c r="C1060" s="37">
        <f>$AB1060</f>
        <v>0</v>
      </c>
      <c r="D1060" s="37">
        <f>$AF1060</f>
        <v>0</v>
      </c>
      <c r="E1060" s="37">
        <f>$AJ1060</f>
        <v>0</v>
      </c>
      <c r="F1060" s="45"/>
      <c r="K1060" s="3" t="s">
        <v>3238</v>
      </c>
      <c r="AA1060" s="40" t="s">
        <v>308</v>
      </c>
      <c r="AB1060" s="8">
        <f>ROUND(0,2)</f>
        <v>0</v>
      </c>
      <c r="AC1060" s="40" t="s">
        <v>5000</v>
      </c>
      <c r="AD1060" s="7">
        <f>$AB1060</f>
        <v>0</v>
      </c>
      <c r="AE1060" s="40" t="s">
        <v>4500</v>
      </c>
      <c r="AF1060" s="8">
        <f>ROUND(0,2)</f>
        <v>0</v>
      </c>
      <c r="AG1060" s="40" t="s">
        <v>2603</v>
      </c>
      <c r="AH1060" s="7">
        <f>$AF1060</f>
        <v>0</v>
      </c>
      <c r="AI1060" s="40" t="s">
        <v>5878</v>
      </c>
      <c r="AJ1060" s="8">
        <f>ROUND(0,2)</f>
        <v>0</v>
      </c>
      <c r="AK1060" s="40" t="s">
        <v>787</v>
      </c>
      <c r="AL1060" s="7">
        <f>$AJ1060</f>
        <v>0</v>
      </c>
    </row>
    <row r="1061" spans="1:38" ht="18.399999999999999" customHeight="1">
      <c r="A1061" s="41" t="s">
        <v>4614</v>
      </c>
      <c r="B1061" s="37">
        <f>SUM($C1061,$D1061,$E1061)</f>
        <v>2047.3</v>
      </c>
      <c r="C1061" s="37">
        <f>$AB1061</f>
        <v>0</v>
      </c>
      <c r="D1061" s="37">
        <f>$AF1061</f>
        <v>642.20000000000005</v>
      </c>
      <c r="E1061" s="37">
        <f>$AJ1061</f>
        <v>1405.1</v>
      </c>
      <c r="F1061" s="45"/>
      <c r="K1061" s="3" t="s">
        <v>2347</v>
      </c>
      <c r="AA1061" s="40" t="s">
        <v>308</v>
      </c>
      <c r="AB1061" s="8">
        <f>TRUNC($AD1057*1.097,1)</f>
        <v>0</v>
      </c>
      <c r="AC1061" s="40" t="s">
        <v>5000</v>
      </c>
      <c r="AD1061" s="7">
        <f>$AB1061</f>
        <v>0</v>
      </c>
      <c r="AE1061" s="40" t="s">
        <v>4500</v>
      </c>
      <c r="AF1061" s="8">
        <f>TRUNC($AH1057*1.097,1)</f>
        <v>642.20000000000005</v>
      </c>
      <c r="AG1061" s="40" t="s">
        <v>2603</v>
      </c>
      <c r="AH1061" s="7">
        <f>$AF1061</f>
        <v>642.20000000000005</v>
      </c>
      <c r="AI1061" s="40" t="s">
        <v>5878</v>
      </c>
      <c r="AJ1061" s="8">
        <f>TRUNC($AL1057*1.097,1)</f>
        <v>1405.1</v>
      </c>
      <c r="AK1061" s="40" t="s">
        <v>787</v>
      </c>
      <c r="AL1061" s="7">
        <f>$AJ1061</f>
        <v>1405.1</v>
      </c>
    </row>
    <row r="1062" spans="1:38" ht="18.399999999999999" customHeight="1">
      <c r="A1062" s="41" t="s">
        <v>6232</v>
      </c>
      <c r="B1062" s="37"/>
      <c r="C1062" s="37"/>
      <c r="D1062" s="37"/>
      <c r="E1062" s="37"/>
      <c r="F1062" s="45"/>
      <c r="K1062" s="3" t="s">
        <v>6232</v>
      </c>
    </row>
    <row r="1063" spans="1:38" ht="18.399999999999999" customHeight="1">
      <c r="A1063" s="41" t="s">
        <v>3436</v>
      </c>
      <c r="B1063" s="37">
        <f>SUM($C1063,$D1063,$E1063)</f>
        <v>2047.3</v>
      </c>
      <c r="C1063" s="37">
        <f>$AB1063</f>
        <v>0</v>
      </c>
      <c r="D1063" s="37">
        <f>$AF1063</f>
        <v>642.20000000000005</v>
      </c>
      <c r="E1063" s="37">
        <f>$AJ1063</f>
        <v>1405.1</v>
      </c>
      <c r="F1063" s="45"/>
      <c r="K1063" s="3" t="s">
        <v>4527</v>
      </c>
      <c r="AA1063" s="40" t="s">
        <v>4592</v>
      </c>
      <c r="AB1063" s="8">
        <f>TRUNC($AD1061,1)</f>
        <v>0</v>
      </c>
      <c r="AC1063" s="40" t="s">
        <v>5149</v>
      </c>
      <c r="AD1063" s="7">
        <f>$AB1063</f>
        <v>0</v>
      </c>
      <c r="AE1063" s="40" t="s">
        <v>666</v>
      </c>
      <c r="AF1063" s="8">
        <f>TRUNC($AH1061,1)</f>
        <v>642.20000000000005</v>
      </c>
      <c r="AG1063" s="40" t="s">
        <v>2431</v>
      </c>
      <c r="AH1063" s="7">
        <f>$AF1063</f>
        <v>642.20000000000005</v>
      </c>
      <c r="AI1063" s="40" t="s">
        <v>1930</v>
      </c>
      <c r="AJ1063" s="8">
        <f>TRUNC($AL1061,1)</f>
        <v>1405.1</v>
      </c>
      <c r="AK1063" s="40" t="s">
        <v>3349</v>
      </c>
      <c r="AL1063" s="7">
        <f>$AJ1063</f>
        <v>1405.1</v>
      </c>
    </row>
    <row r="1064" spans="1:38" ht="18.399999999999999" customHeight="1">
      <c r="A1064" s="41"/>
      <c r="B1064" s="3"/>
      <c r="C1064" s="3"/>
      <c r="D1064" s="3"/>
      <c r="E1064" s="3"/>
      <c r="F1064" s="44"/>
    </row>
    <row r="1065" spans="1:38" ht="18.399999999999999" customHeight="1">
      <c r="A1065" s="43" t="s">
        <v>3543</v>
      </c>
      <c r="B1065" s="38">
        <f>SUM($C1065,$D1065,$E1065)</f>
        <v>2047</v>
      </c>
      <c r="C1065" s="38">
        <f>TRUNC(SUM($AD1063),0)</f>
        <v>0</v>
      </c>
      <c r="D1065" s="38">
        <f>TRUNC(SUM($AH1063),0)</f>
        <v>642</v>
      </c>
      <c r="E1065" s="38">
        <f>TRUNC(SUM($AL1063),0)</f>
        <v>1405</v>
      </c>
      <c r="F1065" s="46"/>
    </row>
    <row r="1066" spans="1:38" ht="18.399999999999999" customHeight="1">
      <c r="A1066" s="41"/>
      <c r="B1066" s="3"/>
      <c r="C1066" s="3"/>
      <c r="D1066" s="3"/>
      <c r="E1066" s="3"/>
      <c r="F1066" s="44"/>
    </row>
    <row r="1067" spans="1:38" ht="18.399999999999999" customHeight="1">
      <c r="A1067" s="41" t="s">
        <v>5286</v>
      </c>
      <c r="B1067" s="36" t="e">
        <f>$B1141</f>
        <v>#REF!</v>
      </c>
      <c r="C1067" s="36" t="e">
        <f>$C1141</f>
        <v>#REF!</v>
      </c>
      <c r="D1067" s="36" t="e">
        <f>$D1141</f>
        <v>#REF!</v>
      </c>
      <c r="E1067" s="36" t="e">
        <f>$E1141</f>
        <v>#REF!</v>
      </c>
      <c r="F1067" s="44" t="s">
        <v>3378</v>
      </c>
      <c r="G1067" t="s">
        <v>6232</v>
      </c>
      <c r="H1067" t="s">
        <v>2361</v>
      </c>
      <c r="K1067">
        <v>1</v>
      </c>
      <c r="Y1067" s="7" t="e">
        <f>EXACT($Z1067,$B1141)</f>
        <v>#REF!</v>
      </c>
      <c r="Z1067" s="38">
        <v>2411</v>
      </c>
    </row>
    <row r="1068" spans="1:38" ht="18.399999999999999" customHeight="1">
      <c r="A1068" s="41"/>
      <c r="B1068" s="3"/>
      <c r="C1068" s="3"/>
      <c r="D1068" s="3"/>
      <c r="E1068" s="3"/>
      <c r="F1068" s="44"/>
    </row>
    <row r="1069" spans="1:38" ht="18.399999999999999" customHeight="1">
      <c r="A1069" s="41" t="s">
        <v>6232</v>
      </c>
      <c r="B1069" s="3"/>
      <c r="C1069" s="3"/>
      <c r="D1069" s="3"/>
      <c r="E1069" s="3"/>
      <c r="F1069" s="44"/>
      <c r="G1069" t="s">
        <v>6232</v>
      </c>
      <c r="I1069" t="s">
        <v>742</v>
      </c>
      <c r="J1069" t="s">
        <v>6232</v>
      </c>
      <c r="K1069" t="s">
        <v>5235</v>
      </c>
    </row>
    <row r="1070" spans="1:38" ht="18.399999999999999" customHeight="1">
      <c r="A1070" s="41" t="s">
        <v>2766</v>
      </c>
      <c r="B1070" s="37"/>
      <c r="C1070" s="37"/>
      <c r="D1070" s="37"/>
      <c r="E1070" s="37"/>
      <c r="F1070" s="45"/>
      <c r="K1070" s="3" t="s">
        <v>5817</v>
      </c>
    </row>
    <row r="1071" spans="1:38" ht="18.399999999999999" customHeight="1">
      <c r="A1071" s="41" t="s">
        <v>6232</v>
      </c>
      <c r="B1071" s="37"/>
      <c r="C1071" s="37"/>
      <c r="D1071" s="37"/>
      <c r="E1071" s="37"/>
      <c r="F1071" s="45"/>
      <c r="K1071" s="3" t="s">
        <v>6232</v>
      </c>
    </row>
    <row r="1072" spans="1:38" ht="18.399999999999999" customHeight="1">
      <c r="A1072" s="42" t="str">
        <f>CONCATENATE("                L=",TEXT($AB1072,"#,##0.0"),"   KM  실시공후 정산")</f>
        <v xml:space="preserve">                L=4.0   KM  실시공후 정산</v>
      </c>
      <c r="B1072" s="37"/>
      <c r="C1072" s="37"/>
      <c r="D1072" s="37"/>
      <c r="E1072" s="37"/>
      <c r="F1072" s="45"/>
      <c r="K1072" s="10" t="str">
        <f>SUBSTITUTE(SUBSTITUTE("                L = 4.0  _x001D_KM_x001D__x001D_실시공후 정산_x001D_","4.0",TEXT($AB1072,"#,##0.0"),1),"_x001D_","'")</f>
        <v xml:space="preserve">                L = 4.0  'KM''실시공후 정산'</v>
      </c>
      <c r="AA1072" s="39" t="s">
        <v>5842</v>
      </c>
      <c r="AB1072" s="6">
        <v>4</v>
      </c>
      <c r="AC1072" s="39" t="s">
        <v>5842</v>
      </c>
      <c r="AD1072" s="7">
        <f>$AB1072</f>
        <v>4</v>
      </c>
    </row>
    <row r="1073" spans="1:38" ht="18.399999999999999" customHeight="1">
      <c r="A1073" s="41" t="s">
        <v>6214</v>
      </c>
      <c r="B1073" s="37"/>
      <c r="C1073" s="37"/>
      <c r="D1073" s="37"/>
      <c r="E1073" s="37"/>
      <c r="F1073" s="45"/>
      <c r="K1073" s="3" t="s">
        <v>3965</v>
      </c>
    </row>
    <row r="1074" spans="1:38" ht="18.399999999999999" customHeight="1">
      <c r="A1074" s="42" t="str">
        <f>CONCATENATE("                V=",TEXT($AB1074,"#,##0.0"),"  KM/hr")</f>
        <v xml:space="preserve">                V=30.0  KM/hr</v>
      </c>
      <c r="B1074" s="37"/>
      <c r="C1074" s="37"/>
      <c r="D1074" s="37"/>
      <c r="E1074" s="37"/>
      <c r="F1074" s="45"/>
      <c r="K1074" s="10" t="str">
        <f>SUBSTITUTE(SUBSTITUTE("                V = 30.0 _x001D_KM/hr_x001D_","30.0",TEXT($AB1074,"#,##0.0"),1),"_x001D_","'")</f>
        <v xml:space="preserve">                V = 30.0 'KM/hr'</v>
      </c>
      <c r="AA1074" s="39" t="s">
        <v>247</v>
      </c>
      <c r="AB1074" s="6">
        <v>30</v>
      </c>
      <c r="AC1074" s="39" t="s">
        <v>247</v>
      </c>
      <c r="AD1074" s="7">
        <f>$AB1074</f>
        <v>30</v>
      </c>
    </row>
    <row r="1075" spans="1:38" ht="18.399999999999999" customHeight="1">
      <c r="A1075" s="41" t="s">
        <v>6232</v>
      </c>
      <c r="B1075" s="37">
        <f>SUM($C1075,$D1075,$E1075)</f>
        <v>0</v>
      </c>
      <c r="C1075" s="37">
        <f>$AB1075</f>
        <v>0</v>
      </c>
      <c r="D1075" s="37">
        <f>$AF1075</f>
        <v>0</v>
      </c>
      <c r="E1075" s="37">
        <f>$AJ1075</f>
        <v>0</v>
      </c>
      <c r="F1075" s="45"/>
      <c r="K1075" s="3" t="s">
        <v>295</v>
      </c>
      <c r="AA1075" s="40" t="s">
        <v>2660</v>
      </c>
      <c r="AB1075" s="8">
        <f>ROUND(0,2)</f>
        <v>0</v>
      </c>
      <c r="AC1075" s="40" t="s">
        <v>1650</v>
      </c>
      <c r="AD1075" s="7">
        <f>$AB1075</f>
        <v>0</v>
      </c>
      <c r="AE1075" s="40" t="s">
        <v>5305</v>
      </c>
      <c r="AF1075" s="8">
        <f>ROUND(0,2)</f>
        <v>0</v>
      </c>
      <c r="AG1075" s="40" t="s">
        <v>5439</v>
      </c>
      <c r="AH1075" s="7">
        <f>$AF1075</f>
        <v>0</v>
      </c>
      <c r="AI1075" s="40" t="s">
        <v>3519</v>
      </c>
      <c r="AJ1075" s="8">
        <f>ROUND(0,2)</f>
        <v>0</v>
      </c>
      <c r="AK1075" s="40" t="s">
        <v>4149</v>
      </c>
      <c r="AL1075" s="7">
        <f>$AJ1075</f>
        <v>0</v>
      </c>
    </row>
    <row r="1076" spans="1:38" ht="18.399999999999999" customHeight="1">
      <c r="A1076" s="41" t="s">
        <v>5524</v>
      </c>
      <c r="B1076" s="37"/>
      <c r="C1076" s="37"/>
      <c r="D1076" s="37"/>
      <c r="E1076" s="37"/>
      <c r="F1076" s="45"/>
      <c r="K1076" s="3" t="s">
        <v>3427</v>
      </c>
    </row>
    <row r="1077" spans="1:38" ht="18.399999999999999" customHeight="1">
      <c r="A1077" s="41" t="s">
        <v>6232</v>
      </c>
      <c r="B1077" s="37"/>
      <c r="C1077" s="37"/>
      <c r="D1077" s="37"/>
      <c r="E1077" s="37"/>
      <c r="F1077" s="45"/>
      <c r="K1077" s="3" t="s">
        <v>6232</v>
      </c>
    </row>
    <row r="1078" spans="1:38" ht="18.399999999999999" customHeight="1">
      <c r="A1078" s="41" t="s">
        <v>2653</v>
      </c>
      <c r="B1078" s="37"/>
      <c r="C1078" s="37"/>
      <c r="D1078" s="37"/>
      <c r="E1078" s="37"/>
      <c r="F1078" s="45"/>
      <c r="K1078" s="3" t="s">
        <v>2793</v>
      </c>
    </row>
    <row r="1079" spans="1:38" ht="18.399999999999999" customHeight="1">
      <c r="A1079" s="41" t="s">
        <v>52</v>
      </c>
      <c r="B1079" s="37"/>
      <c r="C1079" s="37"/>
      <c r="D1079" s="37"/>
      <c r="E1079" s="37"/>
      <c r="F1079" s="45"/>
      <c r="K1079" s="3" t="s">
        <v>3020</v>
      </c>
    </row>
    <row r="1080" spans="1:38" ht="18.399999999999999" customHeight="1">
      <c r="A1080" s="41" t="s">
        <v>6232</v>
      </c>
      <c r="B1080" s="37"/>
      <c r="C1080" s="37"/>
      <c r="D1080" s="37"/>
      <c r="E1080" s="37"/>
      <c r="F1080" s="45"/>
      <c r="K1080" s="3" t="s">
        <v>6232</v>
      </c>
    </row>
    <row r="1081" spans="1:38" ht="18.399999999999999" customHeight="1">
      <c r="A1081" s="41" t="s">
        <v>3700</v>
      </c>
      <c r="B1081" s="37"/>
      <c r="C1081" s="37"/>
      <c r="D1081" s="37"/>
      <c r="E1081" s="37"/>
      <c r="F1081" s="45"/>
      <c r="K1081" s="3" t="s">
        <v>2773</v>
      </c>
    </row>
    <row r="1082" spans="1:38" ht="18.399999999999999" customHeight="1">
      <c r="A1082" s="41" t="s">
        <v>679</v>
      </c>
      <c r="B1082" s="37"/>
      <c r="C1082" s="37"/>
      <c r="D1082" s="37"/>
      <c r="E1082" s="37"/>
      <c r="F1082" s="45"/>
      <c r="K1082" s="3" t="s">
        <v>1995</v>
      </c>
    </row>
    <row r="1083" spans="1:38" ht="18.399999999999999" customHeight="1">
      <c r="A1083" s="41" t="s">
        <v>5867</v>
      </c>
      <c r="B1083" s="37"/>
      <c r="C1083" s="37"/>
      <c r="D1083" s="37"/>
      <c r="E1083" s="37"/>
      <c r="F1083" s="45"/>
      <c r="K1083" s="3" t="s">
        <v>2096</v>
      </c>
    </row>
    <row r="1084" spans="1:38" ht="18.399999999999999" customHeight="1">
      <c r="A1084" s="41" t="s">
        <v>6232</v>
      </c>
      <c r="B1084" s="37"/>
      <c r="C1084" s="37"/>
      <c r="D1084" s="37"/>
      <c r="E1084" s="37"/>
      <c r="F1084" s="45"/>
      <c r="K1084" s="3" t="s">
        <v>6232</v>
      </c>
    </row>
    <row r="1085" spans="1:38" ht="18.399999999999999" customHeight="1">
      <c r="A1085" s="41" t="s">
        <v>2300</v>
      </c>
      <c r="B1085" s="37"/>
      <c r="C1085" s="37"/>
      <c r="D1085" s="37"/>
      <c r="E1085" s="37"/>
      <c r="F1085" s="45"/>
      <c r="K1085" s="3" t="s">
        <v>1087</v>
      </c>
    </row>
    <row r="1086" spans="1:38" ht="18.399999999999999" customHeight="1">
      <c r="A1086" s="41" t="s">
        <v>6232</v>
      </c>
      <c r="B1086" s="37"/>
      <c r="C1086" s="37"/>
      <c r="D1086" s="37"/>
      <c r="E1086" s="37"/>
      <c r="F1086" s="45"/>
      <c r="K1086" s="3" t="s">
        <v>6232</v>
      </c>
    </row>
    <row r="1087" spans="1:38" ht="18.399999999999999" customHeight="1">
      <c r="A1087" s="41" t="s">
        <v>6134</v>
      </c>
      <c r="B1087" s="37"/>
      <c r="C1087" s="37"/>
      <c r="D1087" s="37"/>
      <c r="E1087" s="37"/>
      <c r="F1087" s="45"/>
      <c r="K1087" s="3" t="s">
        <v>4089</v>
      </c>
    </row>
    <row r="1088" spans="1:38" ht="18.399999999999999" customHeight="1">
      <c r="A1088" s="41" t="s">
        <v>6232</v>
      </c>
      <c r="B1088" s="37"/>
      <c r="C1088" s="37"/>
      <c r="D1088" s="37"/>
      <c r="E1088" s="37"/>
      <c r="F1088" s="45"/>
      <c r="K1088" s="3" t="s">
        <v>6232</v>
      </c>
    </row>
    <row r="1089" spans="1:34" ht="18.399999999999999" customHeight="1">
      <c r="A1089" s="41" t="s">
        <v>1517</v>
      </c>
      <c r="B1089" s="37"/>
      <c r="C1089" s="37"/>
      <c r="D1089" s="37"/>
      <c r="E1089" s="37"/>
      <c r="F1089" s="45"/>
      <c r="K1089" s="3" t="s">
        <v>2275</v>
      </c>
    </row>
    <row r="1090" spans="1:34" ht="18.399999999999999" customHeight="1">
      <c r="A1090" s="41" t="s">
        <v>6232</v>
      </c>
      <c r="B1090" s="37"/>
      <c r="C1090" s="37"/>
      <c r="D1090" s="37"/>
      <c r="E1090" s="37"/>
      <c r="F1090" s="45"/>
      <c r="K1090" s="3" t="s">
        <v>6232</v>
      </c>
    </row>
    <row r="1091" spans="1:34" ht="18.399999999999999" customHeight="1">
      <c r="A1091" s="41" t="s">
        <v>257</v>
      </c>
      <c r="B1091" s="37"/>
      <c r="C1091" s="37"/>
      <c r="D1091" s="37"/>
      <c r="E1091" s="37"/>
      <c r="F1091" s="45"/>
      <c r="K1091" s="3" t="s">
        <v>1264</v>
      </c>
    </row>
    <row r="1092" spans="1:34" ht="18.399999999999999" customHeight="1">
      <c r="A1092" s="41" t="s">
        <v>6232</v>
      </c>
      <c r="B1092" s="37"/>
      <c r="C1092" s="37"/>
      <c r="D1092" s="37"/>
      <c r="E1092" s="37"/>
      <c r="F1092" s="45"/>
      <c r="K1092" s="3" t="s">
        <v>6232</v>
      </c>
    </row>
    <row r="1093" spans="1:34" ht="18.399999999999999" customHeight="1">
      <c r="A1093" s="42" t="str">
        <f>CONCATENATE("   - 1차당 적재량(본)         Q=",TEXT($AB1093,"#,##0.00"),"  본")</f>
        <v xml:space="preserve">   - 1차당 적재량(본)         Q=56.00  본</v>
      </c>
      <c r="B1093" s="37"/>
      <c r="C1093" s="37"/>
      <c r="D1093" s="37"/>
      <c r="E1093" s="37"/>
      <c r="F1093" s="45"/>
      <c r="K1093" s="10" t="str">
        <f>SUBSTITUTE(SUBSTITUTE("  _x001D_- 1차당 적재량(본)_x001D_        Q  =  56 _x001D_본_x001D_","56",TEXT($AB1093,"#,##0"),1),"_x001D_","'")</f>
        <v xml:space="preserve">  '- 1차당 적재량(본)'        Q  =  56 '본'</v>
      </c>
      <c r="AA1093" s="39" t="s">
        <v>4337</v>
      </c>
      <c r="AB1093" s="6">
        <v>56</v>
      </c>
      <c r="AC1093" s="39" t="s">
        <v>4337</v>
      </c>
      <c r="AD1093" s="7">
        <f>$AB1093</f>
        <v>56</v>
      </c>
    </row>
    <row r="1094" spans="1:34" ht="18.399999999999999" customHeight="1">
      <c r="A1094" s="41" t="s">
        <v>6232</v>
      </c>
      <c r="B1094" s="37"/>
      <c r="C1094" s="37"/>
      <c r="D1094" s="37"/>
      <c r="E1094" s="37"/>
      <c r="F1094" s="45"/>
      <c r="K1094" s="3" t="s">
        <v>6232</v>
      </c>
    </row>
    <row r="1095" spans="1:34" ht="18.399999999999999" customHeight="1">
      <c r="A1095" s="42" t="str">
        <f>CONCATENATE("   - 운반차량 대기시간(12M당)    T1=",TEXT($AB1095,"#,##0.0"),"  분")</f>
        <v xml:space="preserve">   - 운반차량 대기시간(12M당)    T1=4.8  분</v>
      </c>
      <c r="B1095" s="37"/>
      <c r="C1095" s="37"/>
      <c r="D1095" s="37"/>
      <c r="E1095" s="37"/>
      <c r="F1095" s="45"/>
      <c r="K1095" s="10" t="str">
        <f>SUBSTITUTE(SUBSTITUTE("  _x001D_- 운반차량 대기시간(12M당)_x001D_   T1 = 4.8 _x001D_분_x001D_","4.8",TEXT($AB1095,"#,##0.0"),1),"_x001D_","'")</f>
        <v xml:space="preserve">  '- 운반차량 대기시간(12M당)'   T1 = 4.8 '분'</v>
      </c>
      <c r="AA1095" s="39" t="s">
        <v>4528</v>
      </c>
      <c r="AB1095" s="6">
        <v>4.8</v>
      </c>
      <c r="AC1095" s="39" t="s">
        <v>4528</v>
      </c>
      <c r="AD1095" s="7">
        <f>$AB1095</f>
        <v>4.8</v>
      </c>
    </row>
    <row r="1096" spans="1:34" ht="18.399999999999999" customHeight="1">
      <c r="A1096" s="41" t="s">
        <v>6232</v>
      </c>
      <c r="B1096" s="37"/>
      <c r="C1096" s="37"/>
      <c r="D1096" s="37"/>
      <c r="E1096" s="37"/>
      <c r="F1096" s="45"/>
      <c r="K1096" s="3" t="s">
        <v>6232</v>
      </c>
    </row>
    <row r="1097" spans="1:34" ht="18.399999999999999" customHeight="1">
      <c r="A1097" s="41" t="s">
        <v>4838</v>
      </c>
      <c r="B1097" s="37"/>
      <c r="C1097" s="37"/>
      <c r="D1097" s="37"/>
      <c r="E1097" s="37"/>
      <c r="F1097" s="45"/>
      <c r="K1097" s="3" t="s">
        <v>6093</v>
      </c>
    </row>
    <row r="1098" spans="1:34" ht="18.399999999999999" customHeight="1">
      <c r="A1098" s="41" t="s">
        <v>6232</v>
      </c>
      <c r="B1098" s="37"/>
      <c r="C1098" s="37"/>
      <c r="D1098" s="37"/>
      <c r="E1098" s="37"/>
      <c r="F1098" s="45"/>
      <c r="K1098" s="3" t="s">
        <v>6232</v>
      </c>
    </row>
    <row r="1099" spans="1:34" ht="18.399999999999999" customHeight="1">
      <c r="A1099" s="42" t="str">
        <f>CONCATENATE("    T2 = (L / V * 2 * 60 + 20) / Q * 2 = ",TEXT($AF1099,"#,##0.00")," 분 ")</f>
        <v xml:space="preserve">    T2 = (L / V * 2 * 60 + 20) / Q * 2 = 1.29 분 </v>
      </c>
      <c r="B1099" s="37">
        <f>SUM($C1099,$D1099,$E1099)</f>
        <v>0</v>
      </c>
      <c r="C1099" s="37"/>
      <c r="D1099" s="37"/>
      <c r="E1099" s="37"/>
      <c r="F1099" s="45"/>
      <c r="K1099" s="3" t="s">
        <v>1389</v>
      </c>
      <c r="AA1099" s="39" t="s">
        <v>5897</v>
      </c>
      <c r="AB1099" s="8">
        <f>ROUND(($AD1072/$AD1074*2*60+20)/$AD1093*2,2)</f>
        <v>1.29</v>
      </c>
      <c r="AC1099" s="39" t="s">
        <v>2053</v>
      </c>
      <c r="AD1099" s="7">
        <f>$AB1099</f>
        <v>1.29</v>
      </c>
      <c r="AE1099" s="39" t="s">
        <v>4222</v>
      </c>
      <c r="AF1099" s="8">
        <f>ROUND(ROUND(($AD1072/$AD1074*2*60+20)/$AD1093*2,2),2)</f>
        <v>1.29</v>
      </c>
      <c r="AG1099" s="39" t="s">
        <v>1300</v>
      </c>
      <c r="AH1099" s="7">
        <f>$AF1099</f>
        <v>1.29</v>
      </c>
    </row>
    <row r="1100" spans="1:34" ht="18.399999999999999" customHeight="1">
      <c r="A1100" s="41" t="s">
        <v>6232</v>
      </c>
      <c r="B1100" s="37"/>
      <c r="C1100" s="37"/>
      <c r="D1100" s="37"/>
      <c r="E1100" s="37"/>
      <c r="F1100" s="45"/>
      <c r="K1100" s="3" t="s">
        <v>6232</v>
      </c>
    </row>
    <row r="1101" spans="1:34" ht="18.399999999999999" customHeight="1">
      <c r="A1101" s="41" t="s">
        <v>2391</v>
      </c>
      <c r="B1101" s="37"/>
      <c r="C1101" s="37"/>
      <c r="D1101" s="37"/>
      <c r="E1101" s="37"/>
      <c r="F1101" s="45"/>
      <c r="K1101" s="3" t="s">
        <v>4710</v>
      </c>
    </row>
    <row r="1102" spans="1:34" ht="18.399999999999999" customHeight="1">
      <c r="A1102" s="41" t="s">
        <v>6232</v>
      </c>
      <c r="B1102" s="37"/>
      <c r="C1102" s="37"/>
      <c r="D1102" s="37"/>
      <c r="E1102" s="37"/>
      <c r="F1102" s="45"/>
      <c r="K1102" s="3" t="s">
        <v>6232</v>
      </c>
    </row>
    <row r="1103" spans="1:34" ht="18.399999999999999" customHeight="1">
      <c r="A1103" s="42" t="str">
        <f>CONCATENATE("    CM = T1 + T2 = ",TEXT($AF1103,"#,##0.00")," 분 ")</f>
        <v xml:space="preserve">    CM = T1 + T2 = 6.09 분 </v>
      </c>
      <c r="B1103" s="37">
        <f>SUM($C1103,$D1103,$E1103)</f>
        <v>0</v>
      </c>
      <c r="C1103" s="37"/>
      <c r="D1103" s="37"/>
      <c r="E1103" s="37"/>
      <c r="F1103" s="45"/>
      <c r="K1103" s="3" t="s">
        <v>6049</v>
      </c>
      <c r="AA1103" s="39" t="s">
        <v>5026</v>
      </c>
      <c r="AB1103" s="8">
        <f>ROUND($AD1095+$AD1099,2)</f>
        <v>6.09</v>
      </c>
      <c r="AC1103" s="39" t="s">
        <v>289</v>
      </c>
      <c r="AD1103" s="7">
        <f>$AB1103</f>
        <v>6.09</v>
      </c>
      <c r="AE1103" s="39" t="s">
        <v>1384</v>
      </c>
      <c r="AF1103" s="8">
        <f>ROUND(ROUND($AD1095+$AD1099,2),2)</f>
        <v>6.09</v>
      </c>
      <c r="AG1103" s="39" t="s">
        <v>3760</v>
      </c>
      <c r="AH1103" s="7">
        <f>$AF1103</f>
        <v>6.09</v>
      </c>
    </row>
    <row r="1104" spans="1:34" ht="18.399999999999999" customHeight="1">
      <c r="A1104" s="41" t="s">
        <v>6232</v>
      </c>
      <c r="B1104" s="37"/>
      <c r="C1104" s="37"/>
      <c r="D1104" s="37"/>
      <c r="E1104" s="37"/>
      <c r="F1104" s="45"/>
      <c r="K1104" s="3" t="s">
        <v>6232</v>
      </c>
    </row>
    <row r="1105" spans="1:34" ht="18.399999999999999" customHeight="1">
      <c r="A1105" s="41" t="s">
        <v>5848</v>
      </c>
      <c r="B1105" s="37"/>
      <c r="C1105" s="37"/>
      <c r="D1105" s="37"/>
      <c r="E1105" s="37"/>
      <c r="F1105" s="45"/>
      <c r="K1105" s="3" t="s">
        <v>788</v>
      </c>
    </row>
    <row r="1106" spans="1:34" ht="18.399999999999999" customHeight="1">
      <c r="A1106" s="41" t="s">
        <v>6232</v>
      </c>
      <c r="B1106" s="37"/>
      <c r="C1106" s="37"/>
      <c r="D1106" s="37"/>
      <c r="E1106" s="37"/>
      <c r="F1106" s="45"/>
      <c r="K1106" s="3" t="s">
        <v>6232</v>
      </c>
    </row>
    <row r="1107" spans="1:34" ht="18.399999999999999" customHeight="1">
      <c r="A1107" s="42" t="str">
        <f>CONCATENATE("    Qo = T2 / CM = ",TEXT($AF1107,"#,##0.00")," 분 ")</f>
        <v xml:space="preserve">    Qo = T2 / CM = 0.21 분 </v>
      </c>
      <c r="B1107" s="37">
        <f>SUM($C1107,$D1107,$E1107)</f>
        <v>0</v>
      </c>
      <c r="C1107" s="37"/>
      <c r="D1107" s="37"/>
      <c r="E1107" s="37"/>
      <c r="F1107" s="45"/>
      <c r="K1107" s="3" t="s">
        <v>882</v>
      </c>
      <c r="AA1107" s="39" t="s">
        <v>1501</v>
      </c>
      <c r="AB1107" s="8">
        <f>ROUND($AD1099/$AD1103,2)</f>
        <v>0.21</v>
      </c>
      <c r="AC1107" s="39" t="s">
        <v>2425</v>
      </c>
      <c r="AD1107" s="7">
        <f>$AB1107</f>
        <v>0.21</v>
      </c>
      <c r="AE1107" s="39" t="s">
        <v>1278</v>
      </c>
      <c r="AF1107" s="8">
        <f>ROUND(ROUND($AD1099/$AD1103,2),2)</f>
        <v>0.21</v>
      </c>
      <c r="AG1107" s="39" t="s">
        <v>2340</v>
      </c>
      <c r="AH1107" s="7">
        <f>$AF1107</f>
        <v>0.21</v>
      </c>
    </row>
    <row r="1108" spans="1:34" ht="18.399999999999999" customHeight="1">
      <c r="A1108" s="41" t="s">
        <v>6232</v>
      </c>
      <c r="B1108" s="37"/>
      <c r="C1108" s="37"/>
      <c r="D1108" s="37"/>
      <c r="E1108" s="37"/>
      <c r="F1108" s="45"/>
      <c r="K1108" s="3" t="s">
        <v>6232</v>
      </c>
    </row>
    <row r="1109" spans="1:34" ht="18.399999999999999" customHeight="1">
      <c r="A1109" s="41" t="s">
        <v>1042</v>
      </c>
      <c r="B1109" s="37"/>
      <c r="C1109" s="37"/>
      <c r="D1109" s="37"/>
      <c r="E1109" s="37"/>
      <c r="F1109" s="45"/>
      <c r="K1109" s="3" t="s">
        <v>1008</v>
      </c>
    </row>
    <row r="1110" spans="1:34" ht="18.399999999999999" customHeight="1">
      <c r="A1110" s="41" t="s">
        <v>6232</v>
      </c>
      <c r="B1110" s="37"/>
      <c r="C1110" s="37"/>
      <c r="D1110" s="37"/>
      <c r="E1110" s="37"/>
      <c r="F1110" s="45"/>
      <c r="K1110" s="3" t="s">
        <v>6232</v>
      </c>
    </row>
    <row r="1111" spans="1:34" ht="18.399999999999999" customHeight="1">
      <c r="A1111" s="42" t="str">
        <f>CONCATENATE("      보통인부 :  2.0 인  * _x001D_169,804_x001D_ * (CM + 6 ) / 60 / 8 = ",TEXT($AB1111,"#,##0.0"))</f>
        <v xml:space="preserve">      보통인부 :  2.0 인  * _x001D_169,804_x001D_ * (CM + 6 ) / 60 / 8 = 8,667.9</v>
      </c>
      <c r="B1111" s="37">
        <f>SUM($C1111,$D1111,$E1111)</f>
        <v>8667.9</v>
      </c>
      <c r="C1111" s="37"/>
      <c r="D1111" s="37">
        <f>$AB1111</f>
        <v>8667.9</v>
      </c>
      <c r="E1111" s="37"/>
      <c r="F1111" s="45" t="s">
        <v>6232</v>
      </c>
      <c r="K1111" s="3" t="s">
        <v>3933</v>
      </c>
      <c r="AA1111" s="40" t="s">
        <v>5305</v>
      </c>
      <c r="AB1111" s="8">
        <f>TRUNC(2*노임!D3*($AD1103+6)/60/8,1)</f>
        <v>8667.9</v>
      </c>
      <c r="AC1111" s="40" t="s">
        <v>5439</v>
      </c>
      <c r="AD1111" s="7">
        <f>$AH1075+$AB1111</f>
        <v>8667.9</v>
      </c>
    </row>
    <row r="1112" spans="1:34" ht="18.399999999999999" customHeight="1">
      <c r="A1112" s="41" t="s">
        <v>6232</v>
      </c>
      <c r="B1112" s="37"/>
      <c r="C1112" s="37"/>
      <c r="D1112" s="37"/>
      <c r="E1112" s="37"/>
      <c r="F1112" s="45"/>
      <c r="K1112" s="3" t="s">
        <v>6232</v>
      </c>
    </row>
    <row r="1113" spans="1:34" ht="18.399999999999999" customHeight="1">
      <c r="A1113" s="41" t="s">
        <v>5801</v>
      </c>
      <c r="B1113" s="37"/>
      <c r="C1113" s="37"/>
      <c r="D1113" s="37"/>
      <c r="E1113" s="37"/>
      <c r="F1113" s="45"/>
      <c r="K1113" s="3" t="s">
        <v>775</v>
      </c>
    </row>
    <row r="1114" spans="1:34" ht="18.399999999999999" customHeight="1">
      <c r="A1114" s="41" t="s">
        <v>6232</v>
      </c>
      <c r="B1114" s="37"/>
      <c r="C1114" s="37"/>
      <c r="D1114" s="37"/>
      <c r="E1114" s="37"/>
      <c r="F1114" s="45"/>
      <c r="K1114" s="3" t="s">
        <v>6232</v>
      </c>
    </row>
    <row r="1115" spans="1:34" ht="18.399999999999999" customHeight="1">
      <c r="A1115" s="41" t="s">
        <v>3329</v>
      </c>
      <c r="B1115" s="37"/>
      <c r="C1115" s="37"/>
      <c r="D1115" s="37"/>
      <c r="E1115" s="37"/>
      <c r="F1115" s="45"/>
      <c r="K1115" s="3" t="s">
        <v>3091</v>
      </c>
    </row>
    <row r="1116" spans="1:34" ht="18.399999999999999" customHeight="1">
      <c r="A1116" s="41" t="s">
        <v>6232</v>
      </c>
      <c r="B1116" s="37"/>
      <c r="C1116" s="37"/>
      <c r="D1116" s="37"/>
      <c r="E1116" s="37"/>
      <c r="F1116" s="45"/>
      <c r="K1116" s="3" t="s">
        <v>6232</v>
      </c>
    </row>
    <row r="1117" spans="1:34" ht="18.399999999999999" customHeight="1">
      <c r="A1117" s="42" t="str">
        <f>CONCATENATE("     재료비:  _x001D_7,111_x001D_ * 7.2 / 60 = ",TEXT($AB1117,"#,##0.0"))</f>
        <v xml:space="preserve">     재료비:  _x001D_7,111_x001D_ * 7.2 / 60 = 0.0</v>
      </c>
      <c r="B1117" s="37">
        <f>SUM($C1117,$D1117,$E1117)</f>
        <v>0</v>
      </c>
      <c r="C1117" s="37">
        <f>$AB1117</f>
        <v>0</v>
      </c>
      <c r="D1117" s="37"/>
      <c r="E1117" s="37"/>
      <c r="F1117" s="45" t="s">
        <v>6232</v>
      </c>
      <c r="K1117" s="3" t="s">
        <v>4320</v>
      </c>
      <c r="AA1117" s="40" t="s">
        <v>2660</v>
      </c>
      <c r="AB1117" s="8">
        <f>TRUNC(중기사용료목록!E3*7.2/60,1)</f>
        <v>0</v>
      </c>
      <c r="AC1117" s="40" t="s">
        <v>1650</v>
      </c>
      <c r="AD1117" s="7">
        <f>$AD1075+$AB1117</f>
        <v>0</v>
      </c>
    </row>
    <row r="1118" spans="1:34" ht="18.399999999999999" customHeight="1">
      <c r="A1118" s="41" t="s">
        <v>6232</v>
      </c>
      <c r="B1118" s="37"/>
      <c r="C1118" s="37"/>
      <c r="D1118" s="37"/>
      <c r="E1118" s="37"/>
      <c r="F1118" s="45"/>
      <c r="K1118" s="3" t="s">
        <v>6232</v>
      </c>
    </row>
    <row r="1119" spans="1:34" ht="18.399999999999999" customHeight="1">
      <c r="A1119" s="42" t="str">
        <f>CONCATENATE("     노무비:  _x001D_57,077_x001D_ * 7.2 / 60 = ",TEXT($AB1119,"#,##0.0"))</f>
        <v xml:space="preserve">     노무비:  _x001D_57,077_x001D_ * 7.2 / 60 = 0.0</v>
      </c>
      <c r="B1119" s="37">
        <f>SUM($C1119,$D1119,$E1119)</f>
        <v>0</v>
      </c>
      <c r="C1119" s="37"/>
      <c r="D1119" s="37">
        <f>$AB1119</f>
        <v>0</v>
      </c>
      <c r="E1119" s="37"/>
      <c r="F1119" s="45" t="s">
        <v>6232</v>
      </c>
      <c r="K1119" s="3" t="s">
        <v>2197</v>
      </c>
      <c r="AA1119" s="40" t="s">
        <v>5305</v>
      </c>
      <c r="AB1119" s="8">
        <f>TRUNC(중기사용료목록!F3*7.2/60,1)</f>
        <v>0</v>
      </c>
      <c r="AC1119" s="40" t="s">
        <v>5439</v>
      </c>
      <c r="AD1119" s="7">
        <f>$AD1111+$AB1119</f>
        <v>8667.9</v>
      </c>
    </row>
    <row r="1120" spans="1:34" ht="18.399999999999999" customHeight="1">
      <c r="A1120" s="41" t="s">
        <v>6232</v>
      </c>
      <c r="B1120" s="37"/>
      <c r="C1120" s="37"/>
      <c r="D1120" s="37"/>
      <c r="E1120" s="37"/>
      <c r="F1120" s="45"/>
      <c r="K1120" s="3" t="s">
        <v>6232</v>
      </c>
    </row>
    <row r="1121" spans="1:38" ht="18.399999999999999" customHeight="1">
      <c r="A1121" s="42" t="str">
        <f>CONCATENATE("     경  비:  _x001D_30,793_x001D_ * 7.2 / 60 = ",TEXT($AB1121,"#,##0.0"))</f>
        <v xml:space="preserve">     경  비:  _x001D_30,793_x001D_ * 7.2 / 60 = 11,698.4</v>
      </c>
      <c r="B1121" s="37">
        <f>SUM($C1121,$D1121,$E1121)</f>
        <v>11698.4</v>
      </c>
      <c r="C1121" s="37"/>
      <c r="D1121" s="37"/>
      <c r="E1121" s="37">
        <f>$AB1121</f>
        <v>11698.4</v>
      </c>
      <c r="F1121" s="45" t="s">
        <v>6232</v>
      </c>
      <c r="K1121" s="3" t="s">
        <v>3793</v>
      </c>
      <c r="AA1121" s="40" t="s">
        <v>3519</v>
      </c>
      <c r="AB1121" s="8">
        <f>TRUNC(중기사용료목록!G3*7.2/60,1)</f>
        <v>11698.4</v>
      </c>
      <c r="AC1121" s="40" t="s">
        <v>4149</v>
      </c>
      <c r="AD1121" s="7">
        <f>$AL1075+$AB1121</f>
        <v>11698.4</v>
      </c>
    </row>
    <row r="1122" spans="1:38" ht="18.399999999999999" customHeight="1">
      <c r="A1122" s="41" t="s">
        <v>6232</v>
      </c>
      <c r="B1122" s="37"/>
      <c r="C1122" s="37"/>
      <c r="D1122" s="37"/>
      <c r="E1122" s="37"/>
      <c r="F1122" s="45"/>
      <c r="K1122" s="3" t="s">
        <v>6232</v>
      </c>
    </row>
    <row r="1123" spans="1:38" ht="18.399999999999999" customHeight="1">
      <c r="A1123" s="41" t="s">
        <v>457</v>
      </c>
      <c r="B1123" s="37"/>
      <c r="C1123" s="37"/>
      <c r="D1123" s="37"/>
      <c r="E1123" s="37"/>
      <c r="F1123" s="45"/>
      <c r="K1123" s="3" t="s">
        <v>5369</v>
      </c>
    </row>
    <row r="1124" spans="1:38" ht="18.399999999999999" customHeight="1">
      <c r="A1124" s="41" t="s">
        <v>6232</v>
      </c>
      <c r="B1124" s="37"/>
      <c r="C1124" s="37"/>
      <c r="D1124" s="37"/>
      <c r="E1124" s="37"/>
      <c r="F1124" s="45"/>
      <c r="K1124" s="3" t="s">
        <v>6232</v>
      </c>
    </row>
    <row r="1125" spans="1:38" ht="18.399999999999999" customHeight="1">
      <c r="A1125" s="42" t="e">
        <f>CONCATENATE("     재료비:  _x001D_17,279_x001D_ * CM / 60 * Qo = ",TEXT($AB1125,"#,##0.0"))</f>
        <v>#REF!</v>
      </c>
      <c r="B1125" s="37" t="e">
        <f>SUM($C1125,$D1125,$E1125)</f>
        <v>#REF!</v>
      </c>
      <c r="C1125" s="37" t="e">
        <f>$AB1125</f>
        <v>#REF!</v>
      </c>
      <c r="D1125" s="37"/>
      <c r="E1125" s="37"/>
      <c r="F1125" s="45" t="s">
        <v>6232</v>
      </c>
      <c r="K1125" s="3" t="s">
        <v>5888</v>
      </c>
      <c r="AA1125" s="40" t="s">
        <v>2660</v>
      </c>
      <c r="AB1125" s="8" t="e">
        <f>TRUNC(중기사용료목록!#REF!*$AD1103/60*$AD1107,1)</f>
        <v>#REF!</v>
      </c>
      <c r="AC1125" s="40" t="s">
        <v>1650</v>
      </c>
      <c r="AD1125" s="7" t="e">
        <f>$AD1117+$AB1125</f>
        <v>#REF!</v>
      </c>
    </row>
    <row r="1126" spans="1:38" ht="18.399999999999999" customHeight="1">
      <c r="A1126" s="41" t="s">
        <v>6232</v>
      </c>
      <c r="B1126" s="37"/>
      <c r="C1126" s="37"/>
      <c r="D1126" s="37"/>
      <c r="E1126" s="37"/>
      <c r="F1126" s="45"/>
      <c r="K1126" s="3" t="s">
        <v>6232</v>
      </c>
    </row>
    <row r="1127" spans="1:38" ht="18.399999999999999" customHeight="1">
      <c r="A1127" s="42" t="e">
        <f>CONCATENATE("     노무비:  _x001D_49,479_x001D_ * CM / 60 = ",TEXT($AB1127,"#,##0.0"))</f>
        <v>#REF!</v>
      </c>
      <c r="B1127" s="37" t="e">
        <f>SUM($C1127,$D1127,$E1127)</f>
        <v>#REF!</v>
      </c>
      <c r="C1127" s="37"/>
      <c r="D1127" s="37" t="e">
        <f>$AB1127</f>
        <v>#REF!</v>
      </c>
      <c r="E1127" s="37"/>
      <c r="F1127" s="45" t="s">
        <v>6232</v>
      </c>
      <c r="K1127" s="3" t="s">
        <v>5243</v>
      </c>
      <c r="AA1127" s="40" t="s">
        <v>5305</v>
      </c>
      <c r="AB1127" s="8" t="e">
        <f>TRUNC(중기사용료목록!#REF!*$AD1103/60,1)</f>
        <v>#REF!</v>
      </c>
      <c r="AC1127" s="40" t="s">
        <v>5439</v>
      </c>
      <c r="AD1127" s="7" t="e">
        <f>$AD1119+$AB1127</f>
        <v>#REF!</v>
      </c>
    </row>
    <row r="1128" spans="1:38" ht="18.399999999999999" customHeight="1">
      <c r="A1128" s="41" t="s">
        <v>6232</v>
      </c>
      <c r="B1128" s="37"/>
      <c r="C1128" s="37"/>
      <c r="D1128" s="37"/>
      <c r="E1128" s="37"/>
      <c r="F1128" s="45"/>
      <c r="K1128" s="3" t="s">
        <v>6232</v>
      </c>
    </row>
    <row r="1129" spans="1:38" ht="18.399999999999999" customHeight="1">
      <c r="A1129" s="42" t="e">
        <f>CONCATENATE("     경  비:  _x001D_10,347_x001D_ * CM / 60 = ",TEXT($AB1129,"#,##0.0"))</f>
        <v>#REF!</v>
      </c>
      <c r="B1129" s="37" t="e">
        <f>SUM($C1129,$D1129,$E1129)</f>
        <v>#REF!</v>
      </c>
      <c r="C1129" s="37"/>
      <c r="D1129" s="37"/>
      <c r="E1129" s="37" t="e">
        <f>$AB1129</f>
        <v>#REF!</v>
      </c>
      <c r="F1129" s="45" t="s">
        <v>6232</v>
      </c>
      <c r="K1129" s="3" t="s">
        <v>4143</v>
      </c>
      <c r="AA1129" s="40" t="s">
        <v>3519</v>
      </c>
      <c r="AB1129" s="8" t="e">
        <f>TRUNC(중기사용료목록!#REF!*$AD1103/60,1)</f>
        <v>#REF!</v>
      </c>
      <c r="AC1129" s="40" t="s">
        <v>4149</v>
      </c>
      <c r="AD1129" s="7" t="e">
        <f>$AD1121+$AB1129</f>
        <v>#REF!</v>
      </c>
    </row>
    <row r="1130" spans="1:38" ht="18.399999999999999" customHeight="1">
      <c r="A1130" s="41" t="s">
        <v>6232</v>
      </c>
      <c r="B1130" s="37"/>
      <c r="C1130" s="37"/>
      <c r="D1130" s="37"/>
      <c r="E1130" s="37"/>
      <c r="F1130" s="45"/>
      <c r="K1130" s="3" t="s">
        <v>6232</v>
      </c>
    </row>
    <row r="1131" spans="1:38" ht="18.399999999999999" customHeight="1">
      <c r="A1131" s="41" t="s">
        <v>4035</v>
      </c>
      <c r="B1131" s="37">
        <v>26392</v>
      </c>
      <c r="C1131" s="37">
        <v>1221.5999999999999</v>
      </c>
      <c r="D1131" s="37">
        <v>20425.099999999999</v>
      </c>
      <c r="E1131" s="37">
        <v>4745.3</v>
      </c>
      <c r="F1131" s="45"/>
      <c r="K1131" s="3" t="s">
        <v>6070</v>
      </c>
    </row>
    <row r="1132" spans="1:38" ht="18.399999999999999" customHeight="1">
      <c r="A1132" s="41" t="s">
        <v>6232</v>
      </c>
      <c r="B1132" s="37">
        <f>SUM($C1132,$D1132,$E1132)</f>
        <v>0</v>
      </c>
      <c r="C1132" s="37">
        <f>$AB1132</f>
        <v>0</v>
      </c>
      <c r="D1132" s="37">
        <f>$AF1132</f>
        <v>0</v>
      </c>
      <c r="E1132" s="37">
        <f>$AJ1132</f>
        <v>0</v>
      </c>
      <c r="F1132" s="45"/>
      <c r="K1132" s="3" t="s">
        <v>5506</v>
      </c>
      <c r="AA1132" s="40" t="s">
        <v>4586</v>
      </c>
      <c r="AB1132" s="8">
        <f>ROUND(0,2)</f>
        <v>0</v>
      </c>
      <c r="AC1132" s="40" t="s">
        <v>4161</v>
      </c>
      <c r="AD1132" s="7">
        <f>$AB1132</f>
        <v>0</v>
      </c>
      <c r="AE1132" s="40" t="s">
        <v>222</v>
      </c>
      <c r="AF1132" s="8">
        <f>ROUND(0,2)</f>
        <v>0</v>
      </c>
      <c r="AG1132" s="40" t="s">
        <v>334</v>
      </c>
      <c r="AH1132" s="7">
        <f>$AF1132</f>
        <v>0</v>
      </c>
      <c r="AI1132" s="40" t="s">
        <v>1574</v>
      </c>
      <c r="AJ1132" s="8">
        <f>ROUND(0,2)</f>
        <v>0</v>
      </c>
      <c r="AK1132" s="40" t="s">
        <v>1622</v>
      </c>
      <c r="AL1132" s="7">
        <f>$AJ1132</f>
        <v>0</v>
      </c>
    </row>
    <row r="1133" spans="1:38" ht="18.399999999999999" customHeight="1">
      <c r="A1133" s="41" t="s">
        <v>2601</v>
      </c>
      <c r="B1133" s="37" t="e">
        <f>SUM($C1133,$D1133,$E1133)</f>
        <v>#REF!</v>
      </c>
      <c r="C1133" s="37" t="e">
        <f>$AB1133</f>
        <v>#REF!</v>
      </c>
      <c r="D1133" s="37" t="e">
        <f>$AF1133</f>
        <v>#REF!</v>
      </c>
      <c r="E1133" s="37" t="e">
        <f>$AJ1133</f>
        <v>#REF!</v>
      </c>
      <c r="F1133" s="45"/>
      <c r="K1133" s="3" t="s">
        <v>4286</v>
      </c>
      <c r="AA1133" s="40" t="s">
        <v>4586</v>
      </c>
      <c r="AB1133" s="8" t="e">
        <f>TRUNC($AD1125/12,1)</f>
        <v>#REF!</v>
      </c>
      <c r="AC1133" s="40" t="s">
        <v>4161</v>
      </c>
      <c r="AD1133" s="7" t="e">
        <f>$AB1133</f>
        <v>#REF!</v>
      </c>
      <c r="AE1133" s="40" t="s">
        <v>222</v>
      </c>
      <c r="AF1133" s="8" t="e">
        <f>TRUNC($AD1127/12,1)</f>
        <v>#REF!</v>
      </c>
      <c r="AG1133" s="40" t="s">
        <v>334</v>
      </c>
      <c r="AH1133" s="7" t="e">
        <f>$AF1133</f>
        <v>#REF!</v>
      </c>
      <c r="AI1133" s="40" t="s">
        <v>1574</v>
      </c>
      <c r="AJ1133" s="8" t="e">
        <f>TRUNC($AD1129/12,1)</f>
        <v>#REF!</v>
      </c>
      <c r="AK1133" s="40" t="s">
        <v>1622</v>
      </c>
      <c r="AL1133" s="7" t="e">
        <f>$AJ1133</f>
        <v>#REF!</v>
      </c>
    </row>
    <row r="1134" spans="1:38" ht="18.399999999999999" customHeight="1">
      <c r="A1134" s="41" t="s">
        <v>6232</v>
      </c>
      <c r="B1134" s="37"/>
      <c r="C1134" s="37"/>
      <c r="D1134" s="37"/>
      <c r="E1134" s="37"/>
      <c r="F1134" s="45"/>
      <c r="K1134" s="3" t="s">
        <v>6232</v>
      </c>
    </row>
    <row r="1135" spans="1:38" ht="18.399999999999999" customHeight="1">
      <c r="A1135" s="41" t="s">
        <v>3436</v>
      </c>
      <c r="B1135" s="37">
        <v>2199.1999999999998</v>
      </c>
      <c r="C1135" s="37">
        <v>101.8</v>
      </c>
      <c r="D1135" s="37">
        <v>1702</v>
      </c>
      <c r="E1135" s="37">
        <v>395.4</v>
      </c>
      <c r="F1135" s="45"/>
      <c r="K1135" s="3" t="s">
        <v>1342</v>
      </c>
    </row>
    <row r="1136" spans="1:38" ht="18.399999999999999" customHeight="1">
      <c r="A1136" s="41" t="s">
        <v>6232</v>
      </c>
      <c r="B1136" s="37">
        <f>SUM($C1136,$D1136,$E1136)</f>
        <v>0</v>
      </c>
      <c r="C1136" s="37">
        <f>$AB1136</f>
        <v>0</v>
      </c>
      <c r="D1136" s="37">
        <f>$AF1136</f>
        <v>0</v>
      </c>
      <c r="E1136" s="37">
        <f>$AJ1136</f>
        <v>0</v>
      </c>
      <c r="F1136" s="45"/>
      <c r="K1136" s="3" t="s">
        <v>3238</v>
      </c>
      <c r="AA1136" s="40" t="s">
        <v>308</v>
      </c>
      <c r="AB1136" s="8">
        <f>ROUND(0,2)</f>
        <v>0</v>
      </c>
      <c r="AC1136" s="40" t="s">
        <v>5000</v>
      </c>
      <c r="AD1136" s="7">
        <f>$AB1136</f>
        <v>0</v>
      </c>
      <c r="AE1136" s="40" t="s">
        <v>4500</v>
      </c>
      <c r="AF1136" s="8">
        <f>ROUND(0,2)</f>
        <v>0</v>
      </c>
      <c r="AG1136" s="40" t="s">
        <v>2603</v>
      </c>
      <c r="AH1136" s="7">
        <f>$AF1136</f>
        <v>0</v>
      </c>
      <c r="AI1136" s="40" t="s">
        <v>5878</v>
      </c>
      <c r="AJ1136" s="8">
        <f>ROUND(0,2)</f>
        <v>0</v>
      </c>
      <c r="AK1136" s="40" t="s">
        <v>787</v>
      </c>
      <c r="AL1136" s="7">
        <f>$AJ1136</f>
        <v>0</v>
      </c>
    </row>
    <row r="1137" spans="1:38" ht="18.399999999999999" customHeight="1">
      <c r="A1137" s="41" t="s">
        <v>5951</v>
      </c>
      <c r="B1137" s="37" t="e">
        <f>SUM($C1137,$D1137,$E1137)</f>
        <v>#REF!</v>
      </c>
      <c r="C1137" s="37" t="e">
        <f>$AB1137</f>
        <v>#REF!</v>
      </c>
      <c r="D1137" s="37" t="e">
        <f>$AF1137</f>
        <v>#REF!</v>
      </c>
      <c r="E1137" s="37" t="e">
        <f>$AJ1137</f>
        <v>#REF!</v>
      </c>
      <c r="F1137" s="45"/>
      <c r="K1137" s="3" t="s">
        <v>2347</v>
      </c>
      <c r="AA1137" s="40" t="s">
        <v>308</v>
      </c>
      <c r="AB1137" s="8" t="e">
        <f>TRUNC($AD1133*1.097,1)</f>
        <v>#REF!</v>
      </c>
      <c r="AC1137" s="40" t="s">
        <v>5000</v>
      </c>
      <c r="AD1137" s="7" t="e">
        <f>$AB1137</f>
        <v>#REF!</v>
      </c>
      <c r="AE1137" s="40" t="s">
        <v>4500</v>
      </c>
      <c r="AF1137" s="8" t="e">
        <f>TRUNC($AH1133*1.097,1)</f>
        <v>#REF!</v>
      </c>
      <c r="AG1137" s="40" t="s">
        <v>2603</v>
      </c>
      <c r="AH1137" s="7" t="e">
        <f>$AF1137</f>
        <v>#REF!</v>
      </c>
      <c r="AI1137" s="40" t="s">
        <v>5878</v>
      </c>
      <c r="AJ1137" s="8" t="e">
        <f>TRUNC($AL1133*1.097,1)</f>
        <v>#REF!</v>
      </c>
      <c r="AK1137" s="40" t="s">
        <v>787</v>
      </c>
      <c r="AL1137" s="7" t="e">
        <f>$AJ1137</f>
        <v>#REF!</v>
      </c>
    </row>
    <row r="1138" spans="1:38" ht="18.399999999999999" customHeight="1">
      <c r="A1138" s="41" t="s">
        <v>6232</v>
      </c>
      <c r="B1138" s="37"/>
      <c r="C1138" s="37"/>
      <c r="D1138" s="37"/>
      <c r="E1138" s="37"/>
      <c r="F1138" s="45"/>
      <c r="K1138" s="3" t="s">
        <v>6232</v>
      </c>
    </row>
    <row r="1139" spans="1:38" ht="18.399999999999999" customHeight="1">
      <c r="A1139" s="41" t="s">
        <v>3436</v>
      </c>
      <c r="B1139" s="37" t="e">
        <f>SUM($C1139,$D1139,$E1139)</f>
        <v>#REF!</v>
      </c>
      <c r="C1139" s="37" t="e">
        <f>$AB1139</f>
        <v>#REF!</v>
      </c>
      <c r="D1139" s="37" t="e">
        <f>$AF1139</f>
        <v>#REF!</v>
      </c>
      <c r="E1139" s="37" t="e">
        <f>$AJ1139</f>
        <v>#REF!</v>
      </c>
      <c r="F1139" s="45"/>
      <c r="K1139" s="3" t="s">
        <v>4527</v>
      </c>
      <c r="AA1139" s="40" t="s">
        <v>4592</v>
      </c>
      <c r="AB1139" s="8" t="e">
        <f>TRUNC($AD1137,1)</f>
        <v>#REF!</v>
      </c>
      <c r="AC1139" s="40" t="s">
        <v>5149</v>
      </c>
      <c r="AD1139" s="7" t="e">
        <f>$AB1139</f>
        <v>#REF!</v>
      </c>
      <c r="AE1139" s="40" t="s">
        <v>666</v>
      </c>
      <c r="AF1139" s="8" t="e">
        <f>TRUNC($AH1137,1)</f>
        <v>#REF!</v>
      </c>
      <c r="AG1139" s="40" t="s">
        <v>2431</v>
      </c>
      <c r="AH1139" s="7" t="e">
        <f>$AF1139</f>
        <v>#REF!</v>
      </c>
      <c r="AI1139" s="40" t="s">
        <v>1930</v>
      </c>
      <c r="AJ1139" s="8" t="e">
        <f>TRUNC($AL1137,1)</f>
        <v>#REF!</v>
      </c>
      <c r="AK1139" s="40" t="s">
        <v>3349</v>
      </c>
      <c r="AL1139" s="7" t="e">
        <f>$AJ1139</f>
        <v>#REF!</v>
      </c>
    </row>
    <row r="1140" spans="1:38" ht="18.399999999999999" customHeight="1">
      <c r="A1140" s="41"/>
      <c r="B1140" s="3"/>
      <c r="C1140" s="3"/>
      <c r="D1140" s="3"/>
      <c r="E1140" s="3"/>
      <c r="F1140" s="44"/>
    </row>
    <row r="1141" spans="1:38" ht="18.399999999999999" customHeight="1">
      <c r="A1141" s="43" t="s">
        <v>3543</v>
      </c>
      <c r="B1141" s="38" t="e">
        <f>SUM($C1141,$D1141,$E1141)</f>
        <v>#REF!</v>
      </c>
      <c r="C1141" s="38" t="e">
        <f>TRUNC(SUM($AD1139),0)</f>
        <v>#REF!</v>
      </c>
      <c r="D1141" s="38" t="e">
        <f>TRUNC(SUM($AH1139),0)</f>
        <v>#REF!</v>
      </c>
      <c r="E1141" s="38" t="e">
        <f>TRUNC(SUM($AL1139),0)</f>
        <v>#REF!</v>
      </c>
      <c r="F1141" s="46"/>
    </row>
    <row r="1142" spans="1:38" ht="18.399999999999999" customHeight="1">
      <c r="A1142" s="41"/>
      <c r="B1142" s="3"/>
      <c r="C1142" s="3"/>
      <c r="D1142" s="3"/>
      <c r="E1142" s="3"/>
      <c r="F1142" s="44"/>
    </row>
    <row r="1143" spans="1:38" ht="18.399999999999999" customHeight="1">
      <c r="A1143" s="41" t="s">
        <v>537</v>
      </c>
      <c r="B1143" s="36" t="e">
        <f>$B1217</f>
        <v>#REF!</v>
      </c>
      <c r="C1143" s="36" t="e">
        <f>$C1217</f>
        <v>#REF!</v>
      </c>
      <c r="D1143" s="36" t="e">
        <f>$D1217</f>
        <v>#REF!</v>
      </c>
      <c r="E1143" s="36" t="e">
        <f>$E1217</f>
        <v>#REF!</v>
      </c>
      <c r="F1143" s="44" t="s">
        <v>3378</v>
      </c>
      <c r="G1143" t="s">
        <v>6232</v>
      </c>
      <c r="H1143" t="s">
        <v>2267</v>
      </c>
      <c r="K1143">
        <v>1</v>
      </c>
      <c r="Y1143" s="7" t="e">
        <f>EXACT($Z1143,$B1217)</f>
        <v>#REF!</v>
      </c>
      <c r="Z1143" s="38">
        <v>2017</v>
      </c>
    </row>
    <row r="1144" spans="1:38" ht="18.399999999999999" customHeight="1">
      <c r="A1144" s="41"/>
      <c r="B1144" s="3"/>
      <c r="C1144" s="3"/>
      <c r="D1144" s="3"/>
      <c r="E1144" s="3"/>
      <c r="F1144" s="44"/>
    </row>
    <row r="1145" spans="1:38" ht="18.399999999999999" customHeight="1">
      <c r="A1145" s="41" t="s">
        <v>6232</v>
      </c>
      <c r="B1145" s="3"/>
      <c r="C1145" s="3"/>
      <c r="D1145" s="3"/>
      <c r="E1145" s="3"/>
      <c r="F1145" s="44"/>
      <c r="G1145" t="s">
        <v>6232</v>
      </c>
      <c r="I1145" t="s">
        <v>742</v>
      </c>
      <c r="J1145" t="s">
        <v>6232</v>
      </c>
      <c r="K1145" t="s">
        <v>5235</v>
      </c>
    </row>
    <row r="1146" spans="1:38" ht="18.399999999999999" customHeight="1">
      <c r="A1146" s="41" t="s">
        <v>6033</v>
      </c>
      <c r="B1146" s="37"/>
      <c r="C1146" s="37"/>
      <c r="D1146" s="37"/>
      <c r="E1146" s="37"/>
      <c r="F1146" s="45"/>
      <c r="K1146" s="3" t="s">
        <v>2285</v>
      </c>
    </row>
    <row r="1147" spans="1:38" ht="18.399999999999999" customHeight="1">
      <c r="A1147" s="41" t="s">
        <v>6232</v>
      </c>
      <c r="B1147" s="37"/>
      <c r="C1147" s="37"/>
      <c r="D1147" s="37"/>
      <c r="E1147" s="37"/>
      <c r="F1147" s="45"/>
      <c r="K1147" s="3" t="s">
        <v>6232</v>
      </c>
    </row>
    <row r="1148" spans="1:38" ht="18.399999999999999" customHeight="1">
      <c r="A1148" s="42" t="str">
        <f>CONCATENATE("                L=",TEXT($AB1148,"#,##0.0"),"   KM  실시공후 정산")</f>
        <v xml:space="preserve">                L=4.0   KM  실시공후 정산</v>
      </c>
      <c r="B1148" s="37"/>
      <c r="C1148" s="37"/>
      <c r="D1148" s="37"/>
      <c r="E1148" s="37"/>
      <c r="F1148" s="45"/>
      <c r="K1148" s="10" t="str">
        <f>SUBSTITUTE(SUBSTITUTE("                L = 4.0  _x001D_KM_x001D__x001D_실시공후 정산_x001D_","4.0",TEXT($AB1148,"#,##0.0"),1),"_x001D_","'")</f>
        <v xml:space="preserve">                L = 4.0  'KM''실시공후 정산'</v>
      </c>
      <c r="AA1148" s="39" t="s">
        <v>5842</v>
      </c>
      <c r="AB1148" s="6">
        <v>4</v>
      </c>
      <c r="AC1148" s="39" t="s">
        <v>5842</v>
      </c>
      <c r="AD1148" s="7">
        <f>$AB1148</f>
        <v>4</v>
      </c>
    </row>
    <row r="1149" spans="1:38" ht="18.399999999999999" customHeight="1">
      <c r="A1149" s="41" t="s">
        <v>6214</v>
      </c>
      <c r="B1149" s="37"/>
      <c r="C1149" s="37"/>
      <c r="D1149" s="37"/>
      <c r="E1149" s="37"/>
      <c r="F1149" s="45"/>
      <c r="K1149" s="3" t="s">
        <v>3965</v>
      </c>
    </row>
    <row r="1150" spans="1:38" ht="18.399999999999999" customHeight="1">
      <c r="A1150" s="42" t="str">
        <f>CONCATENATE("                V=",TEXT($AB1150,"#,##0.0"),"  KM/hr")</f>
        <v xml:space="preserve">                V=30.0  KM/hr</v>
      </c>
      <c r="B1150" s="37"/>
      <c r="C1150" s="37"/>
      <c r="D1150" s="37"/>
      <c r="E1150" s="37"/>
      <c r="F1150" s="45"/>
      <c r="K1150" s="10" t="str">
        <f>SUBSTITUTE(SUBSTITUTE("                V = 30.0 _x001D_KM/hr_x001D_","30.0",TEXT($AB1150,"#,##0.0"),1),"_x001D_","'")</f>
        <v xml:space="preserve">                V = 30.0 'KM/hr'</v>
      </c>
      <c r="AA1150" s="39" t="s">
        <v>247</v>
      </c>
      <c r="AB1150" s="6">
        <v>30</v>
      </c>
      <c r="AC1150" s="39" t="s">
        <v>247</v>
      </c>
      <c r="AD1150" s="7">
        <f>$AB1150</f>
        <v>30</v>
      </c>
    </row>
    <row r="1151" spans="1:38" ht="18.399999999999999" customHeight="1">
      <c r="A1151" s="41" t="s">
        <v>6232</v>
      </c>
      <c r="B1151" s="37">
        <f>SUM($C1151,$D1151,$E1151)</f>
        <v>0</v>
      </c>
      <c r="C1151" s="37">
        <f>$AB1151</f>
        <v>0</v>
      </c>
      <c r="D1151" s="37">
        <f>$AF1151</f>
        <v>0</v>
      </c>
      <c r="E1151" s="37">
        <f>$AJ1151</f>
        <v>0</v>
      </c>
      <c r="F1151" s="45"/>
      <c r="K1151" s="3" t="s">
        <v>295</v>
      </c>
      <c r="AA1151" s="40" t="s">
        <v>2660</v>
      </c>
      <c r="AB1151" s="8">
        <f>ROUND(0,2)</f>
        <v>0</v>
      </c>
      <c r="AC1151" s="40" t="s">
        <v>1650</v>
      </c>
      <c r="AD1151" s="7">
        <f>$AB1151</f>
        <v>0</v>
      </c>
      <c r="AE1151" s="40" t="s">
        <v>5305</v>
      </c>
      <c r="AF1151" s="8">
        <f>ROUND(0,2)</f>
        <v>0</v>
      </c>
      <c r="AG1151" s="40" t="s">
        <v>5439</v>
      </c>
      <c r="AH1151" s="7">
        <f>$AF1151</f>
        <v>0</v>
      </c>
      <c r="AI1151" s="40" t="s">
        <v>3519</v>
      </c>
      <c r="AJ1151" s="8">
        <f>ROUND(0,2)</f>
        <v>0</v>
      </c>
      <c r="AK1151" s="40" t="s">
        <v>4149</v>
      </c>
      <c r="AL1151" s="7">
        <f>$AJ1151</f>
        <v>0</v>
      </c>
    </row>
    <row r="1152" spans="1:38" ht="18.399999999999999" customHeight="1">
      <c r="A1152" s="41" t="s">
        <v>5524</v>
      </c>
      <c r="B1152" s="37"/>
      <c r="C1152" s="37"/>
      <c r="D1152" s="37"/>
      <c r="E1152" s="37"/>
      <c r="F1152" s="45"/>
      <c r="K1152" s="3" t="s">
        <v>3427</v>
      </c>
    </row>
    <row r="1153" spans="1:11" ht="18.399999999999999" customHeight="1">
      <c r="A1153" s="41" t="s">
        <v>6232</v>
      </c>
      <c r="B1153" s="37"/>
      <c r="C1153" s="37"/>
      <c r="D1153" s="37"/>
      <c r="E1153" s="37"/>
      <c r="F1153" s="45"/>
      <c r="K1153" s="3" t="s">
        <v>6232</v>
      </c>
    </row>
    <row r="1154" spans="1:11" ht="18.399999999999999" customHeight="1">
      <c r="A1154" s="41" t="s">
        <v>2653</v>
      </c>
      <c r="B1154" s="37"/>
      <c r="C1154" s="37"/>
      <c r="D1154" s="37"/>
      <c r="E1154" s="37"/>
      <c r="F1154" s="45"/>
      <c r="K1154" s="3" t="s">
        <v>2793</v>
      </c>
    </row>
    <row r="1155" spans="1:11" ht="18.399999999999999" customHeight="1">
      <c r="A1155" s="41" t="s">
        <v>52</v>
      </c>
      <c r="B1155" s="37"/>
      <c r="C1155" s="37"/>
      <c r="D1155" s="37"/>
      <c r="E1155" s="37"/>
      <c r="F1155" s="45"/>
      <c r="K1155" s="3" t="s">
        <v>3020</v>
      </c>
    </row>
    <row r="1156" spans="1:11" ht="18.399999999999999" customHeight="1">
      <c r="A1156" s="41" t="s">
        <v>6232</v>
      </c>
      <c r="B1156" s="37"/>
      <c r="C1156" s="37"/>
      <c r="D1156" s="37"/>
      <c r="E1156" s="37"/>
      <c r="F1156" s="45"/>
      <c r="K1156" s="3" t="s">
        <v>6232</v>
      </c>
    </row>
    <row r="1157" spans="1:11" ht="18.399999999999999" customHeight="1">
      <c r="A1157" s="41" t="s">
        <v>3700</v>
      </c>
      <c r="B1157" s="37"/>
      <c r="C1157" s="37"/>
      <c r="D1157" s="37"/>
      <c r="E1157" s="37"/>
      <c r="F1157" s="45"/>
      <c r="K1157" s="3" t="s">
        <v>2773</v>
      </c>
    </row>
    <row r="1158" spans="1:11" ht="18.399999999999999" customHeight="1">
      <c r="A1158" s="41" t="s">
        <v>679</v>
      </c>
      <c r="B1158" s="37"/>
      <c r="C1158" s="37"/>
      <c r="D1158" s="37"/>
      <c r="E1158" s="37"/>
      <c r="F1158" s="45"/>
      <c r="K1158" s="3" t="s">
        <v>1995</v>
      </c>
    </row>
    <row r="1159" spans="1:11" ht="18.399999999999999" customHeight="1">
      <c r="A1159" s="41" t="s">
        <v>5867</v>
      </c>
      <c r="B1159" s="37"/>
      <c r="C1159" s="37"/>
      <c r="D1159" s="37"/>
      <c r="E1159" s="37"/>
      <c r="F1159" s="45"/>
      <c r="K1159" s="3" t="s">
        <v>2096</v>
      </c>
    </row>
    <row r="1160" spans="1:11" ht="18.399999999999999" customHeight="1">
      <c r="A1160" s="41" t="s">
        <v>6232</v>
      </c>
      <c r="B1160" s="37"/>
      <c r="C1160" s="37"/>
      <c r="D1160" s="37"/>
      <c r="E1160" s="37"/>
      <c r="F1160" s="45"/>
      <c r="K1160" s="3" t="s">
        <v>6232</v>
      </c>
    </row>
    <row r="1161" spans="1:11" ht="18.399999999999999" customHeight="1">
      <c r="A1161" s="41" t="s">
        <v>2300</v>
      </c>
      <c r="B1161" s="37"/>
      <c r="C1161" s="37"/>
      <c r="D1161" s="37"/>
      <c r="E1161" s="37"/>
      <c r="F1161" s="45"/>
      <c r="K1161" s="3" t="s">
        <v>1087</v>
      </c>
    </row>
    <row r="1162" spans="1:11" ht="18.399999999999999" customHeight="1">
      <c r="A1162" s="41" t="s">
        <v>6232</v>
      </c>
      <c r="B1162" s="37"/>
      <c r="C1162" s="37"/>
      <c r="D1162" s="37"/>
      <c r="E1162" s="37"/>
      <c r="F1162" s="45"/>
      <c r="K1162" s="3" t="s">
        <v>6232</v>
      </c>
    </row>
    <row r="1163" spans="1:11" ht="18.399999999999999" customHeight="1">
      <c r="A1163" s="41" t="s">
        <v>6134</v>
      </c>
      <c r="B1163" s="37"/>
      <c r="C1163" s="37"/>
      <c r="D1163" s="37"/>
      <c r="E1163" s="37"/>
      <c r="F1163" s="45"/>
      <c r="K1163" s="3" t="s">
        <v>4089</v>
      </c>
    </row>
    <row r="1164" spans="1:11" ht="18.399999999999999" customHeight="1">
      <c r="A1164" s="41" t="s">
        <v>6232</v>
      </c>
      <c r="B1164" s="37"/>
      <c r="C1164" s="37"/>
      <c r="D1164" s="37"/>
      <c r="E1164" s="37"/>
      <c r="F1164" s="45"/>
      <c r="K1164" s="3" t="s">
        <v>6232</v>
      </c>
    </row>
    <row r="1165" spans="1:11" ht="18.399999999999999" customHeight="1">
      <c r="A1165" s="41" t="s">
        <v>1517</v>
      </c>
      <c r="B1165" s="37"/>
      <c r="C1165" s="37"/>
      <c r="D1165" s="37"/>
      <c r="E1165" s="37"/>
      <c r="F1165" s="45"/>
      <c r="K1165" s="3" t="s">
        <v>2275</v>
      </c>
    </row>
    <row r="1166" spans="1:11" ht="18.399999999999999" customHeight="1">
      <c r="A1166" s="41" t="s">
        <v>6232</v>
      </c>
      <c r="B1166" s="37"/>
      <c r="C1166" s="37"/>
      <c r="D1166" s="37"/>
      <c r="E1166" s="37"/>
      <c r="F1166" s="45"/>
      <c r="K1166" s="3" t="s">
        <v>6232</v>
      </c>
    </row>
    <row r="1167" spans="1:11" ht="18.399999999999999" customHeight="1">
      <c r="A1167" s="41" t="s">
        <v>257</v>
      </c>
      <c r="B1167" s="37"/>
      <c r="C1167" s="37"/>
      <c r="D1167" s="37"/>
      <c r="E1167" s="37"/>
      <c r="F1167" s="45"/>
      <c r="K1167" s="3" t="s">
        <v>1264</v>
      </c>
    </row>
    <row r="1168" spans="1:11" ht="18.399999999999999" customHeight="1">
      <c r="A1168" s="41" t="s">
        <v>6232</v>
      </c>
      <c r="B1168" s="37"/>
      <c r="C1168" s="37"/>
      <c r="D1168" s="37"/>
      <c r="E1168" s="37"/>
      <c r="F1168" s="45"/>
      <c r="K1168" s="3" t="s">
        <v>6232</v>
      </c>
    </row>
    <row r="1169" spans="1:34" ht="18.399999999999999" customHeight="1">
      <c r="A1169" s="42" t="str">
        <f>CONCATENATE("   - 1차당 적재량(본)         Q=",TEXT($AB1169,"#,##0.00"),"  본")</f>
        <v xml:space="preserve">   - 1차당 적재량(본)         Q=95.00  본</v>
      </c>
      <c r="B1169" s="37"/>
      <c r="C1169" s="37"/>
      <c r="D1169" s="37"/>
      <c r="E1169" s="37"/>
      <c r="F1169" s="45"/>
      <c r="K1169" s="10" t="str">
        <f>SUBSTITUTE(SUBSTITUTE("  _x001D_- 1차당 적재량(본)_x001D_        Q  =  95 _x001D_본_x001D_","95",TEXT($AB1169,"#,##0"),1),"_x001D_","'")</f>
        <v xml:space="preserve">  '- 1차당 적재량(본)'        Q  =  95 '본'</v>
      </c>
      <c r="AA1169" s="39" t="s">
        <v>4337</v>
      </c>
      <c r="AB1169" s="6">
        <v>95</v>
      </c>
      <c r="AC1169" s="39" t="s">
        <v>4337</v>
      </c>
      <c r="AD1169" s="7">
        <f>$AB1169</f>
        <v>95</v>
      </c>
    </row>
    <row r="1170" spans="1:34" ht="18.399999999999999" customHeight="1">
      <c r="A1170" s="41" t="s">
        <v>6232</v>
      </c>
      <c r="B1170" s="37"/>
      <c r="C1170" s="37"/>
      <c r="D1170" s="37"/>
      <c r="E1170" s="37"/>
      <c r="F1170" s="45"/>
      <c r="K1170" s="3" t="s">
        <v>6232</v>
      </c>
    </row>
    <row r="1171" spans="1:34" ht="18.399999999999999" customHeight="1">
      <c r="A1171" s="42" t="str">
        <f>CONCATENATE("   - 운반차량 대기시간(12M당)    T1=",TEXT($AB1171,"#,##0.00"),"  분")</f>
        <v xml:space="preserve">   - 운반차량 대기시간(12M당)    T1=4.00  분</v>
      </c>
      <c r="B1171" s="37"/>
      <c r="C1171" s="37"/>
      <c r="D1171" s="37"/>
      <c r="E1171" s="37"/>
      <c r="F1171" s="45"/>
      <c r="K1171" s="10" t="str">
        <f>SUBSTITUTE(SUBSTITUTE("  _x001D_- 운반차량 대기시간(12M당)_x001D_   T1 = 4 _x001D_분_x001D_","4",TEXT($AB1171,"#,##0"),1),"_x001D_","'")</f>
        <v xml:space="preserve">  '- 운반차량 대기시간(12M당)'   T1 = 4 '분'</v>
      </c>
      <c r="AA1171" s="39" t="s">
        <v>4528</v>
      </c>
      <c r="AB1171" s="6">
        <v>4</v>
      </c>
      <c r="AC1171" s="39" t="s">
        <v>4528</v>
      </c>
      <c r="AD1171" s="7">
        <f>$AB1171</f>
        <v>4</v>
      </c>
    </row>
    <row r="1172" spans="1:34" ht="18.399999999999999" customHeight="1">
      <c r="A1172" s="41" t="s">
        <v>6232</v>
      </c>
      <c r="B1172" s="37"/>
      <c r="C1172" s="37"/>
      <c r="D1172" s="37"/>
      <c r="E1172" s="37"/>
      <c r="F1172" s="45"/>
      <c r="K1172" s="3" t="s">
        <v>6232</v>
      </c>
    </row>
    <row r="1173" spans="1:34" ht="18.399999999999999" customHeight="1">
      <c r="A1173" s="41" t="s">
        <v>4838</v>
      </c>
      <c r="B1173" s="37"/>
      <c r="C1173" s="37"/>
      <c r="D1173" s="37"/>
      <c r="E1173" s="37"/>
      <c r="F1173" s="45"/>
      <c r="K1173" s="3" t="s">
        <v>6093</v>
      </c>
    </row>
    <row r="1174" spans="1:34" ht="18.399999999999999" customHeight="1">
      <c r="A1174" s="41" t="s">
        <v>6232</v>
      </c>
      <c r="B1174" s="37"/>
      <c r="C1174" s="37"/>
      <c r="D1174" s="37"/>
      <c r="E1174" s="37"/>
      <c r="F1174" s="45"/>
      <c r="K1174" s="3" t="s">
        <v>6232</v>
      </c>
    </row>
    <row r="1175" spans="1:34" ht="18.399999999999999" customHeight="1">
      <c r="A1175" s="42" t="str">
        <f>CONCATENATE("    T2 = (L / V * 2 * 60 + 20) / Q * 2 = ",TEXT($AF1175,"#,##0.00")," 분 ")</f>
        <v xml:space="preserve">    T2 = (L / V * 2 * 60 + 20) / Q * 2 = 0.76 분 </v>
      </c>
      <c r="B1175" s="37">
        <f>SUM($C1175,$D1175,$E1175)</f>
        <v>0</v>
      </c>
      <c r="C1175" s="37"/>
      <c r="D1175" s="37"/>
      <c r="E1175" s="37"/>
      <c r="F1175" s="45"/>
      <c r="K1175" s="3" t="s">
        <v>1389</v>
      </c>
      <c r="AA1175" s="39" t="s">
        <v>5897</v>
      </c>
      <c r="AB1175" s="8">
        <f>ROUND(($AD1148/$AD1150*2*60+20)/$AD1169*2,2)</f>
        <v>0.76</v>
      </c>
      <c r="AC1175" s="39" t="s">
        <v>2053</v>
      </c>
      <c r="AD1175" s="7">
        <f>$AB1175</f>
        <v>0.76</v>
      </c>
      <c r="AE1175" s="39" t="s">
        <v>4915</v>
      </c>
      <c r="AF1175" s="8">
        <f>ROUND(ROUND(($AD1148/$AD1150*2*60+20)/$AD1169*2,2),2)</f>
        <v>0.76</v>
      </c>
      <c r="AG1175" s="39" t="s">
        <v>5178</v>
      </c>
      <c r="AH1175" s="7">
        <f>$AF1175</f>
        <v>0.76</v>
      </c>
    </row>
    <row r="1176" spans="1:34" ht="18.399999999999999" customHeight="1">
      <c r="A1176" s="41" t="s">
        <v>6232</v>
      </c>
      <c r="B1176" s="37"/>
      <c r="C1176" s="37"/>
      <c r="D1176" s="37"/>
      <c r="E1176" s="37"/>
      <c r="F1176" s="45"/>
      <c r="K1176" s="3" t="s">
        <v>6232</v>
      </c>
    </row>
    <row r="1177" spans="1:34" ht="18.399999999999999" customHeight="1">
      <c r="A1177" s="41" t="s">
        <v>2391</v>
      </c>
      <c r="B1177" s="37"/>
      <c r="C1177" s="37"/>
      <c r="D1177" s="37"/>
      <c r="E1177" s="37"/>
      <c r="F1177" s="45"/>
      <c r="K1177" s="3" t="s">
        <v>4710</v>
      </c>
    </row>
    <row r="1178" spans="1:34" ht="18.399999999999999" customHeight="1">
      <c r="A1178" s="41" t="s">
        <v>6232</v>
      </c>
      <c r="B1178" s="37"/>
      <c r="C1178" s="37"/>
      <c r="D1178" s="37"/>
      <c r="E1178" s="37"/>
      <c r="F1178" s="45"/>
      <c r="K1178" s="3" t="s">
        <v>6232</v>
      </c>
    </row>
    <row r="1179" spans="1:34" ht="18.399999999999999" customHeight="1">
      <c r="A1179" s="42" t="str">
        <f>CONCATENATE("    CM = T1 + T2 = ",TEXT($AF1179,"#,##0.00")," 분 ")</f>
        <v xml:space="preserve">    CM = T1 + T2 = 4.76 분 </v>
      </c>
      <c r="B1179" s="37">
        <f>SUM($C1179,$D1179,$E1179)</f>
        <v>0</v>
      </c>
      <c r="C1179" s="37"/>
      <c r="D1179" s="37"/>
      <c r="E1179" s="37"/>
      <c r="F1179" s="45"/>
      <c r="K1179" s="3" t="s">
        <v>6049</v>
      </c>
      <c r="AA1179" s="39" t="s">
        <v>5026</v>
      </c>
      <c r="AB1179" s="8">
        <f>ROUND($AD1171+$AD1175,2)</f>
        <v>4.76</v>
      </c>
      <c r="AC1179" s="39" t="s">
        <v>289</v>
      </c>
      <c r="AD1179" s="7">
        <f>$AB1179</f>
        <v>4.76</v>
      </c>
      <c r="AE1179" s="39" t="s">
        <v>5394</v>
      </c>
      <c r="AF1179" s="8">
        <f>ROUND(ROUND($AD1171+$AD1175,2),2)</f>
        <v>4.76</v>
      </c>
      <c r="AG1179" s="39" t="s">
        <v>3749</v>
      </c>
      <c r="AH1179" s="7">
        <f>$AF1179</f>
        <v>4.76</v>
      </c>
    </row>
    <row r="1180" spans="1:34" ht="18.399999999999999" customHeight="1">
      <c r="A1180" s="41" t="s">
        <v>6232</v>
      </c>
      <c r="B1180" s="37"/>
      <c r="C1180" s="37"/>
      <c r="D1180" s="37"/>
      <c r="E1180" s="37"/>
      <c r="F1180" s="45"/>
      <c r="K1180" s="3" t="s">
        <v>6232</v>
      </c>
    </row>
    <row r="1181" spans="1:34" ht="18.399999999999999" customHeight="1">
      <c r="A1181" s="41" t="s">
        <v>5848</v>
      </c>
      <c r="B1181" s="37"/>
      <c r="C1181" s="37"/>
      <c r="D1181" s="37"/>
      <c r="E1181" s="37"/>
      <c r="F1181" s="45"/>
      <c r="K1181" s="3" t="s">
        <v>788</v>
      </c>
    </row>
    <row r="1182" spans="1:34" ht="18.399999999999999" customHeight="1">
      <c r="A1182" s="41" t="s">
        <v>6232</v>
      </c>
      <c r="B1182" s="37"/>
      <c r="C1182" s="37"/>
      <c r="D1182" s="37"/>
      <c r="E1182" s="37"/>
      <c r="F1182" s="45"/>
      <c r="K1182" s="3" t="s">
        <v>6232</v>
      </c>
    </row>
    <row r="1183" spans="1:34" ht="18.399999999999999" customHeight="1">
      <c r="A1183" s="42" t="str">
        <f>CONCATENATE("    Qo = T2 / CM = ",TEXT($AF1183,"#,##0.00")," 분 ")</f>
        <v xml:space="preserve">    Qo = T2 / CM = 0.16 분 </v>
      </c>
      <c r="B1183" s="37">
        <f>SUM($C1183,$D1183,$E1183)</f>
        <v>0</v>
      </c>
      <c r="C1183" s="37"/>
      <c r="D1183" s="37"/>
      <c r="E1183" s="37"/>
      <c r="F1183" s="45"/>
      <c r="K1183" s="3" t="s">
        <v>882</v>
      </c>
      <c r="AA1183" s="39" t="s">
        <v>1501</v>
      </c>
      <c r="AB1183" s="8">
        <f>ROUND($AD1175/$AD1179,2)</f>
        <v>0.16</v>
      </c>
      <c r="AC1183" s="39" t="s">
        <v>2425</v>
      </c>
      <c r="AD1183" s="7">
        <f>$AB1183</f>
        <v>0.16</v>
      </c>
      <c r="AE1183" s="39" t="s">
        <v>4986</v>
      </c>
      <c r="AF1183" s="8">
        <f>ROUND(ROUND($AD1175/$AD1179,2),2)</f>
        <v>0.16</v>
      </c>
      <c r="AG1183" s="39" t="s">
        <v>3163</v>
      </c>
      <c r="AH1183" s="7">
        <f>$AF1183</f>
        <v>0.16</v>
      </c>
    </row>
    <row r="1184" spans="1:34" ht="18.399999999999999" customHeight="1">
      <c r="A1184" s="41" t="s">
        <v>6232</v>
      </c>
      <c r="B1184" s="37"/>
      <c r="C1184" s="37"/>
      <c r="D1184" s="37"/>
      <c r="E1184" s="37"/>
      <c r="F1184" s="45"/>
      <c r="K1184" s="3" t="s">
        <v>6232</v>
      </c>
    </row>
    <row r="1185" spans="1:30" ht="18.399999999999999" customHeight="1">
      <c r="A1185" s="41" t="s">
        <v>1042</v>
      </c>
      <c r="B1185" s="37"/>
      <c r="C1185" s="37"/>
      <c r="D1185" s="37"/>
      <c r="E1185" s="37"/>
      <c r="F1185" s="45"/>
      <c r="K1185" s="3" t="s">
        <v>1008</v>
      </c>
    </row>
    <row r="1186" spans="1:30" ht="18.399999999999999" customHeight="1">
      <c r="A1186" s="41" t="s">
        <v>6232</v>
      </c>
      <c r="B1186" s="37"/>
      <c r="C1186" s="37"/>
      <c r="D1186" s="37"/>
      <c r="E1186" s="37"/>
      <c r="F1186" s="45"/>
      <c r="K1186" s="3" t="s">
        <v>6232</v>
      </c>
    </row>
    <row r="1187" spans="1:30" ht="18.399999999999999" customHeight="1">
      <c r="A1187" s="42" t="str">
        <f>CONCATENATE("      보통인부 :  2.0 인  * _x001D_169,804_x001D_ * (CM + 6 ) / 60 / 8 = ",TEXT($AB1187,"#,##0.0"))</f>
        <v xml:space="preserve">      보통인부 :  2.0 인  * _x001D_169,804_x001D_ * (CM + 6 ) / 60 / 8 = 7,714.3</v>
      </c>
      <c r="B1187" s="37">
        <f>SUM($C1187,$D1187,$E1187)</f>
        <v>7714.3</v>
      </c>
      <c r="C1187" s="37"/>
      <c r="D1187" s="37">
        <f>$AB1187</f>
        <v>7714.3</v>
      </c>
      <c r="E1187" s="37"/>
      <c r="F1187" s="45" t="s">
        <v>6232</v>
      </c>
      <c r="K1187" s="3" t="s">
        <v>3933</v>
      </c>
      <c r="AA1187" s="40" t="s">
        <v>5305</v>
      </c>
      <c r="AB1187" s="8">
        <f>TRUNC(2*노임!D3*($AD1179+6)/60/8,1)</f>
        <v>7714.3</v>
      </c>
      <c r="AC1187" s="40" t="s">
        <v>5439</v>
      </c>
      <c r="AD1187" s="7">
        <f>$AH1151+$AB1187</f>
        <v>7714.3</v>
      </c>
    </row>
    <row r="1188" spans="1:30" ht="18.399999999999999" customHeight="1">
      <c r="A1188" s="41" t="s">
        <v>6232</v>
      </c>
      <c r="B1188" s="37"/>
      <c r="C1188" s="37"/>
      <c r="D1188" s="37"/>
      <c r="E1188" s="37"/>
      <c r="F1188" s="45"/>
      <c r="K1188" s="3" t="s">
        <v>6232</v>
      </c>
    </row>
    <row r="1189" spans="1:30" ht="18.399999999999999" customHeight="1">
      <c r="A1189" s="41" t="s">
        <v>5801</v>
      </c>
      <c r="B1189" s="37"/>
      <c r="C1189" s="37"/>
      <c r="D1189" s="37"/>
      <c r="E1189" s="37"/>
      <c r="F1189" s="45"/>
      <c r="K1189" s="3" t="s">
        <v>775</v>
      </c>
    </row>
    <row r="1190" spans="1:30" ht="18.399999999999999" customHeight="1">
      <c r="A1190" s="41" t="s">
        <v>6232</v>
      </c>
      <c r="B1190" s="37"/>
      <c r="C1190" s="37"/>
      <c r="D1190" s="37"/>
      <c r="E1190" s="37"/>
      <c r="F1190" s="45"/>
      <c r="K1190" s="3" t="s">
        <v>6232</v>
      </c>
    </row>
    <row r="1191" spans="1:30" ht="18.399999999999999" customHeight="1">
      <c r="A1191" s="41" t="s">
        <v>3329</v>
      </c>
      <c r="B1191" s="37"/>
      <c r="C1191" s="37"/>
      <c r="D1191" s="37"/>
      <c r="E1191" s="37"/>
      <c r="F1191" s="45"/>
      <c r="K1191" s="3" t="s">
        <v>3091</v>
      </c>
    </row>
    <row r="1192" spans="1:30" ht="18.399999999999999" customHeight="1">
      <c r="A1192" s="41" t="s">
        <v>6232</v>
      </c>
      <c r="B1192" s="37"/>
      <c r="C1192" s="37"/>
      <c r="D1192" s="37"/>
      <c r="E1192" s="37"/>
      <c r="F1192" s="45"/>
      <c r="K1192" s="3" t="s">
        <v>6232</v>
      </c>
    </row>
    <row r="1193" spans="1:30" ht="18.399999999999999" customHeight="1">
      <c r="A1193" s="42" t="str">
        <f>CONCATENATE("     재료비:  _x001D_7,111_x001D_ * 6 / 60 = ",TEXT($AB1193,"#,##0.0"))</f>
        <v xml:space="preserve">     재료비:  _x001D_7,111_x001D_ * 6 / 60 = 0.0</v>
      </c>
      <c r="B1193" s="37">
        <f>SUM($C1193,$D1193,$E1193)</f>
        <v>0</v>
      </c>
      <c r="C1193" s="37">
        <f>$AB1193</f>
        <v>0</v>
      </c>
      <c r="D1193" s="37"/>
      <c r="E1193" s="37"/>
      <c r="F1193" s="45" t="s">
        <v>6232</v>
      </c>
      <c r="K1193" s="3" t="s">
        <v>4934</v>
      </c>
      <c r="AA1193" s="40" t="s">
        <v>2660</v>
      </c>
      <c r="AB1193" s="8">
        <f>TRUNC(중기사용료목록!E3*6/60,1)</f>
        <v>0</v>
      </c>
      <c r="AC1193" s="40" t="s">
        <v>1650</v>
      </c>
      <c r="AD1193" s="7">
        <f>$AD1151+$AB1193</f>
        <v>0</v>
      </c>
    </row>
    <row r="1194" spans="1:30" ht="18.399999999999999" customHeight="1">
      <c r="A1194" s="41" t="s">
        <v>6232</v>
      </c>
      <c r="B1194" s="37"/>
      <c r="C1194" s="37"/>
      <c r="D1194" s="37"/>
      <c r="E1194" s="37"/>
      <c r="F1194" s="45"/>
      <c r="K1194" s="3" t="s">
        <v>6232</v>
      </c>
    </row>
    <row r="1195" spans="1:30" ht="18.399999999999999" customHeight="1">
      <c r="A1195" s="42" t="str">
        <f>CONCATENATE("     노무비:  _x001D_57,077_x001D_ * 6 / 60 = ",TEXT($AB1195,"#,##0.0"))</f>
        <v xml:space="preserve">     노무비:  _x001D_57,077_x001D_ * 6 / 60 = 0.0</v>
      </c>
      <c r="B1195" s="37">
        <f>SUM($C1195,$D1195,$E1195)</f>
        <v>0</v>
      </c>
      <c r="C1195" s="37"/>
      <c r="D1195" s="37">
        <f>$AB1195</f>
        <v>0</v>
      </c>
      <c r="E1195" s="37"/>
      <c r="F1195" s="45" t="s">
        <v>6232</v>
      </c>
      <c r="K1195" s="3" t="s">
        <v>2852</v>
      </c>
      <c r="AA1195" s="40" t="s">
        <v>5305</v>
      </c>
      <c r="AB1195" s="8">
        <f>TRUNC(중기사용료목록!F3*6/60,1)</f>
        <v>0</v>
      </c>
      <c r="AC1195" s="40" t="s">
        <v>5439</v>
      </c>
      <c r="AD1195" s="7">
        <f>$AD1187+$AB1195</f>
        <v>7714.3</v>
      </c>
    </row>
    <row r="1196" spans="1:30" ht="18.399999999999999" customHeight="1">
      <c r="A1196" s="41" t="s">
        <v>6232</v>
      </c>
      <c r="B1196" s="37"/>
      <c r="C1196" s="37"/>
      <c r="D1196" s="37"/>
      <c r="E1196" s="37"/>
      <c r="F1196" s="45"/>
      <c r="K1196" s="3" t="s">
        <v>6232</v>
      </c>
    </row>
    <row r="1197" spans="1:30" ht="18.399999999999999" customHeight="1">
      <c r="A1197" s="42" t="str">
        <f>CONCATENATE("     경  비:  _x001D_30,793_x001D_ * 6 / 60 = ",TEXT($AB1197,"#,##0.0"))</f>
        <v xml:space="preserve">     경  비:  _x001D_30,793_x001D_ * 6 / 60 = 9,748.7</v>
      </c>
      <c r="B1197" s="37">
        <f>SUM($C1197,$D1197,$E1197)</f>
        <v>9748.7000000000007</v>
      </c>
      <c r="C1197" s="37"/>
      <c r="D1197" s="37"/>
      <c r="E1197" s="37">
        <f>$AB1197</f>
        <v>9748.7000000000007</v>
      </c>
      <c r="F1197" s="45" t="s">
        <v>6232</v>
      </c>
      <c r="K1197" s="3" t="s">
        <v>2058</v>
      </c>
      <c r="AA1197" s="40" t="s">
        <v>3519</v>
      </c>
      <c r="AB1197" s="8">
        <f>TRUNC(중기사용료목록!G3*6/60,1)</f>
        <v>9748.7000000000007</v>
      </c>
      <c r="AC1197" s="40" t="s">
        <v>4149</v>
      </c>
      <c r="AD1197" s="7">
        <f>$AL1151+$AB1197</f>
        <v>9748.7000000000007</v>
      </c>
    </row>
    <row r="1198" spans="1:30" ht="18.399999999999999" customHeight="1">
      <c r="A1198" s="41" t="s">
        <v>6232</v>
      </c>
      <c r="B1198" s="37"/>
      <c r="C1198" s="37"/>
      <c r="D1198" s="37"/>
      <c r="E1198" s="37"/>
      <c r="F1198" s="45"/>
      <c r="K1198" s="3" t="s">
        <v>6232</v>
      </c>
    </row>
    <row r="1199" spans="1:30" ht="18.399999999999999" customHeight="1">
      <c r="A1199" s="41" t="s">
        <v>457</v>
      </c>
      <c r="B1199" s="37"/>
      <c r="C1199" s="37"/>
      <c r="D1199" s="37"/>
      <c r="E1199" s="37"/>
      <c r="F1199" s="45"/>
      <c r="K1199" s="3" t="s">
        <v>5369</v>
      </c>
    </row>
    <row r="1200" spans="1:30" ht="18.399999999999999" customHeight="1">
      <c r="A1200" s="41" t="s">
        <v>6232</v>
      </c>
      <c r="B1200" s="37"/>
      <c r="C1200" s="37"/>
      <c r="D1200" s="37"/>
      <c r="E1200" s="37"/>
      <c r="F1200" s="45"/>
      <c r="K1200" s="3" t="s">
        <v>6232</v>
      </c>
    </row>
    <row r="1201" spans="1:38" ht="18.399999999999999" customHeight="1">
      <c r="A1201" s="42" t="e">
        <f>CONCATENATE("     재료비:  _x001D_17,279_x001D_ * CM / 60 * Qo = ",TEXT($AB1201,"#,##0.0"))</f>
        <v>#REF!</v>
      </c>
      <c r="B1201" s="37" t="e">
        <f>SUM($C1201,$D1201,$E1201)</f>
        <v>#REF!</v>
      </c>
      <c r="C1201" s="37" t="e">
        <f>$AB1201</f>
        <v>#REF!</v>
      </c>
      <c r="D1201" s="37"/>
      <c r="E1201" s="37"/>
      <c r="F1201" s="45" t="s">
        <v>6232</v>
      </c>
      <c r="K1201" s="3" t="s">
        <v>5888</v>
      </c>
      <c r="AA1201" s="40" t="s">
        <v>2660</v>
      </c>
      <c r="AB1201" s="8" t="e">
        <f>TRUNC(중기사용료목록!#REF!*$AD1179/60*$AD1183,1)</f>
        <v>#REF!</v>
      </c>
      <c r="AC1201" s="40" t="s">
        <v>1650</v>
      </c>
      <c r="AD1201" s="7" t="e">
        <f>$AD1193+$AB1201</f>
        <v>#REF!</v>
      </c>
    </row>
    <row r="1202" spans="1:38" ht="18.399999999999999" customHeight="1">
      <c r="A1202" s="41" t="s">
        <v>6232</v>
      </c>
      <c r="B1202" s="37"/>
      <c r="C1202" s="37"/>
      <c r="D1202" s="37"/>
      <c r="E1202" s="37"/>
      <c r="F1202" s="45"/>
      <c r="K1202" s="3" t="s">
        <v>6232</v>
      </c>
    </row>
    <row r="1203" spans="1:38" ht="18.399999999999999" customHeight="1">
      <c r="A1203" s="42" t="e">
        <f>CONCATENATE("     노무비:  _x001D_49,479_x001D_ * CM / 60 = ",TEXT($AB1203,"#,##0.0"))</f>
        <v>#REF!</v>
      </c>
      <c r="B1203" s="37" t="e">
        <f>SUM($C1203,$D1203,$E1203)</f>
        <v>#REF!</v>
      </c>
      <c r="C1203" s="37"/>
      <c r="D1203" s="37" t="e">
        <f>$AB1203</f>
        <v>#REF!</v>
      </c>
      <c r="E1203" s="37"/>
      <c r="F1203" s="45" t="s">
        <v>6232</v>
      </c>
      <c r="K1203" s="3" t="s">
        <v>5243</v>
      </c>
      <c r="AA1203" s="40" t="s">
        <v>5305</v>
      </c>
      <c r="AB1203" s="8" t="e">
        <f>TRUNC(중기사용료목록!#REF!*$AD1179/60,1)</f>
        <v>#REF!</v>
      </c>
      <c r="AC1203" s="40" t="s">
        <v>5439</v>
      </c>
      <c r="AD1203" s="7" t="e">
        <f>$AD1195+$AB1203</f>
        <v>#REF!</v>
      </c>
    </row>
    <row r="1204" spans="1:38" ht="18.399999999999999" customHeight="1">
      <c r="A1204" s="41" t="s">
        <v>6232</v>
      </c>
      <c r="B1204" s="37"/>
      <c r="C1204" s="37"/>
      <c r="D1204" s="37"/>
      <c r="E1204" s="37"/>
      <c r="F1204" s="45"/>
      <c r="K1204" s="3" t="s">
        <v>6232</v>
      </c>
    </row>
    <row r="1205" spans="1:38" ht="18.399999999999999" customHeight="1">
      <c r="A1205" s="42" t="e">
        <f>CONCATENATE("     경  비:  _x001D_10,347_x001D_ * CM / 60 = ",TEXT($AB1205,"#,##0.0"))</f>
        <v>#REF!</v>
      </c>
      <c r="B1205" s="37" t="e">
        <f>SUM($C1205,$D1205,$E1205)</f>
        <v>#REF!</v>
      </c>
      <c r="C1205" s="37"/>
      <c r="D1205" s="37"/>
      <c r="E1205" s="37" t="e">
        <f>$AB1205</f>
        <v>#REF!</v>
      </c>
      <c r="F1205" s="45" t="s">
        <v>6232</v>
      </c>
      <c r="K1205" s="3" t="s">
        <v>4143</v>
      </c>
      <c r="AA1205" s="40" t="s">
        <v>3519</v>
      </c>
      <c r="AB1205" s="8" t="e">
        <f>TRUNC(중기사용료목록!#REF!*$AD1179/60,1)</f>
        <v>#REF!</v>
      </c>
      <c r="AC1205" s="40" t="s">
        <v>4149</v>
      </c>
      <c r="AD1205" s="7" t="e">
        <f>$AD1197+$AB1205</f>
        <v>#REF!</v>
      </c>
    </row>
    <row r="1206" spans="1:38" ht="18.399999999999999" customHeight="1">
      <c r="A1206" s="41" t="s">
        <v>6232</v>
      </c>
      <c r="B1206" s="37"/>
      <c r="C1206" s="37"/>
      <c r="D1206" s="37"/>
      <c r="E1206" s="37"/>
      <c r="F1206" s="45"/>
      <c r="K1206" s="3" t="s">
        <v>6232</v>
      </c>
    </row>
    <row r="1207" spans="1:38" ht="18.399999999999999" customHeight="1">
      <c r="A1207" s="41" t="s">
        <v>4035</v>
      </c>
      <c r="B1207" s="37">
        <v>22076.3</v>
      </c>
      <c r="C1207" s="37">
        <v>930.4</v>
      </c>
      <c r="D1207" s="37">
        <v>17245.8</v>
      </c>
      <c r="E1207" s="37">
        <v>3900.1</v>
      </c>
      <c r="F1207" s="45"/>
      <c r="K1207" s="3" t="s">
        <v>6070</v>
      </c>
    </row>
    <row r="1208" spans="1:38" ht="18.399999999999999" customHeight="1">
      <c r="A1208" s="41" t="s">
        <v>6232</v>
      </c>
      <c r="B1208" s="37">
        <f>SUM($C1208,$D1208,$E1208)</f>
        <v>0</v>
      </c>
      <c r="C1208" s="37">
        <f>$AB1208</f>
        <v>0</v>
      </c>
      <c r="D1208" s="37">
        <f>$AF1208</f>
        <v>0</v>
      </c>
      <c r="E1208" s="37">
        <f>$AJ1208</f>
        <v>0</v>
      </c>
      <c r="F1208" s="45"/>
      <c r="K1208" s="3" t="s">
        <v>5506</v>
      </c>
      <c r="AA1208" s="40" t="s">
        <v>4586</v>
      </c>
      <c r="AB1208" s="8">
        <f>ROUND(0,2)</f>
        <v>0</v>
      </c>
      <c r="AC1208" s="40" t="s">
        <v>4161</v>
      </c>
      <c r="AD1208" s="7">
        <f>$AB1208</f>
        <v>0</v>
      </c>
      <c r="AE1208" s="40" t="s">
        <v>222</v>
      </c>
      <c r="AF1208" s="8">
        <f>ROUND(0,2)</f>
        <v>0</v>
      </c>
      <c r="AG1208" s="40" t="s">
        <v>334</v>
      </c>
      <c r="AH1208" s="7">
        <f>$AF1208</f>
        <v>0</v>
      </c>
      <c r="AI1208" s="40" t="s">
        <v>1574</v>
      </c>
      <c r="AJ1208" s="8">
        <f>ROUND(0,2)</f>
        <v>0</v>
      </c>
      <c r="AK1208" s="40" t="s">
        <v>1622</v>
      </c>
      <c r="AL1208" s="7">
        <f>$AJ1208</f>
        <v>0</v>
      </c>
    </row>
    <row r="1209" spans="1:38" ht="18.399999999999999" customHeight="1">
      <c r="A1209" s="41" t="s">
        <v>4407</v>
      </c>
      <c r="B1209" s="37" t="e">
        <f>SUM($C1209,$D1209,$E1209)</f>
        <v>#REF!</v>
      </c>
      <c r="C1209" s="37" t="e">
        <f>$AB1209</f>
        <v>#REF!</v>
      </c>
      <c r="D1209" s="37" t="e">
        <f>$AF1209</f>
        <v>#REF!</v>
      </c>
      <c r="E1209" s="37" t="e">
        <f>$AJ1209</f>
        <v>#REF!</v>
      </c>
      <c r="F1209" s="45"/>
      <c r="K1209" s="3" t="s">
        <v>4286</v>
      </c>
      <c r="AA1209" s="40" t="s">
        <v>4586</v>
      </c>
      <c r="AB1209" s="8" t="e">
        <f>TRUNC($AD1201/12,1)</f>
        <v>#REF!</v>
      </c>
      <c r="AC1209" s="40" t="s">
        <v>4161</v>
      </c>
      <c r="AD1209" s="7" t="e">
        <f>$AB1209</f>
        <v>#REF!</v>
      </c>
      <c r="AE1209" s="40" t="s">
        <v>222</v>
      </c>
      <c r="AF1209" s="8" t="e">
        <f>TRUNC($AD1203/12,1)</f>
        <v>#REF!</v>
      </c>
      <c r="AG1209" s="40" t="s">
        <v>334</v>
      </c>
      <c r="AH1209" s="7" t="e">
        <f>$AF1209</f>
        <v>#REF!</v>
      </c>
      <c r="AI1209" s="40" t="s">
        <v>1574</v>
      </c>
      <c r="AJ1209" s="8" t="e">
        <f>TRUNC($AD1205/12,1)</f>
        <v>#REF!</v>
      </c>
      <c r="AK1209" s="40" t="s">
        <v>1622</v>
      </c>
      <c r="AL1209" s="7" t="e">
        <f>$AJ1209</f>
        <v>#REF!</v>
      </c>
    </row>
    <row r="1210" spans="1:38" ht="18.399999999999999" customHeight="1">
      <c r="A1210" s="41" t="s">
        <v>6232</v>
      </c>
      <c r="B1210" s="37"/>
      <c r="C1210" s="37"/>
      <c r="D1210" s="37"/>
      <c r="E1210" s="37"/>
      <c r="F1210" s="45"/>
      <c r="K1210" s="3" t="s">
        <v>6232</v>
      </c>
    </row>
    <row r="1211" spans="1:38" ht="18.399999999999999" customHeight="1">
      <c r="A1211" s="41" t="s">
        <v>3436</v>
      </c>
      <c r="B1211" s="37">
        <v>1839.6</v>
      </c>
      <c r="C1211" s="37">
        <v>77.5</v>
      </c>
      <c r="D1211" s="37">
        <v>1437.1</v>
      </c>
      <c r="E1211" s="37">
        <v>325</v>
      </c>
      <c r="F1211" s="45"/>
      <c r="K1211" s="3" t="s">
        <v>1342</v>
      </c>
    </row>
    <row r="1212" spans="1:38" ht="18.399999999999999" customHeight="1">
      <c r="A1212" s="41" t="s">
        <v>6232</v>
      </c>
      <c r="B1212" s="37">
        <f>SUM($C1212,$D1212,$E1212)</f>
        <v>0</v>
      </c>
      <c r="C1212" s="37">
        <f>$AB1212</f>
        <v>0</v>
      </c>
      <c r="D1212" s="37">
        <f>$AF1212</f>
        <v>0</v>
      </c>
      <c r="E1212" s="37">
        <f>$AJ1212</f>
        <v>0</v>
      </c>
      <c r="F1212" s="45"/>
      <c r="K1212" s="3" t="s">
        <v>3238</v>
      </c>
      <c r="AA1212" s="40" t="s">
        <v>308</v>
      </c>
      <c r="AB1212" s="8">
        <f>ROUND(0,2)</f>
        <v>0</v>
      </c>
      <c r="AC1212" s="40" t="s">
        <v>5000</v>
      </c>
      <c r="AD1212" s="7">
        <f>$AB1212</f>
        <v>0</v>
      </c>
      <c r="AE1212" s="40" t="s">
        <v>4500</v>
      </c>
      <c r="AF1212" s="8">
        <f>ROUND(0,2)</f>
        <v>0</v>
      </c>
      <c r="AG1212" s="40" t="s">
        <v>2603</v>
      </c>
      <c r="AH1212" s="7">
        <f>$AF1212</f>
        <v>0</v>
      </c>
      <c r="AI1212" s="40" t="s">
        <v>5878</v>
      </c>
      <c r="AJ1212" s="8">
        <f>ROUND(0,2)</f>
        <v>0</v>
      </c>
      <c r="AK1212" s="40" t="s">
        <v>787</v>
      </c>
      <c r="AL1212" s="7">
        <f>$AJ1212</f>
        <v>0</v>
      </c>
    </row>
    <row r="1213" spans="1:38" ht="18.399999999999999" customHeight="1">
      <c r="A1213" s="41" t="s">
        <v>4419</v>
      </c>
      <c r="B1213" s="37" t="e">
        <f>SUM($C1213,$D1213,$E1213)</f>
        <v>#REF!</v>
      </c>
      <c r="C1213" s="37" t="e">
        <f>$AB1213</f>
        <v>#REF!</v>
      </c>
      <c r="D1213" s="37" t="e">
        <f>$AF1213</f>
        <v>#REF!</v>
      </c>
      <c r="E1213" s="37" t="e">
        <f>$AJ1213</f>
        <v>#REF!</v>
      </c>
      <c r="F1213" s="45"/>
      <c r="K1213" s="3" t="s">
        <v>2347</v>
      </c>
      <c r="AA1213" s="40" t="s">
        <v>308</v>
      </c>
      <c r="AB1213" s="8" t="e">
        <f>TRUNC($AD1209*1.097,1)</f>
        <v>#REF!</v>
      </c>
      <c r="AC1213" s="40" t="s">
        <v>5000</v>
      </c>
      <c r="AD1213" s="7" t="e">
        <f>$AB1213</f>
        <v>#REF!</v>
      </c>
      <c r="AE1213" s="40" t="s">
        <v>4500</v>
      </c>
      <c r="AF1213" s="8" t="e">
        <f>TRUNC($AH1209*1.097,1)</f>
        <v>#REF!</v>
      </c>
      <c r="AG1213" s="40" t="s">
        <v>2603</v>
      </c>
      <c r="AH1213" s="7" t="e">
        <f>$AF1213</f>
        <v>#REF!</v>
      </c>
      <c r="AI1213" s="40" t="s">
        <v>5878</v>
      </c>
      <c r="AJ1213" s="8" t="e">
        <f>TRUNC($AL1209*1.097,1)</f>
        <v>#REF!</v>
      </c>
      <c r="AK1213" s="40" t="s">
        <v>787</v>
      </c>
      <c r="AL1213" s="7" t="e">
        <f>$AJ1213</f>
        <v>#REF!</v>
      </c>
    </row>
    <row r="1214" spans="1:38" ht="18.399999999999999" customHeight="1">
      <c r="A1214" s="41" t="s">
        <v>6232</v>
      </c>
      <c r="B1214" s="37"/>
      <c r="C1214" s="37"/>
      <c r="D1214" s="37"/>
      <c r="E1214" s="37"/>
      <c r="F1214" s="45"/>
      <c r="K1214" s="3" t="s">
        <v>6232</v>
      </c>
    </row>
    <row r="1215" spans="1:38" ht="18.399999999999999" customHeight="1">
      <c r="A1215" s="41" t="s">
        <v>3436</v>
      </c>
      <c r="B1215" s="37" t="e">
        <f>SUM($C1215,$D1215,$E1215)</f>
        <v>#REF!</v>
      </c>
      <c r="C1215" s="37" t="e">
        <f>$AB1215</f>
        <v>#REF!</v>
      </c>
      <c r="D1215" s="37" t="e">
        <f>$AF1215</f>
        <v>#REF!</v>
      </c>
      <c r="E1215" s="37" t="e">
        <f>$AJ1215</f>
        <v>#REF!</v>
      </c>
      <c r="F1215" s="45"/>
      <c r="K1215" s="3" t="s">
        <v>4527</v>
      </c>
      <c r="AA1215" s="40" t="s">
        <v>4592</v>
      </c>
      <c r="AB1215" s="8" t="e">
        <f>TRUNC($AD1213,1)</f>
        <v>#REF!</v>
      </c>
      <c r="AC1215" s="40" t="s">
        <v>5149</v>
      </c>
      <c r="AD1215" s="7" t="e">
        <f>$AB1215</f>
        <v>#REF!</v>
      </c>
      <c r="AE1215" s="40" t="s">
        <v>666</v>
      </c>
      <c r="AF1215" s="8" t="e">
        <f>TRUNC($AH1213,1)</f>
        <v>#REF!</v>
      </c>
      <c r="AG1215" s="40" t="s">
        <v>2431</v>
      </c>
      <c r="AH1215" s="7" t="e">
        <f>$AF1215</f>
        <v>#REF!</v>
      </c>
      <c r="AI1215" s="40" t="s">
        <v>1930</v>
      </c>
      <c r="AJ1215" s="8" t="e">
        <f>TRUNC($AL1213,1)</f>
        <v>#REF!</v>
      </c>
      <c r="AK1215" s="40" t="s">
        <v>3349</v>
      </c>
      <c r="AL1215" s="7" t="e">
        <f>$AJ1215</f>
        <v>#REF!</v>
      </c>
    </row>
    <row r="1216" spans="1:38" ht="18.399999999999999" customHeight="1">
      <c r="A1216" s="41"/>
      <c r="B1216" s="3"/>
      <c r="C1216" s="3"/>
      <c r="D1216" s="3"/>
      <c r="E1216" s="3"/>
      <c r="F1216" s="44"/>
    </row>
    <row r="1217" spans="1:38" ht="18.399999999999999" customHeight="1">
      <c r="A1217" s="43" t="s">
        <v>3543</v>
      </c>
      <c r="B1217" s="38" t="e">
        <f>SUM($C1217,$D1217,$E1217)</f>
        <v>#REF!</v>
      </c>
      <c r="C1217" s="38" t="e">
        <f>TRUNC(SUM($AD1215),0)</f>
        <v>#REF!</v>
      </c>
      <c r="D1217" s="38" t="e">
        <f>TRUNC(SUM($AH1215),0)</f>
        <v>#REF!</v>
      </c>
      <c r="E1217" s="38" t="e">
        <f>TRUNC(SUM($AL1215),0)</f>
        <v>#REF!</v>
      </c>
      <c r="F1217" s="46"/>
    </row>
    <row r="1218" spans="1:38" ht="18.399999999999999" customHeight="1">
      <c r="A1218" s="41"/>
      <c r="B1218" s="3"/>
      <c r="C1218" s="3"/>
      <c r="D1218" s="3"/>
      <c r="E1218" s="3"/>
      <c r="F1218" s="44"/>
    </row>
    <row r="1219" spans="1:38" ht="18.399999999999999" customHeight="1">
      <c r="A1219" s="41" t="s">
        <v>1937</v>
      </c>
      <c r="B1219" s="36" t="e">
        <f>$B1292</f>
        <v>#REF!</v>
      </c>
      <c r="C1219" s="36" t="e">
        <f>$C1292</f>
        <v>#REF!</v>
      </c>
      <c r="D1219" s="36" t="e">
        <f>$D1292</f>
        <v>#REF!</v>
      </c>
      <c r="E1219" s="36" t="e">
        <f>$E1292</f>
        <v>#REF!</v>
      </c>
      <c r="F1219" s="44" t="s">
        <v>3378</v>
      </c>
      <c r="G1219" t="s">
        <v>6232</v>
      </c>
      <c r="H1219" t="s">
        <v>2304</v>
      </c>
      <c r="K1219">
        <v>1</v>
      </c>
      <c r="Y1219" s="7" t="e">
        <f>EXACT($Z1219,$B1292)</f>
        <v>#REF!</v>
      </c>
      <c r="Z1219" s="38">
        <v>1869</v>
      </c>
    </row>
    <row r="1220" spans="1:38" ht="18.399999999999999" customHeight="1">
      <c r="A1220" s="41"/>
      <c r="B1220" s="3"/>
      <c r="C1220" s="3"/>
      <c r="D1220" s="3"/>
      <c r="E1220" s="3"/>
      <c r="F1220" s="44"/>
    </row>
    <row r="1221" spans="1:38" ht="18.399999999999999" customHeight="1">
      <c r="A1221" s="41" t="s">
        <v>6232</v>
      </c>
      <c r="B1221" s="3"/>
      <c r="C1221" s="3"/>
      <c r="D1221" s="3"/>
      <c r="E1221" s="3"/>
      <c r="F1221" s="44"/>
      <c r="G1221" t="s">
        <v>6232</v>
      </c>
      <c r="I1221" t="s">
        <v>742</v>
      </c>
      <c r="J1221" t="s">
        <v>6232</v>
      </c>
      <c r="K1221" t="s">
        <v>5235</v>
      </c>
    </row>
    <row r="1222" spans="1:38" ht="18.399999999999999" customHeight="1">
      <c r="A1222" s="41" t="s">
        <v>5121</v>
      </c>
      <c r="B1222" s="37"/>
      <c r="C1222" s="37"/>
      <c r="D1222" s="37"/>
      <c r="E1222" s="37"/>
      <c r="F1222" s="45"/>
      <c r="K1222" s="3" t="s">
        <v>1181</v>
      </c>
    </row>
    <row r="1223" spans="1:38" ht="18.399999999999999" customHeight="1">
      <c r="A1223" s="41" t="s">
        <v>6232</v>
      </c>
      <c r="B1223" s="37"/>
      <c r="C1223" s="37"/>
      <c r="D1223" s="37"/>
      <c r="E1223" s="37"/>
      <c r="F1223" s="45"/>
      <c r="K1223" s="3" t="s">
        <v>6232</v>
      </c>
    </row>
    <row r="1224" spans="1:38" ht="18.399999999999999" customHeight="1">
      <c r="A1224" s="42" t="str">
        <f>CONCATENATE("                L=",TEXT($AB1224,"#,##0.0"),"   KM")</f>
        <v xml:space="preserve">                L=4.0   KM</v>
      </c>
      <c r="B1224" s="37"/>
      <c r="C1224" s="37"/>
      <c r="D1224" s="37"/>
      <c r="E1224" s="37"/>
      <c r="F1224" s="45"/>
      <c r="K1224" s="10" t="str">
        <f>SUBSTITUTE(SUBSTITUTE("                L = 4.0  _x001D_KM_x001D_","4.0",TEXT($AB1224,"#,##0.0"),1),"_x001D_","'")</f>
        <v xml:space="preserve">                L = 4.0  'KM'</v>
      </c>
      <c r="AA1224" s="39" t="s">
        <v>5842</v>
      </c>
      <c r="AB1224" s="6">
        <v>4</v>
      </c>
      <c r="AC1224" s="39" t="s">
        <v>5842</v>
      </c>
      <c r="AD1224" s="7">
        <f>$AB1224</f>
        <v>4</v>
      </c>
    </row>
    <row r="1225" spans="1:38" ht="18.399999999999999" customHeight="1">
      <c r="A1225" s="41" t="s">
        <v>6214</v>
      </c>
      <c r="B1225" s="37"/>
      <c r="C1225" s="37"/>
      <c r="D1225" s="37"/>
      <c r="E1225" s="37"/>
      <c r="F1225" s="45"/>
      <c r="K1225" s="3" t="s">
        <v>3965</v>
      </c>
    </row>
    <row r="1226" spans="1:38" ht="18.399999999999999" customHeight="1">
      <c r="A1226" s="42" t="str">
        <f>CONCATENATE("                V=",TEXT($AB1226,"#,##0.0"),"  KM/hr")</f>
        <v xml:space="preserve">                V=30.0  KM/hr</v>
      </c>
      <c r="B1226" s="37"/>
      <c r="C1226" s="37"/>
      <c r="D1226" s="37"/>
      <c r="E1226" s="37"/>
      <c r="F1226" s="45"/>
      <c r="K1226" s="10" t="str">
        <f>SUBSTITUTE(SUBSTITUTE("                V = 30.0 _x001D_KM/hr_x001D_","30.0",TEXT($AB1226,"#,##0.0"),1),"_x001D_","'")</f>
        <v xml:space="preserve">                V = 30.0 'KM/hr'</v>
      </c>
      <c r="AA1226" s="39" t="s">
        <v>247</v>
      </c>
      <c r="AB1226" s="6">
        <v>30</v>
      </c>
      <c r="AC1226" s="39" t="s">
        <v>247</v>
      </c>
      <c r="AD1226" s="7">
        <f>$AB1226</f>
        <v>30</v>
      </c>
    </row>
    <row r="1227" spans="1:38" ht="18.399999999999999" customHeight="1">
      <c r="A1227" s="41" t="s">
        <v>6232</v>
      </c>
      <c r="B1227" s="37">
        <f>SUM($C1227,$D1227,$E1227)</f>
        <v>0</v>
      </c>
      <c r="C1227" s="37">
        <f>$AB1227</f>
        <v>0</v>
      </c>
      <c r="D1227" s="37">
        <f>$AF1227</f>
        <v>0</v>
      </c>
      <c r="E1227" s="37">
        <f>$AJ1227</f>
        <v>0</v>
      </c>
      <c r="F1227" s="45"/>
      <c r="K1227" s="3" t="s">
        <v>295</v>
      </c>
      <c r="AA1227" s="40" t="s">
        <v>2660</v>
      </c>
      <c r="AB1227" s="8">
        <f>ROUND(0,2)</f>
        <v>0</v>
      </c>
      <c r="AC1227" s="40" t="s">
        <v>1650</v>
      </c>
      <c r="AD1227" s="7">
        <f>$AB1227</f>
        <v>0</v>
      </c>
      <c r="AE1227" s="40" t="s">
        <v>5305</v>
      </c>
      <c r="AF1227" s="8">
        <f>ROUND(0,2)</f>
        <v>0</v>
      </c>
      <c r="AG1227" s="40" t="s">
        <v>5439</v>
      </c>
      <c r="AH1227" s="7">
        <f>$AF1227</f>
        <v>0</v>
      </c>
      <c r="AI1227" s="40" t="s">
        <v>3519</v>
      </c>
      <c r="AJ1227" s="8">
        <f>ROUND(0,2)</f>
        <v>0</v>
      </c>
      <c r="AK1227" s="40" t="s">
        <v>4149</v>
      </c>
      <c r="AL1227" s="7">
        <f>$AJ1227</f>
        <v>0</v>
      </c>
    </row>
    <row r="1228" spans="1:38" ht="18.399999999999999" customHeight="1">
      <c r="A1228" s="41" t="s">
        <v>3557</v>
      </c>
      <c r="B1228" s="37"/>
      <c r="C1228" s="37"/>
      <c r="D1228" s="37"/>
      <c r="E1228" s="37"/>
      <c r="F1228" s="45"/>
      <c r="K1228" s="3" t="s">
        <v>5146</v>
      </c>
    </row>
    <row r="1229" spans="1:38" ht="18.399999999999999" customHeight="1">
      <c r="A1229" s="41" t="s">
        <v>6232</v>
      </c>
      <c r="B1229" s="37"/>
      <c r="C1229" s="37"/>
      <c r="D1229" s="37"/>
      <c r="E1229" s="37"/>
      <c r="F1229" s="45"/>
      <c r="K1229" s="3" t="s">
        <v>6232</v>
      </c>
    </row>
    <row r="1230" spans="1:38" ht="18.399999999999999" customHeight="1">
      <c r="A1230" s="41" t="s">
        <v>2653</v>
      </c>
      <c r="B1230" s="37"/>
      <c r="C1230" s="37"/>
      <c r="D1230" s="37"/>
      <c r="E1230" s="37"/>
      <c r="F1230" s="45"/>
      <c r="K1230" s="3" t="s">
        <v>2793</v>
      </c>
    </row>
    <row r="1231" spans="1:38" ht="18.399999999999999" customHeight="1">
      <c r="A1231" s="41" t="s">
        <v>52</v>
      </c>
      <c r="B1231" s="37"/>
      <c r="C1231" s="37"/>
      <c r="D1231" s="37"/>
      <c r="E1231" s="37"/>
      <c r="F1231" s="45"/>
      <c r="K1231" s="3" t="s">
        <v>3020</v>
      </c>
    </row>
    <row r="1232" spans="1:38" ht="18.399999999999999" customHeight="1">
      <c r="A1232" s="41" t="s">
        <v>6232</v>
      </c>
      <c r="B1232" s="37"/>
      <c r="C1232" s="37"/>
      <c r="D1232" s="37"/>
      <c r="E1232" s="37"/>
      <c r="F1232" s="45"/>
      <c r="K1232" s="3" t="s">
        <v>6232</v>
      </c>
    </row>
    <row r="1233" spans="1:30" ht="18.399999999999999" customHeight="1">
      <c r="A1233" s="41" t="s">
        <v>3700</v>
      </c>
      <c r="B1233" s="37"/>
      <c r="C1233" s="37"/>
      <c r="D1233" s="37"/>
      <c r="E1233" s="37"/>
      <c r="F1233" s="45"/>
      <c r="K1233" s="3" t="s">
        <v>2773</v>
      </c>
    </row>
    <row r="1234" spans="1:30" ht="18.399999999999999" customHeight="1">
      <c r="A1234" s="41" t="s">
        <v>679</v>
      </c>
      <c r="B1234" s="37"/>
      <c r="C1234" s="37"/>
      <c r="D1234" s="37"/>
      <c r="E1234" s="37"/>
      <c r="F1234" s="45"/>
      <c r="K1234" s="3" t="s">
        <v>1995</v>
      </c>
    </row>
    <row r="1235" spans="1:30" ht="18.399999999999999" customHeight="1">
      <c r="A1235" s="41" t="s">
        <v>5867</v>
      </c>
      <c r="B1235" s="37"/>
      <c r="C1235" s="37"/>
      <c r="D1235" s="37"/>
      <c r="E1235" s="37"/>
      <c r="F1235" s="45"/>
      <c r="K1235" s="3" t="s">
        <v>2096</v>
      </c>
    </row>
    <row r="1236" spans="1:30" ht="18.399999999999999" customHeight="1">
      <c r="A1236" s="41" t="s">
        <v>6232</v>
      </c>
      <c r="B1236" s="37"/>
      <c r="C1236" s="37"/>
      <c r="D1236" s="37"/>
      <c r="E1236" s="37"/>
      <c r="F1236" s="45"/>
      <c r="K1236" s="3" t="s">
        <v>6232</v>
      </c>
    </row>
    <row r="1237" spans="1:30" ht="18.399999999999999" customHeight="1">
      <c r="A1237" s="41" t="s">
        <v>4392</v>
      </c>
      <c r="B1237" s="37"/>
      <c r="C1237" s="37"/>
      <c r="D1237" s="37"/>
      <c r="E1237" s="37"/>
      <c r="F1237" s="45"/>
      <c r="K1237" s="3" t="s">
        <v>561</v>
      </c>
    </row>
    <row r="1238" spans="1:30" ht="18.399999999999999" customHeight="1">
      <c r="A1238" s="41" t="s">
        <v>6232</v>
      </c>
      <c r="B1238" s="37"/>
      <c r="C1238" s="37"/>
      <c r="D1238" s="37"/>
      <c r="E1238" s="37"/>
      <c r="F1238" s="45"/>
      <c r="K1238" s="3" t="s">
        <v>6232</v>
      </c>
    </row>
    <row r="1239" spans="1:30" ht="18.399999999999999" customHeight="1">
      <c r="A1239" s="41" t="s">
        <v>6134</v>
      </c>
      <c r="B1239" s="37"/>
      <c r="C1239" s="37"/>
      <c r="D1239" s="37"/>
      <c r="E1239" s="37"/>
      <c r="F1239" s="45"/>
      <c r="K1239" s="3" t="s">
        <v>4089</v>
      </c>
    </row>
    <row r="1240" spans="1:30" ht="18.399999999999999" customHeight="1">
      <c r="A1240" s="41" t="s">
        <v>6232</v>
      </c>
      <c r="B1240" s="37"/>
      <c r="C1240" s="37"/>
      <c r="D1240" s="37"/>
      <c r="E1240" s="37"/>
      <c r="F1240" s="45"/>
      <c r="K1240" s="3" t="s">
        <v>6232</v>
      </c>
    </row>
    <row r="1241" spans="1:30" ht="18.399999999999999" customHeight="1">
      <c r="A1241" s="41" t="s">
        <v>2299</v>
      </c>
      <c r="B1241" s="37"/>
      <c r="C1241" s="37"/>
      <c r="D1241" s="37"/>
      <c r="E1241" s="37"/>
      <c r="F1241" s="45"/>
      <c r="K1241" s="3" t="s">
        <v>3083</v>
      </c>
    </row>
    <row r="1242" spans="1:30" ht="18.399999999999999" customHeight="1">
      <c r="A1242" s="41" t="s">
        <v>257</v>
      </c>
      <c r="B1242" s="37"/>
      <c r="C1242" s="37"/>
      <c r="D1242" s="37"/>
      <c r="E1242" s="37"/>
      <c r="F1242" s="45"/>
      <c r="K1242" s="3" t="s">
        <v>1264</v>
      </c>
    </row>
    <row r="1243" spans="1:30" ht="18.399999999999999" customHeight="1">
      <c r="A1243" s="41" t="s">
        <v>6232</v>
      </c>
      <c r="B1243" s="37"/>
      <c r="C1243" s="37"/>
      <c r="D1243" s="37"/>
      <c r="E1243" s="37"/>
      <c r="F1243" s="45"/>
      <c r="K1243" s="3" t="s">
        <v>6232</v>
      </c>
    </row>
    <row r="1244" spans="1:30" ht="18.399999999999999" customHeight="1">
      <c r="A1244" s="42" t="str">
        <f>CONCATENATE("   - 1차당 적재량(본)         Q=",TEXT($AB1244,"#,##0.00"),"  본")</f>
        <v xml:space="preserve">   - 1차당 적재량(본)         Q=115.00  본</v>
      </c>
      <c r="B1244" s="37"/>
      <c r="C1244" s="37"/>
      <c r="D1244" s="37"/>
      <c r="E1244" s="37"/>
      <c r="F1244" s="45"/>
      <c r="K1244" s="10" t="str">
        <f>SUBSTITUTE(SUBSTITUTE("  _x001D_- 1차당 적재량(본)_x001D_        Q  =  115 _x001D_본_x001D_","115",TEXT($AB1244,"#,##0"),1),"_x001D_","'")</f>
        <v xml:space="preserve">  '- 1차당 적재량(본)'        Q  =  115 '본'</v>
      </c>
      <c r="AA1244" s="39" t="s">
        <v>4337</v>
      </c>
      <c r="AB1244" s="6">
        <v>115</v>
      </c>
      <c r="AC1244" s="39" t="s">
        <v>4337</v>
      </c>
      <c r="AD1244" s="7">
        <f>$AB1244</f>
        <v>115</v>
      </c>
    </row>
    <row r="1245" spans="1:30" ht="18.399999999999999" customHeight="1">
      <c r="A1245" s="41" t="s">
        <v>6232</v>
      </c>
      <c r="B1245" s="37"/>
      <c r="C1245" s="37"/>
      <c r="D1245" s="37"/>
      <c r="E1245" s="37"/>
      <c r="F1245" s="45"/>
      <c r="K1245" s="3" t="s">
        <v>6232</v>
      </c>
    </row>
    <row r="1246" spans="1:30" ht="18.399999999999999" customHeight="1">
      <c r="A1246" s="42" t="str">
        <f>CONCATENATE("   - 운반차량 대기시간(12M당)    T1=",TEXT($AB1246,"#,##0.0"),"  분")</f>
        <v xml:space="preserve">   - 운반차량 대기시간(12M당)    T1=3.4  분</v>
      </c>
      <c r="B1246" s="37"/>
      <c r="C1246" s="37"/>
      <c r="D1246" s="37"/>
      <c r="E1246" s="37"/>
      <c r="F1246" s="45"/>
      <c r="K1246" s="10" t="str">
        <f>SUBSTITUTE(SUBSTITUTE("  _x001D_- 운반차량 대기시간(12M당)_x001D_   T1 = 3.4 _x001D_분_x001D_","3.4",TEXT($AB1246,"#,##0.0"),1),"_x001D_","'")</f>
        <v xml:space="preserve">  '- 운반차량 대기시간(12M당)'   T1 = 3.4 '분'</v>
      </c>
      <c r="AA1246" s="39" t="s">
        <v>4528</v>
      </c>
      <c r="AB1246" s="6">
        <v>3.4</v>
      </c>
      <c r="AC1246" s="39" t="s">
        <v>4528</v>
      </c>
      <c r="AD1246" s="7">
        <f>$AB1246</f>
        <v>3.4</v>
      </c>
    </row>
    <row r="1247" spans="1:30" ht="18.399999999999999" customHeight="1">
      <c r="A1247" s="41" t="s">
        <v>6232</v>
      </c>
      <c r="B1247" s="37"/>
      <c r="C1247" s="37"/>
      <c r="D1247" s="37"/>
      <c r="E1247" s="37"/>
      <c r="F1247" s="45"/>
      <c r="K1247" s="3" t="s">
        <v>6232</v>
      </c>
    </row>
    <row r="1248" spans="1:30" ht="18.399999999999999" customHeight="1">
      <c r="A1248" s="41" t="s">
        <v>4838</v>
      </c>
      <c r="B1248" s="37"/>
      <c r="C1248" s="37"/>
      <c r="D1248" s="37"/>
      <c r="E1248" s="37"/>
      <c r="F1248" s="45"/>
      <c r="K1248" s="3" t="s">
        <v>6093</v>
      </c>
    </row>
    <row r="1249" spans="1:34" ht="18.399999999999999" customHeight="1">
      <c r="A1249" s="41" t="s">
        <v>6232</v>
      </c>
      <c r="B1249" s="37"/>
      <c r="C1249" s="37"/>
      <c r="D1249" s="37"/>
      <c r="E1249" s="37"/>
      <c r="F1249" s="45"/>
      <c r="K1249" s="3" t="s">
        <v>6232</v>
      </c>
    </row>
    <row r="1250" spans="1:34" ht="18.399999999999999" customHeight="1">
      <c r="A1250" s="42" t="str">
        <f>CONCATENATE("    T2 = (L / V * 2 * 60 + 20) / Q * 2 = ",TEXT($AF1250,"#,##0.00")," 분 ")</f>
        <v xml:space="preserve">    T2 = (L / V * 2 * 60 + 20) / Q * 2 = 0.63 분 </v>
      </c>
      <c r="B1250" s="37">
        <f>SUM($C1250,$D1250,$E1250)</f>
        <v>0</v>
      </c>
      <c r="C1250" s="37"/>
      <c r="D1250" s="37"/>
      <c r="E1250" s="37"/>
      <c r="F1250" s="45"/>
      <c r="K1250" s="3" t="s">
        <v>1389</v>
      </c>
      <c r="AA1250" s="39" t="s">
        <v>5897</v>
      </c>
      <c r="AB1250" s="8">
        <f>ROUND(($AD1224/$AD1226*2*60+20)/$AD1244*2,2)</f>
        <v>0.63</v>
      </c>
      <c r="AC1250" s="39" t="s">
        <v>2053</v>
      </c>
      <c r="AD1250" s="7">
        <f>$AB1250</f>
        <v>0.63</v>
      </c>
      <c r="AE1250" s="39" t="s">
        <v>4483</v>
      </c>
      <c r="AF1250" s="8">
        <f>ROUND(ROUND(($AD1224/$AD1226*2*60+20)/$AD1244*2,2),2)</f>
        <v>0.63</v>
      </c>
      <c r="AG1250" s="39" t="s">
        <v>1271</v>
      </c>
      <c r="AH1250" s="7">
        <f>$AF1250</f>
        <v>0.63</v>
      </c>
    </row>
    <row r="1251" spans="1:34" ht="18.399999999999999" customHeight="1">
      <c r="A1251" s="41" t="s">
        <v>6232</v>
      </c>
      <c r="B1251" s="37"/>
      <c r="C1251" s="37"/>
      <c r="D1251" s="37"/>
      <c r="E1251" s="37"/>
      <c r="F1251" s="45"/>
      <c r="K1251" s="3" t="s">
        <v>6232</v>
      </c>
    </row>
    <row r="1252" spans="1:34" ht="18.399999999999999" customHeight="1">
      <c r="A1252" s="41" t="s">
        <v>2391</v>
      </c>
      <c r="B1252" s="37"/>
      <c r="C1252" s="37"/>
      <c r="D1252" s="37"/>
      <c r="E1252" s="37"/>
      <c r="F1252" s="45"/>
      <c r="K1252" s="3" t="s">
        <v>4710</v>
      </c>
    </row>
    <row r="1253" spans="1:34" ht="18.399999999999999" customHeight="1">
      <c r="A1253" s="41" t="s">
        <v>6232</v>
      </c>
      <c r="B1253" s="37"/>
      <c r="C1253" s="37"/>
      <c r="D1253" s="37"/>
      <c r="E1253" s="37"/>
      <c r="F1253" s="45"/>
      <c r="K1253" s="3" t="s">
        <v>6232</v>
      </c>
    </row>
    <row r="1254" spans="1:34" ht="18.399999999999999" customHeight="1">
      <c r="A1254" s="42" t="str">
        <f>CONCATENATE("    CM = T1 + T2 = ",TEXT($AF1254,"#,##0.00")," 분 ")</f>
        <v xml:space="preserve">    CM = T1 + T2 = 4.03 분 </v>
      </c>
      <c r="B1254" s="37">
        <f>SUM($C1254,$D1254,$E1254)</f>
        <v>0</v>
      </c>
      <c r="C1254" s="37"/>
      <c r="D1254" s="37"/>
      <c r="E1254" s="37"/>
      <c r="F1254" s="45"/>
      <c r="K1254" s="3" t="s">
        <v>6049</v>
      </c>
      <c r="AA1254" s="39" t="s">
        <v>5026</v>
      </c>
      <c r="AB1254" s="8">
        <f>ROUND($AD1246+$AD1250,2)</f>
        <v>4.03</v>
      </c>
      <c r="AC1254" s="39" t="s">
        <v>289</v>
      </c>
      <c r="AD1254" s="7">
        <f>$AB1254</f>
        <v>4.03</v>
      </c>
      <c r="AE1254" s="39" t="s">
        <v>4381</v>
      </c>
      <c r="AF1254" s="8">
        <f>ROUND(ROUND($AD1246+$AD1250,2),2)</f>
        <v>4.03</v>
      </c>
      <c r="AG1254" s="39" t="s">
        <v>5010</v>
      </c>
      <c r="AH1254" s="7">
        <f>$AF1254</f>
        <v>4.03</v>
      </c>
    </row>
    <row r="1255" spans="1:34" ht="18.399999999999999" customHeight="1">
      <c r="A1255" s="41" t="s">
        <v>6232</v>
      </c>
      <c r="B1255" s="37"/>
      <c r="C1255" s="37"/>
      <c r="D1255" s="37"/>
      <c r="E1255" s="37"/>
      <c r="F1255" s="45"/>
      <c r="K1255" s="3" t="s">
        <v>6232</v>
      </c>
    </row>
    <row r="1256" spans="1:34" ht="18.399999999999999" customHeight="1">
      <c r="A1256" s="41" t="s">
        <v>5848</v>
      </c>
      <c r="B1256" s="37"/>
      <c r="C1256" s="37"/>
      <c r="D1256" s="37"/>
      <c r="E1256" s="37"/>
      <c r="F1256" s="45"/>
      <c r="K1256" s="3" t="s">
        <v>788</v>
      </c>
    </row>
    <row r="1257" spans="1:34" ht="18.399999999999999" customHeight="1">
      <c r="A1257" s="41" t="s">
        <v>6232</v>
      </c>
      <c r="B1257" s="37"/>
      <c r="C1257" s="37"/>
      <c r="D1257" s="37"/>
      <c r="E1257" s="37"/>
      <c r="F1257" s="45"/>
      <c r="K1257" s="3" t="s">
        <v>6232</v>
      </c>
    </row>
    <row r="1258" spans="1:34" ht="18.399999999999999" customHeight="1">
      <c r="A1258" s="42" t="str">
        <f>CONCATENATE("    Qo = T2 / CM = ",TEXT($AF1258,"#,##0.00")," 분 ")</f>
        <v xml:space="preserve">    Qo = T2 / CM = 0.16 분 </v>
      </c>
      <c r="B1258" s="37">
        <f>SUM($C1258,$D1258,$E1258)</f>
        <v>0</v>
      </c>
      <c r="C1258" s="37"/>
      <c r="D1258" s="37"/>
      <c r="E1258" s="37"/>
      <c r="F1258" s="45"/>
      <c r="K1258" s="3" t="s">
        <v>882</v>
      </c>
      <c r="AA1258" s="39" t="s">
        <v>1501</v>
      </c>
      <c r="AB1258" s="8">
        <f>ROUND($AD1250/$AD1254,2)</f>
        <v>0.16</v>
      </c>
      <c r="AC1258" s="39" t="s">
        <v>2425</v>
      </c>
      <c r="AD1258" s="7">
        <f>$AB1258</f>
        <v>0.16</v>
      </c>
      <c r="AE1258" s="39" t="s">
        <v>3927</v>
      </c>
      <c r="AF1258" s="8">
        <f>ROUND(ROUND($AD1250/$AD1254,2),2)</f>
        <v>0.16</v>
      </c>
      <c r="AG1258" s="39" t="s">
        <v>3120</v>
      </c>
      <c r="AH1258" s="7">
        <f>$AF1258</f>
        <v>0.16</v>
      </c>
    </row>
    <row r="1259" spans="1:34" ht="18.399999999999999" customHeight="1">
      <c r="A1259" s="41" t="s">
        <v>6232</v>
      </c>
      <c r="B1259" s="37"/>
      <c r="C1259" s="37"/>
      <c r="D1259" s="37"/>
      <c r="E1259" s="37"/>
      <c r="F1259" s="45"/>
      <c r="K1259" s="3" t="s">
        <v>6232</v>
      </c>
    </row>
    <row r="1260" spans="1:34" ht="18.399999999999999" customHeight="1">
      <c r="A1260" s="41" t="s">
        <v>78</v>
      </c>
      <c r="B1260" s="37"/>
      <c r="C1260" s="37"/>
      <c r="D1260" s="37"/>
      <c r="E1260" s="37"/>
      <c r="F1260" s="45"/>
      <c r="K1260" s="3" t="s">
        <v>5459</v>
      </c>
    </row>
    <row r="1261" spans="1:34" ht="18.399999999999999" customHeight="1">
      <c r="A1261" s="41" t="s">
        <v>6232</v>
      </c>
      <c r="B1261" s="37"/>
      <c r="C1261" s="37"/>
      <c r="D1261" s="37"/>
      <c r="E1261" s="37"/>
      <c r="F1261" s="45"/>
      <c r="K1261" s="3" t="s">
        <v>6232</v>
      </c>
    </row>
    <row r="1262" spans="1:34" ht="18.399999999999999" customHeight="1">
      <c r="A1262" s="42" t="str">
        <f>CONCATENATE("      보통인부 :  2.0 인  * _x001D_169,804_x001D_ * (CM + 6 ) / 60 / 8 = ",TEXT($AB1262,"#,##0.0"))</f>
        <v xml:space="preserve">      보통인부 :  2.0 인  * _x001D_169,804_x001D_ * (CM + 6 ) / 60 / 8 = 7,191.0</v>
      </c>
      <c r="B1262" s="37">
        <f>SUM($C1262,$D1262,$E1262)</f>
        <v>7191</v>
      </c>
      <c r="C1262" s="37"/>
      <c r="D1262" s="37">
        <f>$AB1262</f>
        <v>7191</v>
      </c>
      <c r="E1262" s="37"/>
      <c r="F1262" s="45" t="s">
        <v>6232</v>
      </c>
      <c r="K1262" s="3" t="s">
        <v>3933</v>
      </c>
      <c r="AA1262" s="40" t="s">
        <v>5305</v>
      </c>
      <c r="AB1262" s="8">
        <f>TRUNC(2*노임!D3*($AD1254+6)/60/8,1)</f>
        <v>7191</v>
      </c>
      <c r="AC1262" s="40" t="s">
        <v>5439</v>
      </c>
      <c r="AD1262" s="7">
        <f>$AH1227+$AB1262</f>
        <v>7191</v>
      </c>
    </row>
    <row r="1263" spans="1:34" ht="18.399999999999999" customHeight="1">
      <c r="A1263" s="41" t="s">
        <v>6232</v>
      </c>
      <c r="B1263" s="37"/>
      <c r="C1263" s="37"/>
      <c r="D1263" s="37"/>
      <c r="E1263" s="37"/>
      <c r="F1263" s="45"/>
      <c r="K1263" s="3" t="s">
        <v>6232</v>
      </c>
    </row>
    <row r="1264" spans="1:34" ht="18.399999999999999" customHeight="1">
      <c r="A1264" s="41" t="s">
        <v>1528</v>
      </c>
      <c r="B1264" s="37"/>
      <c r="C1264" s="37"/>
      <c r="D1264" s="37"/>
      <c r="E1264" s="37"/>
      <c r="F1264" s="45"/>
      <c r="K1264" s="3" t="s">
        <v>3746</v>
      </c>
    </row>
    <row r="1265" spans="1:30" ht="18.399999999999999" customHeight="1">
      <c r="A1265" s="41" t="s">
        <v>6232</v>
      </c>
      <c r="B1265" s="37"/>
      <c r="C1265" s="37"/>
      <c r="D1265" s="37"/>
      <c r="E1265" s="37"/>
      <c r="F1265" s="45"/>
      <c r="K1265" s="3" t="s">
        <v>6232</v>
      </c>
    </row>
    <row r="1266" spans="1:30" ht="18.399999999999999" customHeight="1">
      <c r="A1266" s="41" t="s">
        <v>3329</v>
      </c>
      <c r="B1266" s="37"/>
      <c r="C1266" s="37"/>
      <c r="D1266" s="37"/>
      <c r="E1266" s="37"/>
      <c r="F1266" s="45"/>
      <c r="K1266" s="3" t="s">
        <v>3091</v>
      </c>
    </row>
    <row r="1267" spans="1:30" ht="18.399999999999999" customHeight="1">
      <c r="A1267" s="41" t="s">
        <v>6232</v>
      </c>
      <c r="B1267" s="37"/>
      <c r="C1267" s="37"/>
      <c r="D1267" s="37"/>
      <c r="E1267" s="37"/>
      <c r="F1267" s="45"/>
      <c r="K1267" s="3" t="s">
        <v>6232</v>
      </c>
    </row>
    <row r="1268" spans="1:30" ht="18.399999999999999" customHeight="1">
      <c r="A1268" s="42" t="str">
        <f>CONCATENATE("     재료비:  _x001D_8,795_x001D_ * 5.1 / 60 = ",TEXT($AB1268,"#,##0.0"))</f>
        <v xml:space="preserve">     재료비:  _x001D_8,795_x001D_ * 5.1 / 60 = 0.0</v>
      </c>
      <c r="B1268" s="37">
        <f>SUM($C1268,$D1268,$E1268)</f>
        <v>0</v>
      </c>
      <c r="C1268" s="37">
        <f>$AB1268</f>
        <v>0</v>
      </c>
      <c r="D1268" s="37"/>
      <c r="E1268" s="37"/>
      <c r="F1268" s="45" t="s">
        <v>6232</v>
      </c>
      <c r="K1268" s="3" t="s">
        <v>184</v>
      </c>
      <c r="AA1268" s="40" t="s">
        <v>2660</v>
      </c>
      <c r="AB1268" s="8">
        <f>TRUNC(중기사용료목록!E4*5.1/60,1)</f>
        <v>0</v>
      </c>
      <c r="AC1268" s="40" t="s">
        <v>1650</v>
      </c>
      <c r="AD1268" s="7">
        <f>$AD1227+$AB1268</f>
        <v>0</v>
      </c>
    </row>
    <row r="1269" spans="1:30" ht="18.399999999999999" customHeight="1">
      <c r="A1269" s="41" t="s">
        <v>6232</v>
      </c>
      <c r="B1269" s="37"/>
      <c r="C1269" s="37"/>
      <c r="D1269" s="37"/>
      <c r="E1269" s="37"/>
      <c r="F1269" s="45"/>
      <c r="K1269" s="3" t="s">
        <v>6232</v>
      </c>
    </row>
    <row r="1270" spans="1:30" ht="18.399999999999999" customHeight="1">
      <c r="A1270" s="42" t="str">
        <f>CONCATENATE("     노무비:  _x001D_57,077_x001D_ * 5.1 / 60 = ",TEXT($AB1270,"#,##0.0"))</f>
        <v xml:space="preserve">     노무비:  _x001D_57,077_x001D_ * 5.1 / 60 = 0.0</v>
      </c>
      <c r="B1270" s="37">
        <f>SUM($C1270,$D1270,$E1270)</f>
        <v>0</v>
      </c>
      <c r="C1270" s="37"/>
      <c r="D1270" s="37">
        <f>$AB1270</f>
        <v>0</v>
      </c>
      <c r="E1270" s="37"/>
      <c r="F1270" s="45" t="s">
        <v>6232</v>
      </c>
      <c r="K1270" s="3" t="s">
        <v>5501</v>
      </c>
      <c r="AA1270" s="40" t="s">
        <v>5305</v>
      </c>
      <c r="AB1270" s="8">
        <f>TRUNC(중기사용료목록!F4*5.1/60,1)</f>
        <v>0</v>
      </c>
      <c r="AC1270" s="40" t="s">
        <v>5439</v>
      </c>
      <c r="AD1270" s="7">
        <f>$AD1262+$AB1270</f>
        <v>7191</v>
      </c>
    </row>
    <row r="1271" spans="1:30" ht="18.399999999999999" customHeight="1">
      <c r="A1271" s="41" t="s">
        <v>6232</v>
      </c>
      <c r="B1271" s="37"/>
      <c r="C1271" s="37"/>
      <c r="D1271" s="37"/>
      <c r="E1271" s="37"/>
      <c r="F1271" s="45"/>
      <c r="K1271" s="3" t="s">
        <v>6232</v>
      </c>
    </row>
    <row r="1272" spans="1:30" ht="18.399999999999999" customHeight="1">
      <c r="A1272" s="42" t="str">
        <f>CONCATENATE("     경  비:  _x001D_41,995_x001D_ * 5.1 / 60 = ",TEXT($AB1272,"#,##0.0"))</f>
        <v xml:space="preserve">     경  비:  _x001D_41,995_x001D_ * 5.1 / 60 = 9,407.6</v>
      </c>
      <c r="B1272" s="37">
        <f>SUM($C1272,$D1272,$E1272)</f>
        <v>9407.6</v>
      </c>
      <c r="C1272" s="37"/>
      <c r="D1272" s="37"/>
      <c r="E1272" s="37">
        <f>$AB1272</f>
        <v>9407.6</v>
      </c>
      <c r="F1272" s="45" t="s">
        <v>6232</v>
      </c>
      <c r="K1272" s="3" t="s">
        <v>905</v>
      </c>
      <c r="AA1272" s="40" t="s">
        <v>3519</v>
      </c>
      <c r="AB1272" s="8">
        <f>TRUNC(중기사용료목록!G4*5.1/60,1)</f>
        <v>9407.6</v>
      </c>
      <c r="AC1272" s="40" t="s">
        <v>4149</v>
      </c>
      <c r="AD1272" s="7">
        <f>$AL1227+$AB1272</f>
        <v>9407.6</v>
      </c>
    </row>
    <row r="1273" spans="1:30" ht="18.399999999999999" customHeight="1">
      <c r="A1273" s="41" t="s">
        <v>6232</v>
      </c>
      <c r="B1273" s="37"/>
      <c r="C1273" s="37"/>
      <c r="D1273" s="37"/>
      <c r="E1273" s="37"/>
      <c r="F1273" s="45"/>
      <c r="K1273" s="3" t="s">
        <v>6232</v>
      </c>
    </row>
    <row r="1274" spans="1:30" ht="18.399999999999999" customHeight="1">
      <c r="A1274" s="41" t="s">
        <v>4024</v>
      </c>
      <c r="B1274" s="37"/>
      <c r="C1274" s="37"/>
      <c r="D1274" s="37"/>
      <c r="E1274" s="37"/>
      <c r="F1274" s="45"/>
      <c r="K1274" s="3" t="s">
        <v>4460</v>
      </c>
    </row>
    <row r="1275" spans="1:30" ht="18.399999999999999" customHeight="1">
      <c r="A1275" s="41" t="s">
        <v>6232</v>
      </c>
      <c r="B1275" s="37"/>
      <c r="C1275" s="37"/>
      <c r="D1275" s="37"/>
      <c r="E1275" s="37"/>
      <c r="F1275" s="45"/>
      <c r="K1275" s="3" t="s">
        <v>6232</v>
      </c>
    </row>
    <row r="1276" spans="1:30" ht="18.399999999999999" customHeight="1">
      <c r="A1276" s="42" t="e">
        <f>CONCATENATE("     재료비:  _x001D_17,279_x001D_ * CM / 60 * Qo = ",TEXT($AB1276,"#,##0.0"))</f>
        <v>#REF!</v>
      </c>
      <c r="B1276" s="37" t="e">
        <f>SUM($C1276,$D1276,$E1276)</f>
        <v>#REF!</v>
      </c>
      <c r="C1276" s="37" t="e">
        <f>$AB1276</f>
        <v>#REF!</v>
      </c>
      <c r="D1276" s="37"/>
      <c r="E1276" s="37"/>
      <c r="F1276" s="45" t="s">
        <v>6232</v>
      </c>
      <c r="K1276" s="3" t="s">
        <v>5888</v>
      </c>
      <c r="AA1276" s="40" t="s">
        <v>2660</v>
      </c>
      <c r="AB1276" s="8" t="e">
        <f>TRUNC(중기사용료목록!#REF!*$AD1254/60*$AD1258,1)</f>
        <v>#REF!</v>
      </c>
      <c r="AC1276" s="40" t="s">
        <v>1650</v>
      </c>
      <c r="AD1276" s="7" t="e">
        <f>$AD1268+$AB1276</f>
        <v>#REF!</v>
      </c>
    </row>
    <row r="1277" spans="1:30" ht="18.399999999999999" customHeight="1">
      <c r="A1277" s="41" t="s">
        <v>6232</v>
      </c>
      <c r="B1277" s="37"/>
      <c r="C1277" s="37"/>
      <c r="D1277" s="37"/>
      <c r="E1277" s="37"/>
      <c r="F1277" s="45"/>
      <c r="K1277" s="3" t="s">
        <v>6232</v>
      </c>
    </row>
    <row r="1278" spans="1:30" ht="18.399999999999999" customHeight="1">
      <c r="A1278" s="42" t="e">
        <f>CONCATENATE("     노무비:  _x001D_49,479_x001D_ * CM / 60 = ",TEXT($AB1278,"#,##0.0"))</f>
        <v>#REF!</v>
      </c>
      <c r="B1278" s="37" t="e">
        <f>SUM($C1278,$D1278,$E1278)</f>
        <v>#REF!</v>
      </c>
      <c r="C1278" s="37"/>
      <c r="D1278" s="37" t="e">
        <f>$AB1278</f>
        <v>#REF!</v>
      </c>
      <c r="E1278" s="37"/>
      <c r="F1278" s="45" t="s">
        <v>6232</v>
      </c>
      <c r="K1278" s="3" t="s">
        <v>5243</v>
      </c>
      <c r="AA1278" s="40" t="s">
        <v>5305</v>
      </c>
      <c r="AB1278" s="8" t="e">
        <f>TRUNC(중기사용료목록!#REF!*$AD1254/60,1)</f>
        <v>#REF!</v>
      </c>
      <c r="AC1278" s="40" t="s">
        <v>5439</v>
      </c>
      <c r="AD1278" s="7" t="e">
        <f>$AD1270+$AB1278</f>
        <v>#REF!</v>
      </c>
    </row>
    <row r="1279" spans="1:30" ht="18.399999999999999" customHeight="1">
      <c r="A1279" s="41" t="s">
        <v>6232</v>
      </c>
      <c r="B1279" s="37"/>
      <c r="C1279" s="37"/>
      <c r="D1279" s="37"/>
      <c r="E1279" s="37"/>
      <c r="F1279" s="45"/>
      <c r="K1279" s="3" t="s">
        <v>6232</v>
      </c>
    </row>
    <row r="1280" spans="1:30" ht="18.399999999999999" customHeight="1">
      <c r="A1280" s="42" t="e">
        <f>CONCATENATE("     경  비:  _x001D_10,347_x001D_ * CM / 60 = ",TEXT($AB1280,"#,##0.0"))</f>
        <v>#REF!</v>
      </c>
      <c r="B1280" s="37" t="e">
        <f>SUM($C1280,$D1280,$E1280)</f>
        <v>#REF!</v>
      </c>
      <c r="C1280" s="37"/>
      <c r="D1280" s="37"/>
      <c r="E1280" s="37" t="e">
        <f>$AB1280</f>
        <v>#REF!</v>
      </c>
      <c r="F1280" s="45" t="s">
        <v>6232</v>
      </c>
      <c r="K1280" s="3" t="s">
        <v>4143</v>
      </c>
      <c r="AA1280" s="40" t="s">
        <v>3519</v>
      </c>
      <c r="AB1280" s="8" t="e">
        <f>TRUNC(중기사용료목록!#REF!*$AD1254/60,1)</f>
        <v>#REF!</v>
      </c>
      <c r="AC1280" s="40" t="s">
        <v>4149</v>
      </c>
      <c r="AD1280" s="7" t="e">
        <f>$AD1272+$AB1280</f>
        <v>#REF!</v>
      </c>
    </row>
    <row r="1281" spans="1:38" ht="18.399999999999999" customHeight="1">
      <c r="A1281" s="41" t="s">
        <v>6232</v>
      </c>
      <c r="B1281" s="37"/>
      <c r="C1281" s="37"/>
      <c r="D1281" s="37"/>
      <c r="E1281" s="37"/>
      <c r="F1281" s="45"/>
      <c r="K1281" s="3" t="s">
        <v>6232</v>
      </c>
    </row>
    <row r="1282" spans="1:38" ht="18.399999999999999" customHeight="1">
      <c r="A1282" s="41" t="s">
        <v>4035</v>
      </c>
      <c r="B1282" s="37">
        <v>20468.600000000002</v>
      </c>
      <c r="C1282" s="37">
        <v>933.1</v>
      </c>
      <c r="D1282" s="37">
        <v>15271.1</v>
      </c>
      <c r="E1282" s="37">
        <v>4264.3999999999996</v>
      </c>
      <c r="F1282" s="45"/>
      <c r="K1282" s="3" t="s">
        <v>6070</v>
      </c>
    </row>
    <row r="1283" spans="1:38" ht="18.399999999999999" customHeight="1">
      <c r="A1283" s="41" t="s">
        <v>6232</v>
      </c>
      <c r="B1283" s="37">
        <f>SUM($C1283,$D1283,$E1283)</f>
        <v>0</v>
      </c>
      <c r="C1283" s="37">
        <f>$AB1283</f>
        <v>0</v>
      </c>
      <c r="D1283" s="37">
        <f>$AF1283</f>
        <v>0</v>
      </c>
      <c r="E1283" s="37">
        <f>$AJ1283</f>
        <v>0</v>
      </c>
      <c r="F1283" s="45"/>
      <c r="K1283" s="3" t="s">
        <v>5506</v>
      </c>
      <c r="AA1283" s="40" t="s">
        <v>4586</v>
      </c>
      <c r="AB1283" s="8">
        <f>ROUND(0,2)</f>
        <v>0</v>
      </c>
      <c r="AC1283" s="40" t="s">
        <v>4161</v>
      </c>
      <c r="AD1283" s="7">
        <f>$AB1283</f>
        <v>0</v>
      </c>
      <c r="AE1283" s="40" t="s">
        <v>222</v>
      </c>
      <c r="AF1283" s="8">
        <f>ROUND(0,2)</f>
        <v>0</v>
      </c>
      <c r="AG1283" s="40" t="s">
        <v>334</v>
      </c>
      <c r="AH1283" s="7">
        <f>$AF1283</f>
        <v>0</v>
      </c>
      <c r="AI1283" s="40" t="s">
        <v>1574</v>
      </c>
      <c r="AJ1283" s="8">
        <f>ROUND(0,2)</f>
        <v>0</v>
      </c>
      <c r="AK1283" s="40" t="s">
        <v>1622</v>
      </c>
      <c r="AL1283" s="7">
        <f>$AJ1283</f>
        <v>0</v>
      </c>
    </row>
    <row r="1284" spans="1:38" ht="18.399999999999999" customHeight="1">
      <c r="A1284" s="41" t="s">
        <v>2326</v>
      </c>
      <c r="B1284" s="37" t="e">
        <f>SUM($C1284,$D1284,$E1284)</f>
        <v>#REF!</v>
      </c>
      <c r="C1284" s="37" t="e">
        <f>$AB1284</f>
        <v>#REF!</v>
      </c>
      <c r="D1284" s="37" t="e">
        <f>$AF1284</f>
        <v>#REF!</v>
      </c>
      <c r="E1284" s="37" t="e">
        <f>$AJ1284</f>
        <v>#REF!</v>
      </c>
      <c r="F1284" s="45"/>
      <c r="K1284" s="3" t="s">
        <v>4286</v>
      </c>
      <c r="AA1284" s="40" t="s">
        <v>4586</v>
      </c>
      <c r="AB1284" s="8" t="e">
        <f>TRUNC($AD1276/12,1)</f>
        <v>#REF!</v>
      </c>
      <c r="AC1284" s="40" t="s">
        <v>4161</v>
      </c>
      <c r="AD1284" s="7" t="e">
        <f>$AB1284</f>
        <v>#REF!</v>
      </c>
      <c r="AE1284" s="40" t="s">
        <v>222</v>
      </c>
      <c r="AF1284" s="8" t="e">
        <f>TRUNC($AD1278/12,1)</f>
        <v>#REF!</v>
      </c>
      <c r="AG1284" s="40" t="s">
        <v>334</v>
      </c>
      <c r="AH1284" s="7" t="e">
        <f>$AF1284</f>
        <v>#REF!</v>
      </c>
      <c r="AI1284" s="40" t="s">
        <v>1574</v>
      </c>
      <c r="AJ1284" s="8" t="e">
        <f>TRUNC($AD1280/12,1)</f>
        <v>#REF!</v>
      </c>
      <c r="AK1284" s="40" t="s">
        <v>1622</v>
      </c>
      <c r="AL1284" s="7" t="e">
        <f>$AJ1284</f>
        <v>#REF!</v>
      </c>
    </row>
    <row r="1285" spans="1:38" ht="18.399999999999999" customHeight="1">
      <c r="A1285" s="41" t="s">
        <v>6232</v>
      </c>
      <c r="B1285" s="37"/>
      <c r="C1285" s="37"/>
      <c r="D1285" s="37"/>
      <c r="E1285" s="37"/>
      <c r="F1285" s="45"/>
      <c r="K1285" s="3" t="s">
        <v>6232</v>
      </c>
    </row>
    <row r="1286" spans="1:38" ht="18.399999999999999" customHeight="1">
      <c r="A1286" s="41" t="s">
        <v>3436</v>
      </c>
      <c r="B1286" s="37">
        <v>1705.5</v>
      </c>
      <c r="C1286" s="37">
        <v>77.7</v>
      </c>
      <c r="D1286" s="37">
        <v>1272.5</v>
      </c>
      <c r="E1286" s="37">
        <v>355.3</v>
      </c>
      <c r="F1286" s="45"/>
      <c r="K1286" s="3" t="s">
        <v>1342</v>
      </c>
    </row>
    <row r="1287" spans="1:38" ht="18.399999999999999" customHeight="1">
      <c r="A1287" s="41" t="s">
        <v>6232</v>
      </c>
      <c r="B1287" s="37">
        <f>SUM($C1287,$D1287,$E1287)</f>
        <v>0</v>
      </c>
      <c r="C1287" s="37">
        <f>$AB1287</f>
        <v>0</v>
      </c>
      <c r="D1287" s="37">
        <f>$AF1287</f>
        <v>0</v>
      </c>
      <c r="E1287" s="37">
        <f>$AJ1287</f>
        <v>0</v>
      </c>
      <c r="F1287" s="45"/>
      <c r="K1287" s="3" t="s">
        <v>3238</v>
      </c>
      <c r="AA1287" s="40" t="s">
        <v>308</v>
      </c>
      <c r="AB1287" s="8">
        <f>ROUND(0,2)</f>
        <v>0</v>
      </c>
      <c r="AC1287" s="40" t="s">
        <v>5000</v>
      </c>
      <c r="AD1287" s="7">
        <f>$AB1287</f>
        <v>0</v>
      </c>
      <c r="AE1287" s="40" t="s">
        <v>4500</v>
      </c>
      <c r="AF1287" s="8">
        <f>ROUND(0,2)</f>
        <v>0</v>
      </c>
      <c r="AG1287" s="40" t="s">
        <v>2603</v>
      </c>
      <c r="AH1287" s="7">
        <f>$AF1287</f>
        <v>0</v>
      </c>
      <c r="AI1287" s="40" t="s">
        <v>5878</v>
      </c>
      <c r="AJ1287" s="8">
        <f>ROUND(0,2)</f>
        <v>0</v>
      </c>
      <c r="AK1287" s="40" t="s">
        <v>787</v>
      </c>
      <c r="AL1287" s="7">
        <f>$AJ1287</f>
        <v>0</v>
      </c>
    </row>
    <row r="1288" spans="1:38" ht="18.399999999999999" customHeight="1">
      <c r="A1288" s="41" t="s">
        <v>5629</v>
      </c>
      <c r="B1288" s="37" t="e">
        <f>SUM($C1288,$D1288,$E1288)</f>
        <v>#REF!</v>
      </c>
      <c r="C1288" s="37" t="e">
        <f>$AB1288</f>
        <v>#REF!</v>
      </c>
      <c r="D1288" s="37" t="e">
        <f>$AF1288</f>
        <v>#REF!</v>
      </c>
      <c r="E1288" s="37" t="e">
        <f>$AJ1288</f>
        <v>#REF!</v>
      </c>
      <c r="F1288" s="45"/>
      <c r="K1288" s="3" t="s">
        <v>2347</v>
      </c>
      <c r="AA1288" s="40" t="s">
        <v>308</v>
      </c>
      <c r="AB1288" s="8" t="e">
        <f>TRUNC($AD1284*1.097,1)</f>
        <v>#REF!</v>
      </c>
      <c r="AC1288" s="40" t="s">
        <v>5000</v>
      </c>
      <c r="AD1288" s="7" t="e">
        <f>$AB1288</f>
        <v>#REF!</v>
      </c>
      <c r="AE1288" s="40" t="s">
        <v>4500</v>
      </c>
      <c r="AF1288" s="8" t="e">
        <f>TRUNC($AH1284*1.097,1)</f>
        <v>#REF!</v>
      </c>
      <c r="AG1288" s="40" t="s">
        <v>2603</v>
      </c>
      <c r="AH1288" s="7" t="e">
        <f>$AF1288</f>
        <v>#REF!</v>
      </c>
      <c r="AI1288" s="40" t="s">
        <v>5878</v>
      </c>
      <c r="AJ1288" s="8" t="e">
        <f>TRUNC($AL1284*1.097,1)</f>
        <v>#REF!</v>
      </c>
      <c r="AK1288" s="40" t="s">
        <v>787</v>
      </c>
      <c r="AL1288" s="7" t="e">
        <f>$AJ1288</f>
        <v>#REF!</v>
      </c>
    </row>
    <row r="1289" spans="1:38" ht="18.399999999999999" customHeight="1">
      <c r="A1289" s="41" t="s">
        <v>6232</v>
      </c>
      <c r="B1289" s="37"/>
      <c r="C1289" s="37"/>
      <c r="D1289" s="37"/>
      <c r="E1289" s="37"/>
      <c r="F1289" s="45"/>
      <c r="K1289" s="3" t="s">
        <v>6232</v>
      </c>
    </row>
    <row r="1290" spans="1:38" ht="18.399999999999999" customHeight="1">
      <c r="A1290" s="41" t="s">
        <v>3436</v>
      </c>
      <c r="B1290" s="37" t="e">
        <f>SUM($C1290,$D1290,$E1290)</f>
        <v>#REF!</v>
      </c>
      <c r="C1290" s="37" t="e">
        <f>$AB1290</f>
        <v>#REF!</v>
      </c>
      <c r="D1290" s="37" t="e">
        <f>$AF1290</f>
        <v>#REF!</v>
      </c>
      <c r="E1290" s="37" t="e">
        <f>$AJ1290</f>
        <v>#REF!</v>
      </c>
      <c r="F1290" s="45"/>
      <c r="K1290" s="3" t="s">
        <v>4527</v>
      </c>
      <c r="AA1290" s="40" t="s">
        <v>4592</v>
      </c>
      <c r="AB1290" s="8" t="e">
        <f>TRUNC($AD1288,1)</f>
        <v>#REF!</v>
      </c>
      <c r="AC1290" s="40" t="s">
        <v>5149</v>
      </c>
      <c r="AD1290" s="7" t="e">
        <f>$AB1290</f>
        <v>#REF!</v>
      </c>
      <c r="AE1290" s="40" t="s">
        <v>666</v>
      </c>
      <c r="AF1290" s="8" t="e">
        <f>TRUNC($AH1288,1)</f>
        <v>#REF!</v>
      </c>
      <c r="AG1290" s="40" t="s">
        <v>2431</v>
      </c>
      <c r="AH1290" s="7" t="e">
        <f>$AF1290</f>
        <v>#REF!</v>
      </c>
      <c r="AI1290" s="40" t="s">
        <v>1930</v>
      </c>
      <c r="AJ1290" s="8" t="e">
        <f>TRUNC($AL1288,1)</f>
        <v>#REF!</v>
      </c>
      <c r="AK1290" s="40" t="s">
        <v>3349</v>
      </c>
      <c r="AL1290" s="7" t="e">
        <f>$AJ1290</f>
        <v>#REF!</v>
      </c>
    </row>
    <row r="1291" spans="1:38" ht="18.399999999999999" customHeight="1">
      <c r="A1291" s="41"/>
      <c r="B1291" s="3"/>
      <c r="C1291" s="3"/>
      <c r="D1291" s="3"/>
      <c r="E1291" s="3"/>
      <c r="F1291" s="44"/>
    </row>
    <row r="1292" spans="1:38" ht="18.399999999999999" customHeight="1">
      <c r="A1292" s="43" t="s">
        <v>3543</v>
      </c>
      <c r="B1292" s="38" t="e">
        <f>SUM($C1292,$D1292,$E1292)</f>
        <v>#REF!</v>
      </c>
      <c r="C1292" s="38" t="e">
        <f>TRUNC(SUM($AD1290),0)</f>
        <v>#REF!</v>
      </c>
      <c r="D1292" s="38" t="e">
        <f>TRUNC(SUM($AH1290),0)</f>
        <v>#REF!</v>
      </c>
      <c r="E1292" s="38" t="e">
        <f>TRUNC(SUM($AL1290),0)</f>
        <v>#REF!</v>
      </c>
      <c r="F1292" s="46"/>
    </row>
    <row r="1293" spans="1:38" ht="18.399999999999999" customHeight="1">
      <c r="A1293" s="41"/>
      <c r="B1293" s="3"/>
      <c r="C1293" s="3"/>
      <c r="D1293" s="3"/>
      <c r="E1293" s="3"/>
      <c r="F1293" s="44"/>
    </row>
    <row r="1294" spans="1:38" ht="18.399999999999999" customHeight="1">
      <c r="A1294" s="41" t="s">
        <v>3612</v>
      </c>
      <c r="B1294" s="36" t="e">
        <f>$B1367</f>
        <v>#REF!</v>
      </c>
      <c r="C1294" s="36" t="e">
        <f>$C1367</f>
        <v>#REF!</v>
      </c>
      <c r="D1294" s="36" t="e">
        <f>$D1367</f>
        <v>#REF!</v>
      </c>
      <c r="E1294" s="36" t="e">
        <f>$E1367</f>
        <v>#REF!</v>
      </c>
      <c r="F1294" s="44" t="s">
        <v>3378</v>
      </c>
      <c r="G1294" t="s">
        <v>6232</v>
      </c>
      <c r="H1294" t="s">
        <v>465</v>
      </c>
      <c r="K1294">
        <v>1</v>
      </c>
      <c r="Y1294" s="7" t="e">
        <f>EXACT($Z1294,$B1367)</f>
        <v>#REF!</v>
      </c>
      <c r="Z1294" s="38">
        <v>1685</v>
      </c>
    </row>
    <row r="1295" spans="1:38" ht="18.399999999999999" customHeight="1">
      <c r="A1295" s="41"/>
      <c r="B1295" s="3"/>
      <c r="C1295" s="3"/>
      <c r="D1295" s="3"/>
      <c r="E1295" s="3"/>
      <c r="F1295" s="44"/>
    </row>
    <row r="1296" spans="1:38" ht="18.399999999999999" customHeight="1">
      <c r="A1296" s="41" t="s">
        <v>6232</v>
      </c>
      <c r="B1296" s="3"/>
      <c r="C1296" s="3"/>
      <c r="D1296" s="3"/>
      <c r="E1296" s="3"/>
      <c r="F1296" s="44"/>
      <c r="G1296" t="s">
        <v>6232</v>
      </c>
      <c r="I1296" t="s">
        <v>742</v>
      </c>
      <c r="J1296" t="s">
        <v>6232</v>
      </c>
      <c r="K1296" t="s">
        <v>5235</v>
      </c>
    </row>
    <row r="1297" spans="1:38" ht="18.399999999999999" customHeight="1">
      <c r="A1297" s="41" t="s">
        <v>1815</v>
      </c>
      <c r="B1297" s="37"/>
      <c r="C1297" s="37"/>
      <c r="D1297" s="37"/>
      <c r="E1297" s="37"/>
      <c r="F1297" s="45"/>
      <c r="K1297" s="3" t="s">
        <v>1655</v>
      </c>
    </row>
    <row r="1298" spans="1:38" ht="18.399999999999999" customHeight="1">
      <c r="A1298" s="41" t="s">
        <v>6232</v>
      </c>
      <c r="B1298" s="37"/>
      <c r="C1298" s="37"/>
      <c r="D1298" s="37"/>
      <c r="E1298" s="37"/>
      <c r="F1298" s="45"/>
      <c r="K1298" s="3" t="s">
        <v>6232</v>
      </c>
    </row>
    <row r="1299" spans="1:38" ht="18.399999999999999" customHeight="1">
      <c r="A1299" s="42" t="str">
        <f>CONCATENATE("                L=",TEXT($AB1299,"#,##0.0"),"   KM")</f>
        <v xml:space="preserve">                L=4.0   KM</v>
      </c>
      <c r="B1299" s="37"/>
      <c r="C1299" s="37"/>
      <c r="D1299" s="37"/>
      <c r="E1299" s="37"/>
      <c r="F1299" s="45"/>
      <c r="K1299" s="10" t="str">
        <f>SUBSTITUTE(SUBSTITUTE("                L = 4.0  _x001D_KM_x001D_","4.0",TEXT($AB1299,"#,##0.0"),1),"_x001D_","'")</f>
        <v xml:space="preserve">                L = 4.0  'KM'</v>
      </c>
      <c r="AA1299" s="39" t="s">
        <v>5842</v>
      </c>
      <c r="AB1299" s="6">
        <v>4</v>
      </c>
      <c r="AC1299" s="39" t="s">
        <v>5842</v>
      </c>
      <c r="AD1299" s="7">
        <f>$AB1299</f>
        <v>4</v>
      </c>
    </row>
    <row r="1300" spans="1:38" ht="18.399999999999999" customHeight="1">
      <c r="A1300" s="41" t="s">
        <v>6214</v>
      </c>
      <c r="B1300" s="37"/>
      <c r="C1300" s="37"/>
      <c r="D1300" s="37"/>
      <c r="E1300" s="37"/>
      <c r="F1300" s="45"/>
      <c r="K1300" s="3" t="s">
        <v>3965</v>
      </c>
    </row>
    <row r="1301" spans="1:38" ht="18.399999999999999" customHeight="1">
      <c r="A1301" s="42" t="str">
        <f>CONCATENATE("                V=",TEXT($AB1301,"#,##0.0"),"  KM/hr")</f>
        <v xml:space="preserve">                V=30.0  KM/hr</v>
      </c>
      <c r="B1301" s="37"/>
      <c r="C1301" s="37"/>
      <c r="D1301" s="37"/>
      <c r="E1301" s="37"/>
      <c r="F1301" s="45"/>
      <c r="K1301" s="10" t="str">
        <f>SUBSTITUTE(SUBSTITUTE("                V = 30.0 _x001D_KM/hr_x001D_","30.0",TEXT($AB1301,"#,##0.0"),1),"_x001D_","'")</f>
        <v xml:space="preserve">                V = 30.0 'KM/hr'</v>
      </c>
      <c r="AA1301" s="39" t="s">
        <v>247</v>
      </c>
      <c r="AB1301" s="6">
        <v>30</v>
      </c>
      <c r="AC1301" s="39" t="s">
        <v>247</v>
      </c>
      <c r="AD1301" s="7">
        <f>$AB1301</f>
        <v>30</v>
      </c>
    </row>
    <row r="1302" spans="1:38" ht="18.399999999999999" customHeight="1">
      <c r="A1302" s="41" t="s">
        <v>6232</v>
      </c>
      <c r="B1302" s="37">
        <f>SUM($C1302,$D1302,$E1302)</f>
        <v>0</v>
      </c>
      <c r="C1302" s="37">
        <f>$AB1302</f>
        <v>0</v>
      </c>
      <c r="D1302" s="37">
        <f>$AF1302</f>
        <v>0</v>
      </c>
      <c r="E1302" s="37">
        <f>$AJ1302</f>
        <v>0</v>
      </c>
      <c r="F1302" s="45"/>
      <c r="K1302" s="3" t="s">
        <v>295</v>
      </c>
      <c r="AA1302" s="40" t="s">
        <v>2660</v>
      </c>
      <c r="AB1302" s="8">
        <f>ROUND(0,2)</f>
        <v>0</v>
      </c>
      <c r="AC1302" s="40" t="s">
        <v>1650</v>
      </c>
      <c r="AD1302" s="7">
        <f>$AB1302</f>
        <v>0</v>
      </c>
      <c r="AE1302" s="40" t="s">
        <v>5305</v>
      </c>
      <c r="AF1302" s="8">
        <f>ROUND(0,2)</f>
        <v>0</v>
      </c>
      <c r="AG1302" s="40" t="s">
        <v>5439</v>
      </c>
      <c r="AH1302" s="7">
        <f>$AF1302</f>
        <v>0</v>
      </c>
      <c r="AI1302" s="40" t="s">
        <v>3519</v>
      </c>
      <c r="AJ1302" s="8">
        <f>ROUND(0,2)</f>
        <v>0</v>
      </c>
      <c r="AK1302" s="40" t="s">
        <v>4149</v>
      </c>
      <c r="AL1302" s="7">
        <f>$AJ1302</f>
        <v>0</v>
      </c>
    </row>
    <row r="1303" spans="1:38" ht="18.399999999999999" customHeight="1">
      <c r="A1303" s="41" t="s">
        <v>3557</v>
      </c>
      <c r="B1303" s="37"/>
      <c r="C1303" s="37"/>
      <c r="D1303" s="37"/>
      <c r="E1303" s="37"/>
      <c r="F1303" s="45"/>
      <c r="K1303" s="3" t="s">
        <v>5146</v>
      </c>
    </row>
    <row r="1304" spans="1:38" ht="18.399999999999999" customHeight="1">
      <c r="A1304" s="41" t="s">
        <v>6232</v>
      </c>
      <c r="B1304" s="37"/>
      <c r="C1304" s="37"/>
      <c r="D1304" s="37"/>
      <c r="E1304" s="37"/>
      <c r="F1304" s="45"/>
      <c r="K1304" s="3" t="s">
        <v>6232</v>
      </c>
    </row>
    <row r="1305" spans="1:38" ht="18.399999999999999" customHeight="1">
      <c r="A1305" s="41" t="s">
        <v>2653</v>
      </c>
      <c r="B1305" s="37"/>
      <c r="C1305" s="37"/>
      <c r="D1305" s="37"/>
      <c r="E1305" s="37"/>
      <c r="F1305" s="45"/>
      <c r="K1305" s="3" t="s">
        <v>2793</v>
      </c>
    </row>
    <row r="1306" spans="1:38" ht="18.399999999999999" customHeight="1">
      <c r="A1306" s="41" t="s">
        <v>52</v>
      </c>
      <c r="B1306" s="37"/>
      <c r="C1306" s="37"/>
      <c r="D1306" s="37"/>
      <c r="E1306" s="37"/>
      <c r="F1306" s="45"/>
      <c r="K1306" s="3" t="s">
        <v>3020</v>
      </c>
    </row>
    <row r="1307" spans="1:38" ht="18.399999999999999" customHeight="1">
      <c r="A1307" s="41" t="s">
        <v>6232</v>
      </c>
      <c r="B1307" s="37"/>
      <c r="C1307" s="37"/>
      <c r="D1307" s="37"/>
      <c r="E1307" s="37"/>
      <c r="F1307" s="45"/>
      <c r="K1307" s="3" t="s">
        <v>6232</v>
      </c>
    </row>
    <row r="1308" spans="1:38" ht="18.399999999999999" customHeight="1">
      <c r="A1308" s="41" t="s">
        <v>3700</v>
      </c>
      <c r="B1308" s="37"/>
      <c r="C1308" s="37"/>
      <c r="D1308" s="37"/>
      <c r="E1308" s="37"/>
      <c r="F1308" s="45"/>
      <c r="K1308" s="3" t="s">
        <v>2773</v>
      </c>
    </row>
    <row r="1309" spans="1:38" ht="18.399999999999999" customHeight="1">
      <c r="A1309" s="41" t="s">
        <v>679</v>
      </c>
      <c r="B1309" s="37"/>
      <c r="C1309" s="37"/>
      <c r="D1309" s="37"/>
      <c r="E1309" s="37"/>
      <c r="F1309" s="45"/>
      <c r="K1309" s="3" t="s">
        <v>1995</v>
      </c>
    </row>
    <row r="1310" spans="1:38" ht="18.399999999999999" customHeight="1">
      <c r="A1310" s="41" t="s">
        <v>5867</v>
      </c>
      <c r="B1310" s="37"/>
      <c r="C1310" s="37"/>
      <c r="D1310" s="37"/>
      <c r="E1310" s="37"/>
      <c r="F1310" s="45"/>
      <c r="K1310" s="3" t="s">
        <v>2096</v>
      </c>
    </row>
    <row r="1311" spans="1:38" ht="18.399999999999999" customHeight="1">
      <c r="A1311" s="41" t="s">
        <v>6232</v>
      </c>
      <c r="B1311" s="37"/>
      <c r="C1311" s="37"/>
      <c r="D1311" s="37"/>
      <c r="E1311" s="37"/>
      <c r="F1311" s="45"/>
      <c r="K1311" s="3" t="s">
        <v>6232</v>
      </c>
    </row>
    <row r="1312" spans="1:38" ht="18.399999999999999" customHeight="1">
      <c r="A1312" s="41" t="s">
        <v>4392</v>
      </c>
      <c r="B1312" s="37"/>
      <c r="C1312" s="37"/>
      <c r="D1312" s="37"/>
      <c r="E1312" s="37"/>
      <c r="F1312" s="45"/>
      <c r="K1312" s="3" t="s">
        <v>561</v>
      </c>
    </row>
    <row r="1313" spans="1:34" ht="18.399999999999999" customHeight="1">
      <c r="A1313" s="41" t="s">
        <v>6232</v>
      </c>
      <c r="B1313" s="37"/>
      <c r="C1313" s="37"/>
      <c r="D1313" s="37"/>
      <c r="E1313" s="37"/>
      <c r="F1313" s="45"/>
      <c r="K1313" s="3" t="s">
        <v>6232</v>
      </c>
    </row>
    <row r="1314" spans="1:34" ht="18.399999999999999" customHeight="1">
      <c r="A1314" s="41" t="s">
        <v>6134</v>
      </c>
      <c r="B1314" s="37"/>
      <c r="C1314" s="37"/>
      <c r="D1314" s="37"/>
      <c r="E1314" s="37"/>
      <c r="F1314" s="45"/>
      <c r="K1314" s="3" t="s">
        <v>4089</v>
      </c>
    </row>
    <row r="1315" spans="1:34" ht="18.399999999999999" customHeight="1">
      <c r="A1315" s="41" t="s">
        <v>6232</v>
      </c>
      <c r="B1315" s="37"/>
      <c r="C1315" s="37"/>
      <c r="D1315" s="37"/>
      <c r="E1315" s="37"/>
      <c r="F1315" s="45"/>
      <c r="K1315" s="3" t="s">
        <v>6232</v>
      </c>
    </row>
    <row r="1316" spans="1:34" ht="18.399999999999999" customHeight="1">
      <c r="A1316" s="41" t="s">
        <v>2299</v>
      </c>
      <c r="B1316" s="37"/>
      <c r="C1316" s="37"/>
      <c r="D1316" s="37"/>
      <c r="E1316" s="37"/>
      <c r="F1316" s="45"/>
      <c r="K1316" s="3" t="s">
        <v>3083</v>
      </c>
    </row>
    <row r="1317" spans="1:34" ht="18.399999999999999" customHeight="1">
      <c r="A1317" s="41" t="s">
        <v>257</v>
      </c>
      <c r="B1317" s="37"/>
      <c r="C1317" s="37"/>
      <c r="D1317" s="37"/>
      <c r="E1317" s="37"/>
      <c r="F1317" s="45"/>
      <c r="K1317" s="3" t="s">
        <v>1264</v>
      </c>
    </row>
    <row r="1318" spans="1:34" ht="18.399999999999999" customHeight="1">
      <c r="A1318" s="41" t="s">
        <v>6232</v>
      </c>
      <c r="B1318" s="37"/>
      <c r="C1318" s="37"/>
      <c r="D1318" s="37"/>
      <c r="E1318" s="37"/>
      <c r="F1318" s="45"/>
      <c r="K1318" s="3" t="s">
        <v>6232</v>
      </c>
    </row>
    <row r="1319" spans="1:34" ht="18.399999999999999" customHeight="1">
      <c r="A1319" s="42" t="str">
        <f>CONCATENATE("   - 1차당 적재량(본)         Q=",TEXT($AB1319,"#,##0.00"),"  본")</f>
        <v xml:space="preserve">   - 1차당 적재량(본)         Q=143.00  본</v>
      </c>
      <c r="B1319" s="37"/>
      <c r="C1319" s="37"/>
      <c r="D1319" s="37"/>
      <c r="E1319" s="37"/>
      <c r="F1319" s="45"/>
      <c r="K1319" s="10" t="str">
        <f>SUBSTITUTE(SUBSTITUTE("  _x001D_- 1차당 적재량(본)_x001D_        Q  =  143 _x001D_본_x001D_","143",TEXT($AB1319,"#,##0"),1),"_x001D_","'")</f>
        <v xml:space="preserve">  '- 1차당 적재량(본)'        Q  =  143 '본'</v>
      </c>
      <c r="AA1319" s="39" t="s">
        <v>4337</v>
      </c>
      <c r="AB1319" s="6">
        <v>143</v>
      </c>
      <c r="AC1319" s="39" t="s">
        <v>4337</v>
      </c>
      <c r="AD1319" s="7">
        <f>$AB1319</f>
        <v>143</v>
      </c>
    </row>
    <row r="1320" spans="1:34" ht="18.399999999999999" customHeight="1">
      <c r="A1320" s="41" t="s">
        <v>6232</v>
      </c>
      <c r="B1320" s="37"/>
      <c r="C1320" s="37"/>
      <c r="D1320" s="37"/>
      <c r="E1320" s="37"/>
      <c r="F1320" s="45"/>
      <c r="K1320" s="3" t="s">
        <v>6232</v>
      </c>
    </row>
    <row r="1321" spans="1:34" ht="18.399999999999999" customHeight="1">
      <c r="A1321" s="42" t="str">
        <f>CONCATENATE("   - 운반차량 대기시간(12M당)    T1=",TEXT($AB1321,"#,##0.00"),"  분")</f>
        <v xml:space="preserve">   - 운반차량 대기시간(12M당)    T1=3.00  분</v>
      </c>
      <c r="B1321" s="37"/>
      <c r="C1321" s="37"/>
      <c r="D1321" s="37"/>
      <c r="E1321" s="37"/>
      <c r="F1321" s="45"/>
      <c r="K1321" s="10" t="str">
        <f>SUBSTITUTE(SUBSTITUTE("  _x001D_- 운반차량 대기시간(12M당)_x001D_   T1 = 3 _x001D_분_x001D_","3",TEXT($AB1321,"#,##0"),1),"_x001D_","'")</f>
        <v xml:space="preserve">  '- 운반차량 대기시간(12M당)'   T1 = 3 '분'</v>
      </c>
      <c r="AA1321" s="39" t="s">
        <v>4528</v>
      </c>
      <c r="AB1321" s="6">
        <v>3</v>
      </c>
      <c r="AC1321" s="39" t="s">
        <v>4528</v>
      </c>
      <c r="AD1321" s="7">
        <f>$AB1321</f>
        <v>3</v>
      </c>
    </row>
    <row r="1322" spans="1:34" ht="18.399999999999999" customHeight="1">
      <c r="A1322" s="41" t="s">
        <v>6232</v>
      </c>
      <c r="B1322" s="37"/>
      <c r="C1322" s="37"/>
      <c r="D1322" s="37"/>
      <c r="E1322" s="37"/>
      <c r="F1322" s="45"/>
      <c r="K1322" s="3" t="s">
        <v>6232</v>
      </c>
    </row>
    <row r="1323" spans="1:34" ht="18.399999999999999" customHeight="1">
      <c r="A1323" s="41" t="s">
        <v>4838</v>
      </c>
      <c r="B1323" s="37"/>
      <c r="C1323" s="37"/>
      <c r="D1323" s="37"/>
      <c r="E1323" s="37"/>
      <c r="F1323" s="45"/>
      <c r="K1323" s="3" t="s">
        <v>6093</v>
      </c>
    </row>
    <row r="1324" spans="1:34" ht="18.399999999999999" customHeight="1">
      <c r="A1324" s="41" t="s">
        <v>6232</v>
      </c>
      <c r="B1324" s="37"/>
      <c r="C1324" s="37"/>
      <c r="D1324" s="37"/>
      <c r="E1324" s="37"/>
      <c r="F1324" s="45"/>
      <c r="K1324" s="3" t="s">
        <v>6232</v>
      </c>
    </row>
    <row r="1325" spans="1:34" ht="18.399999999999999" customHeight="1">
      <c r="A1325" s="42" t="str">
        <f>CONCATENATE("    T2 = (L / V * 2 * 60 + 20) / Q * 2 = ",TEXT($AF1325,"#,##0.00")," 분 ")</f>
        <v xml:space="preserve">    T2 = (L / V * 2 * 60 + 20) / Q * 2 = 0.50 분 </v>
      </c>
      <c r="B1325" s="37">
        <f>SUM($C1325,$D1325,$E1325)</f>
        <v>0</v>
      </c>
      <c r="C1325" s="37"/>
      <c r="D1325" s="37"/>
      <c r="E1325" s="37"/>
      <c r="F1325" s="45"/>
      <c r="K1325" s="3" t="s">
        <v>1389</v>
      </c>
      <c r="AA1325" s="39" t="s">
        <v>5897</v>
      </c>
      <c r="AB1325" s="8">
        <f>ROUND(($AD1299/$AD1301*2*60+20)/$AD1319*2,2)</f>
        <v>0.5</v>
      </c>
      <c r="AC1325" s="39" t="s">
        <v>2053</v>
      </c>
      <c r="AD1325" s="7">
        <f>$AB1325</f>
        <v>0.5</v>
      </c>
      <c r="AE1325" s="39" t="s">
        <v>1904</v>
      </c>
      <c r="AF1325" s="8">
        <f>ROUND(ROUND(($AD1299/$AD1301*2*60+20)/$AD1319*2,2),2)</f>
        <v>0.5</v>
      </c>
      <c r="AG1325" s="39" t="s">
        <v>4081</v>
      </c>
      <c r="AH1325" s="7">
        <f>$AF1325</f>
        <v>0.5</v>
      </c>
    </row>
    <row r="1326" spans="1:34" ht="18.399999999999999" customHeight="1">
      <c r="A1326" s="41" t="s">
        <v>6232</v>
      </c>
      <c r="B1326" s="37"/>
      <c r="C1326" s="37"/>
      <c r="D1326" s="37"/>
      <c r="E1326" s="37"/>
      <c r="F1326" s="45"/>
      <c r="K1326" s="3" t="s">
        <v>6232</v>
      </c>
    </row>
    <row r="1327" spans="1:34" ht="18.399999999999999" customHeight="1">
      <c r="A1327" s="41" t="s">
        <v>2391</v>
      </c>
      <c r="B1327" s="37"/>
      <c r="C1327" s="37"/>
      <c r="D1327" s="37"/>
      <c r="E1327" s="37"/>
      <c r="F1327" s="45"/>
      <c r="K1327" s="3" t="s">
        <v>4710</v>
      </c>
    </row>
    <row r="1328" spans="1:34" ht="18.399999999999999" customHeight="1">
      <c r="A1328" s="41" t="s">
        <v>6232</v>
      </c>
      <c r="B1328" s="37"/>
      <c r="C1328" s="37"/>
      <c r="D1328" s="37"/>
      <c r="E1328" s="37"/>
      <c r="F1328" s="45"/>
      <c r="K1328" s="3" t="s">
        <v>6232</v>
      </c>
    </row>
    <row r="1329" spans="1:34" ht="18.399999999999999" customHeight="1">
      <c r="A1329" s="42" t="str">
        <f>CONCATENATE("    CM = T1 + T2 = ",TEXT($AF1329,"#,##0.00")," 분 ")</f>
        <v xml:space="preserve">    CM = T1 + T2 = 3.50 분 </v>
      </c>
      <c r="B1329" s="37">
        <f>SUM($C1329,$D1329,$E1329)</f>
        <v>0</v>
      </c>
      <c r="C1329" s="37"/>
      <c r="D1329" s="37"/>
      <c r="E1329" s="37"/>
      <c r="F1329" s="45"/>
      <c r="K1329" s="3" t="s">
        <v>6049</v>
      </c>
      <c r="AA1329" s="39" t="s">
        <v>5026</v>
      </c>
      <c r="AB1329" s="8">
        <f>ROUND($AD1321+$AD1325,2)</f>
        <v>3.5</v>
      </c>
      <c r="AC1329" s="39" t="s">
        <v>289</v>
      </c>
      <c r="AD1329" s="7">
        <f>$AB1329</f>
        <v>3.5</v>
      </c>
      <c r="AE1329" s="39" t="s">
        <v>2183</v>
      </c>
      <c r="AF1329" s="8">
        <f>ROUND(ROUND($AD1321+$AD1325,2),2)</f>
        <v>3.5</v>
      </c>
      <c r="AG1329" s="39" t="s">
        <v>5668</v>
      </c>
      <c r="AH1329" s="7">
        <f>$AF1329</f>
        <v>3.5</v>
      </c>
    </row>
    <row r="1330" spans="1:34" ht="18.399999999999999" customHeight="1">
      <c r="A1330" s="41" t="s">
        <v>6232</v>
      </c>
      <c r="B1330" s="37"/>
      <c r="C1330" s="37"/>
      <c r="D1330" s="37"/>
      <c r="E1330" s="37"/>
      <c r="F1330" s="45"/>
      <c r="K1330" s="3" t="s">
        <v>6232</v>
      </c>
    </row>
    <row r="1331" spans="1:34" ht="18.399999999999999" customHeight="1">
      <c r="A1331" s="41" t="s">
        <v>5848</v>
      </c>
      <c r="B1331" s="37"/>
      <c r="C1331" s="37"/>
      <c r="D1331" s="37"/>
      <c r="E1331" s="37"/>
      <c r="F1331" s="45"/>
      <c r="K1331" s="3" t="s">
        <v>788</v>
      </c>
    </row>
    <row r="1332" spans="1:34" ht="18.399999999999999" customHeight="1">
      <c r="A1332" s="41" t="s">
        <v>6232</v>
      </c>
      <c r="B1332" s="37"/>
      <c r="C1332" s="37"/>
      <c r="D1332" s="37"/>
      <c r="E1332" s="37"/>
      <c r="F1332" s="45"/>
      <c r="K1332" s="3" t="s">
        <v>6232</v>
      </c>
    </row>
    <row r="1333" spans="1:34" ht="18.399999999999999" customHeight="1">
      <c r="A1333" s="42" t="str">
        <f>CONCATENATE("    Qo = T2 / CM = ",TEXT($AF1333,"#,##0.00")," 분 ")</f>
        <v xml:space="preserve">    Qo = T2 / CM = 0.14 분 </v>
      </c>
      <c r="B1333" s="37">
        <f>SUM($C1333,$D1333,$E1333)</f>
        <v>0</v>
      </c>
      <c r="C1333" s="37"/>
      <c r="D1333" s="37"/>
      <c r="E1333" s="37"/>
      <c r="F1333" s="45"/>
      <c r="K1333" s="3" t="s">
        <v>882</v>
      </c>
      <c r="AA1333" s="39" t="s">
        <v>1501</v>
      </c>
      <c r="AB1333" s="8">
        <f>ROUND($AD1325/$AD1329,2)</f>
        <v>0.14000000000000001</v>
      </c>
      <c r="AC1333" s="39" t="s">
        <v>2425</v>
      </c>
      <c r="AD1333" s="7">
        <f>$AB1333</f>
        <v>0.14000000000000001</v>
      </c>
      <c r="AE1333" s="39" t="s">
        <v>6131</v>
      </c>
      <c r="AF1333" s="8">
        <f>ROUND(ROUND($AD1325/$AD1329,2),2)</f>
        <v>0.14000000000000001</v>
      </c>
      <c r="AG1333" s="39" t="s">
        <v>2411</v>
      </c>
      <c r="AH1333" s="7">
        <f>$AF1333</f>
        <v>0.14000000000000001</v>
      </c>
    </row>
    <row r="1334" spans="1:34" ht="18.399999999999999" customHeight="1">
      <c r="A1334" s="41" t="s">
        <v>6232</v>
      </c>
      <c r="B1334" s="37"/>
      <c r="C1334" s="37"/>
      <c r="D1334" s="37"/>
      <c r="E1334" s="37"/>
      <c r="F1334" s="45"/>
      <c r="K1334" s="3" t="s">
        <v>6232</v>
      </c>
    </row>
    <row r="1335" spans="1:34" ht="18.399999999999999" customHeight="1">
      <c r="A1335" s="41" t="s">
        <v>78</v>
      </c>
      <c r="B1335" s="37"/>
      <c r="C1335" s="37"/>
      <c r="D1335" s="37"/>
      <c r="E1335" s="37"/>
      <c r="F1335" s="45"/>
      <c r="K1335" s="3" t="s">
        <v>5459</v>
      </c>
    </row>
    <row r="1336" spans="1:34" ht="18.399999999999999" customHeight="1">
      <c r="A1336" s="41" t="s">
        <v>6232</v>
      </c>
      <c r="B1336" s="37"/>
      <c r="C1336" s="37"/>
      <c r="D1336" s="37"/>
      <c r="E1336" s="37"/>
      <c r="F1336" s="45"/>
      <c r="K1336" s="3" t="s">
        <v>6232</v>
      </c>
    </row>
    <row r="1337" spans="1:34" ht="18.399999999999999" customHeight="1">
      <c r="A1337" s="42" t="str">
        <f>CONCATENATE("      보통인부 :  2.0 인  * _x001D_169,804_x001D_ * (CM + 6 ) / 60 / 8 = ",TEXT($AB1337,"#,##0.0"))</f>
        <v xml:space="preserve">      보통인부 :  2.0 인  * _x001D_169,804_x001D_ * (CM + 6 ) / 60 / 8 = 6,811.0</v>
      </c>
      <c r="B1337" s="37">
        <f>SUM($C1337,$D1337,$E1337)</f>
        <v>6811</v>
      </c>
      <c r="C1337" s="37"/>
      <c r="D1337" s="37">
        <f>$AB1337</f>
        <v>6811</v>
      </c>
      <c r="E1337" s="37"/>
      <c r="F1337" s="45" t="s">
        <v>6232</v>
      </c>
      <c r="K1337" s="3" t="s">
        <v>3933</v>
      </c>
      <c r="AA1337" s="40" t="s">
        <v>5305</v>
      </c>
      <c r="AB1337" s="8">
        <f>TRUNC(2*노임!D3*($AD1329+6)/60/8,1)</f>
        <v>6811</v>
      </c>
      <c r="AC1337" s="40" t="s">
        <v>5439</v>
      </c>
      <c r="AD1337" s="7">
        <f>$AH1302+$AB1337</f>
        <v>6811</v>
      </c>
    </row>
    <row r="1338" spans="1:34" ht="18.399999999999999" customHeight="1">
      <c r="A1338" s="41" t="s">
        <v>6232</v>
      </c>
      <c r="B1338" s="37"/>
      <c r="C1338" s="37"/>
      <c r="D1338" s="37"/>
      <c r="E1338" s="37"/>
      <c r="F1338" s="45"/>
      <c r="K1338" s="3" t="s">
        <v>6232</v>
      </c>
    </row>
    <row r="1339" spans="1:34" ht="18.399999999999999" customHeight="1">
      <c r="A1339" s="41" t="s">
        <v>1528</v>
      </c>
      <c r="B1339" s="37"/>
      <c r="C1339" s="37"/>
      <c r="D1339" s="37"/>
      <c r="E1339" s="37"/>
      <c r="F1339" s="45"/>
      <c r="K1339" s="3" t="s">
        <v>3746</v>
      </c>
    </row>
    <row r="1340" spans="1:34" ht="18.399999999999999" customHeight="1">
      <c r="A1340" s="41" t="s">
        <v>6232</v>
      </c>
      <c r="B1340" s="37"/>
      <c r="C1340" s="37"/>
      <c r="D1340" s="37"/>
      <c r="E1340" s="37"/>
      <c r="F1340" s="45"/>
      <c r="K1340" s="3" t="s">
        <v>6232</v>
      </c>
    </row>
    <row r="1341" spans="1:34" ht="18.399999999999999" customHeight="1">
      <c r="A1341" s="41" t="s">
        <v>3329</v>
      </c>
      <c r="B1341" s="37"/>
      <c r="C1341" s="37"/>
      <c r="D1341" s="37"/>
      <c r="E1341" s="37"/>
      <c r="F1341" s="45"/>
      <c r="K1341" s="3" t="s">
        <v>3091</v>
      </c>
    </row>
    <row r="1342" spans="1:34" ht="18.399999999999999" customHeight="1">
      <c r="A1342" s="41" t="s">
        <v>6232</v>
      </c>
      <c r="B1342" s="37"/>
      <c r="C1342" s="37"/>
      <c r="D1342" s="37"/>
      <c r="E1342" s="37"/>
      <c r="F1342" s="45"/>
      <c r="K1342" s="3" t="s">
        <v>6232</v>
      </c>
    </row>
    <row r="1343" spans="1:34" ht="18.399999999999999" customHeight="1">
      <c r="A1343" s="42" t="str">
        <f>CONCATENATE("     재료비:  _x001D_8,795_x001D_ * 4.5 / 60 = ",TEXT($AB1343,"#,##0.0"))</f>
        <v xml:space="preserve">     재료비:  _x001D_8,795_x001D_ * 4.5 / 60 = 0.0</v>
      </c>
      <c r="B1343" s="37">
        <f>SUM($C1343,$D1343,$E1343)</f>
        <v>0</v>
      </c>
      <c r="C1343" s="37">
        <f>$AB1343</f>
        <v>0</v>
      </c>
      <c r="D1343" s="37"/>
      <c r="E1343" s="37"/>
      <c r="F1343" s="45" t="s">
        <v>6232</v>
      </c>
      <c r="K1343" s="3" t="s">
        <v>5203</v>
      </c>
      <c r="AA1343" s="40" t="s">
        <v>2660</v>
      </c>
      <c r="AB1343" s="8">
        <f>TRUNC(중기사용료목록!E4*4.5/60,1)</f>
        <v>0</v>
      </c>
      <c r="AC1343" s="40" t="s">
        <v>1650</v>
      </c>
      <c r="AD1343" s="7">
        <f>$AD1302+$AB1343</f>
        <v>0</v>
      </c>
    </row>
    <row r="1344" spans="1:34" ht="18.399999999999999" customHeight="1">
      <c r="A1344" s="41" t="s">
        <v>6232</v>
      </c>
      <c r="B1344" s="37"/>
      <c r="C1344" s="37"/>
      <c r="D1344" s="37"/>
      <c r="E1344" s="37"/>
      <c r="F1344" s="45"/>
      <c r="K1344" s="3" t="s">
        <v>6232</v>
      </c>
    </row>
    <row r="1345" spans="1:38" ht="18.399999999999999" customHeight="1">
      <c r="A1345" s="42" t="str">
        <f>CONCATENATE("     노무비:  _x001D_57,077_x001D_ * 4.5 / 60 = ",TEXT($AB1345,"#,##0.0"))</f>
        <v xml:space="preserve">     노무비:  _x001D_57,077_x001D_ * 4.5 / 60 = 0.0</v>
      </c>
      <c r="B1345" s="37">
        <f>SUM($C1345,$D1345,$E1345)</f>
        <v>0</v>
      </c>
      <c r="C1345" s="37"/>
      <c r="D1345" s="37">
        <f>$AB1345</f>
        <v>0</v>
      </c>
      <c r="E1345" s="37"/>
      <c r="F1345" s="45" t="s">
        <v>6232</v>
      </c>
      <c r="K1345" s="3" t="s">
        <v>1442</v>
      </c>
      <c r="AA1345" s="40" t="s">
        <v>5305</v>
      </c>
      <c r="AB1345" s="8">
        <f>TRUNC(중기사용료목록!F4*4.5/60,1)</f>
        <v>0</v>
      </c>
      <c r="AC1345" s="40" t="s">
        <v>5439</v>
      </c>
      <c r="AD1345" s="7">
        <f>$AD1337+$AB1345</f>
        <v>6811</v>
      </c>
    </row>
    <row r="1346" spans="1:38" ht="18.399999999999999" customHeight="1">
      <c r="A1346" s="41" t="s">
        <v>6232</v>
      </c>
      <c r="B1346" s="37"/>
      <c r="C1346" s="37"/>
      <c r="D1346" s="37"/>
      <c r="E1346" s="37"/>
      <c r="F1346" s="45"/>
      <c r="K1346" s="3" t="s">
        <v>6232</v>
      </c>
    </row>
    <row r="1347" spans="1:38" ht="18.399999999999999" customHeight="1">
      <c r="A1347" s="42" t="str">
        <f>CONCATENATE("     경  비:  _x001D_41,995_x001D_ * 4.5 / 60 = ",TEXT($AB1347,"#,##0.0"))</f>
        <v xml:space="preserve">     경  비:  _x001D_41,995_x001D_ * 4.5 / 60 = 8,300.8</v>
      </c>
      <c r="B1347" s="37">
        <f>SUM($C1347,$D1347,$E1347)</f>
        <v>8300.7999999999993</v>
      </c>
      <c r="C1347" s="37"/>
      <c r="D1347" s="37"/>
      <c r="E1347" s="37">
        <f>$AB1347</f>
        <v>8300.7999999999993</v>
      </c>
      <c r="F1347" s="45" t="s">
        <v>6232</v>
      </c>
      <c r="K1347" s="3" t="s">
        <v>6104</v>
      </c>
      <c r="AA1347" s="40" t="s">
        <v>3519</v>
      </c>
      <c r="AB1347" s="8">
        <f>TRUNC(중기사용료목록!G4*4.5/60,1)</f>
        <v>8300.7999999999993</v>
      </c>
      <c r="AC1347" s="40" t="s">
        <v>4149</v>
      </c>
      <c r="AD1347" s="7">
        <f>$AL1302+$AB1347</f>
        <v>8300.7999999999993</v>
      </c>
    </row>
    <row r="1348" spans="1:38" ht="18.399999999999999" customHeight="1">
      <c r="A1348" s="41" t="s">
        <v>6232</v>
      </c>
      <c r="B1348" s="37"/>
      <c r="C1348" s="37"/>
      <c r="D1348" s="37"/>
      <c r="E1348" s="37"/>
      <c r="F1348" s="45"/>
      <c r="K1348" s="3" t="s">
        <v>6232</v>
      </c>
    </row>
    <row r="1349" spans="1:38" ht="18.399999999999999" customHeight="1">
      <c r="A1349" s="41" t="s">
        <v>4024</v>
      </c>
      <c r="B1349" s="37"/>
      <c r="C1349" s="37"/>
      <c r="D1349" s="37"/>
      <c r="E1349" s="37"/>
      <c r="F1349" s="45"/>
      <c r="K1349" s="3" t="s">
        <v>4460</v>
      </c>
    </row>
    <row r="1350" spans="1:38" ht="18.399999999999999" customHeight="1">
      <c r="A1350" s="41" t="s">
        <v>6232</v>
      </c>
      <c r="B1350" s="37"/>
      <c r="C1350" s="37"/>
      <c r="D1350" s="37"/>
      <c r="E1350" s="37"/>
      <c r="F1350" s="45"/>
      <c r="K1350" s="3" t="s">
        <v>6232</v>
      </c>
    </row>
    <row r="1351" spans="1:38" ht="18.399999999999999" customHeight="1">
      <c r="A1351" s="42" t="e">
        <f>CONCATENATE("     재료비:  _x001D_17,279_x001D_ * CM / 60 * Qo = ",TEXT($AB1351,"#,##0.0"))</f>
        <v>#REF!</v>
      </c>
      <c r="B1351" s="37" t="e">
        <f>SUM($C1351,$D1351,$E1351)</f>
        <v>#REF!</v>
      </c>
      <c r="C1351" s="37" t="e">
        <f>$AB1351</f>
        <v>#REF!</v>
      </c>
      <c r="D1351" s="37"/>
      <c r="E1351" s="37"/>
      <c r="F1351" s="45" t="s">
        <v>6232</v>
      </c>
      <c r="K1351" s="3" t="s">
        <v>5888</v>
      </c>
      <c r="AA1351" s="40" t="s">
        <v>2660</v>
      </c>
      <c r="AB1351" s="8" t="e">
        <f>TRUNC(중기사용료목록!#REF!*$AD1329/60*$AD1333,1)</f>
        <v>#REF!</v>
      </c>
      <c r="AC1351" s="40" t="s">
        <v>1650</v>
      </c>
      <c r="AD1351" s="7" t="e">
        <f>$AD1343+$AB1351</f>
        <v>#REF!</v>
      </c>
    </row>
    <row r="1352" spans="1:38" ht="18.399999999999999" customHeight="1">
      <c r="A1352" s="41" t="s">
        <v>6232</v>
      </c>
      <c r="B1352" s="37"/>
      <c r="C1352" s="37"/>
      <c r="D1352" s="37"/>
      <c r="E1352" s="37"/>
      <c r="F1352" s="45"/>
      <c r="K1352" s="3" t="s">
        <v>6232</v>
      </c>
    </row>
    <row r="1353" spans="1:38" ht="18.399999999999999" customHeight="1">
      <c r="A1353" s="42" t="e">
        <f>CONCATENATE("     노무비:  _x001D_49,479_x001D_ * CM / 60 = ",TEXT($AB1353,"#,##0.0"))</f>
        <v>#REF!</v>
      </c>
      <c r="B1353" s="37" t="e">
        <f>SUM($C1353,$D1353,$E1353)</f>
        <v>#REF!</v>
      </c>
      <c r="C1353" s="37"/>
      <c r="D1353" s="37" t="e">
        <f>$AB1353</f>
        <v>#REF!</v>
      </c>
      <c r="E1353" s="37"/>
      <c r="F1353" s="45" t="s">
        <v>6232</v>
      </c>
      <c r="K1353" s="3" t="s">
        <v>5243</v>
      </c>
      <c r="AA1353" s="40" t="s">
        <v>5305</v>
      </c>
      <c r="AB1353" s="8" t="e">
        <f>TRUNC(중기사용료목록!#REF!*$AD1329/60,1)</f>
        <v>#REF!</v>
      </c>
      <c r="AC1353" s="40" t="s">
        <v>5439</v>
      </c>
      <c r="AD1353" s="7" t="e">
        <f>$AD1345+$AB1353</f>
        <v>#REF!</v>
      </c>
    </row>
    <row r="1354" spans="1:38" ht="18.399999999999999" customHeight="1">
      <c r="A1354" s="41" t="s">
        <v>6232</v>
      </c>
      <c r="B1354" s="37"/>
      <c r="C1354" s="37"/>
      <c r="D1354" s="37"/>
      <c r="E1354" s="37"/>
      <c r="F1354" s="45"/>
      <c r="K1354" s="3" t="s">
        <v>6232</v>
      </c>
    </row>
    <row r="1355" spans="1:38" ht="18.399999999999999" customHeight="1">
      <c r="A1355" s="42" t="e">
        <f>CONCATENATE("     경  비:  _x001D_10,347_x001D_ * CM / 60 = ",TEXT($AB1355,"#,##0.0"))</f>
        <v>#REF!</v>
      </c>
      <c r="B1355" s="37" t="e">
        <f>SUM($C1355,$D1355,$E1355)</f>
        <v>#REF!</v>
      </c>
      <c r="C1355" s="37"/>
      <c r="D1355" s="37"/>
      <c r="E1355" s="37" t="e">
        <f>$AB1355</f>
        <v>#REF!</v>
      </c>
      <c r="F1355" s="45" t="s">
        <v>6232</v>
      </c>
      <c r="K1355" s="3" t="s">
        <v>4143</v>
      </c>
      <c r="AA1355" s="40" t="s">
        <v>3519</v>
      </c>
      <c r="AB1355" s="8" t="e">
        <f>TRUNC(중기사용료목록!#REF!*$AD1329/60,1)</f>
        <v>#REF!</v>
      </c>
      <c r="AC1355" s="40" t="s">
        <v>4149</v>
      </c>
      <c r="AD1355" s="7" t="e">
        <f>$AD1347+$AB1355</f>
        <v>#REF!</v>
      </c>
    </row>
    <row r="1356" spans="1:38" ht="18.399999999999999" customHeight="1">
      <c r="A1356" s="41" t="s">
        <v>6232</v>
      </c>
      <c r="B1356" s="37"/>
      <c r="C1356" s="37"/>
      <c r="D1356" s="37"/>
      <c r="E1356" s="37"/>
      <c r="F1356" s="45"/>
      <c r="K1356" s="3" t="s">
        <v>6232</v>
      </c>
    </row>
    <row r="1357" spans="1:38" ht="18.399999999999999" customHeight="1">
      <c r="A1357" s="41" t="s">
        <v>4035</v>
      </c>
      <c r="B1357" s="37">
        <v>18442.099999999999</v>
      </c>
      <c r="C1357" s="37">
        <v>800.7</v>
      </c>
      <c r="D1357" s="37">
        <v>13888.3</v>
      </c>
      <c r="E1357" s="37">
        <v>3753.1</v>
      </c>
      <c r="F1357" s="45"/>
      <c r="K1357" s="3" t="s">
        <v>6070</v>
      </c>
    </row>
    <row r="1358" spans="1:38" ht="18.399999999999999" customHeight="1">
      <c r="A1358" s="41" t="s">
        <v>6232</v>
      </c>
      <c r="B1358" s="37">
        <f>SUM($C1358,$D1358,$E1358)</f>
        <v>0</v>
      </c>
      <c r="C1358" s="37">
        <f>$AB1358</f>
        <v>0</v>
      </c>
      <c r="D1358" s="37">
        <f>$AF1358</f>
        <v>0</v>
      </c>
      <c r="E1358" s="37">
        <f>$AJ1358</f>
        <v>0</v>
      </c>
      <c r="F1358" s="45"/>
      <c r="K1358" s="3" t="s">
        <v>5506</v>
      </c>
      <c r="AA1358" s="40" t="s">
        <v>4586</v>
      </c>
      <c r="AB1358" s="8">
        <f>ROUND(0,2)</f>
        <v>0</v>
      </c>
      <c r="AC1358" s="40" t="s">
        <v>4161</v>
      </c>
      <c r="AD1358" s="7">
        <f>$AB1358</f>
        <v>0</v>
      </c>
      <c r="AE1358" s="40" t="s">
        <v>222</v>
      </c>
      <c r="AF1358" s="8">
        <f>ROUND(0,2)</f>
        <v>0</v>
      </c>
      <c r="AG1358" s="40" t="s">
        <v>334</v>
      </c>
      <c r="AH1358" s="7">
        <f>$AF1358</f>
        <v>0</v>
      </c>
      <c r="AI1358" s="40" t="s">
        <v>1574</v>
      </c>
      <c r="AJ1358" s="8">
        <f>ROUND(0,2)</f>
        <v>0</v>
      </c>
      <c r="AK1358" s="40" t="s">
        <v>1622</v>
      </c>
      <c r="AL1358" s="7">
        <f>$AJ1358</f>
        <v>0</v>
      </c>
    </row>
    <row r="1359" spans="1:38" ht="18.399999999999999" customHeight="1">
      <c r="A1359" s="41" t="s">
        <v>3523</v>
      </c>
      <c r="B1359" s="37" t="e">
        <f>SUM($C1359,$D1359,$E1359)</f>
        <v>#REF!</v>
      </c>
      <c r="C1359" s="37" t="e">
        <f>$AB1359</f>
        <v>#REF!</v>
      </c>
      <c r="D1359" s="37" t="e">
        <f>$AF1359</f>
        <v>#REF!</v>
      </c>
      <c r="E1359" s="37" t="e">
        <f>$AJ1359</f>
        <v>#REF!</v>
      </c>
      <c r="F1359" s="45"/>
      <c r="K1359" s="3" t="s">
        <v>4286</v>
      </c>
      <c r="AA1359" s="40" t="s">
        <v>4586</v>
      </c>
      <c r="AB1359" s="8" t="e">
        <f>TRUNC($AD1351/12,1)</f>
        <v>#REF!</v>
      </c>
      <c r="AC1359" s="40" t="s">
        <v>4161</v>
      </c>
      <c r="AD1359" s="7" t="e">
        <f>$AB1359</f>
        <v>#REF!</v>
      </c>
      <c r="AE1359" s="40" t="s">
        <v>222</v>
      </c>
      <c r="AF1359" s="8" t="e">
        <f>TRUNC($AD1353/12,1)</f>
        <v>#REF!</v>
      </c>
      <c r="AG1359" s="40" t="s">
        <v>334</v>
      </c>
      <c r="AH1359" s="7" t="e">
        <f>$AF1359</f>
        <v>#REF!</v>
      </c>
      <c r="AI1359" s="40" t="s">
        <v>1574</v>
      </c>
      <c r="AJ1359" s="8" t="e">
        <f>TRUNC($AD1355/12,1)</f>
        <v>#REF!</v>
      </c>
      <c r="AK1359" s="40" t="s">
        <v>1622</v>
      </c>
      <c r="AL1359" s="7" t="e">
        <f>$AJ1359</f>
        <v>#REF!</v>
      </c>
    </row>
    <row r="1360" spans="1:38" ht="18.399999999999999" customHeight="1">
      <c r="A1360" s="41" t="s">
        <v>6232</v>
      </c>
      <c r="B1360" s="37"/>
      <c r="C1360" s="37"/>
      <c r="D1360" s="37"/>
      <c r="E1360" s="37"/>
      <c r="F1360" s="45"/>
      <c r="K1360" s="3" t="s">
        <v>6232</v>
      </c>
    </row>
    <row r="1361" spans="1:38" ht="18.399999999999999" customHeight="1">
      <c r="A1361" s="41" t="s">
        <v>3436</v>
      </c>
      <c r="B1361" s="37">
        <v>1536.7</v>
      </c>
      <c r="C1361" s="37">
        <v>66.7</v>
      </c>
      <c r="D1361" s="37">
        <v>1157.3</v>
      </c>
      <c r="E1361" s="37">
        <v>312.7</v>
      </c>
      <c r="F1361" s="45"/>
      <c r="K1361" s="3" t="s">
        <v>1342</v>
      </c>
    </row>
    <row r="1362" spans="1:38" ht="18.399999999999999" customHeight="1">
      <c r="A1362" s="41" t="s">
        <v>6232</v>
      </c>
      <c r="B1362" s="37">
        <f>SUM($C1362,$D1362,$E1362)</f>
        <v>0</v>
      </c>
      <c r="C1362" s="37">
        <f>$AB1362</f>
        <v>0</v>
      </c>
      <c r="D1362" s="37">
        <f>$AF1362</f>
        <v>0</v>
      </c>
      <c r="E1362" s="37">
        <f>$AJ1362</f>
        <v>0</v>
      </c>
      <c r="F1362" s="45"/>
      <c r="K1362" s="3" t="s">
        <v>3238</v>
      </c>
      <c r="AA1362" s="40" t="s">
        <v>308</v>
      </c>
      <c r="AB1362" s="8">
        <f>ROUND(0,2)</f>
        <v>0</v>
      </c>
      <c r="AC1362" s="40" t="s">
        <v>5000</v>
      </c>
      <c r="AD1362" s="7">
        <f>$AB1362</f>
        <v>0</v>
      </c>
      <c r="AE1362" s="40" t="s">
        <v>4500</v>
      </c>
      <c r="AF1362" s="8">
        <f>ROUND(0,2)</f>
        <v>0</v>
      </c>
      <c r="AG1362" s="40" t="s">
        <v>2603</v>
      </c>
      <c r="AH1362" s="7">
        <f>$AF1362</f>
        <v>0</v>
      </c>
      <c r="AI1362" s="40" t="s">
        <v>5878</v>
      </c>
      <c r="AJ1362" s="8">
        <f>ROUND(0,2)</f>
        <v>0</v>
      </c>
      <c r="AK1362" s="40" t="s">
        <v>787</v>
      </c>
      <c r="AL1362" s="7">
        <f>$AJ1362</f>
        <v>0</v>
      </c>
    </row>
    <row r="1363" spans="1:38" ht="18.399999999999999" customHeight="1">
      <c r="A1363" s="41" t="s">
        <v>4784</v>
      </c>
      <c r="B1363" s="37" t="e">
        <f>SUM($C1363,$D1363,$E1363)</f>
        <v>#REF!</v>
      </c>
      <c r="C1363" s="37" t="e">
        <f>$AB1363</f>
        <v>#REF!</v>
      </c>
      <c r="D1363" s="37" t="e">
        <f>$AF1363</f>
        <v>#REF!</v>
      </c>
      <c r="E1363" s="37" t="e">
        <f>$AJ1363</f>
        <v>#REF!</v>
      </c>
      <c r="F1363" s="45"/>
      <c r="K1363" s="3" t="s">
        <v>2347</v>
      </c>
      <c r="AA1363" s="40" t="s">
        <v>308</v>
      </c>
      <c r="AB1363" s="8" t="e">
        <f>TRUNC($AD1359*1.097,1)</f>
        <v>#REF!</v>
      </c>
      <c r="AC1363" s="40" t="s">
        <v>5000</v>
      </c>
      <c r="AD1363" s="7" t="e">
        <f>$AB1363</f>
        <v>#REF!</v>
      </c>
      <c r="AE1363" s="40" t="s">
        <v>4500</v>
      </c>
      <c r="AF1363" s="8" t="e">
        <f>TRUNC($AH1359*1.097,1)</f>
        <v>#REF!</v>
      </c>
      <c r="AG1363" s="40" t="s">
        <v>2603</v>
      </c>
      <c r="AH1363" s="7" t="e">
        <f>$AF1363</f>
        <v>#REF!</v>
      </c>
      <c r="AI1363" s="40" t="s">
        <v>5878</v>
      </c>
      <c r="AJ1363" s="8" t="e">
        <f>TRUNC($AL1359*1.097,1)</f>
        <v>#REF!</v>
      </c>
      <c r="AK1363" s="40" t="s">
        <v>787</v>
      </c>
      <c r="AL1363" s="7" t="e">
        <f>$AJ1363</f>
        <v>#REF!</v>
      </c>
    </row>
    <row r="1364" spans="1:38" ht="18.399999999999999" customHeight="1">
      <c r="A1364" s="41" t="s">
        <v>6232</v>
      </c>
      <c r="B1364" s="37"/>
      <c r="C1364" s="37"/>
      <c r="D1364" s="37"/>
      <c r="E1364" s="37"/>
      <c r="F1364" s="45"/>
      <c r="K1364" s="3" t="s">
        <v>6232</v>
      </c>
    </row>
    <row r="1365" spans="1:38" ht="18.399999999999999" customHeight="1">
      <c r="A1365" s="41" t="s">
        <v>3436</v>
      </c>
      <c r="B1365" s="37" t="e">
        <f>SUM($C1365,$D1365,$E1365)</f>
        <v>#REF!</v>
      </c>
      <c r="C1365" s="37" t="e">
        <f>$AB1365</f>
        <v>#REF!</v>
      </c>
      <c r="D1365" s="37" t="e">
        <f>$AF1365</f>
        <v>#REF!</v>
      </c>
      <c r="E1365" s="37" t="e">
        <f>$AJ1365</f>
        <v>#REF!</v>
      </c>
      <c r="F1365" s="45"/>
      <c r="K1365" s="3" t="s">
        <v>4527</v>
      </c>
      <c r="AA1365" s="40" t="s">
        <v>4592</v>
      </c>
      <c r="AB1365" s="8" t="e">
        <f>TRUNC($AD1363,1)</f>
        <v>#REF!</v>
      </c>
      <c r="AC1365" s="40" t="s">
        <v>5149</v>
      </c>
      <c r="AD1365" s="7" t="e">
        <f>$AB1365</f>
        <v>#REF!</v>
      </c>
      <c r="AE1365" s="40" t="s">
        <v>666</v>
      </c>
      <c r="AF1365" s="8" t="e">
        <f>TRUNC($AH1363,1)</f>
        <v>#REF!</v>
      </c>
      <c r="AG1365" s="40" t="s">
        <v>2431</v>
      </c>
      <c r="AH1365" s="7" t="e">
        <f>$AF1365</f>
        <v>#REF!</v>
      </c>
      <c r="AI1365" s="40" t="s">
        <v>1930</v>
      </c>
      <c r="AJ1365" s="8" t="e">
        <f>TRUNC($AL1363,1)</f>
        <v>#REF!</v>
      </c>
      <c r="AK1365" s="40" t="s">
        <v>3349</v>
      </c>
      <c r="AL1365" s="7" t="e">
        <f>$AJ1365</f>
        <v>#REF!</v>
      </c>
    </row>
    <row r="1366" spans="1:38" ht="18.399999999999999" customHeight="1">
      <c r="A1366" s="41"/>
      <c r="B1366" s="3"/>
      <c r="C1366" s="3"/>
      <c r="D1366" s="3"/>
      <c r="E1366" s="3"/>
      <c r="F1366" s="44"/>
    </row>
    <row r="1367" spans="1:38" ht="18.399999999999999" customHeight="1">
      <c r="A1367" s="43" t="s">
        <v>3543</v>
      </c>
      <c r="B1367" s="38" t="e">
        <f>SUM($C1367,$D1367,$E1367)</f>
        <v>#REF!</v>
      </c>
      <c r="C1367" s="38" t="e">
        <f>TRUNC(SUM($AD1365),0)</f>
        <v>#REF!</v>
      </c>
      <c r="D1367" s="38" t="e">
        <f>TRUNC(SUM($AH1365),0)</f>
        <v>#REF!</v>
      </c>
      <c r="E1367" s="38" t="e">
        <f>TRUNC(SUM($AL1365),0)</f>
        <v>#REF!</v>
      </c>
      <c r="F1367" s="46"/>
    </row>
    <row r="1368" spans="1:38" ht="18.399999999999999" customHeight="1">
      <c r="A1368" s="41"/>
      <c r="B1368" s="3"/>
      <c r="C1368" s="3"/>
      <c r="D1368" s="3"/>
      <c r="E1368" s="3"/>
      <c r="F1368" s="44"/>
    </row>
    <row r="1369" spans="1:38" ht="18.399999999999999" customHeight="1">
      <c r="A1369" s="41" t="s">
        <v>1362</v>
      </c>
      <c r="B1369" s="36" t="e">
        <f>$B1442</f>
        <v>#REF!</v>
      </c>
      <c r="C1369" s="36" t="e">
        <f>$C1442</f>
        <v>#REF!</v>
      </c>
      <c r="D1369" s="36" t="e">
        <f>$D1442</f>
        <v>#REF!</v>
      </c>
      <c r="E1369" s="36" t="e">
        <f>$E1442</f>
        <v>#REF!</v>
      </c>
      <c r="F1369" s="44" t="s">
        <v>3378</v>
      </c>
      <c r="G1369" t="s">
        <v>6232</v>
      </c>
      <c r="H1369" t="s">
        <v>1961</v>
      </c>
      <c r="K1369">
        <v>1</v>
      </c>
      <c r="Y1369" s="7" t="e">
        <f>EXACT($Z1369,$B1442)</f>
        <v>#REF!</v>
      </c>
      <c r="Z1369" s="38">
        <v>1419</v>
      </c>
    </row>
    <row r="1370" spans="1:38" ht="18.399999999999999" customHeight="1">
      <c r="A1370" s="41"/>
      <c r="B1370" s="3"/>
      <c r="C1370" s="3"/>
      <c r="D1370" s="3"/>
      <c r="E1370" s="3"/>
      <c r="F1370" s="44"/>
    </row>
    <row r="1371" spans="1:38" ht="18.399999999999999" customHeight="1">
      <c r="A1371" s="41" t="s">
        <v>6232</v>
      </c>
      <c r="B1371" s="3"/>
      <c r="C1371" s="3"/>
      <c r="D1371" s="3"/>
      <c r="E1371" s="3"/>
      <c r="F1371" s="44"/>
      <c r="G1371" t="s">
        <v>6232</v>
      </c>
      <c r="I1371" t="s">
        <v>742</v>
      </c>
      <c r="J1371" t="s">
        <v>6232</v>
      </c>
      <c r="K1371" t="s">
        <v>5235</v>
      </c>
    </row>
    <row r="1372" spans="1:38" ht="18.399999999999999" customHeight="1">
      <c r="A1372" s="41" t="s">
        <v>5377</v>
      </c>
      <c r="B1372" s="37"/>
      <c r="C1372" s="37"/>
      <c r="D1372" s="37"/>
      <c r="E1372" s="37"/>
      <c r="F1372" s="45"/>
      <c r="K1372" s="3" t="s">
        <v>3993</v>
      </c>
    </row>
    <row r="1373" spans="1:38" ht="18.399999999999999" customHeight="1">
      <c r="A1373" s="41" t="s">
        <v>6232</v>
      </c>
      <c r="B1373" s="37"/>
      <c r="C1373" s="37"/>
      <c r="D1373" s="37"/>
      <c r="E1373" s="37"/>
      <c r="F1373" s="45"/>
      <c r="K1373" s="3" t="s">
        <v>6232</v>
      </c>
    </row>
    <row r="1374" spans="1:38" ht="18.399999999999999" customHeight="1">
      <c r="A1374" s="42" t="str">
        <f>CONCATENATE("                L=",TEXT($AB1374,"#,##0.0"),"   KM")</f>
        <v xml:space="preserve">                L=4.0   KM</v>
      </c>
      <c r="B1374" s="37"/>
      <c r="C1374" s="37"/>
      <c r="D1374" s="37"/>
      <c r="E1374" s="37"/>
      <c r="F1374" s="45"/>
      <c r="K1374" s="10" t="str">
        <f>SUBSTITUTE(SUBSTITUTE("                L = 4.0  _x001D_KM_x001D_","4.0",TEXT($AB1374,"#,##0.0"),1),"_x001D_","'")</f>
        <v xml:space="preserve">                L = 4.0  'KM'</v>
      </c>
      <c r="AA1374" s="39" t="s">
        <v>5842</v>
      </c>
      <c r="AB1374" s="6">
        <v>4</v>
      </c>
      <c r="AC1374" s="39" t="s">
        <v>5842</v>
      </c>
      <c r="AD1374" s="7">
        <f>$AB1374</f>
        <v>4</v>
      </c>
    </row>
    <row r="1375" spans="1:38" ht="18.399999999999999" customHeight="1">
      <c r="A1375" s="41" t="s">
        <v>6214</v>
      </c>
      <c r="B1375" s="37"/>
      <c r="C1375" s="37"/>
      <c r="D1375" s="37"/>
      <c r="E1375" s="37"/>
      <c r="F1375" s="45"/>
      <c r="K1375" s="3" t="s">
        <v>3965</v>
      </c>
    </row>
    <row r="1376" spans="1:38" ht="18.399999999999999" customHeight="1">
      <c r="A1376" s="42" t="str">
        <f>CONCATENATE("                V=",TEXT($AB1376,"#,##0.0"),"  KM/hr")</f>
        <v xml:space="preserve">                V=30.0  KM/hr</v>
      </c>
      <c r="B1376" s="37"/>
      <c r="C1376" s="37"/>
      <c r="D1376" s="37"/>
      <c r="E1376" s="37"/>
      <c r="F1376" s="45"/>
      <c r="K1376" s="10" t="str">
        <f>SUBSTITUTE(SUBSTITUTE("                V = 30.0 _x001D_KM/hr_x001D_","30.0",TEXT($AB1376,"#,##0.0"),1),"_x001D_","'")</f>
        <v xml:space="preserve">                V = 30.0 'KM/hr'</v>
      </c>
      <c r="AA1376" s="39" t="s">
        <v>247</v>
      </c>
      <c r="AB1376" s="6">
        <v>30</v>
      </c>
      <c r="AC1376" s="39" t="s">
        <v>247</v>
      </c>
      <c r="AD1376" s="7">
        <f>$AB1376</f>
        <v>30</v>
      </c>
    </row>
    <row r="1377" spans="1:38" ht="18.399999999999999" customHeight="1">
      <c r="A1377" s="41" t="s">
        <v>6232</v>
      </c>
      <c r="B1377" s="37">
        <f>SUM($C1377,$D1377,$E1377)</f>
        <v>0</v>
      </c>
      <c r="C1377" s="37">
        <f>$AB1377</f>
        <v>0</v>
      </c>
      <c r="D1377" s="37">
        <f>$AF1377</f>
        <v>0</v>
      </c>
      <c r="E1377" s="37">
        <f>$AJ1377</f>
        <v>0</v>
      </c>
      <c r="F1377" s="45"/>
      <c r="K1377" s="3" t="s">
        <v>295</v>
      </c>
      <c r="AA1377" s="40" t="s">
        <v>2660</v>
      </c>
      <c r="AB1377" s="8">
        <f>ROUND(0,2)</f>
        <v>0</v>
      </c>
      <c r="AC1377" s="40" t="s">
        <v>1650</v>
      </c>
      <c r="AD1377" s="7">
        <f>$AB1377</f>
        <v>0</v>
      </c>
      <c r="AE1377" s="40" t="s">
        <v>5305</v>
      </c>
      <c r="AF1377" s="8">
        <f>ROUND(0,2)</f>
        <v>0</v>
      </c>
      <c r="AG1377" s="40" t="s">
        <v>5439</v>
      </c>
      <c r="AH1377" s="7">
        <f>$AF1377</f>
        <v>0</v>
      </c>
      <c r="AI1377" s="40" t="s">
        <v>3519</v>
      </c>
      <c r="AJ1377" s="8">
        <f>ROUND(0,2)</f>
        <v>0</v>
      </c>
      <c r="AK1377" s="40" t="s">
        <v>4149</v>
      </c>
      <c r="AL1377" s="7">
        <f>$AJ1377</f>
        <v>0</v>
      </c>
    </row>
    <row r="1378" spans="1:38" ht="18.399999999999999" customHeight="1">
      <c r="A1378" s="41" t="s">
        <v>3557</v>
      </c>
      <c r="B1378" s="37"/>
      <c r="C1378" s="37"/>
      <c r="D1378" s="37"/>
      <c r="E1378" s="37"/>
      <c r="F1378" s="45"/>
      <c r="K1378" s="3" t="s">
        <v>5146</v>
      </c>
    </row>
    <row r="1379" spans="1:38" ht="18.399999999999999" customHeight="1">
      <c r="A1379" s="41" t="s">
        <v>6232</v>
      </c>
      <c r="B1379" s="37"/>
      <c r="C1379" s="37"/>
      <c r="D1379" s="37"/>
      <c r="E1379" s="37"/>
      <c r="F1379" s="45"/>
      <c r="K1379" s="3" t="s">
        <v>6232</v>
      </c>
    </row>
    <row r="1380" spans="1:38" ht="18.399999999999999" customHeight="1">
      <c r="A1380" s="41" t="s">
        <v>2653</v>
      </c>
      <c r="B1380" s="37"/>
      <c r="C1380" s="37"/>
      <c r="D1380" s="37"/>
      <c r="E1380" s="37"/>
      <c r="F1380" s="45"/>
      <c r="K1380" s="3" t="s">
        <v>2793</v>
      </c>
    </row>
    <row r="1381" spans="1:38" ht="18.399999999999999" customHeight="1">
      <c r="A1381" s="41" t="s">
        <v>52</v>
      </c>
      <c r="B1381" s="37"/>
      <c r="C1381" s="37"/>
      <c r="D1381" s="37"/>
      <c r="E1381" s="37"/>
      <c r="F1381" s="45"/>
      <c r="K1381" s="3" t="s">
        <v>3020</v>
      </c>
    </row>
    <row r="1382" spans="1:38" ht="18.399999999999999" customHeight="1">
      <c r="A1382" s="41" t="s">
        <v>6232</v>
      </c>
      <c r="B1382" s="37"/>
      <c r="C1382" s="37"/>
      <c r="D1382" s="37"/>
      <c r="E1382" s="37"/>
      <c r="F1382" s="45"/>
      <c r="K1382" s="3" t="s">
        <v>6232</v>
      </c>
    </row>
    <row r="1383" spans="1:38" ht="18.399999999999999" customHeight="1">
      <c r="A1383" s="41" t="s">
        <v>3700</v>
      </c>
      <c r="B1383" s="37"/>
      <c r="C1383" s="37"/>
      <c r="D1383" s="37"/>
      <c r="E1383" s="37"/>
      <c r="F1383" s="45"/>
      <c r="K1383" s="3" t="s">
        <v>2773</v>
      </c>
    </row>
    <row r="1384" spans="1:38" ht="18.399999999999999" customHeight="1">
      <c r="A1384" s="41" t="s">
        <v>679</v>
      </c>
      <c r="B1384" s="37"/>
      <c r="C1384" s="37"/>
      <c r="D1384" s="37"/>
      <c r="E1384" s="37"/>
      <c r="F1384" s="45"/>
      <c r="K1384" s="3" t="s">
        <v>1995</v>
      </c>
    </row>
    <row r="1385" spans="1:38" ht="18.399999999999999" customHeight="1">
      <c r="A1385" s="41" t="s">
        <v>5867</v>
      </c>
      <c r="B1385" s="37"/>
      <c r="C1385" s="37"/>
      <c r="D1385" s="37"/>
      <c r="E1385" s="37"/>
      <c r="F1385" s="45"/>
      <c r="K1385" s="3" t="s">
        <v>2096</v>
      </c>
    </row>
    <row r="1386" spans="1:38" ht="18.399999999999999" customHeight="1">
      <c r="A1386" s="41" t="s">
        <v>6232</v>
      </c>
      <c r="B1386" s="37"/>
      <c r="C1386" s="37"/>
      <c r="D1386" s="37"/>
      <c r="E1386" s="37"/>
      <c r="F1386" s="45"/>
      <c r="K1386" s="3" t="s">
        <v>6232</v>
      </c>
    </row>
    <row r="1387" spans="1:38" ht="18.399999999999999" customHeight="1">
      <c r="A1387" s="41" t="s">
        <v>4392</v>
      </c>
      <c r="B1387" s="37"/>
      <c r="C1387" s="37"/>
      <c r="D1387" s="37"/>
      <c r="E1387" s="37"/>
      <c r="F1387" s="45"/>
      <c r="K1387" s="3" t="s">
        <v>561</v>
      </c>
    </row>
    <row r="1388" spans="1:38" ht="18.399999999999999" customHeight="1">
      <c r="A1388" s="41" t="s">
        <v>6232</v>
      </c>
      <c r="B1388" s="37"/>
      <c r="C1388" s="37"/>
      <c r="D1388" s="37"/>
      <c r="E1388" s="37"/>
      <c r="F1388" s="45"/>
      <c r="K1388" s="3" t="s">
        <v>6232</v>
      </c>
    </row>
    <row r="1389" spans="1:38" ht="18.399999999999999" customHeight="1">
      <c r="A1389" s="41" t="s">
        <v>6134</v>
      </c>
      <c r="B1389" s="37"/>
      <c r="C1389" s="37"/>
      <c r="D1389" s="37"/>
      <c r="E1389" s="37"/>
      <c r="F1389" s="45"/>
      <c r="K1389" s="3" t="s">
        <v>4089</v>
      </c>
    </row>
    <row r="1390" spans="1:38" ht="18.399999999999999" customHeight="1">
      <c r="A1390" s="41" t="s">
        <v>6232</v>
      </c>
      <c r="B1390" s="37"/>
      <c r="C1390" s="37"/>
      <c r="D1390" s="37"/>
      <c r="E1390" s="37"/>
      <c r="F1390" s="45"/>
      <c r="K1390" s="3" t="s">
        <v>6232</v>
      </c>
    </row>
    <row r="1391" spans="1:38" ht="18.399999999999999" customHeight="1">
      <c r="A1391" s="41" t="s">
        <v>2299</v>
      </c>
      <c r="B1391" s="37"/>
      <c r="C1391" s="37"/>
      <c r="D1391" s="37"/>
      <c r="E1391" s="37"/>
      <c r="F1391" s="45"/>
      <c r="K1391" s="3" t="s">
        <v>3083</v>
      </c>
    </row>
    <row r="1392" spans="1:38" ht="18.399999999999999" customHeight="1">
      <c r="A1392" s="41" t="s">
        <v>257</v>
      </c>
      <c r="B1392" s="37"/>
      <c r="C1392" s="37"/>
      <c r="D1392" s="37"/>
      <c r="E1392" s="37"/>
      <c r="F1392" s="45"/>
      <c r="K1392" s="3" t="s">
        <v>1264</v>
      </c>
    </row>
    <row r="1393" spans="1:34" ht="18.399999999999999" customHeight="1">
      <c r="A1393" s="41" t="s">
        <v>6232</v>
      </c>
      <c r="B1393" s="37"/>
      <c r="C1393" s="37"/>
      <c r="D1393" s="37"/>
      <c r="E1393" s="37"/>
      <c r="F1393" s="45"/>
      <c r="K1393" s="3" t="s">
        <v>6232</v>
      </c>
    </row>
    <row r="1394" spans="1:34" ht="18.399999999999999" customHeight="1">
      <c r="A1394" s="42" t="str">
        <f>CONCATENATE("   - 1차당 적재량(본)         Q=",TEXT($AB1394,"#,##0.00"),"  본")</f>
        <v xml:space="preserve">   - 1차당 적재량(본)         Q=195.00  본</v>
      </c>
      <c r="B1394" s="37"/>
      <c r="C1394" s="37"/>
      <c r="D1394" s="37"/>
      <c r="E1394" s="37"/>
      <c r="F1394" s="45"/>
      <c r="K1394" s="10" t="str">
        <f>SUBSTITUTE(SUBSTITUTE("  _x001D_- 1차당 적재량(본)_x001D_        Q  =  195 _x001D_본_x001D_","195",TEXT($AB1394,"#,##0"),1),"_x001D_","'")</f>
        <v xml:space="preserve">  '- 1차당 적재량(본)'        Q  =  195 '본'</v>
      </c>
      <c r="AA1394" s="39" t="s">
        <v>4337</v>
      </c>
      <c r="AB1394" s="6">
        <v>195</v>
      </c>
      <c r="AC1394" s="39" t="s">
        <v>4337</v>
      </c>
      <c r="AD1394" s="7">
        <f>$AB1394</f>
        <v>195</v>
      </c>
    </row>
    <row r="1395" spans="1:34" ht="18.399999999999999" customHeight="1">
      <c r="A1395" s="41" t="s">
        <v>6232</v>
      </c>
      <c r="B1395" s="37"/>
      <c r="C1395" s="37"/>
      <c r="D1395" s="37"/>
      <c r="E1395" s="37"/>
      <c r="F1395" s="45"/>
      <c r="K1395" s="3" t="s">
        <v>6232</v>
      </c>
    </row>
    <row r="1396" spans="1:34" ht="18.399999999999999" customHeight="1">
      <c r="A1396" s="42" t="str">
        <f>CONCATENATE("   - 운반차량 대기시간(12M당)    T1=",TEXT($AB1396,"#,##0.0"),"  분")</f>
        <v xml:space="preserve">   - 운반차량 대기시간(12M당)    T1=2.4  분</v>
      </c>
      <c r="B1396" s="37"/>
      <c r="C1396" s="37"/>
      <c r="D1396" s="37"/>
      <c r="E1396" s="37"/>
      <c r="F1396" s="45"/>
      <c r="K1396" s="10" t="str">
        <f>SUBSTITUTE(SUBSTITUTE("  _x001D_- 운반차량 대기시간(12M당)_x001D_   T1 = 2.4 _x001D_분_x001D_","2.4",TEXT($AB1396,"#,##0.0"),1),"_x001D_","'")</f>
        <v xml:space="preserve">  '- 운반차량 대기시간(12M당)'   T1 = 2.4 '분'</v>
      </c>
      <c r="AA1396" s="39" t="s">
        <v>4528</v>
      </c>
      <c r="AB1396" s="6">
        <v>2.4</v>
      </c>
      <c r="AC1396" s="39" t="s">
        <v>4528</v>
      </c>
      <c r="AD1396" s="7">
        <f>$AB1396</f>
        <v>2.4</v>
      </c>
    </row>
    <row r="1397" spans="1:34" ht="18.399999999999999" customHeight="1">
      <c r="A1397" s="41" t="s">
        <v>6232</v>
      </c>
      <c r="B1397" s="37"/>
      <c r="C1397" s="37"/>
      <c r="D1397" s="37"/>
      <c r="E1397" s="37"/>
      <c r="F1397" s="45"/>
      <c r="K1397" s="3" t="s">
        <v>6232</v>
      </c>
    </row>
    <row r="1398" spans="1:34" ht="18.399999999999999" customHeight="1">
      <c r="A1398" s="41" t="s">
        <v>4838</v>
      </c>
      <c r="B1398" s="37"/>
      <c r="C1398" s="37"/>
      <c r="D1398" s="37"/>
      <c r="E1398" s="37"/>
      <c r="F1398" s="45"/>
      <c r="K1398" s="3" t="s">
        <v>6093</v>
      </c>
    </row>
    <row r="1399" spans="1:34" ht="18.399999999999999" customHeight="1">
      <c r="A1399" s="41" t="s">
        <v>6232</v>
      </c>
      <c r="B1399" s="37"/>
      <c r="C1399" s="37"/>
      <c r="D1399" s="37"/>
      <c r="E1399" s="37"/>
      <c r="F1399" s="45"/>
      <c r="K1399" s="3" t="s">
        <v>6232</v>
      </c>
    </row>
    <row r="1400" spans="1:34" ht="18.399999999999999" customHeight="1">
      <c r="A1400" s="42" t="str">
        <f>CONCATENATE("    T2 = (L / V * 2 * 60 + 20) / Q * 2 = ",TEXT($AF1400,"#,##0.00")," 분 ")</f>
        <v xml:space="preserve">    T2 = (L / V * 2 * 60 + 20) / Q * 2 = 0.37 분 </v>
      </c>
      <c r="B1400" s="37">
        <f>SUM($C1400,$D1400,$E1400)</f>
        <v>0</v>
      </c>
      <c r="C1400" s="37"/>
      <c r="D1400" s="37"/>
      <c r="E1400" s="37"/>
      <c r="F1400" s="45"/>
      <c r="K1400" s="3" t="s">
        <v>1389</v>
      </c>
      <c r="AA1400" s="39" t="s">
        <v>5897</v>
      </c>
      <c r="AB1400" s="8">
        <f>ROUND(($AD1374/$AD1376*2*60+20)/$AD1394*2,2)</f>
        <v>0.37</v>
      </c>
      <c r="AC1400" s="39" t="s">
        <v>2053</v>
      </c>
      <c r="AD1400" s="7">
        <f>$AB1400</f>
        <v>0.37</v>
      </c>
      <c r="AE1400" s="39" t="s">
        <v>4597</v>
      </c>
      <c r="AF1400" s="8">
        <f>ROUND(ROUND(($AD1374/$AD1376*2*60+20)/$AD1394*2,2),2)</f>
        <v>0.37</v>
      </c>
      <c r="AG1400" s="39" t="s">
        <v>1450</v>
      </c>
      <c r="AH1400" s="7">
        <f>$AF1400</f>
        <v>0.37</v>
      </c>
    </row>
    <row r="1401" spans="1:34" ht="18.399999999999999" customHeight="1">
      <c r="A1401" s="41" t="s">
        <v>6232</v>
      </c>
      <c r="B1401" s="37"/>
      <c r="C1401" s="37"/>
      <c r="D1401" s="37"/>
      <c r="E1401" s="37"/>
      <c r="F1401" s="45"/>
      <c r="K1401" s="3" t="s">
        <v>6232</v>
      </c>
    </row>
    <row r="1402" spans="1:34" ht="18.399999999999999" customHeight="1">
      <c r="A1402" s="41" t="s">
        <v>2391</v>
      </c>
      <c r="B1402" s="37"/>
      <c r="C1402" s="37"/>
      <c r="D1402" s="37"/>
      <c r="E1402" s="37"/>
      <c r="F1402" s="45"/>
      <c r="K1402" s="3" t="s">
        <v>4710</v>
      </c>
    </row>
    <row r="1403" spans="1:34" ht="18.399999999999999" customHeight="1">
      <c r="A1403" s="41" t="s">
        <v>6232</v>
      </c>
      <c r="B1403" s="37"/>
      <c r="C1403" s="37"/>
      <c r="D1403" s="37"/>
      <c r="E1403" s="37"/>
      <c r="F1403" s="45"/>
      <c r="K1403" s="3" t="s">
        <v>6232</v>
      </c>
    </row>
    <row r="1404" spans="1:34" ht="18.399999999999999" customHeight="1">
      <c r="A1404" s="42" t="str">
        <f>CONCATENATE("    CM = T1 + T2 = ",TEXT($AF1404,"#,##0.00")," 분 ")</f>
        <v xml:space="preserve">    CM = T1 + T2 = 2.77 분 </v>
      </c>
      <c r="B1404" s="37">
        <f>SUM($C1404,$D1404,$E1404)</f>
        <v>0</v>
      </c>
      <c r="C1404" s="37"/>
      <c r="D1404" s="37"/>
      <c r="E1404" s="37"/>
      <c r="F1404" s="45"/>
      <c r="K1404" s="3" t="s">
        <v>6049</v>
      </c>
      <c r="AA1404" s="39" t="s">
        <v>5026</v>
      </c>
      <c r="AB1404" s="8">
        <f>ROUND($AD1396+$AD1400,2)</f>
        <v>2.77</v>
      </c>
      <c r="AC1404" s="39" t="s">
        <v>289</v>
      </c>
      <c r="AD1404" s="7">
        <f>$AB1404</f>
        <v>2.77</v>
      </c>
      <c r="AE1404" s="39" t="s">
        <v>4331</v>
      </c>
      <c r="AF1404" s="8">
        <f>ROUND(ROUND($AD1396+$AD1400,2),2)</f>
        <v>2.77</v>
      </c>
      <c r="AG1404" s="39" t="s">
        <v>4817</v>
      </c>
      <c r="AH1404" s="7">
        <f>$AF1404</f>
        <v>2.77</v>
      </c>
    </row>
    <row r="1405" spans="1:34" ht="18.399999999999999" customHeight="1">
      <c r="A1405" s="41" t="s">
        <v>6232</v>
      </c>
      <c r="B1405" s="37"/>
      <c r="C1405" s="37"/>
      <c r="D1405" s="37"/>
      <c r="E1405" s="37"/>
      <c r="F1405" s="45"/>
      <c r="K1405" s="3" t="s">
        <v>6232</v>
      </c>
    </row>
    <row r="1406" spans="1:34" ht="18.399999999999999" customHeight="1">
      <c r="A1406" s="41" t="s">
        <v>5848</v>
      </c>
      <c r="B1406" s="37"/>
      <c r="C1406" s="37"/>
      <c r="D1406" s="37"/>
      <c r="E1406" s="37"/>
      <c r="F1406" s="45"/>
      <c r="K1406" s="3" t="s">
        <v>788</v>
      </c>
    </row>
    <row r="1407" spans="1:34" ht="18.399999999999999" customHeight="1">
      <c r="A1407" s="41" t="s">
        <v>6232</v>
      </c>
      <c r="B1407" s="37"/>
      <c r="C1407" s="37"/>
      <c r="D1407" s="37"/>
      <c r="E1407" s="37"/>
      <c r="F1407" s="45"/>
      <c r="K1407" s="3" t="s">
        <v>6232</v>
      </c>
    </row>
    <row r="1408" spans="1:34" ht="18.399999999999999" customHeight="1">
      <c r="A1408" s="42" t="str">
        <f>CONCATENATE("    Qo = T2 / CM = ",TEXT($AF1408,"#,##0.00")," 분 ")</f>
        <v xml:space="preserve">    Qo = T2 / CM = 0.13 분 </v>
      </c>
      <c r="B1408" s="37">
        <f>SUM($C1408,$D1408,$E1408)</f>
        <v>0</v>
      </c>
      <c r="C1408" s="37"/>
      <c r="D1408" s="37"/>
      <c r="E1408" s="37"/>
      <c r="F1408" s="45"/>
      <c r="K1408" s="3" t="s">
        <v>882</v>
      </c>
      <c r="AA1408" s="39" t="s">
        <v>1501</v>
      </c>
      <c r="AB1408" s="8">
        <f>ROUND($AD1400/$AD1404,2)</f>
        <v>0.13</v>
      </c>
      <c r="AC1408" s="39" t="s">
        <v>2425</v>
      </c>
      <c r="AD1408" s="7">
        <f>$AB1408</f>
        <v>0.13</v>
      </c>
      <c r="AE1408" s="39" t="s">
        <v>4068</v>
      </c>
      <c r="AF1408" s="8">
        <f>ROUND(ROUND($AD1400/$AD1404,2),2)</f>
        <v>0.13</v>
      </c>
      <c r="AG1408" s="39" t="s">
        <v>3325</v>
      </c>
      <c r="AH1408" s="7">
        <f>$AF1408</f>
        <v>0.13</v>
      </c>
    </row>
    <row r="1409" spans="1:30" ht="18.399999999999999" customHeight="1">
      <c r="A1409" s="41" t="s">
        <v>6232</v>
      </c>
      <c r="B1409" s="37"/>
      <c r="C1409" s="37"/>
      <c r="D1409" s="37"/>
      <c r="E1409" s="37"/>
      <c r="F1409" s="45"/>
      <c r="K1409" s="3" t="s">
        <v>6232</v>
      </c>
    </row>
    <row r="1410" spans="1:30" ht="18.399999999999999" customHeight="1">
      <c r="A1410" s="41" t="s">
        <v>78</v>
      </c>
      <c r="B1410" s="37"/>
      <c r="C1410" s="37"/>
      <c r="D1410" s="37"/>
      <c r="E1410" s="37"/>
      <c r="F1410" s="45"/>
      <c r="K1410" s="3" t="s">
        <v>5459</v>
      </c>
    </row>
    <row r="1411" spans="1:30" ht="18.399999999999999" customHeight="1">
      <c r="A1411" s="41" t="s">
        <v>6232</v>
      </c>
      <c r="B1411" s="37"/>
      <c r="C1411" s="37"/>
      <c r="D1411" s="37"/>
      <c r="E1411" s="37"/>
      <c r="F1411" s="45"/>
      <c r="K1411" s="3" t="s">
        <v>6232</v>
      </c>
    </row>
    <row r="1412" spans="1:30" ht="18.399999999999999" customHeight="1">
      <c r="A1412" s="42" t="str">
        <f>CONCATENATE("      보통인부 :  2.0 인  * _x001D_169,804_x001D_ * (CM + 6 ) / 60 / 8 = ",TEXT($AB1412,"#,##0.0"))</f>
        <v xml:space="preserve">      보통인부 :  2.0 인  * _x001D_169,804_x001D_ * (CM + 6 ) / 60 / 8 = 6,287.6</v>
      </c>
      <c r="B1412" s="37">
        <f>SUM($C1412,$D1412,$E1412)</f>
        <v>6287.6</v>
      </c>
      <c r="C1412" s="37"/>
      <c r="D1412" s="37">
        <f>$AB1412</f>
        <v>6287.6</v>
      </c>
      <c r="E1412" s="37"/>
      <c r="F1412" s="45" t="s">
        <v>6232</v>
      </c>
      <c r="K1412" s="3" t="s">
        <v>3933</v>
      </c>
      <c r="AA1412" s="40" t="s">
        <v>5305</v>
      </c>
      <c r="AB1412" s="8">
        <f>TRUNC(2*노임!D3*($AD1404+6)/60/8,1)</f>
        <v>6287.6</v>
      </c>
      <c r="AC1412" s="40" t="s">
        <v>5439</v>
      </c>
      <c r="AD1412" s="7">
        <f>$AH1377+$AB1412</f>
        <v>6287.6</v>
      </c>
    </row>
    <row r="1413" spans="1:30" ht="18.399999999999999" customHeight="1">
      <c r="A1413" s="41" t="s">
        <v>6232</v>
      </c>
      <c r="B1413" s="37"/>
      <c r="C1413" s="37"/>
      <c r="D1413" s="37"/>
      <c r="E1413" s="37"/>
      <c r="F1413" s="45"/>
      <c r="K1413" s="3" t="s">
        <v>6232</v>
      </c>
    </row>
    <row r="1414" spans="1:30" ht="18.399999999999999" customHeight="1">
      <c r="A1414" s="41" t="s">
        <v>1528</v>
      </c>
      <c r="B1414" s="37"/>
      <c r="C1414" s="37"/>
      <c r="D1414" s="37"/>
      <c r="E1414" s="37"/>
      <c r="F1414" s="45"/>
      <c r="K1414" s="3" t="s">
        <v>3746</v>
      </c>
    </row>
    <row r="1415" spans="1:30" ht="18.399999999999999" customHeight="1">
      <c r="A1415" s="41" t="s">
        <v>6232</v>
      </c>
      <c r="B1415" s="37"/>
      <c r="C1415" s="37"/>
      <c r="D1415" s="37"/>
      <c r="E1415" s="37"/>
      <c r="F1415" s="45"/>
      <c r="K1415" s="3" t="s">
        <v>6232</v>
      </c>
    </row>
    <row r="1416" spans="1:30" ht="18.399999999999999" customHeight="1">
      <c r="A1416" s="41" t="s">
        <v>3329</v>
      </c>
      <c r="B1416" s="37"/>
      <c r="C1416" s="37"/>
      <c r="D1416" s="37"/>
      <c r="E1416" s="37"/>
      <c r="F1416" s="45"/>
      <c r="K1416" s="3" t="s">
        <v>3091</v>
      </c>
    </row>
    <row r="1417" spans="1:30" ht="18.399999999999999" customHeight="1">
      <c r="A1417" s="41" t="s">
        <v>6232</v>
      </c>
      <c r="B1417" s="37"/>
      <c r="C1417" s="37"/>
      <c r="D1417" s="37"/>
      <c r="E1417" s="37"/>
      <c r="F1417" s="45"/>
      <c r="K1417" s="3" t="s">
        <v>6232</v>
      </c>
    </row>
    <row r="1418" spans="1:30" ht="18.399999999999999" customHeight="1">
      <c r="A1418" s="42" t="str">
        <f>CONCATENATE("     재료비:  _x001D_8,795_x001D_ * 3.6 / 60 = ",TEXT($AB1418,"#,##0.0"))</f>
        <v xml:space="preserve">     재료비:  _x001D_8,795_x001D_ * 3.6 / 60 = 0.0</v>
      </c>
      <c r="B1418" s="37">
        <f>SUM($C1418,$D1418,$E1418)</f>
        <v>0</v>
      </c>
      <c r="C1418" s="37">
        <f>$AB1418</f>
        <v>0</v>
      </c>
      <c r="D1418" s="37"/>
      <c r="E1418" s="37"/>
      <c r="F1418" s="45" t="s">
        <v>6232</v>
      </c>
      <c r="K1418" s="3" t="s">
        <v>2435</v>
      </c>
      <c r="AA1418" s="40" t="s">
        <v>2660</v>
      </c>
      <c r="AB1418" s="8">
        <f>TRUNC(중기사용료목록!E4*3.6/60,1)</f>
        <v>0</v>
      </c>
      <c r="AC1418" s="40" t="s">
        <v>1650</v>
      </c>
      <c r="AD1418" s="7">
        <f>$AD1377+$AB1418</f>
        <v>0</v>
      </c>
    </row>
    <row r="1419" spans="1:30" ht="18.399999999999999" customHeight="1">
      <c r="A1419" s="41" t="s">
        <v>6232</v>
      </c>
      <c r="B1419" s="37"/>
      <c r="C1419" s="37"/>
      <c r="D1419" s="37"/>
      <c r="E1419" s="37"/>
      <c r="F1419" s="45"/>
      <c r="K1419" s="3" t="s">
        <v>6232</v>
      </c>
    </row>
    <row r="1420" spans="1:30" ht="18.399999999999999" customHeight="1">
      <c r="A1420" s="42" t="str">
        <f>CONCATENATE("     노무비:  _x001D_57,077_x001D_ * 3.6 / 60 = ",TEXT($AB1420,"#,##0.0"))</f>
        <v xml:space="preserve">     노무비:  _x001D_57,077_x001D_ * 3.6 / 60 = 0.0</v>
      </c>
      <c r="B1420" s="37">
        <f>SUM($C1420,$D1420,$E1420)</f>
        <v>0</v>
      </c>
      <c r="C1420" s="37"/>
      <c r="D1420" s="37">
        <f>$AB1420</f>
        <v>0</v>
      </c>
      <c r="E1420" s="37"/>
      <c r="F1420" s="45" t="s">
        <v>6232</v>
      </c>
      <c r="K1420" s="3" t="s">
        <v>3425</v>
      </c>
      <c r="AA1420" s="40" t="s">
        <v>5305</v>
      </c>
      <c r="AB1420" s="8">
        <f>TRUNC(중기사용료목록!F4*3.6/60,1)</f>
        <v>0</v>
      </c>
      <c r="AC1420" s="40" t="s">
        <v>5439</v>
      </c>
      <c r="AD1420" s="7">
        <f>$AD1412+$AB1420</f>
        <v>6287.6</v>
      </c>
    </row>
    <row r="1421" spans="1:30" ht="18.399999999999999" customHeight="1">
      <c r="A1421" s="41" t="s">
        <v>6232</v>
      </c>
      <c r="B1421" s="37"/>
      <c r="C1421" s="37"/>
      <c r="D1421" s="37"/>
      <c r="E1421" s="37"/>
      <c r="F1421" s="45"/>
      <c r="K1421" s="3" t="s">
        <v>6232</v>
      </c>
    </row>
    <row r="1422" spans="1:30" ht="18.399999999999999" customHeight="1">
      <c r="A1422" s="42" t="str">
        <f>CONCATENATE("     경  비:  _x001D_41,995_x001D_ * 3.6 / 60 = ",TEXT($AB1422,"#,##0.0"))</f>
        <v xml:space="preserve">     경  비:  _x001D_41,995_x001D_ * 3.6 / 60 = 6,640.6</v>
      </c>
      <c r="B1422" s="37">
        <f>SUM($C1422,$D1422,$E1422)</f>
        <v>6640.6</v>
      </c>
      <c r="C1422" s="37"/>
      <c r="D1422" s="37"/>
      <c r="E1422" s="37">
        <f>$AB1422</f>
        <v>6640.6</v>
      </c>
      <c r="F1422" s="45" t="s">
        <v>6232</v>
      </c>
      <c r="K1422" s="3" t="s">
        <v>1740</v>
      </c>
      <c r="AA1422" s="40" t="s">
        <v>3519</v>
      </c>
      <c r="AB1422" s="8">
        <f>TRUNC(중기사용료목록!G4*3.6/60,1)</f>
        <v>6640.6</v>
      </c>
      <c r="AC1422" s="40" t="s">
        <v>4149</v>
      </c>
      <c r="AD1422" s="7">
        <f>$AL1377+$AB1422</f>
        <v>6640.6</v>
      </c>
    </row>
    <row r="1423" spans="1:30" ht="18.399999999999999" customHeight="1">
      <c r="A1423" s="41" t="s">
        <v>6232</v>
      </c>
      <c r="B1423" s="37"/>
      <c r="C1423" s="37"/>
      <c r="D1423" s="37"/>
      <c r="E1423" s="37"/>
      <c r="F1423" s="45"/>
      <c r="K1423" s="3" t="s">
        <v>6232</v>
      </c>
    </row>
    <row r="1424" spans="1:30" ht="18.399999999999999" customHeight="1">
      <c r="A1424" s="41" t="s">
        <v>4024</v>
      </c>
      <c r="B1424" s="37"/>
      <c r="C1424" s="37"/>
      <c r="D1424" s="37"/>
      <c r="E1424" s="37"/>
      <c r="F1424" s="45"/>
      <c r="K1424" s="3" t="s">
        <v>4460</v>
      </c>
    </row>
    <row r="1425" spans="1:38" ht="18.399999999999999" customHeight="1">
      <c r="A1425" s="41" t="s">
        <v>6232</v>
      </c>
      <c r="B1425" s="37"/>
      <c r="C1425" s="37"/>
      <c r="D1425" s="37"/>
      <c r="E1425" s="37"/>
      <c r="F1425" s="45"/>
      <c r="K1425" s="3" t="s">
        <v>6232</v>
      </c>
    </row>
    <row r="1426" spans="1:38" ht="18.399999999999999" customHeight="1">
      <c r="A1426" s="42" t="e">
        <f>CONCATENATE("     재료비:  _x001D_17,279_x001D_ * CM / 60 * Qo = ",TEXT($AB1426,"#,##0.0"))</f>
        <v>#REF!</v>
      </c>
      <c r="B1426" s="37" t="e">
        <f>SUM($C1426,$D1426,$E1426)</f>
        <v>#REF!</v>
      </c>
      <c r="C1426" s="37" t="e">
        <f>$AB1426</f>
        <v>#REF!</v>
      </c>
      <c r="D1426" s="37"/>
      <c r="E1426" s="37"/>
      <c r="F1426" s="45" t="s">
        <v>6232</v>
      </c>
      <c r="K1426" s="3" t="s">
        <v>5888</v>
      </c>
      <c r="AA1426" s="40" t="s">
        <v>2660</v>
      </c>
      <c r="AB1426" s="8" t="e">
        <f>TRUNC(중기사용료목록!#REF!*$AD1404/60*$AD1408,1)</f>
        <v>#REF!</v>
      </c>
      <c r="AC1426" s="40" t="s">
        <v>1650</v>
      </c>
      <c r="AD1426" s="7" t="e">
        <f>$AD1418+$AB1426</f>
        <v>#REF!</v>
      </c>
    </row>
    <row r="1427" spans="1:38" ht="18.399999999999999" customHeight="1">
      <c r="A1427" s="41" t="s">
        <v>6232</v>
      </c>
      <c r="B1427" s="37"/>
      <c r="C1427" s="37"/>
      <c r="D1427" s="37"/>
      <c r="E1427" s="37"/>
      <c r="F1427" s="45"/>
      <c r="K1427" s="3" t="s">
        <v>6232</v>
      </c>
    </row>
    <row r="1428" spans="1:38" ht="18.399999999999999" customHeight="1">
      <c r="A1428" s="42" t="e">
        <f>CONCATENATE("     노무비:  _x001D_49,479_x001D_ * CM / 60 = ",TEXT($AB1428,"#,##0.0"))</f>
        <v>#REF!</v>
      </c>
      <c r="B1428" s="37" t="e">
        <f>SUM($C1428,$D1428,$E1428)</f>
        <v>#REF!</v>
      </c>
      <c r="C1428" s="37"/>
      <c r="D1428" s="37" t="e">
        <f>$AB1428</f>
        <v>#REF!</v>
      </c>
      <c r="E1428" s="37"/>
      <c r="F1428" s="45" t="s">
        <v>6232</v>
      </c>
      <c r="K1428" s="3" t="s">
        <v>5243</v>
      </c>
      <c r="AA1428" s="40" t="s">
        <v>5305</v>
      </c>
      <c r="AB1428" s="8" t="e">
        <f>TRUNC(중기사용료목록!#REF!*$AD1404/60,1)</f>
        <v>#REF!</v>
      </c>
      <c r="AC1428" s="40" t="s">
        <v>5439</v>
      </c>
      <c r="AD1428" s="7" t="e">
        <f>$AD1420+$AB1428</f>
        <v>#REF!</v>
      </c>
    </row>
    <row r="1429" spans="1:38" ht="18.399999999999999" customHeight="1">
      <c r="A1429" s="41" t="s">
        <v>6232</v>
      </c>
      <c r="B1429" s="37"/>
      <c r="C1429" s="37"/>
      <c r="D1429" s="37"/>
      <c r="E1429" s="37"/>
      <c r="F1429" s="45"/>
      <c r="K1429" s="3" t="s">
        <v>6232</v>
      </c>
    </row>
    <row r="1430" spans="1:38" ht="18.399999999999999" customHeight="1">
      <c r="A1430" s="42" t="e">
        <f>CONCATENATE("     경  비:  _x001D_10,347_x001D_ * CM / 60 = ",TEXT($AB1430,"#,##0.0"))</f>
        <v>#REF!</v>
      </c>
      <c r="B1430" s="37" t="e">
        <f>SUM($C1430,$D1430,$E1430)</f>
        <v>#REF!</v>
      </c>
      <c r="C1430" s="37"/>
      <c r="D1430" s="37"/>
      <c r="E1430" s="37" t="e">
        <f>$AB1430</f>
        <v>#REF!</v>
      </c>
      <c r="F1430" s="45" t="s">
        <v>6232</v>
      </c>
      <c r="K1430" s="3" t="s">
        <v>4143</v>
      </c>
      <c r="AA1430" s="40" t="s">
        <v>3519</v>
      </c>
      <c r="AB1430" s="8" t="e">
        <f>TRUNC(중기사용료목록!#REF!*$AD1404/60,1)</f>
        <v>#REF!</v>
      </c>
      <c r="AC1430" s="40" t="s">
        <v>4149</v>
      </c>
      <c r="AD1430" s="7" t="e">
        <f>$AD1422+$AB1430</f>
        <v>#REF!</v>
      </c>
    </row>
    <row r="1431" spans="1:38" ht="18.399999999999999" customHeight="1">
      <c r="A1431" s="41" t="s">
        <v>6232</v>
      </c>
      <c r="B1431" s="37"/>
      <c r="C1431" s="37"/>
      <c r="D1431" s="37"/>
      <c r="E1431" s="37"/>
      <c r="F1431" s="45"/>
      <c r="K1431" s="3" t="s">
        <v>6232</v>
      </c>
    </row>
    <row r="1432" spans="1:38" ht="18.399999999999999" customHeight="1">
      <c r="A1432" s="41" t="s">
        <v>4035</v>
      </c>
      <c r="B1432" s="37">
        <v>15542.4</v>
      </c>
      <c r="C1432" s="37">
        <v>631.4</v>
      </c>
      <c r="D1432" s="37">
        <v>11913.7</v>
      </c>
      <c r="E1432" s="37">
        <v>2997.3</v>
      </c>
      <c r="F1432" s="45"/>
      <c r="K1432" s="3" t="s">
        <v>6070</v>
      </c>
    </row>
    <row r="1433" spans="1:38" ht="18.399999999999999" customHeight="1">
      <c r="A1433" s="41" t="s">
        <v>6232</v>
      </c>
      <c r="B1433" s="37">
        <f>SUM($C1433,$D1433,$E1433)</f>
        <v>0</v>
      </c>
      <c r="C1433" s="37">
        <f>$AB1433</f>
        <v>0</v>
      </c>
      <c r="D1433" s="37">
        <f>$AF1433</f>
        <v>0</v>
      </c>
      <c r="E1433" s="37">
        <f>$AJ1433</f>
        <v>0</v>
      </c>
      <c r="F1433" s="45"/>
      <c r="K1433" s="3" t="s">
        <v>5506</v>
      </c>
      <c r="AA1433" s="40" t="s">
        <v>4586</v>
      </c>
      <c r="AB1433" s="8">
        <f>ROUND(0,2)</f>
        <v>0</v>
      </c>
      <c r="AC1433" s="40" t="s">
        <v>4161</v>
      </c>
      <c r="AD1433" s="7">
        <f>$AB1433</f>
        <v>0</v>
      </c>
      <c r="AE1433" s="40" t="s">
        <v>222</v>
      </c>
      <c r="AF1433" s="8">
        <f>ROUND(0,2)</f>
        <v>0</v>
      </c>
      <c r="AG1433" s="40" t="s">
        <v>334</v>
      </c>
      <c r="AH1433" s="7">
        <f>$AF1433</f>
        <v>0</v>
      </c>
      <c r="AI1433" s="40" t="s">
        <v>1574</v>
      </c>
      <c r="AJ1433" s="8">
        <f>ROUND(0,2)</f>
        <v>0</v>
      </c>
      <c r="AK1433" s="40" t="s">
        <v>1622</v>
      </c>
      <c r="AL1433" s="7">
        <f>$AJ1433</f>
        <v>0</v>
      </c>
    </row>
    <row r="1434" spans="1:38" ht="18.399999999999999" customHeight="1">
      <c r="A1434" s="41" t="s">
        <v>252</v>
      </c>
      <c r="B1434" s="37" t="e">
        <f>SUM($C1434,$D1434,$E1434)</f>
        <v>#REF!</v>
      </c>
      <c r="C1434" s="37" t="e">
        <f>$AB1434</f>
        <v>#REF!</v>
      </c>
      <c r="D1434" s="37" t="e">
        <f>$AF1434</f>
        <v>#REF!</v>
      </c>
      <c r="E1434" s="37" t="e">
        <f>$AJ1434</f>
        <v>#REF!</v>
      </c>
      <c r="F1434" s="45"/>
      <c r="K1434" s="3" t="s">
        <v>4286</v>
      </c>
      <c r="AA1434" s="40" t="s">
        <v>4586</v>
      </c>
      <c r="AB1434" s="8" t="e">
        <f>TRUNC($AD1426/12,1)</f>
        <v>#REF!</v>
      </c>
      <c r="AC1434" s="40" t="s">
        <v>4161</v>
      </c>
      <c r="AD1434" s="7" t="e">
        <f>$AB1434</f>
        <v>#REF!</v>
      </c>
      <c r="AE1434" s="40" t="s">
        <v>222</v>
      </c>
      <c r="AF1434" s="8" t="e">
        <f>TRUNC($AD1428/12,1)</f>
        <v>#REF!</v>
      </c>
      <c r="AG1434" s="40" t="s">
        <v>334</v>
      </c>
      <c r="AH1434" s="7" t="e">
        <f>$AF1434</f>
        <v>#REF!</v>
      </c>
      <c r="AI1434" s="40" t="s">
        <v>1574</v>
      </c>
      <c r="AJ1434" s="8" t="e">
        <f>TRUNC($AD1430/12,1)</f>
        <v>#REF!</v>
      </c>
      <c r="AK1434" s="40" t="s">
        <v>1622</v>
      </c>
      <c r="AL1434" s="7" t="e">
        <f>$AJ1434</f>
        <v>#REF!</v>
      </c>
    </row>
    <row r="1435" spans="1:38" ht="18.399999999999999" customHeight="1">
      <c r="A1435" s="41" t="s">
        <v>6232</v>
      </c>
      <c r="B1435" s="37"/>
      <c r="C1435" s="37"/>
      <c r="D1435" s="37"/>
      <c r="E1435" s="37"/>
      <c r="F1435" s="45"/>
      <c r="K1435" s="3" t="s">
        <v>6232</v>
      </c>
    </row>
    <row r="1436" spans="1:38" ht="18.399999999999999" customHeight="1">
      <c r="A1436" s="41" t="s">
        <v>3436</v>
      </c>
      <c r="B1436" s="37">
        <v>1295.1000000000001</v>
      </c>
      <c r="C1436" s="37">
        <v>52.6</v>
      </c>
      <c r="D1436" s="37">
        <v>992.8</v>
      </c>
      <c r="E1436" s="37">
        <v>249.7</v>
      </c>
      <c r="F1436" s="45"/>
      <c r="K1436" s="3" t="s">
        <v>1342</v>
      </c>
    </row>
    <row r="1437" spans="1:38" ht="18.399999999999999" customHeight="1">
      <c r="A1437" s="41" t="s">
        <v>6232</v>
      </c>
      <c r="B1437" s="37">
        <f>SUM($C1437,$D1437,$E1437)</f>
        <v>0</v>
      </c>
      <c r="C1437" s="37">
        <f>$AB1437</f>
        <v>0</v>
      </c>
      <c r="D1437" s="37">
        <f>$AF1437</f>
        <v>0</v>
      </c>
      <c r="E1437" s="37">
        <f>$AJ1437</f>
        <v>0</v>
      </c>
      <c r="F1437" s="45"/>
      <c r="K1437" s="3" t="s">
        <v>3238</v>
      </c>
      <c r="AA1437" s="40" t="s">
        <v>308</v>
      </c>
      <c r="AB1437" s="8">
        <f>ROUND(0,2)</f>
        <v>0</v>
      </c>
      <c r="AC1437" s="40" t="s">
        <v>5000</v>
      </c>
      <c r="AD1437" s="7">
        <f>$AB1437</f>
        <v>0</v>
      </c>
      <c r="AE1437" s="40" t="s">
        <v>4500</v>
      </c>
      <c r="AF1437" s="8">
        <f>ROUND(0,2)</f>
        <v>0</v>
      </c>
      <c r="AG1437" s="40" t="s">
        <v>2603</v>
      </c>
      <c r="AH1437" s="7">
        <f>$AF1437</f>
        <v>0</v>
      </c>
      <c r="AI1437" s="40" t="s">
        <v>5878</v>
      </c>
      <c r="AJ1437" s="8">
        <f>ROUND(0,2)</f>
        <v>0</v>
      </c>
      <c r="AK1437" s="40" t="s">
        <v>787</v>
      </c>
      <c r="AL1437" s="7">
        <f>$AJ1437</f>
        <v>0</v>
      </c>
    </row>
    <row r="1438" spans="1:38" ht="18.399999999999999" customHeight="1">
      <c r="A1438" s="41" t="s">
        <v>4718</v>
      </c>
      <c r="B1438" s="37" t="e">
        <f>SUM($C1438,$D1438,$E1438)</f>
        <v>#REF!</v>
      </c>
      <c r="C1438" s="37" t="e">
        <f>$AB1438</f>
        <v>#REF!</v>
      </c>
      <c r="D1438" s="37" t="e">
        <f>$AF1438</f>
        <v>#REF!</v>
      </c>
      <c r="E1438" s="37" t="e">
        <f>$AJ1438</f>
        <v>#REF!</v>
      </c>
      <c r="F1438" s="45"/>
      <c r="K1438" s="3" t="s">
        <v>2347</v>
      </c>
      <c r="AA1438" s="40" t="s">
        <v>308</v>
      </c>
      <c r="AB1438" s="8" t="e">
        <f>TRUNC($AD1434*1.097,1)</f>
        <v>#REF!</v>
      </c>
      <c r="AC1438" s="40" t="s">
        <v>5000</v>
      </c>
      <c r="AD1438" s="7" t="e">
        <f>$AB1438</f>
        <v>#REF!</v>
      </c>
      <c r="AE1438" s="40" t="s">
        <v>4500</v>
      </c>
      <c r="AF1438" s="8" t="e">
        <f>TRUNC($AH1434*1.097,1)</f>
        <v>#REF!</v>
      </c>
      <c r="AG1438" s="40" t="s">
        <v>2603</v>
      </c>
      <c r="AH1438" s="7" t="e">
        <f>$AF1438</f>
        <v>#REF!</v>
      </c>
      <c r="AI1438" s="40" t="s">
        <v>5878</v>
      </c>
      <c r="AJ1438" s="8" t="e">
        <f>TRUNC($AL1434*1.097,1)</f>
        <v>#REF!</v>
      </c>
      <c r="AK1438" s="40" t="s">
        <v>787</v>
      </c>
      <c r="AL1438" s="7" t="e">
        <f>$AJ1438</f>
        <v>#REF!</v>
      </c>
    </row>
    <row r="1439" spans="1:38" ht="18.399999999999999" customHeight="1">
      <c r="A1439" s="41" t="s">
        <v>6232</v>
      </c>
      <c r="B1439" s="37"/>
      <c r="C1439" s="37"/>
      <c r="D1439" s="37"/>
      <c r="E1439" s="37"/>
      <c r="F1439" s="45"/>
      <c r="K1439" s="3" t="s">
        <v>6232</v>
      </c>
    </row>
    <row r="1440" spans="1:38" ht="18.399999999999999" customHeight="1">
      <c r="A1440" s="41" t="s">
        <v>3436</v>
      </c>
      <c r="B1440" s="37" t="e">
        <f>SUM($C1440,$D1440,$E1440)</f>
        <v>#REF!</v>
      </c>
      <c r="C1440" s="37" t="e">
        <f>$AB1440</f>
        <v>#REF!</v>
      </c>
      <c r="D1440" s="37" t="e">
        <f>$AF1440</f>
        <v>#REF!</v>
      </c>
      <c r="E1440" s="37" t="e">
        <f>$AJ1440</f>
        <v>#REF!</v>
      </c>
      <c r="F1440" s="45"/>
      <c r="K1440" s="3" t="s">
        <v>4527</v>
      </c>
      <c r="AA1440" s="40" t="s">
        <v>4592</v>
      </c>
      <c r="AB1440" s="8" t="e">
        <f>TRUNC($AD1438,1)</f>
        <v>#REF!</v>
      </c>
      <c r="AC1440" s="40" t="s">
        <v>5149</v>
      </c>
      <c r="AD1440" s="7" t="e">
        <f>$AB1440</f>
        <v>#REF!</v>
      </c>
      <c r="AE1440" s="40" t="s">
        <v>666</v>
      </c>
      <c r="AF1440" s="8" t="e">
        <f>TRUNC($AH1438,1)</f>
        <v>#REF!</v>
      </c>
      <c r="AG1440" s="40" t="s">
        <v>2431</v>
      </c>
      <c r="AH1440" s="7" t="e">
        <f>$AF1440</f>
        <v>#REF!</v>
      </c>
      <c r="AI1440" s="40" t="s">
        <v>1930</v>
      </c>
      <c r="AJ1440" s="8" t="e">
        <f>TRUNC($AL1438,1)</f>
        <v>#REF!</v>
      </c>
      <c r="AK1440" s="40" t="s">
        <v>3349</v>
      </c>
      <c r="AL1440" s="7" t="e">
        <f>$AJ1440</f>
        <v>#REF!</v>
      </c>
    </row>
    <row r="1441" spans="1:38" ht="18.399999999999999" customHeight="1">
      <c r="A1441" s="41"/>
      <c r="B1441" s="3"/>
      <c r="C1441" s="3"/>
      <c r="D1441" s="3"/>
      <c r="E1441" s="3"/>
      <c r="F1441" s="44"/>
    </row>
    <row r="1442" spans="1:38" ht="18.399999999999999" customHeight="1">
      <c r="A1442" s="43" t="s">
        <v>3543</v>
      </c>
      <c r="B1442" s="38" t="e">
        <f>SUM($C1442,$D1442,$E1442)</f>
        <v>#REF!</v>
      </c>
      <c r="C1442" s="38" t="e">
        <f>TRUNC(SUM($AD1440),0)</f>
        <v>#REF!</v>
      </c>
      <c r="D1442" s="38" t="e">
        <f>TRUNC(SUM($AH1440),0)</f>
        <v>#REF!</v>
      </c>
      <c r="E1442" s="38" t="e">
        <f>TRUNC(SUM($AL1440),0)</f>
        <v>#REF!</v>
      </c>
      <c r="F1442" s="46"/>
    </row>
    <row r="1443" spans="1:38" ht="18.399999999999999" customHeight="1">
      <c r="A1443" s="41"/>
      <c r="B1443" s="3"/>
      <c r="C1443" s="3"/>
      <c r="D1443" s="3"/>
      <c r="E1443" s="3"/>
      <c r="F1443" s="44"/>
    </row>
    <row r="1444" spans="1:38" ht="18.399999999999999" customHeight="1">
      <c r="A1444" s="41" t="s">
        <v>5038</v>
      </c>
      <c r="B1444" s="36" t="e">
        <f>$B1517</f>
        <v>#REF!</v>
      </c>
      <c r="C1444" s="36" t="e">
        <f>$C1517</f>
        <v>#REF!</v>
      </c>
      <c r="D1444" s="36" t="e">
        <f>$D1517</f>
        <v>#REF!</v>
      </c>
      <c r="E1444" s="36" t="e">
        <f>$E1517</f>
        <v>#REF!</v>
      </c>
      <c r="F1444" s="44" t="s">
        <v>3378</v>
      </c>
      <c r="G1444" t="s">
        <v>6232</v>
      </c>
      <c r="H1444" t="s">
        <v>4492</v>
      </c>
      <c r="K1444">
        <v>1</v>
      </c>
      <c r="Y1444" s="7" t="e">
        <f>EXACT($Z1444,$B1517)</f>
        <v>#REF!</v>
      </c>
      <c r="Z1444" s="38">
        <v>1419</v>
      </c>
    </row>
    <row r="1445" spans="1:38" ht="18.399999999999999" customHeight="1">
      <c r="A1445" s="41"/>
      <c r="B1445" s="3"/>
      <c r="C1445" s="3"/>
      <c r="D1445" s="3"/>
      <c r="E1445" s="3"/>
      <c r="F1445" s="44"/>
    </row>
    <row r="1446" spans="1:38" ht="18.399999999999999" customHeight="1">
      <c r="A1446" s="41" t="s">
        <v>6232</v>
      </c>
      <c r="B1446" s="3"/>
      <c r="C1446" s="3"/>
      <c r="D1446" s="3"/>
      <c r="E1446" s="3"/>
      <c r="F1446" s="44"/>
      <c r="G1446" t="s">
        <v>6232</v>
      </c>
      <c r="I1446" t="s">
        <v>742</v>
      </c>
      <c r="J1446" t="s">
        <v>6232</v>
      </c>
      <c r="K1446" t="s">
        <v>5235</v>
      </c>
    </row>
    <row r="1447" spans="1:38" ht="18.399999999999999" customHeight="1">
      <c r="A1447" s="41" t="s">
        <v>132</v>
      </c>
      <c r="B1447" s="37"/>
      <c r="C1447" s="37"/>
      <c r="D1447" s="37"/>
      <c r="E1447" s="37"/>
      <c r="F1447" s="45"/>
      <c r="K1447" s="3" t="s">
        <v>3959</v>
      </c>
    </row>
    <row r="1448" spans="1:38" ht="18.399999999999999" customHeight="1">
      <c r="A1448" s="41" t="s">
        <v>6232</v>
      </c>
      <c r="B1448" s="37"/>
      <c r="C1448" s="37"/>
      <c r="D1448" s="37"/>
      <c r="E1448" s="37"/>
      <c r="F1448" s="45"/>
      <c r="K1448" s="3" t="s">
        <v>6232</v>
      </c>
    </row>
    <row r="1449" spans="1:38" ht="18.399999999999999" customHeight="1">
      <c r="A1449" s="42" t="str">
        <f>CONCATENATE("                L=",TEXT($AB1449,"#,##0.0"),"   KM")</f>
        <v xml:space="preserve">                L=4.0   KM</v>
      </c>
      <c r="B1449" s="37"/>
      <c r="C1449" s="37"/>
      <c r="D1449" s="37"/>
      <c r="E1449" s="37"/>
      <c r="F1449" s="45"/>
      <c r="K1449" s="10" t="str">
        <f>SUBSTITUTE(SUBSTITUTE("                L = 4.0  _x001D_KM_x001D_","4.0",TEXT($AB1449,"#,##0.0"),1),"_x001D_","'")</f>
        <v xml:space="preserve">                L = 4.0  'KM'</v>
      </c>
      <c r="AA1449" s="39" t="s">
        <v>5842</v>
      </c>
      <c r="AB1449" s="6">
        <v>4</v>
      </c>
      <c r="AC1449" s="39" t="s">
        <v>5842</v>
      </c>
      <c r="AD1449" s="7">
        <f>$AB1449</f>
        <v>4</v>
      </c>
    </row>
    <row r="1450" spans="1:38" ht="18.399999999999999" customHeight="1">
      <c r="A1450" s="41" t="s">
        <v>6214</v>
      </c>
      <c r="B1450" s="37"/>
      <c r="C1450" s="37"/>
      <c r="D1450" s="37"/>
      <c r="E1450" s="37"/>
      <c r="F1450" s="45"/>
      <c r="K1450" s="3" t="s">
        <v>3965</v>
      </c>
    </row>
    <row r="1451" spans="1:38" ht="18.399999999999999" customHeight="1">
      <c r="A1451" s="42" t="str">
        <f>CONCATENATE("                V=",TEXT($AB1451,"#,##0.0"),"  KM/hr")</f>
        <v xml:space="preserve">                V=30.0  KM/hr</v>
      </c>
      <c r="B1451" s="37"/>
      <c r="C1451" s="37"/>
      <c r="D1451" s="37"/>
      <c r="E1451" s="37"/>
      <c r="F1451" s="45"/>
      <c r="K1451" s="10" t="str">
        <f>SUBSTITUTE(SUBSTITUTE("                V = 30.0 _x001D_KM/hr_x001D_","30.0",TEXT($AB1451,"#,##0.0"),1),"_x001D_","'")</f>
        <v xml:space="preserve">                V = 30.0 'KM/hr'</v>
      </c>
      <c r="AA1451" s="39" t="s">
        <v>247</v>
      </c>
      <c r="AB1451" s="6">
        <v>30</v>
      </c>
      <c r="AC1451" s="39" t="s">
        <v>247</v>
      </c>
      <c r="AD1451" s="7">
        <f>$AB1451</f>
        <v>30</v>
      </c>
    </row>
    <row r="1452" spans="1:38" ht="18.399999999999999" customHeight="1">
      <c r="A1452" s="41" t="s">
        <v>6232</v>
      </c>
      <c r="B1452" s="37">
        <f>SUM($C1452,$D1452,$E1452)</f>
        <v>0</v>
      </c>
      <c r="C1452" s="37">
        <f>$AB1452</f>
        <v>0</v>
      </c>
      <c r="D1452" s="37">
        <f>$AF1452</f>
        <v>0</v>
      </c>
      <c r="E1452" s="37">
        <f>$AJ1452</f>
        <v>0</v>
      </c>
      <c r="F1452" s="45"/>
      <c r="K1452" s="3" t="s">
        <v>295</v>
      </c>
      <c r="AA1452" s="40" t="s">
        <v>2660</v>
      </c>
      <c r="AB1452" s="8">
        <f>ROUND(0,2)</f>
        <v>0</v>
      </c>
      <c r="AC1452" s="40" t="s">
        <v>1650</v>
      </c>
      <c r="AD1452" s="7">
        <f>$AB1452</f>
        <v>0</v>
      </c>
      <c r="AE1452" s="40" t="s">
        <v>5305</v>
      </c>
      <c r="AF1452" s="8">
        <f>ROUND(0,2)</f>
        <v>0</v>
      </c>
      <c r="AG1452" s="40" t="s">
        <v>5439</v>
      </c>
      <c r="AH1452" s="7">
        <f>$AF1452</f>
        <v>0</v>
      </c>
      <c r="AI1452" s="40" t="s">
        <v>3519</v>
      </c>
      <c r="AJ1452" s="8">
        <f>ROUND(0,2)</f>
        <v>0</v>
      </c>
      <c r="AK1452" s="40" t="s">
        <v>4149</v>
      </c>
      <c r="AL1452" s="7">
        <f>$AJ1452</f>
        <v>0</v>
      </c>
    </row>
    <row r="1453" spans="1:38" ht="18.399999999999999" customHeight="1">
      <c r="A1453" s="41" t="s">
        <v>3557</v>
      </c>
      <c r="B1453" s="37"/>
      <c r="C1453" s="37"/>
      <c r="D1453" s="37"/>
      <c r="E1453" s="37"/>
      <c r="F1453" s="45"/>
      <c r="K1453" s="3" t="s">
        <v>5146</v>
      </c>
    </row>
    <row r="1454" spans="1:38" ht="18.399999999999999" customHeight="1">
      <c r="A1454" s="41" t="s">
        <v>6232</v>
      </c>
      <c r="B1454" s="37"/>
      <c r="C1454" s="37"/>
      <c r="D1454" s="37"/>
      <c r="E1454" s="37"/>
      <c r="F1454" s="45"/>
      <c r="K1454" s="3" t="s">
        <v>6232</v>
      </c>
    </row>
    <row r="1455" spans="1:38" ht="18.399999999999999" customHeight="1">
      <c r="A1455" s="41" t="s">
        <v>2653</v>
      </c>
      <c r="B1455" s="37"/>
      <c r="C1455" s="37"/>
      <c r="D1455" s="37"/>
      <c r="E1455" s="37"/>
      <c r="F1455" s="45"/>
      <c r="K1455" s="3" t="s">
        <v>2793</v>
      </c>
    </row>
    <row r="1456" spans="1:38" ht="18.399999999999999" customHeight="1">
      <c r="A1456" s="41" t="s">
        <v>52</v>
      </c>
      <c r="B1456" s="37"/>
      <c r="C1456" s="37"/>
      <c r="D1456" s="37"/>
      <c r="E1456" s="37"/>
      <c r="F1456" s="45"/>
      <c r="K1456" s="3" t="s">
        <v>3020</v>
      </c>
    </row>
    <row r="1457" spans="1:30" ht="18.399999999999999" customHeight="1">
      <c r="A1457" s="41" t="s">
        <v>6232</v>
      </c>
      <c r="B1457" s="37"/>
      <c r="C1457" s="37"/>
      <c r="D1457" s="37"/>
      <c r="E1457" s="37"/>
      <c r="F1457" s="45"/>
      <c r="K1457" s="3" t="s">
        <v>6232</v>
      </c>
    </row>
    <row r="1458" spans="1:30" ht="18.399999999999999" customHeight="1">
      <c r="A1458" s="41" t="s">
        <v>3700</v>
      </c>
      <c r="B1458" s="37"/>
      <c r="C1458" s="37"/>
      <c r="D1458" s="37"/>
      <c r="E1458" s="37"/>
      <c r="F1458" s="45"/>
      <c r="K1458" s="3" t="s">
        <v>2773</v>
      </c>
    </row>
    <row r="1459" spans="1:30" ht="18.399999999999999" customHeight="1">
      <c r="A1459" s="41" t="s">
        <v>679</v>
      </c>
      <c r="B1459" s="37"/>
      <c r="C1459" s="37"/>
      <c r="D1459" s="37"/>
      <c r="E1459" s="37"/>
      <c r="F1459" s="45"/>
      <c r="K1459" s="3" t="s">
        <v>1995</v>
      </c>
    </row>
    <row r="1460" spans="1:30" ht="18.399999999999999" customHeight="1">
      <c r="A1460" s="41" t="s">
        <v>5867</v>
      </c>
      <c r="B1460" s="37"/>
      <c r="C1460" s="37"/>
      <c r="D1460" s="37"/>
      <c r="E1460" s="37"/>
      <c r="F1460" s="45"/>
      <c r="K1460" s="3" t="s">
        <v>2096</v>
      </c>
    </row>
    <row r="1461" spans="1:30" ht="18.399999999999999" customHeight="1">
      <c r="A1461" s="41" t="s">
        <v>6232</v>
      </c>
      <c r="B1461" s="37"/>
      <c r="C1461" s="37"/>
      <c r="D1461" s="37"/>
      <c r="E1461" s="37"/>
      <c r="F1461" s="45"/>
      <c r="K1461" s="3" t="s">
        <v>6232</v>
      </c>
    </row>
    <row r="1462" spans="1:30" ht="18.399999999999999" customHeight="1">
      <c r="A1462" s="41" t="s">
        <v>4392</v>
      </c>
      <c r="B1462" s="37"/>
      <c r="C1462" s="37"/>
      <c r="D1462" s="37"/>
      <c r="E1462" s="37"/>
      <c r="F1462" s="45"/>
      <c r="K1462" s="3" t="s">
        <v>561</v>
      </c>
    </row>
    <row r="1463" spans="1:30" ht="18.399999999999999" customHeight="1">
      <c r="A1463" s="41" t="s">
        <v>6232</v>
      </c>
      <c r="B1463" s="37"/>
      <c r="C1463" s="37"/>
      <c r="D1463" s="37"/>
      <c r="E1463" s="37"/>
      <c r="F1463" s="45"/>
      <c r="K1463" s="3" t="s">
        <v>6232</v>
      </c>
    </row>
    <row r="1464" spans="1:30" ht="18.399999999999999" customHeight="1">
      <c r="A1464" s="41" t="s">
        <v>6134</v>
      </c>
      <c r="B1464" s="37"/>
      <c r="C1464" s="37"/>
      <c r="D1464" s="37"/>
      <c r="E1464" s="37"/>
      <c r="F1464" s="45"/>
      <c r="K1464" s="3" t="s">
        <v>4089</v>
      </c>
    </row>
    <row r="1465" spans="1:30" ht="18.399999999999999" customHeight="1">
      <c r="A1465" s="41" t="s">
        <v>6232</v>
      </c>
      <c r="B1465" s="37"/>
      <c r="C1465" s="37"/>
      <c r="D1465" s="37"/>
      <c r="E1465" s="37"/>
      <c r="F1465" s="45"/>
      <c r="K1465" s="3" t="s">
        <v>6232</v>
      </c>
    </row>
    <row r="1466" spans="1:30" ht="18.399999999999999" customHeight="1">
      <c r="A1466" s="41" t="s">
        <v>2299</v>
      </c>
      <c r="B1466" s="37"/>
      <c r="C1466" s="37"/>
      <c r="D1466" s="37"/>
      <c r="E1466" s="37"/>
      <c r="F1466" s="45"/>
      <c r="K1466" s="3" t="s">
        <v>3083</v>
      </c>
    </row>
    <row r="1467" spans="1:30" ht="18.399999999999999" customHeight="1">
      <c r="A1467" s="41" t="s">
        <v>257</v>
      </c>
      <c r="B1467" s="37"/>
      <c r="C1467" s="37"/>
      <c r="D1467" s="37"/>
      <c r="E1467" s="37"/>
      <c r="F1467" s="45"/>
      <c r="K1467" s="3" t="s">
        <v>1264</v>
      </c>
    </row>
    <row r="1468" spans="1:30" ht="18.399999999999999" customHeight="1">
      <c r="A1468" s="41" t="s">
        <v>6232</v>
      </c>
      <c r="B1468" s="37"/>
      <c r="C1468" s="37"/>
      <c r="D1468" s="37"/>
      <c r="E1468" s="37"/>
      <c r="F1468" s="45"/>
      <c r="K1468" s="3" t="s">
        <v>6232</v>
      </c>
    </row>
    <row r="1469" spans="1:30" ht="18.399999999999999" customHeight="1">
      <c r="A1469" s="42" t="str">
        <f>CONCATENATE("   - 1차당 적재량(본)         Q=",TEXT($AB1469,"#,##0.00"),"  본")</f>
        <v xml:space="preserve">   - 1차당 적재량(본)         Q=195.00  본</v>
      </c>
      <c r="B1469" s="37"/>
      <c r="C1469" s="37"/>
      <c r="D1469" s="37"/>
      <c r="E1469" s="37"/>
      <c r="F1469" s="45"/>
      <c r="K1469" s="10" t="str">
        <f>SUBSTITUTE(SUBSTITUTE("  _x001D_- 1차당 적재량(본)_x001D_        Q  =  195 _x001D_본_x001D_","195",TEXT($AB1469,"#,##0"),1),"_x001D_","'")</f>
        <v xml:space="preserve">  '- 1차당 적재량(본)'        Q  =  195 '본'</v>
      </c>
      <c r="AA1469" s="39" t="s">
        <v>4337</v>
      </c>
      <c r="AB1469" s="6">
        <v>195</v>
      </c>
      <c r="AC1469" s="39" t="s">
        <v>4337</v>
      </c>
      <c r="AD1469" s="7">
        <f>$AB1469</f>
        <v>195</v>
      </c>
    </row>
    <row r="1470" spans="1:30" ht="18.399999999999999" customHeight="1">
      <c r="A1470" s="41" t="s">
        <v>6232</v>
      </c>
      <c r="B1470" s="37"/>
      <c r="C1470" s="37"/>
      <c r="D1470" s="37"/>
      <c r="E1470" s="37"/>
      <c r="F1470" s="45"/>
      <c r="K1470" s="3" t="s">
        <v>6232</v>
      </c>
    </row>
    <row r="1471" spans="1:30" ht="18.399999999999999" customHeight="1">
      <c r="A1471" s="42" t="str">
        <f>CONCATENATE("   - 운반차량 대기시간(12M당)    T1=",TEXT($AB1471,"#,##0.0"),"  분")</f>
        <v xml:space="preserve">   - 운반차량 대기시간(12M당)    T1=2.4  분</v>
      </c>
      <c r="B1471" s="37"/>
      <c r="C1471" s="37"/>
      <c r="D1471" s="37"/>
      <c r="E1471" s="37"/>
      <c r="F1471" s="45"/>
      <c r="K1471" s="10" t="str">
        <f>SUBSTITUTE(SUBSTITUTE("  _x001D_- 운반차량 대기시간(12M당)_x001D_   T1 = 2.4 _x001D_분_x001D_","2.4",TEXT($AB1471,"#,##0.0"),1),"_x001D_","'")</f>
        <v xml:space="preserve">  '- 운반차량 대기시간(12M당)'   T1 = 2.4 '분'</v>
      </c>
      <c r="AA1471" s="39" t="s">
        <v>4528</v>
      </c>
      <c r="AB1471" s="6">
        <v>2.4</v>
      </c>
      <c r="AC1471" s="39" t="s">
        <v>4528</v>
      </c>
      <c r="AD1471" s="7">
        <f>$AB1471</f>
        <v>2.4</v>
      </c>
    </row>
    <row r="1472" spans="1:30" ht="18.399999999999999" customHeight="1">
      <c r="A1472" s="41" t="s">
        <v>6232</v>
      </c>
      <c r="B1472" s="37"/>
      <c r="C1472" s="37"/>
      <c r="D1472" s="37"/>
      <c r="E1472" s="37"/>
      <c r="F1472" s="45"/>
      <c r="K1472" s="3" t="s">
        <v>6232</v>
      </c>
    </row>
    <row r="1473" spans="1:34" ht="18.399999999999999" customHeight="1">
      <c r="A1473" s="41" t="s">
        <v>4838</v>
      </c>
      <c r="B1473" s="37"/>
      <c r="C1473" s="37"/>
      <c r="D1473" s="37"/>
      <c r="E1473" s="37"/>
      <c r="F1473" s="45"/>
      <c r="K1473" s="3" t="s">
        <v>6093</v>
      </c>
    </row>
    <row r="1474" spans="1:34" ht="18.399999999999999" customHeight="1">
      <c r="A1474" s="41" t="s">
        <v>6232</v>
      </c>
      <c r="B1474" s="37"/>
      <c r="C1474" s="37"/>
      <c r="D1474" s="37"/>
      <c r="E1474" s="37"/>
      <c r="F1474" s="45"/>
      <c r="K1474" s="3" t="s">
        <v>6232</v>
      </c>
    </row>
    <row r="1475" spans="1:34" ht="18.399999999999999" customHeight="1">
      <c r="A1475" s="42" t="str">
        <f>CONCATENATE("    T2 = (L / V * 2 * 60 + 20) / Q * 2 = ",TEXT($AF1475,"#,##0.00")," 분 ")</f>
        <v xml:space="preserve">    T2 = (L / V * 2 * 60 + 20) / Q * 2 = 0.37 분 </v>
      </c>
      <c r="B1475" s="37">
        <f>SUM($C1475,$D1475,$E1475)</f>
        <v>0</v>
      </c>
      <c r="C1475" s="37"/>
      <c r="D1475" s="37"/>
      <c r="E1475" s="37"/>
      <c r="F1475" s="45"/>
      <c r="K1475" s="3" t="s">
        <v>1389</v>
      </c>
      <c r="AA1475" s="39" t="s">
        <v>5897</v>
      </c>
      <c r="AB1475" s="8">
        <f>ROUND(($AD1449/$AD1451*2*60+20)/$AD1469*2,2)</f>
        <v>0.37</v>
      </c>
      <c r="AC1475" s="39" t="s">
        <v>2053</v>
      </c>
      <c r="AD1475" s="7">
        <f>$AB1475</f>
        <v>0.37</v>
      </c>
      <c r="AE1475" s="39" t="s">
        <v>3274</v>
      </c>
      <c r="AF1475" s="8">
        <f>ROUND(ROUND(($AD1449/$AD1451*2*60+20)/$AD1469*2,2),2)</f>
        <v>0.37</v>
      </c>
      <c r="AG1475" s="39" t="s">
        <v>3505</v>
      </c>
      <c r="AH1475" s="7">
        <f>$AF1475</f>
        <v>0.37</v>
      </c>
    </row>
    <row r="1476" spans="1:34" ht="18.399999999999999" customHeight="1">
      <c r="A1476" s="41" t="s">
        <v>6232</v>
      </c>
      <c r="B1476" s="37"/>
      <c r="C1476" s="37"/>
      <c r="D1476" s="37"/>
      <c r="E1476" s="37"/>
      <c r="F1476" s="45"/>
      <c r="K1476" s="3" t="s">
        <v>6232</v>
      </c>
    </row>
    <row r="1477" spans="1:34" ht="18.399999999999999" customHeight="1">
      <c r="A1477" s="41" t="s">
        <v>2391</v>
      </c>
      <c r="B1477" s="37"/>
      <c r="C1477" s="37"/>
      <c r="D1477" s="37"/>
      <c r="E1477" s="37"/>
      <c r="F1477" s="45"/>
      <c r="K1477" s="3" t="s">
        <v>4710</v>
      </c>
    </row>
    <row r="1478" spans="1:34" ht="18.399999999999999" customHeight="1">
      <c r="A1478" s="41" t="s">
        <v>6232</v>
      </c>
      <c r="B1478" s="37"/>
      <c r="C1478" s="37"/>
      <c r="D1478" s="37"/>
      <c r="E1478" s="37"/>
      <c r="F1478" s="45"/>
      <c r="K1478" s="3" t="s">
        <v>6232</v>
      </c>
    </row>
    <row r="1479" spans="1:34" ht="18.399999999999999" customHeight="1">
      <c r="A1479" s="42" t="str">
        <f>CONCATENATE("    CM = T1 + T2 = ",TEXT($AF1479,"#,##0.00")," 분 ")</f>
        <v xml:space="preserve">    CM = T1 + T2 = 2.77 분 </v>
      </c>
      <c r="B1479" s="37">
        <f>SUM($C1479,$D1479,$E1479)</f>
        <v>0</v>
      </c>
      <c r="C1479" s="37"/>
      <c r="D1479" s="37"/>
      <c r="E1479" s="37"/>
      <c r="F1479" s="45"/>
      <c r="K1479" s="3" t="s">
        <v>6049</v>
      </c>
      <c r="AA1479" s="39" t="s">
        <v>5026</v>
      </c>
      <c r="AB1479" s="8">
        <f>ROUND($AD1471+$AD1475,2)</f>
        <v>2.77</v>
      </c>
      <c r="AC1479" s="39" t="s">
        <v>289</v>
      </c>
      <c r="AD1479" s="7">
        <f>$AB1479</f>
        <v>2.77</v>
      </c>
      <c r="AE1479" s="39" t="s">
        <v>3800</v>
      </c>
      <c r="AF1479" s="8">
        <f>ROUND(ROUND($AD1471+$AD1475,2),2)</f>
        <v>2.77</v>
      </c>
      <c r="AG1479" s="39" t="s">
        <v>5401</v>
      </c>
      <c r="AH1479" s="7">
        <f>$AF1479</f>
        <v>2.77</v>
      </c>
    </row>
    <row r="1480" spans="1:34" ht="18.399999999999999" customHeight="1">
      <c r="A1480" s="41" t="s">
        <v>6232</v>
      </c>
      <c r="B1480" s="37"/>
      <c r="C1480" s="37"/>
      <c r="D1480" s="37"/>
      <c r="E1480" s="37"/>
      <c r="F1480" s="45"/>
      <c r="K1480" s="3" t="s">
        <v>6232</v>
      </c>
    </row>
    <row r="1481" spans="1:34" ht="18.399999999999999" customHeight="1">
      <c r="A1481" s="41" t="s">
        <v>5848</v>
      </c>
      <c r="B1481" s="37"/>
      <c r="C1481" s="37"/>
      <c r="D1481" s="37"/>
      <c r="E1481" s="37"/>
      <c r="F1481" s="45"/>
      <c r="K1481" s="3" t="s">
        <v>788</v>
      </c>
    </row>
    <row r="1482" spans="1:34" ht="18.399999999999999" customHeight="1">
      <c r="A1482" s="41" t="s">
        <v>6232</v>
      </c>
      <c r="B1482" s="37"/>
      <c r="C1482" s="37"/>
      <c r="D1482" s="37"/>
      <c r="E1482" s="37"/>
      <c r="F1482" s="45"/>
      <c r="K1482" s="3" t="s">
        <v>6232</v>
      </c>
    </row>
    <row r="1483" spans="1:34" ht="18.399999999999999" customHeight="1">
      <c r="A1483" s="42" t="str">
        <f>CONCATENATE("    Qo = T2 / CM = ",TEXT($AF1483,"#,##0.00")," 분 ")</f>
        <v xml:space="preserve">    Qo = T2 / CM = 0.13 분 </v>
      </c>
      <c r="B1483" s="37">
        <f>SUM($C1483,$D1483,$E1483)</f>
        <v>0</v>
      </c>
      <c r="C1483" s="37"/>
      <c r="D1483" s="37"/>
      <c r="E1483" s="37"/>
      <c r="F1483" s="45"/>
      <c r="K1483" s="3" t="s">
        <v>882</v>
      </c>
      <c r="AA1483" s="39" t="s">
        <v>1501</v>
      </c>
      <c r="AB1483" s="8">
        <f>ROUND($AD1475/$AD1479,2)</f>
        <v>0.13</v>
      </c>
      <c r="AC1483" s="39" t="s">
        <v>2425</v>
      </c>
      <c r="AD1483" s="7">
        <f>$AB1483</f>
        <v>0.13</v>
      </c>
      <c r="AE1483" s="39" t="s">
        <v>3452</v>
      </c>
      <c r="AF1483" s="8">
        <f>ROUND(ROUND($AD1475/$AD1479,2),2)</f>
        <v>0.13</v>
      </c>
      <c r="AG1483" s="39" t="s">
        <v>4833</v>
      </c>
      <c r="AH1483" s="7">
        <f>$AF1483</f>
        <v>0.13</v>
      </c>
    </row>
    <row r="1484" spans="1:34" ht="18.399999999999999" customHeight="1">
      <c r="A1484" s="41" t="s">
        <v>6232</v>
      </c>
      <c r="B1484" s="37"/>
      <c r="C1484" s="37"/>
      <c r="D1484" s="37"/>
      <c r="E1484" s="37"/>
      <c r="F1484" s="45"/>
      <c r="K1484" s="3" t="s">
        <v>6232</v>
      </c>
    </row>
    <row r="1485" spans="1:34" ht="18.399999999999999" customHeight="1">
      <c r="A1485" s="41" t="s">
        <v>78</v>
      </c>
      <c r="B1485" s="37"/>
      <c r="C1485" s="37"/>
      <c r="D1485" s="37"/>
      <c r="E1485" s="37"/>
      <c r="F1485" s="45"/>
      <c r="K1485" s="3" t="s">
        <v>5459</v>
      </c>
    </row>
    <row r="1486" spans="1:34" ht="18.399999999999999" customHeight="1">
      <c r="A1486" s="41" t="s">
        <v>6232</v>
      </c>
      <c r="B1486" s="37"/>
      <c r="C1486" s="37"/>
      <c r="D1486" s="37"/>
      <c r="E1486" s="37"/>
      <c r="F1486" s="45"/>
      <c r="K1486" s="3" t="s">
        <v>6232</v>
      </c>
    </row>
    <row r="1487" spans="1:34" ht="18.399999999999999" customHeight="1">
      <c r="A1487" s="42" t="str">
        <f>CONCATENATE("      보통인부 :  2.0 인  * _x001D_169,804_x001D_ * (CM + 6 ) / 60 / 8 = ",TEXT($AB1487,"#,##0.0"))</f>
        <v xml:space="preserve">      보통인부 :  2.0 인  * _x001D_169,804_x001D_ * (CM + 6 ) / 60 / 8 = 6,287.6</v>
      </c>
      <c r="B1487" s="37">
        <f>SUM($C1487,$D1487,$E1487)</f>
        <v>6287.6</v>
      </c>
      <c r="C1487" s="37"/>
      <c r="D1487" s="37">
        <f>$AB1487</f>
        <v>6287.6</v>
      </c>
      <c r="E1487" s="37"/>
      <c r="F1487" s="45" t="s">
        <v>6232</v>
      </c>
      <c r="K1487" s="3" t="s">
        <v>3933</v>
      </c>
      <c r="AA1487" s="40" t="s">
        <v>5305</v>
      </c>
      <c r="AB1487" s="8">
        <f>TRUNC(2*노임!D3*($AD1479+6)/60/8,1)</f>
        <v>6287.6</v>
      </c>
      <c r="AC1487" s="40" t="s">
        <v>5439</v>
      </c>
      <c r="AD1487" s="7">
        <f>$AH1452+$AB1487</f>
        <v>6287.6</v>
      </c>
    </row>
    <row r="1488" spans="1:34" ht="18.399999999999999" customHeight="1">
      <c r="A1488" s="41" t="s">
        <v>6232</v>
      </c>
      <c r="B1488" s="37"/>
      <c r="C1488" s="37"/>
      <c r="D1488" s="37"/>
      <c r="E1488" s="37"/>
      <c r="F1488" s="45"/>
      <c r="K1488" s="3" t="s">
        <v>6232</v>
      </c>
    </row>
    <row r="1489" spans="1:30" ht="18.399999999999999" customHeight="1">
      <c r="A1489" s="41" t="s">
        <v>1528</v>
      </c>
      <c r="B1489" s="37"/>
      <c r="C1489" s="37"/>
      <c r="D1489" s="37"/>
      <c r="E1489" s="37"/>
      <c r="F1489" s="45"/>
      <c r="K1489" s="3" t="s">
        <v>3746</v>
      </c>
    </row>
    <row r="1490" spans="1:30" ht="18.399999999999999" customHeight="1">
      <c r="A1490" s="41" t="s">
        <v>6232</v>
      </c>
      <c r="B1490" s="37"/>
      <c r="C1490" s="37"/>
      <c r="D1490" s="37"/>
      <c r="E1490" s="37"/>
      <c r="F1490" s="45"/>
      <c r="K1490" s="3" t="s">
        <v>6232</v>
      </c>
    </row>
    <row r="1491" spans="1:30" ht="18.399999999999999" customHeight="1">
      <c r="A1491" s="41" t="s">
        <v>3329</v>
      </c>
      <c r="B1491" s="37"/>
      <c r="C1491" s="37"/>
      <c r="D1491" s="37"/>
      <c r="E1491" s="37"/>
      <c r="F1491" s="45"/>
      <c r="K1491" s="3" t="s">
        <v>3091</v>
      </c>
    </row>
    <row r="1492" spans="1:30" ht="18.399999999999999" customHeight="1">
      <c r="A1492" s="41" t="s">
        <v>6232</v>
      </c>
      <c r="B1492" s="37"/>
      <c r="C1492" s="37"/>
      <c r="D1492" s="37"/>
      <c r="E1492" s="37"/>
      <c r="F1492" s="45"/>
      <c r="K1492" s="3" t="s">
        <v>6232</v>
      </c>
    </row>
    <row r="1493" spans="1:30" ht="18.399999999999999" customHeight="1">
      <c r="A1493" s="42" t="str">
        <f>CONCATENATE("     재료비:  _x001D_8,795_x001D_ * 3.6 / 60 = ",TEXT($AB1493,"#,##0.0"))</f>
        <v xml:space="preserve">     재료비:  _x001D_8,795_x001D_ * 3.6 / 60 = 0.0</v>
      </c>
      <c r="B1493" s="37">
        <f>SUM($C1493,$D1493,$E1493)</f>
        <v>0</v>
      </c>
      <c r="C1493" s="37">
        <f>$AB1493</f>
        <v>0</v>
      </c>
      <c r="D1493" s="37"/>
      <c r="E1493" s="37"/>
      <c r="F1493" s="45" t="s">
        <v>6232</v>
      </c>
      <c r="K1493" s="3" t="s">
        <v>2435</v>
      </c>
      <c r="AA1493" s="40" t="s">
        <v>2660</v>
      </c>
      <c r="AB1493" s="8">
        <f>TRUNC(중기사용료목록!E4*3.6/60,1)</f>
        <v>0</v>
      </c>
      <c r="AC1493" s="40" t="s">
        <v>1650</v>
      </c>
      <c r="AD1493" s="7">
        <f>$AD1452+$AB1493</f>
        <v>0</v>
      </c>
    </row>
    <row r="1494" spans="1:30" ht="18.399999999999999" customHeight="1">
      <c r="A1494" s="41" t="s">
        <v>6232</v>
      </c>
      <c r="B1494" s="37"/>
      <c r="C1494" s="37"/>
      <c r="D1494" s="37"/>
      <c r="E1494" s="37"/>
      <c r="F1494" s="45"/>
      <c r="K1494" s="3" t="s">
        <v>6232</v>
      </c>
    </row>
    <row r="1495" spans="1:30" ht="18.399999999999999" customHeight="1">
      <c r="A1495" s="42" t="str">
        <f>CONCATENATE("     노무비:  _x001D_57,077_x001D_ * 3.6 / 60 = ",TEXT($AB1495,"#,##0.0"))</f>
        <v xml:space="preserve">     노무비:  _x001D_57,077_x001D_ * 3.6 / 60 = 0.0</v>
      </c>
      <c r="B1495" s="37">
        <f>SUM($C1495,$D1495,$E1495)</f>
        <v>0</v>
      </c>
      <c r="C1495" s="37"/>
      <c r="D1495" s="37">
        <f>$AB1495</f>
        <v>0</v>
      </c>
      <c r="E1495" s="37"/>
      <c r="F1495" s="45" t="s">
        <v>6232</v>
      </c>
      <c r="K1495" s="3" t="s">
        <v>3425</v>
      </c>
      <c r="AA1495" s="40" t="s">
        <v>5305</v>
      </c>
      <c r="AB1495" s="8">
        <f>TRUNC(중기사용료목록!F4*3.6/60,1)</f>
        <v>0</v>
      </c>
      <c r="AC1495" s="40" t="s">
        <v>5439</v>
      </c>
      <c r="AD1495" s="7">
        <f>$AD1487+$AB1495</f>
        <v>6287.6</v>
      </c>
    </row>
    <row r="1496" spans="1:30" ht="18.399999999999999" customHeight="1">
      <c r="A1496" s="41" t="s">
        <v>6232</v>
      </c>
      <c r="B1496" s="37"/>
      <c r="C1496" s="37"/>
      <c r="D1496" s="37"/>
      <c r="E1496" s="37"/>
      <c r="F1496" s="45"/>
      <c r="K1496" s="3" t="s">
        <v>6232</v>
      </c>
    </row>
    <row r="1497" spans="1:30" ht="18.399999999999999" customHeight="1">
      <c r="A1497" s="42" t="str">
        <f>CONCATENATE("     경  비:  _x001D_41,995_x001D_ * 3.6 / 60 = ",TEXT($AB1497,"#,##0.0"))</f>
        <v xml:space="preserve">     경  비:  _x001D_41,995_x001D_ * 3.6 / 60 = 6,640.6</v>
      </c>
      <c r="B1497" s="37">
        <f>SUM($C1497,$D1497,$E1497)</f>
        <v>6640.6</v>
      </c>
      <c r="C1497" s="37"/>
      <c r="D1497" s="37"/>
      <c r="E1497" s="37">
        <f>$AB1497</f>
        <v>6640.6</v>
      </c>
      <c r="F1497" s="45" t="s">
        <v>6232</v>
      </c>
      <c r="K1497" s="3" t="s">
        <v>1740</v>
      </c>
      <c r="AA1497" s="40" t="s">
        <v>3519</v>
      </c>
      <c r="AB1497" s="8">
        <f>TRUNC(중기사용료목록!G4*3.6/60,1)</f>
        <v>6640.6</v>
      </c>
      <c r="AC1497" s="40" t="s">
        <v>4149</v>
      </c>
      <c r="AD1497" s="7">
        <f>$AL1452+$AB1497</f>
        <v>6640.6</v>
      </c>
    </row>
    <row r="1498" spans="1:30" ht="18.399999999999999" customHeight="1">
      <c r="A1498" s="41" t="s">
        <v>6232</v>
      </c>
      <c r="B1498" s="37"/>
      <c r="C1498" s="37"/>
      <c r="D1498" s="37"/>
      <c r="E1498" s="37"/>
      <c r="F1498" s="45"/>
      <c r="K1498" s="3" t="s">
        <v>6232</v>
      </c>
    </row>
    <row r="1499" spans="1:30" ht="18.399999999999999" customHeight="1">
      <c r="A1499" s="41" t="s">
        <v>429</v>
      </c>
      <c r="B1499" s="37"/>
      <c r="C1499" s="37"/>
      <c r="D1499" s="37"/>
      <c r="E1499" s="37"/>
      <c r="F1499" s="45"/>
      <c r="K1499" s="3" t="s">
        <v>4071</v>
      </c>
    </row>
    <row r="1500" spans="1:30" ht="18.399999999999999" customHeight="1">
      <c r="A1500" s="41" t="s">
        <v>6232</v>
      </c>
      <c r="B1500" s="37"/>
      <c r="C1500" s="37"/>
      <c r="D1500" s="37"/>
      <c r="E1500" s="37"/>
      <c r="F1500" s="45"/>
      <c r="K1500" s="3" t="s">
        <v>6232</v>
      </c>
    </row>
    <row r="1501" spans="1:30" ht="18.399999999999999" customHeight="1">
      <c r="A1501" s="42" t="e">
        <f>CONCATENATE("     재료비:  _x001D_17,279_x001D_ * CM / 60 * Qo = ",TEXT($AB1501,"#,##0.0"))</f>
        <v>#REF!</v>
      </c>
      <c r="B1501" s="37" t="e">
        <f>SUM($C1501,$D1501,$E1501)</f>
        <v>#REF!</v>
      </c>
      <c r="C1501" s="37" t="e">
        <f>$AB1501</f>
        <v>#REF!</v>
      </c>
      <c r="D1501" s="37"/>
      <c r="E1501" s="37"/>
      <c r="F1501" s="45" t="s">
        <v>6232</v>
      </c>
      <c r="K1501" s="3" t="s">
        <v>5888</v>
      </c>
      <c r="AA1501" s="40" t="s">
        <v>2660</v>
      </c>
      <c r="AB1501" s="8" t="e">
        <f>TRUNC(중기사용료목록!#REF!*$AD1479/60*$AD1483,1)</f>
        <v>#REF!</v>
      </c>
      <c r="AC1501" s="40" t="s">
        <v>1650</v>
      </c>
      <c r="AD1501" s="7" t="e">
        <f>$AD1493+$AB1501</f>
        <v>#REF!</v>
      </c>
    </row>
    <row r="1502" spans="1:30" ht="18.399999999999999" customHeight="1">
      <c r="A1502" s="41" t="s">
        <v>6232</v>
      </c>
      <c r="B1502" s="37"/>
      <c r="C1502" s="37"/>
      <c r="D1502" s="37"/>
      <c r="E1502" s="37"/>
      <c r="F1502" s="45"/>
      <c r="K1502" s="3" t="s">
        <v>6232</v>
      </c>
    </row>
    <row r="1503" spans="1:30" ht="18.399999999999999" customHeight="1">
      <c r="A1503" s="42" t="e">
        <f>CONCATENATE("     노무비:  _x001D_49,479_x001D_ * CM / 60 = ",TEXT($AB1503,"#,##0.0"))</f>
        <v>#REF!</v>
      </c>
      <c r="B1503" s="37" t="e">
        <f>SUM($C1503,$D1503,$E1503)</f>
        <v>#REF!</v>
      </c>
      <c r="C1503" s="37"/>
      <c r="D1503" s="37" t="e">
        <f>$AB1503</f>
        <v>#REF!</v>
      </c>
      <c r="E1503" s="37"/>
      <c r="F1503" s="45" t="s">
        <v>6232</v>
      </c>
      <c r="K1503" s="3" t="s">
        <v>5243</v>
      </c>
      <c r="AA1503" s="40" t="s">
        <v>5305</v>
      </c>
      <c r="AB1503" s="8" t="e">
        <f>TRUNC(중기사용료목록!#REF!*$AD1479/60,1)</f>
        <v>#REF!</v>
      </c>
      <c r="AC1503" s="40" t="s">
        <v>5439</v>
      </c>
      <c r="AD1503" s="7" t="e">
        <f>$AD1495+$AB1503</f>
        <v>#REF!</v>
      </c>
    </row>
    <row r="1504" spans="1:30" ht="18.399999999999999" customHeight="1">
      <c r="A1504" s="41" t="s">
        <v>6232</v>
      </c>
      <c r="B1504" s="37"/>
      <c r="C1504" s="37"/>
      <c r="D1504" s="37"/>
      <c r="E1504" s="37"/>
      <c r="F1504" s="45"/>
      <c r="K1504" s="3" t="s">
        <v>6232</v>
      </c>
    </row>
    <row r="1505" spans="1:38" ht="18.399999999999999" customHeight="1">
      <c r="A1505" s="42" t="e">
        <f>CONCATENATE("     경  비:  _x001D_10,347_x001D_ * CM / 60 = ",TEXT($AB1505,"#,##0.0"))</f>
        <v>#REF!</v>
      </c>
      <c r="B1505" s="37" t="e">
        <f>SUM($C1505,$D1505,$E1505)</f>
        <v>#REF!</v>
      </c>
      <c r="C1505" s="37"/>
      <c r="D1505" s="37"/>
      <c r="E1505" s="37" t="e">
        <f>$AB1505</f>
        <v>#REF!</v>
      </c>
      <c r="F1505" s="45" t="s">
        <v>6232</v>
      </c>
      <c r="K1505" s="3" t="s">
        <v>4143</v>
      </c>
      <c r="AA1505" s="40" t="s">
        <v>3519</v>
      </c>
      <c r="AB1505" s="8" t="e">
        <f>TRUNC(중기사용료목록!#REF!*$AD1479/60,1)</f>
        <v>#REF!</v>
      </c>
      <c r="AC1505" s="40" t="s">
        <v>4149</v>
      </c>
      <c r="AD1505" s="7" t="e">
        <f>$AD1497+$AB1505</f>
        <v>#REF!</v>
      </c>
    </row>
    <row r="1506" spans="1:38" ht="18.399999999999999" customHeight="1">
      <c r="A1506" s="41" t="s">
        <v>6232</v>
      </c>
      <c r="B1506" s="37"/>
      <c r="C1506" s="37"/>
      <c r="D1506" s="37"/>
      <c r="E1506" s="37"/>
      <c r="F1506" s="45"/>
      <c r="K1506" s="3" t="s">
        <v>6232</v>
      </c>
    </row>
    <row r="1507" spans="1:38" ht="18.399999999999999" customHeight="1">
      <c r="A1507" s="41" t="s">
        <v>4035</v>
      </c>
      <c r="B1507" s="37">
        <v>15542.4</v>
      </c>
      <c r="C1507" s="37">
        <v>631.4</v>
      </c>
      <c r="D1507" s="37">
        <v>11913.7</v>
      </c>
      <c r="E1507" s="37">
        <v>2997.3</v>
      </c>
      <c r="F1507" s="45"/>
      <c r="K1507" s="3" t="s">
        <v>6070</v>
      </c>
    </row>
    <row r="1508" spans="1:38" ht="18.399999999999999" customHeight="1">
      <c r="A1508" s="41" t="s">
        <v>6232</v>
      </c>
      <c r="B1508" s="37">
        <f>SUM($C1508,$D1508,$E1508)</f>
        <v>0</v>
      </c>
      <c r="C1508" s="37">
        <f>$AB1508</f>
        <v>0</v>
      </c>
      <c r="D1508" s="37">
        <f>$AF1508</f>
        <v>0</v>
      </c>
      <c r="E1508" s="37">
        <f>$AJ1508</f>
        <v>0</v>
      </c>
      <c r="F1508" s="45"/>
      <c r="K1508" s="3" t="s">
        <v>5506</v>
      </c>
      <c r="AA1508" s="40" t="s">
        <v>4586</v>
      </c>
      <c r="AB1508" s="8">
        <f>ROUND(0,2)</f>
        <v>0</v>
      </c>
      <c r="AC1508" s="40" t="s">
        <v>4161</v>
      </c>
      <c r="AD1508" s="7">
        <f>$AB1508</f>
        <v>0</v>
      </c>
      <c r="AE1508" s="40" t="s">
        <v>222</v>
      </c>
      <c r="AF1508" s="8">
        <f>ROUND(0,2)</f>
        <v>0</v>
      </c>
      <c r="AG1508" s="40" t="s">
        <v>334</v>
      </c>
      <c r="AH1508" s="7">
        <f>$AF1508</f>
        <v>0</v>
      </c>
      <c r="AI1508" s="40" t="s">
        <v>1574</v>
      </c>
      <c r="AJ1508" s="8">
        <f>ROUND(0,2)</f>
        <v>0</v>
      </c>
      <c r="AK1508" s="40" t="s">
        <v>1622</v>
      </c>
      <c r="AL1508" s="7">
        <f>$AJ1508</f>
        <v>0</v>
      </c>
    </row>
    <row r="1509" spans="1:38" ht="18.399999999999999" customHeight="1">
      <c r="A1509" s="41" t="s">
        <v>252</v>
      </c>
      <c r="B1509" s="37" t="e">
        <f>SUM($C1509,$D1509,$E1509)</f>
        <v>#REF!</v>
      </c>
      <c r="C1509" s="37" t="e">
        <f>$AB1509</f>
        <v>#REF!</v>
      </c>
      <c r="D1509" s="37" t="e">
        <f>$AF1509</f>
        <v>#REF!</v>
      </c>
      <c r="E1509" s="37" t="e">
        <f>$AJ1509</f>
        <v>#REF!</v>
      </c>
      <c r="F1509" s="45"/>
      <c r="K1509" s="3" t="s">
        <v>4286</v>
      </c>
      <c r="AA1509" s="40" t="s">
        <v>4586</v>
      </c>
      <c r="AB1509" s="8" t="e">
        <f>TRUNC($AD1501/12,1)</f>
        <v>#REF!</v>
      </c>
      <c r="AC1509" s="40" t="s">
        <v>4161</v>
      </c>
      <c r="AD1509" s="7" t="e">
        <f>$AB1509</f>
        <v>#REF!</v>
      </c>
      <c r="AE1509" s="40" t="s">
        <v>222</v>
      </c>
      <c r="AF1509" s="8" t="e">
        <f>TRUNC($AD1503/12,1)</f>
        <v>#REF!</v>
      </c>
      <c r="AG1509" s="40" t="s">
        <v>334</v>
      </c>
      <c r="AH1509" s="7" t="e">
        <f>$AF1509</f>
        <v>#REF!</v>
      </c>
      <c r="AI1509" s="40" t="s">
        <v>1574</v>
      </c>
      <c r="AJ1509" s="8" t="e">
        <f>TRUNC($AD1505/12,1)</f>
        <v>#REF!</v>
      </c>
      <c r="AK1509" s="40" t="s">
        <v>1622</v>
      </c>
      <c r="AL1509" s="7" t="e">
        <f>$AJ1509</f>
        <v>#REF!</v>
      </c>
    </row>
    <row r="1510" spans="1:38" ht="18.399999999999999" customHeight="1">
      <c r="A1510" s="41" t="s">
        <v>6232</v>
      </c>
      <c r="B1510" s="37"/>
      <c r="C1510" s="37"/>
      <c r="D1510" s="37"/>
      <c r="E1510" s="37"/>
      <c r="F1510" s="45"/>
      <c r="K1510" s="3" t="s">
        <v>6232</v>
      </c>
    </row>
    <row r="1511" spans="1:38" ht="18.399999999999999" customHeight="1">
      <c r="A1511" s="41" t="s">
        <v>3436</v>
      </c>
      <c r="B1511" s="37">
        <v>1295.1000000000001</v>
      </c>
      <c r="C1511" s="37">
        <v>52.6</v>
      </c>
      <c r="D1511" s="37">
        <v>992.8</v>
      </c>
      <c r="E1511" s="37">
        <v>249.7</v>
      </c>
      <c r="F1511" s="45"/>
      <c r="K1511" s="3" t="s">
        <v>1342</v>
      </c>
    </row>
    <row r="1512" spans="1:38" ht="18.399999999999999" customHeight="1">
      <c r="A1512" s="41" t="s">
        <v>6232</v>
      </c>
      <c r="B1512" s="37">
        <f>SUM($C1512,$D1512,$E1512)</f>
        <v>0</v>
      </c>
      <c r="C1512" s="37">
        <f>$AB1512</f>
        <v>0</v>
      </c>
      <c r="D1512" s="37">
        <f>$AF1512</f>
        <v>0</v>
      </c>
      <c r="E1512" s="37">
        <f>$AJ1512</f>
        <v>0</v>
      </c>
      <c r="F1512" s="45"/>
      <c r="K1512" s="3" t="s">
        <v>3238</v>
      </c>
      <c r="AA1512" s="40" t="s">
        <v>308</v>
      </c>
      <c r="AB1512" s="8">
        <f>ROUND(0,2)</f>
        <v>0</v>
      </c>
      <c r="AC1512" s="40" t="s">
        <v>5000</v>
      </c>
      <c r="AD1512" s="7">
        <f>$AB1512</f>
        <v>0</v>
      </c>
      <c r="AE1512" s="40" t="s">
        <v>4500</v>
      </c>
      <c r="AF1512" s="8">
        <f>ROUND(0,2)</f>
        <v>0</v>
      </c>
      <c r="AG1512" s="40" t="s">
        <v>2603</v>
      </c>
      <c r="AH1512" s="7">
        <f>$AF1512</f>
        <v>0</v>
      </c>
      <c r="AI1512" s="40" t="s">
        <v>5878</v>
      </c>
      <c r="AJ1512" s="8">
        <f>ROUND(0,2)</f>
        <v>0</v>
      </c>
      <c r="AK1512" s="40" t="s">
        <v>787</v>
      </c>
      <c r="AL1512" s="7">
        <f>$AJ1512</f>
        <v>0</v>
      </c>
    </row>
    <row r="1513" spans="1:38" ht="18.399999999999999" customHeight="1">
      <c r="A1513" s="41" t="s">
        <v>4718</v>
      </c>
      <c r="B1513" s="37" t="e">
        <f>SUM($C1513,$D1513,$E1513)</f>
        <v>#REF!</v>
      </c>
      <c r="C1513" s="37" t="e">
        <f>$AB1513</f>
        <v>#REF!</v>
      </c>
      <c r="D1513" s="37" t="e">
        <f>$AF1513</f>
        <v>#REF!</v>
      </c>
      <c r="E1513" s="37" t="e">
        <f>$AJ1513</f>
        <v>#REF!</v>
      </c>
      <c r="F1513" s="45"/>
      <c r="K1513" s="3" t="s">
        <v>2347</v>
      </c>
      <c r="AA1513" s="40" t="s">
        <v>308</v>
      </c>
      <c r="AB1513" s="8" t="e">
        <f>TRUNC($AD1509*1.097,1)</f>
        <v>#REF!</v>
      </c>
      <c r="AC1513" s="40" t="s">
        <v>5000</v>
      </c>
      <c r="AD1513" s="7" t="e">
        <f>$AB1513</f>
        <v>#REF!</v>
      </c>
      <c r="AE1513" s="40" t="s">
        <v>4500</v>
      </c>
      <c r="AF1513" s="8" t="e">
        <f>TRUNC($AH1509*1.097,1)</f>
        <v>#REF!</v>
      </c>
      <c r="AG1513" s="40" t="s">
        <v>2603</v>
      </c>
      <c r="AH1513" s="7" t="e">
        <f>$AF1513</f>
        <v>#REF!</v>
      </c>
      <c r="AI1513" s="40" t="s">
        <v>5878</v>
      </c>
      <c r="AJ1513" s="8" t="e">
        <f>TRUNC($AL1509*1.097,1)</f>
        <v>#REF!</v>
      </c>
      <c r="AK1513" s="40" t="s">
        <v>787</v>
      </c>
      <c r="AL1513" s="7" t="e">
        <f>$AJ1513</f>
        <v>#REF!</v>
      </c>
    </row>
    <row r="1514" spans="1:38" ht="18.399999999999999" customHeight="1">
      <c r="A1514" s="41" t="s">
        <v>6232</v>
      </c>
      <c r="B1514" s="37"/>
      <c r="C1514" s="37"/>
      <c r="D1514" s="37"/>
      <c r="E1514" s="37"/>
      <c r="F1514" s="45"/>
      <c r="K1514" s="3" t="s">
        <v>6232</v>
      </c>
    </row>
    <row r="1515" spans="1:38" ht="18.399999999999999" customHeight="1">
      <c r="A1515" s="41" t="s">
        <v>3436</v>
      </c>
      <c r="B1515" s="37" t="e">
        <f>SUM($C1515,$D1515,$E1515)</f>
        <v>#REF!</v>
      </c>
      <c r="C1515" s="37" t="e">
        <f>$AB1515</f>
        <v>#REF!</v>
      </c>
      <c r="D1515" s="37" t="e">
        <f>$AF1515</f>
        <v>#REF!</v>
      </c>
      <c r="E1515" s="37" t="e">
        <f>$AJ1515</f>
        <v>#REF!</v>
      </c>
      <c r="F1515" s="45"/>
      <c r="K1515" s="3" t="s">
        <v>4527</v>
      </c>
      <c r="AA1515" s="40" t="s">
        <v>4592</v>
      </c>
      <c r="AB1515" s="8" t="e">
        <f>TRUNC($AD1513,1)</f>
        <v>#REF!</v>
      </c>
      <c r="AC1515" s="40" t="s">
        <v>5149</v>
      </c>
      <c r="AD1515" s="7" t="e">
        <f>$AB1515</f>
        <v>#REF!</v>
      </c>
      <c r="AE1515" s="40" t="s">
        <v>666</v>
      </c>
      <c r="AF1515" s="8" t="e">
        <f>TRUNC($AH1513,1)</f>
        <v>#REF!</v>
      </c>
      <c r="AG1515" s="40" t="s">
        <v>2431</v>
      </c>
      <c r="AH1515" s="7" t="e">
        <f>$AF1515</f>
        <v>#REF!</v>
      </c>
      <c r="AI1515" s="40" t="s">
        <v>1930</v>
      </c>
      <c r="AJ1515" s="8" t="e">
        <f>TRUNC($AL1513,1)</f>
        <v>#REF!</v>
      </c>
      <c r="AK1515" s="40" t="s">
        <v>3349</v>
      </c>
      <c r="AL1515" s="7" t="e">
        <f>$AJ1515</f>
        <v>#REF!</v>
      </c>
    </row>
    <row r="1516" spans="1:38" ht="18.399999999999999" customHeight="1">
      <c r="A1516" s="41"/>
      <c r="B1516" s="3"/>
      <c r="C1516" s="3"/>
      <c r="D1516" s="3"/>
      <c r="E1516" s="3"/>
      <c r="F1516" s="44"/>
    </row>
    <row r="1517" spans="1:38" ht="18.399999999999999" customHeight="1">
      <c r="A1517" s="43" t="s">
        <v>3543</v>
      </c>
      <c r="B1517" s="38" t="e">
        <f>SUM($C1517,$D1517,$E1517)</f>
        <v>#REF!</v>
      </c>
      <c r="C1517" s="38" t="e">
        <f>TRUNC(SUM($AD1515),0)</f>
        <v>#REF!</v>
      </c>
      <c r="D1517" s="38" t="e">
        <f>TRUNC(SUM($AH1515),0)</f>
        <v>#REF!</v>
      </c>
      <c r="E1517" s="38" t="e">
        <f>TRUNC(SUM($AL1515),0)</f>
        <v>#REF!</v>
      </c>
      <c r="F1517" s="46"/>
    </row>
    <row r="1518" spans="1:38" ht="18.399999999999999" customHeight="1">
      <c r="A1518" s="41"/>
      <c r="B1518" s="3"/>
      <c r="C1518" s="3"/>
      <c r="D1518" s="3"/>
      <c r="E1518" s="3"/>
      <c r="F1518" s="44"/>
    </row>
    <row r="1519" spans="1:38" ht="18.399999999999999" customHeight="1">
      <c r="A1519" s="41" t="s">
        <v>2430</v>
      </c>
      <c r="B1519" s="36" t="e">
        <f>$B1592</f>
        <v>#REF!</v>
      </c>
      <c r="C1519" s="36" t="e">
        <f>$C1592</f>
        <v>#REF!</v>
      </c>
      <c r="D1519" s="36" t="e">
        <f>$D1592</f>
        <v>#REF!</v>
      </c>
      <c r="E1519" s="36" t="e">
        <f>$E1592</f>
        <v>#REF!</v>
      </c>
      <c r="F1519" s="44" t="s">
        <v>3378</v>
      </c>
      <c r="G1519" t="s">
        <v>6232</v>
      </c>
      <c r="H1519" t="s">
        <v>2182</v>
      </c>
      <c r="K1519">
        <v>1</v>
      </c>
      <c r="Y1519" s="7" t="e">
        <f>EXACT($Z1519,$B1592)</f>
        <v>#REF!</v>
      </c>
      <c r="Z1519" s="38">
        <v>1235</v>
      </c>
    </row>
    <row r="1520" spans="1:38" ht="18.399999999999999" customHeight="1">
      <c r="A1520" s="41"/>
      <c r="B1520" s="3"/>
      <c r="C1520" s="3"/>
      <c r="D1520" s="3"/>
      <c r="E1520" s="3"/>
      <c r="F1520" s="44"/>
    </row>
    <row r="1521" spans="1:38" ht="18.399999999999999" customHeight="1">
      <c r="A1521" s="41" t="s">
        <v>6232</v>
      </c>
      <c r="B1521" s="3"/>
      <c r="C1521" s="3"/>
      <c r="D1521" s="3"/>
      <c r="E1521" s="3"/>
      <c r="F1521" s="44"/>
      <c r="G1521" t="s">
        <v>6232</v>
      </c>
      <c r="I1521" t="s">
        <v>742</v>
      </c>
      <c r="J1521" t="s">
        <v>6232</v>
      </c>
      <c r="K1521" t="s">
        <v>5235</v>
      </c>
    </row>
    <row r="1522" spans="1:38" ht="18.399999999999999" customHeight="1">
      <c r="A1522" s="41" t="s">
        <v>2029</v>
      </c>
      <c r="B1522" s="37"/>
      <c r="C1522" s="37"/>
      <c r="D1522" s="37"/>
      <c r="E1522" s="37"/>
      <c r="F1522" s="45"/>
      <c r="K1522" s="3" t="s">
        <v>1310</v>
      </c>
    </row>
    <row r="1523" spans="1:38" ht="18.399999999999999" customHeight="1">
      <c r="A1523" s="41" t="s">
        <v>6232</v>
      </c>
      <c r="B1523" s="37"/>
      <c r="C1523" s="37"/>
      <c r="D1523" s="37"/>
      <c r="E1523" s="37"/>
      <c r="F1523" s="45"/>
      <c r="K1523" s="3" t="s">
        <v>6232</v>
      </c>
    </row>
    <row r="1524" spans="1:38" ht="18.399999999999999" customHeight="1">
      <c r="A1524" s="42" t="str">
        <f>CONCATENATE("                L=",TEXT($AB1524,"#,##0.0"),"   KM")</f>
        <v xml:space="preserve">                L=4.0   KM</v>
      </c>
      <c r="B1524" s="37"/>
      <c r="C1524" s="37"/>
      <c r="D1524" s="37"/>
      <c r="E1524" s="37"/>
      <c r="F1524" s="45"/>
      <c r="K1524" s="10" t="str">
        <f>SUBSTITUTE(SUBSTITUTE("                L = 4.0  _x001D_KM_x001D_","4.0",TEXT($AB1524,"#,##0.0"),1),"_x001D_","'")</f>
        <v xml:space="preserve">                L = 4.0  'KM'</v>
      </c>
      <c r="AA1524" s="39" t="s">
        <v>5842</v>
      </c>
      <c r="AB1524" s="6">
        <v>4</v>
      </c>
      <c r="AC1524" s="39" t="s">
        <v>5842</v>
      </c>
      <c r="AD1524" s="7">
        <f>$AB1524</f>
        <v>4</v>
      </c>
    </row>
    <row r="1525" spans="1:38" ht="18.399999999999999" customHeight="1">
      <c r="A1525" s="41" t="s">
        <v>6214</v>
      </c>
      <c r="B1525" s="37"/>
      <c r="C1525" s="37"/>
      <c r="D1525" s="37"/>
      <c r="E1525" s="37"/>
      <c r="F1525" s="45"/>
      <c r="K1525" s="3" t="s">
        <v>3965</v>
      </c>
    </row>
    <row r="1526" spans="1:38" ht="18.399999999999999" customHeight="1">
      <c r="A1526" s="42" t="str">
        <f>CONCATENATE("                V=",TEXT($AB1526,"#,##0.0"),"  KM/hr")</f>
        <v xml:space="preserve">                V=30.0  KM/hr</v>
      </c>
      <c r="B1526" s="37"/>
      <c r="C1526" s="37"/>
      <c r="D1526" s="37"/>
      <c r="E1526" s="37"/>
      <c r="F1526" s="45"/>
      <c r="K1526" s="10" t="str">
        <f>SUBSTITUTE(SUBSTITUTE("                V = 30.0 _x001D_KM/hr_x001D_","30.0",TEXT($AB1526,"#,##0.0"),1),"_x001D_","'")</f>
        <v xml:space="preserve">                V = 30.0 'KM/hr'</v>
      </c>
      <c r="AA1526" s="39" t="s">
        <v>247</v>
      </c>
      <c r="AB1526" s="6">
        <v>30</v>
      </c>
      <c r="AC1526" s="39" t="s">
        <v>247</v>
      </c>
      <c r="AD1526" s="7">
        <f>$AB1526</f>
        <v>30</v>
      </c>
    </row>
    <row r="1527" spans="1:38" ht="18.399999999999999" customHeight="1">
      <c r="A1527" s="41" t="s">
        <v>6232</v>
      </c>
      <c r="B1527" s="37">
        <f>SUM($C1527,$D1527,$E1527)</f>
        <v>0</v>
      </c>
      <c r="C1527" s="37">
        <f>$AB1527</f>
        <v>0</v>
      </c>
      <c r="D1527" s="37">
        <f>$AF1527</f>
        <v>0</v>
      </c>
      <c r="E1527" s="37">
        <f>$AJ1527</f>
        <v>0</v>
      </c>
      <c r="F1527" s="45"/>
      <c r="K1527" s="3" t="s">
        <v>295</v>
      </c>
      <c r="AA1527" s="40" t="s">
        <v>2660</v>
      </c>
      <c r="AB1527" s="8">
        <f>ROUND(0,2)</f>
        <v>0</v>
      </c>
      <c r="AC1527" s="40" t="s">
        <v>1650</v>
      </c>
      <c r="AD1527" s="7">
        <f>$AB1527</f>
        <v>0</v>
      </c>
      <c r="AE1527" s="40" t="s">
        <v>5305</v>
      </c>
      <c r="AF1527" s="8">
        <f>ROUND(0,2)</f>
        <v>0</v>
      </c>
      <c r="AG1527" s="40" t="s">
        <v>5439</v>
      </c>
      <c r="AH1527" s="7">
        <f>$AF1527</f>
        <v>0</v>
      </c>
      <c r="AI1527" s="40" t="s">
        <v>3519</v>
      </c>
      <c r="AJ1527" s="8">
        <f>ROUND(0,2)</f>
        <v>0</v>
      </c>
      <c r="AK1527" s="40" t="s">
        <v>4149</v>
      </c>
      <c r="AL1527" s="7">
        <f>$AJ1527</f>
        <v>0</v>
      </c>
    </row>
    <row r="1528" spans="1:38" ht="18.399999999999999" customHeight="1">
      <c r="A1528" s="41" t="s">
        <v>3557</v>
      </c>
      <c r="B1528" s="37"/>
      <c r="C1528" s="37"/>
      <c r="D1528" s="37"/>
      <c r="E1528" s="37"/>
      <c r="F1528" s="45"/>
      <c r="K1528" s="3" t="s">
        <v>5146</v>
      </c>
    </row>
    <row r="1529" spans="1:38" ht="18.399999999999999" customHeight="1">
      <c r="A1529" s="41" t="s">
        <v>6232</v>
      </c>
      <c r="B1529" s="37"/>
      <c r="C1529" s="37"/>
      <c r="D1529" s="37"/>
      <c r="E1529" s="37"/>
      <c r="F1529" s="45"/>
      <c r="K1529" s="3" t="s">
        <v>6232</v>
      </c>
    </row>
    <row r="1530" spans="1:38" ht="18.399999999999999" customHeight="1">
      <c r="A1530" s="41" t="s">
        <v>2653</v>
      </c>
      <c r="B1530" s="37"/>
      <c r="C1530" s="37"/>
      <c r="D1530" s="37"/>
      <c r="E1530" s="37"/>
      <c r="F1530" s="45"/>
      <c r="K1530" s="3" t="s">
        <v>2793</v>
      </c>
    </row>
    <row r="1531" spans="1:38" ht="18.399999999999999" customHeight="1">
      <c r="A1531" s="41" t="s">
        <v>52</v>
      </c>
      <c r="B1531" s="37"/>
      <c r="C1531" s="37"/>
      <c r="D1531" s="37"/>
      <c r="E1531" s="37"/>
      <c r="F1531" s="45"/>
      <c r="K1531" s="3" t="s">
        <v>3020</v>
      </c>
    </row>
    <row r="1532" spans="1:38" ht="18.399999999999999" customHeight="1">
      <c r="A1532" s="41" t="s">
        <v>6232</v>
      </c>
      <c r="B1532" s="37"/>
      <c r="C1532" s="37"/>
      <c r="D1532" s="37"/>
      <c r="E1532" s="37"/>
      <c r="F1532" s="45"/>
      <c r="K1532" s="3" t="s">
        <v>6232</v>
      </c>
    </row>
    <row r="1533" spans="1:38" ht="18.399999999999999" customHeight="1">
      <c r="A1533" s="41" t="s">
        <v>3700</v>
      </c>
      <c r="B1533" s="37"/>
      <c r="C1533" s="37"/>
      <c r="D1533" s="37"/>
      <c r="E1533" s="37"/>
      <c r="F1533" s="45"/>
      <c r="K1533" s="3" t="s">
        <v>2773</v>
      </c>
    </row>
    <row r="1534" spans="1:38" ht="18.399999999999999" customHeight="1">
      <c r="A1534" s="41" t="s">
        <v>679</v>
      </c>
      <c r="B1534" s="37"/>
      <c r="C1534" s="37"/>
      <c r="D1534" s="37"/>
      <c r="E1534" s="37"/>
      <c r="F1534" s="45"/>
      <c r="K1534" s="3" t="s">
        <v>1995</v>
      </c>
    </row>
    <row r="1535" spans="1:38" ht="18.399999999999999" customHeight="1">
      <c r="A1535" s="41" t="s">
        <v>5867</v>
      </c>
      <c r="B1535" s="37"/>
      <c r="C1535" s="37"/>
      <c r="D1535" s="37"/>
      <c r="E1535" s="37"/>
      <c r="F1535" s="45"/>
      <c r="K1535" s="3" t="s">
        <v>2096</v>
      </c>
    </row>
    <row r="1536" spans="1:38" ht="18.399999999999999" customHeight="1">
      <c r="A1536" s="41" t="s">
        <v>6232</v>
      </c>
      <c r="B1536" s="37"/>
      <c r="C1536" s="37"/>
      <c r="D1536" s="37"/>
      <c r="E1536" s="37"/>
      <c r="F1536" s="45"/>
      <c r="K1536" s="3" t="s">
        <v>6232</v>
      </c>
    </row>
    <row r="1537" spans="1:34" ht="18.399999999999999" customHeight="1">
      <c r="A1537" s="41" t="s">
        <v>4392</v>
      </c>
      <c r="B1537" s="37"/>
      <c r="C1537" s="37"/>
      <c r="D1537" s="37"/>
      <c r="E1537" s="37"/>
      <c r="F1537" s="45"/>
      <c r="K1537" s="3" t="s">
        <v>561</v>
      </c>
    </row>
    <row r="1538" spans="1:34" ht="18.399999999999999" customHeight="1">
      <c r="A1538" s="41" t="s">
        <v>6232</v>
      </c>
      <c r="B1538" s="37"/>
      <c r="C1538" s="37"/>
      <c r="D1538" s="37"/>
      <c r="E1538" s="37"/>
      <c r="F1538" s="45"/>
      <c r="K1538" s="3" t="s">
        <v>6232</v>
      </c>
    </row>
    <row r="1539" spans="1:34" ht="18.399999999999999" customHeight="1">
      <c r="A1539" s="41" t="s">
        <v>6134</v>
      </c>
      <c r="B1539" s="37"/>
      <c r="C1539" s="37"/>
      <c r="D1539" s="37"/>
      <c r="E1539" s="37"/>
      <c r="F1539" s="45"/>
      <c r="K1539" s="3" t="s">
        <v>4089</v>
      </c>
    </row>
    <row r="1540" spans="1:34" ht="18.399999999999999" customHeight="1">
      <c r="A1540" s="41" t="s">
        <v>6232</v>
      </c>
      <c r="B1540" s="37"/>
      <c r="C1540" s="37"/>
      <c r="D1540" s="37"/>
      <c r="E1540" s="37"/>
      <c r="F1540" s="45"/>
      <c r="K1540" s="3" t="s">
        <v>6232</v>
      </c>
    </row>
    <row r="1541" spans="1:34" ht="18.399999999999999" customHeight="1">
      <c r="A1541" s="41" t="s">
        <v>2299</v>
      </c>
      <c r="B1541" s="37"/>
      <c r="C1541" s="37"/>
      <c r="D1541" s="37"/>
      <c r="E1541" s="37"/>
      <c r="F1541" s="45"/>
      <c r="K1541" s="3" t="s">
        <v>3083</v>
      </c>
    </row>
    <row r="1542" spans="1:34" ht="18.399999999999999" customHeight="1">
      <c r="A1542" s="41" t="s">
        <v>257</v>
      </c>
      <c r="B1542" s="37"/>
      <c r="C1542" s="37"/>
      <c r="D1542" s="37"/>
      <c r="E1542" s="37"/>
      <c r="F1542" s="45"/>
      <c r="K1542" s="3" t="s">
        <v>1264</v>
      </c>
    </row>
    <row r="1543" spans="1:34" ht="18.399999999999999" customHeight="1">
      <c r="A1543" s="41" t="s">
        <v>6232</v>
      </c>
      <c r="B1543" s="37"/>
      <c r="C1543" s="37"/>
      <c r="D1543" s="37"/>
      <c r="E1543" s="37"/>
      <c r="F1543" s="45"/>
      <c r="K1543" s="3" t="s">
        <v>6232</v>
      </c>
    </row>
    <row r="1544" spans="1:34" ht="18.399999999999999" customHeight="1">
      <c r="A1544" s="42" t="str">
        <f>CONCATENATE("   - 1차당 적재량(본)         Q=",TEXT($AB1544,"#,##0.00"),"  본")</f>
        <v xml:space="preserve">   - 1차당 적재량(본)         Q=296.00  본</v>
      </c>
      <c r="B1544" s="37"/>
      <c r="C1544" s="37"/>
      <c r="D1544" s="37"/>
      <c r="E1544" s="37"/>
      <c r="F1544" s="45"/>
      <c r="K1544" s="10" t="str">
        <f>SUBSTITUTE(SUBSTITUTE("  _x001D_- 1차당 적재량(본)_x001D_        Q  =  296 _x001D_본_x001D_","296",TEXT($AB1544,"#,##0"),1),"_x001D_","'")</f>
        <v xml:space="preserve">  '- 1차당 적재량(본)'        Q  =  296 '본'</v>
      </c>
      <c r="AA1544" s="39" t="s">
        <v>4337</v>
      </c>
      <c r="AB1544" s="6">
        <v>296</v>
      </c>
      <c r="AC1544" s="39" t="s">
        <v>4337</v>
      </c>
      <c r="AD1544" s="7">
        <f>$AB1544</f>
        <v>296</v>
      </c>
    </row>
    <row r="1545" spans="1:34" ht="18.399999999999999" customHeight="1">
      <c r="A1545" s="41" t="s">
        <v>6232</v>
      </c>
      <c r="B1545" s="37"/>
      <c r="C1545" s="37"/>
      <c r="D1545" s="37"/>
      <c r="E1545" s="37"/>
      <c r="F1545" s="45"/>
      <c r="K1545" s="3" t="s">
        <v>6232</v>
      </c>
    </row>
    <row r="1546" spans="1:34" ht="18.399999999999999" customHeight="1">
      <c r="A1546" s="42" t="str">
        <f>CONCATENATE("   - 운반차량 대기시간(12M당)    T1=",TEXT($AB1546,"#,##0.00"),"  분")</f>
        <v xml:space="preserve">   - 운반차량 대기시간(12M당)    T1=2.00  분</v>
      </c>
      <c r="B1546" s="37"/>
      <c r="C1546" s="37"/>
      <c r="D1546" s="37"/>
      <c r="E1546" s="37"/>
      <c r="F1546" s="45"/>
      <c r="K1546" s="10" t="str">
        <f>SUBSTITUTE(SUBSTITUTE("  _x001D_- 운반차량 대기시간(12M당)_x001D_   T1 = 2 _x001D_분_x001D_","2",TEXT($AB1546,"#,##0"),1),"_x001D_","'")</f>
        <v xml:space="preserve">  '- 운반차량 대기시간(12M당)'   T1 = 2 '분'</v>
      </c>
      <c r="AA1546" s="39" t="s">
        <v>4528</v>
      </c>
      <c r="AB1546" s="6">
        <v>2</v>
      </c>
      <c r="AC1546" s="39" t="s">
        <v>4528</v>
      </c>
      <c r="AD1546" s="7">
        <f>$AB1546</f>
        <v>2</v>
      </c>
    </row>
    <row r="1547" spans="1:34" ht="18.399999999999999" customHeight="1">
      <c r="A1547" s="41" t="s">
        <v>6232</v>
      </c>
      <c r="B1547" s="37"/>
      <c r="C1547" s="37"/>
      <c r="D1547" s="37"/>
      <c r="E1547" s="37"/>
      <c r="F1547" s="45"/>
      <c r="K1547" s="3" t="s">
        <v>6232</v>
      </c>
    </row>
    <row r="1548" spans="1:34" ht="18.399999999999999" customHeight="1">
      <c r="A1548" s="41" t="s">
        <v>4838</v>
      </c>
      <c r="B1548" s="37"/>
      <c r="C1548" s="37"/>
      <c r="D1548" s="37"/>
      <c r="E1548" s="37"/>
      <c r="F1548" s="45"/>
      <c r="K1548" s="3" t="s">
        <v>6093</v>
      </c>
    </row>
    <row r="1549" spans="1:34" ht="18.399999999999999" customHeight="1">
      <c r="A1549" s="41" t="s">
        <v>6232</v>
      </c>
      <c r="B1549" s="37"/>
      <c r="C1549" s="37"/>
      <c r="D1549" s="37"/>
      <c r="E1549" s="37"/>
      <c r="F1549" s="45"/>
      <c r="K1549" s="3" t="s">
        <v>6232</v>
      </c>
    </row>
    <row r="1550" spans="1:34" ht="18.399999999999999" customHeight="1">
      <c r="A1550" s="42" t="str">
        <f>CONCATENATE("    T2 = (L / V * 2 * 60 + 20) / Q * 2 = ",TEXT($AF1550,"#,##0.00")," 분 ")</f>
        <v xml:space="preserve">    T2 = (L / V * 2 * 60 + 20) / Q * 2 = 0.24 분 </v>
      </c>
      <c r="B1550" s="37">
        <f>SUM($C1550,$D1550,$E1550)</f>
        <v>0</v>
      </c>
      <c r="C1550" s="37"/>
      <c r="D1550" s="37"/>
      <c r="E1550" s="37"/>
      <c r="F1550" s="45"/>
      <c r="K1550" s="3" t="s">
        <v>1389</v>
      </c>
      <c r="AA1550" s="39" t="s">
        <v>5897</v>
      </c>
      <c r="AB1550" s="8">
        <f>ROUND(($AD1524/$AD1526*2*60+20)/$AD1544*2,2)</f>
        <v>0.24</v>
      </c>
      <c r="AC1550" s="39" t="s">
        <v>2053</v>
      </c>
      <c r="AD1550" s="7">
        <f>$AB1550</f>
        <v>0.24</v>
      </c>
      <c r="AE1550" s="39" t="s">
        <v>1395</v>
      </c>
      <c r="AF1550" s="8">
        <f>ROUND(ROUND(($AD1524/$AD1526*2*60+20)/$AD1544*2,2),2)</f>
        <v>0.24</v>
      </c>
      <c r="AG1550" s="39" t="s">
        <v>1850</v>
      </c>
      <c r="AH1550" s="7">
        <f>$AF1550</f>
        <v>0.24</v>
      </c>
    </row>
    <row r="1551" spans="1:34" ht="18.399999999999999" customHeight="1">
      <c r="A1551" s="41" t="s">
        <v>6232</v>
      </c>
      <c r="B1551" s="37"/>
      <c r="C1551" s="37"/>
      <c r="D1551" s="37"/>
      <c r="E1551" s="37"/>
      <c r="F1551" s="45"/>
      <c r="K1551" s="3" t="s">
        <v>6232</v>
      </c>
    </row>
    <row r="1552" spans="1:34" ht="18.399999999999999" customHeight="1">
      <c r="A1552" s="41" t="s">
        <v>2391</v>
      </c>
      <c r="B1552" s="37"/>
      <c r="C1552" s="37"/>
      <c r="D1552" s="37"/>
      <c r="E1552" s="37"/>
      <c r="F1552" s="45"/>
      <c r="K1552" s="3" t="s">
        <v>4710</v>
      </c>
    </row>
    <row r="1553" spans="1:34" ht="18.399999999999999" customHeight="1">
      <c r="A1553" s="41" t="s">
        <v>6232</v>
      </c>
      <c r="B1553" s="37"/>
      <c r="C1553" s="37"/>
      <c r="D1553" s="37"/>
      <c r="E1553" s="37"/>
      <c r="F1553" s="45"/>
      <c r="K1553" s="3" t="s">
        <v>6232</v>
      </c>
    </row>
    <row r="1554" spans="1:34" ht="18.399999999999999" customHeight="1">
      <c r="A1554" s="42" t="str">
        <f>CONCATENATE("    CM = T1 + T2 = ",TEXT($AF1554,"#,##0.00")," 분 ")</f>
        <v xml:space="preserve">    CM = T1 + T2 = 2.24 분 </v>
      </c>
      <c r="B1554" s="37">
        <f>SUM($C1554,$D1554,$E1554)</f>
        <v>0</v>
      </c>
      <c r="C1554" s="37"/>
      <c r="D1554" s="37"/>
      <c r="E1554" s="37"/>
      <c r="F1554" s="45"/>
      <c r="K1554" s="3" t="s">
        <v>6049</v>
      </c>
      <c r="AA1554" s="39" t="s">
        <v>5026</v>
      </c>
      <c r="AB1554" s="8">
        <f>ROUND($AD1546+$AD1550,2)</f>
        <v>2.2400000000000002</v>
      </c>
      <c r="AC1554" s="39" t="s">
        <v>289</v>
      </c>
      <c r="AD1554" s="7">
        <f>$AB1554</f>
        <v>2.2400000000000002</v>
      </c>
      <c r="AE1554" s="39" t="s">
        <v>1291</v>
      </c>
      <c r="AF1554" s="8">
        <f>ROUND(ROUND($AD1546+$AD1550,2),2)</f>
        <v>2.2400000000000002</v>
      </c>
      <c r="AG1554" s="39" t="s">
        <v>4450</v>
      </c>
      <c r="AH1554" s="7">
        <f>$AF1554</f>
        <v>2.2400000000000002</v>
      </c>
    </row>
    <row r="1555" spans="1:34" ht="18.399999999999999" customHeight="1">
      <c r="A1555" s="41" t="s">
        <v>6232</v>
      </c>
      <c r="B1555" s="37"/>
      <c r="C1555" s="37"/>
      <c r="D1555" s="37"/>
      <c r="E1555" s="37"/>
      <c r="F1555" s="45"/>
      <c r="K1555" s="3" t="s">
        <v>6232</v>
      </c>
    </row>
    <row r="1556" spans="1:34" ht="18.399999999999999" customHeight="1">
      <c r="A1556" s="41" t="s">
        <v>5848</v>
      </c>
      <c r="B1556" s="37"/>
      <c r="C1556" s="37"/>
      <c r="D1556" s="37"/>
      <c r="E1556" s="37"/>
      <c r="F1556" s="45"/>
      <c r="K1556" s="3" t="s">
        <v>788</v>
      </c>
    </row>
    <row r="1557" spans="1:34" ht="18.399999999999999" customHeight="1">
      <c r="A1557" s="41" t="s">
        <v>6232</v>
      </c>
      <c r="B1557" s="37"/>
      <c r="C1557" s="37"/>
      <c r="D1557" s="37"/>
      <c r="E1557" s="37"/>
      <c r="F1557" s="45"/>
      <c r="K1557" s="3" t="s">
        <v>6232</v>
      </c>
    </row>
    <row r="1558" spans="1:34" ht="18.399999999999999" customHeight="1">
      <c r="A1558" s="42" t="str">
        <f>CONCATENATE("    Qo = T2 / CM = ",TEXT($AF1558,"#,##0.00")," 분 ")</f>
        <v xml:space="preserve">    Qo = T2 / CM = 0.11 분 </v>
      </c>
      <c r="B1558" s="37">
        <f>SUM($C1558,$D1558,$E1558)</f>
        <v>0</v>
      </c>
      <c r="C1558" s="37"/>
      <c r="D1558" s="37"/>
      <c r="E1558" s="37"/>
      <c r="F1558" s="45"/>
      <c r="K1558" s="3" t="s">
        <v>882</v>
      </c>
      <c r="AA1558" s="39" t="s">
        <v>1501</v>
      </c>
      <c r="AB1558" s="8">
        <f>ROUND($AD1550/$AD1554,2)</f>
        <v>0.11</v>
      </c>
      <c r="AC1558" s="39" t="s">
        <v>2425</v>
      </c>
      <c r="AD1558" s="7">
        <f>$AB1558</f>
        <v>0.11</v>
      </c>
      <c r="AE1558" s="39" t="s">
        <v>837</v>
      </c>
      <c r="AF1558" s="8">
        <f>ROUND(ROUND($AD1550/$AD1554,2),2)</f>
        <v>0.11</v>
      </c>
      <c r="AG1558" s="39" t="s">
        <v>6046</v>
      </c>
      <c r="AH1558" s="7">
        <f>$AF1558</f>
        <v>0.11</v>
      </c>
    </row>
    <row r="1559" spans="1:34" ht="18.399999999999999" customHeight="1">
      <c r="A1559" s="41" t="s">
        <v>6232</v>
      </c>
      <c r="B1559" s="37"/>
      <c r="C1559" s="37"/>
      <c r="D1559" s="37"/>
      <c r="E1559" s="37"/>
      <c r="F1559" s="45"/>
      <c r="K1559" s="3" t="s">
        <v>6232</v>
      </c>
    </row>
    <row r="1560" spans="1:34" ht="18.399999999999999" customHeight="1">
      <c r="A1560" s="41" t="s">
        <v>78</v>
      </c>
      <c r="B1560" s="37"/>
      <c r="C1560" s="37"/>
      <c r="D1560" s="37"/>
      <c r="E1560" s="37"/>
      <c r="F1560" s="45"/>
      <c r="K1560" s="3" t="s">
        <v>5459</v>
      </c>
    </row>
    <row r="1561" spans="1:34" ht="18.399999999999999" customHeight="1">
      <c r="A1561" s="41" t="s">
        <v>6232</v>
      </c>
      <c r="B1561" s="37"/>
      <c r="C1561" s="37"/>
      <c r="D1561" s="37"/>
      <c r="E1561" s="37"/>
      <c r="F1561" s="45"/>
      <c r="K1561" s="3" t="s">
        <v>6232</v>
      </c>
    </row>
    <row r="1562" spans="1:34" ht="18.399999999999999" customHeight="1">
      <c r="A1562" s="42" t="str">
        <f>CONCATENATE("      보통인부 :  2.0 인  * _x001D_169,804_x001D_ * (CM + 6 ) / 60 / 8 = ",TEXT($AB1562,"#,##0.0"))</f>
        <v xml:space="preserve">      보통인부 :  2.0 인  * _x001D_169,804_x001D_ * (CM + 6 ) / 60 / 8 = 5,907.6</v>
      </c>
      <c r="B1562" s="37">
        <f>SUM($C1562,$D1562,$E1562)</f>
        <v>5907.6</v>
      </c>
      <c r="C1562" s="37"/>
      <c r="D1562" s="37">
        <f>$AB1562</f>
        <v>5907.6</v>
      </c>
      <c r="E1562" s="37"/>
      <c r="F1562" s="45" t="s">
        <v>6232</v>
      </c>
      <c r="K1562" s="3" t="s">
        <v>3933</v>
      </c>
      <c r="AA1562" s="40" t="s">
        <v>5305</v>
      </c>
      <c r="AB1562" s="8">
        <f>TRUNC(2*노임!D3*($AD1554+6)/60/8,1)</f>
        <v>5907.6</v>
      </c>
      <c r="AC1562" s="40" t="s">
        <v>5439</v>
      </c>
      <c r="AD1562" s="7">
        <f>$AH1527+$AB1562</f>
        <v>5907.6</v>
      </c>
    </row>
    <row r="1563" spans="1:34" ht="18.399999999999999" customHeight="1">
      <c r="A1563" s="41" t="s">
        <v>6232</v>
      </c>
      <c r="B1563" s="37"/>
      <c r="C1563" s="37"/>
      <c r="D1563" s="37"/>
      <c r="E1563" s="37"/>
      <c r="F1563" s="45"/>
      <c r="K1563" s="3" t="s">
        <v>6232</v>
      </c>
    </row>
    <row r="1564" spans="1:34" ht="18.399999999999999" customHeight="1">
      <c r="A1564" s="41" t="s">
        <v>1528</v>
      </c>
      <c r="B1564" s="37"/>
      <c r="C1564" s="37"/>
      <c r="D1564" s="37"/>
      <c r="E1564" s="37"/>
      <c r="F1564" s="45"/>
      <c r="K1564" s="3" t="s">
        <v>3746</v>
      </c>
    </row>
    <row r="1565" spans="1:34" ht="18.399999999999999" customHeight="1">
      <c r="A1565" s="41" t="s">
        <v>6232</v>
      </c>
      <c r="B1565" s="37"/>
      <c r="C1565" s="37"/>
      <c r="D1565" s="37"/>
      <c r="E1565" s="37"/>
      <c r="F1565" s="45"/>
      <c r="K1565" s="3" t="s">
        <v>6232</v>
      </c>
    </row>
    <row r="1566" spans="1:34" ht="18.399999999999999" customHeight="1">
      <c r="A1566" s="41" t="s">
        <v>3329</v>
      </c>
      <c r="B1566" s="37"/>
      <c r="C1566" s="37"/>
      <c r="D1566" s="37"/>
      <c r="E1566" s="37"/>
      <c r="F1566" s="45"/>
      <c r="K1566" s="3" t="s">
        <v>3091</v>
      </c>
    </row>
    <row r="1567" spans="1:34" ht="18.399999999999999" customHeight="1">
      <c r="A1567" s="41" t="s">
        <v>6232</v>
      </c>
      <c r="B1567" s="37"/>
      <c r="C1567" s="37"/>
      <c r="D1567" s="37"/>
      <c r="E1567" s="37"/>
      <c r="F1567" s="45"/>
      <c r="K1567" s="3" t="s">
        <v>6232</v>
      </c>
    </row>
    <row r="1568" spans="1:34" ht="18.399999999999999" customHeight="1">
      <c r="A1568" s="42" t="str">
        <f>CONCATENATE("     재료비:  _x001D_8,795_x001D_ * 3 / 60 = ",TEXT($AB1568,"#,##0.0"))</f>
        <v xml:space="preserve">     재료비:  _x001D_8,795_x001D_ * 3 / 60 = 0.0</v>
      </c>
      <c r="B1568" s="37">
        <f>SUM($C1568,$D1568,$E1568)</f>
        <v>0</v>
      </c>
      <c r="C1568" s="37">
        <f>$AB1568</f>
        <v>0</v>
      </c>
      <c r="D1568" s="37"/>
      <c r="E1568" s="37"/>
      <c r="F1568" s="45" t="s">
        <v>6232</v>
      </c>
      <c r="K1568" s="3" t="s">
        <v>5313</v>
      </c>
      <c r="AA1568" s="40" t="s">
        <v>2660</v>
      </c>
      <c r="AB1568" s="8">
        <f>TRUNC(중기사용료목록!E4*3/60,1)</f>
        <v>0</v>
      </c>
      <c r="AC1568" s="40" t="s">
        <v>1650</v>
      </c>
      <c r="AD1568" s="7">
        <f>$AD1527+$AB1568</f>
        <v>0</v>
      </c>
    </row>
    <row r="1569" spans="1:38" ht="18.399999999999999" customHeight="1">
      <c r="A1569" s="41" t="s">
        <v>6232</v>
      </c>
      <c r="B1569" s="37"/>
      <c r="C1569" s="37"/>
      <c r="D1569" s="37"/>
      <c r="E1569" s="37"/>
      <c r="F1569" s="45"/>
      <c r="K1569" s="3" t="s">
        <v>6232</v>
      </c>
    </row>
    <row r="1570" spans="1:38" ht="18.399999999999999" customHeight="1">
      <c r="A1570" s="42" t="str">
        <f>CONCATENATE("     노무비:  _x001D_57,077_x001D_ * 3 / 60 = ",TEXT($AB1570,"#,##0.0"))</f>
        <v xml:space="preserve">     노무비:  _x001D_57,077_x001D_ * 3 / 60 = 0.0</v>
      </c>
      <c r="B1570" s="37">
        <f>SUM($C1570,$D1570,$E1570)</f>
        <v>0</v>
      </c>
      <c r="C1570" s="37"/>
      <c r="D1570" s="37">
        <f>$AB1570</f>
        <v>0</v>
      </c>
      <c r="E1570" s="37"/>
      <c r="F1570" s="45" t="s">
        <v>6232</v>
      </c>
      <c r="K1570" s="3" t="s">
        <v>2504</v>
      </c>
      <c r="AA1570" s="40" t="s">
        <v>5305</v>
      </c>
      <c r="AB1570" s="8">
        <f>TRUNC(중기사용료목록!F4*3/60,1)</f>
        <v>0</v>
      </c>
      <c r="AC1570" s="40" t="s">
        <v>5439</v>
      </c>
      <c r="AD1570" s="7">
        <f>$AD1562+$AB1570</f>
        <v>5907.6</v>
      </c>
    </row>
    <row r="1571" spans="1:38" ht="18.399999999999999" customHeight="1">
      <c r="A1571" s="41" t="s">
        <v>6232</v>
      </c>
      <c r="B1571" s="37"/>
      <c r="C1571" s="37"/>
      <c r="D1571" s="37"/>
      <c r="E1571" s="37"/>
      <c r="F1571" s="45"/>
      <c r="K1571" s="3" t="s">
        <v>6232</v>
      </c>
    </row>
    <row r="1572" spans="1:38" ht="18.399999999999999" customHeight="1">
      <c r="A1572" s="42" t="str">
        <f>CONCATENATE("     경  비:  _x001D_41,995_x001D_ * 3 / 60 = ",TEXT($AB1572,"#,##0.0"))</f>
        <v xml:space="preserve">     경  비:  _x001D_41,995_x001D_ * 3 / 60 = 5,533.9</v>
      </c>
      <c r="B1572" s="37">
        <f>SUM($C1572,$D1572,$E1572)</f>
        <v>5533.9</v>
      </c>
      <c r="C1572" s="37"/>
      <c r="D1572" s="37"/>
      <c r="E1572" s="37">
        <f>$AB1572</f>
        <v>5533.9</v>
      </c>
      <c r="F1572" s="45" t="s">
        <v>6232</v>
      </c>
      <c r="K1572" s="3" t="s">
        <v>1628</v>
      </c>
      <c r="AA1572" s="40" t="s">
        <v>3519</v>
      </c>
      <c r="AB1572" s="8">
        <f>TRUNC(중기사용료목록!G4*3/60,1)</f>
        <v>5533.9</v>
      </c>
      <c r="AC1572" s="40" t="s">
        <v>4149</v>
      </c>
      <c r="AD1572" s="7">
        <f>$AL1527+$AB1572</f>
        <v>5533.9</v>
      </c>
    </row>
    <row r="1573" spans="1:38" ht="18.399999999999999" customHeight="1">
      <c r="A1573" s="41" t="s">
        <v>6232</v>
      </c>
      <c r="B1573" s="37"/>
      <c r="C1573" s="37"/>
      <c r="D1573" s="37"/>
      <c r="E1573" s="37"/>
      <c r="F1573" s="45"/>
      <c r="K1573" s="3" t="s">
        <v>6232</v>
      </c>
    </row>
    <row r="1574" spans="1:38" ht="18.399999999999999" customHeight="1">
      <c r="A1574" s="41" t="s">
        <v>4024</v>
      </c>
      <c r="B1574" s="37"/>
      <c r="C1574" s="37"/>
      <c r="D1574" s="37"/>
      <c r="E1574" s="37"/>
      <c r="F1574" s="45"/>
      <c r="K1574" s="3" t="s">
        <v>4460</v>
      </c>
    </row>
    <row r="1575" spans="1:38" ht="18.399999999999999" customHeight="1">
      <c r="A1575" s="41" t="s">
        <v>6232</v>
      </c>
      <c r="B1575" s="37"/>
      <c r="C1575" s="37"/>
      <c r="D1575" s="37"/>
      <c r="E1575" s="37"/>
      <c r="F1575" s="45"/>
      <c r="K1575" s="3" t="s">
        <v>6232</v>
      </c>
    </row>
    <row r="1576" spans="1:38" ht="18.399999999999999" customHeight="1">
      <c r="A1576" s="42" t="e">
        <f>CONCATENATE("     재료비:  _x001D_17,279_x001D_ * CM / 60 * Qo = ",TEXT($AB1576,"#,##0.0"))</f>
        <v>#REF!</v>
      </c>
      <c r="B1576" s="37" t="e">
        <f>SUM($C1576,$D1576,$E1576)</f>
        <v>#REF!</v>
      </c>
      <c r="C1576" s="37" t="e">
        <f>$AB1576</f>
        <v>#REF!</v>
      </c>
      <c r="D1576" s="37"/>
      <c r="E1576" s="37"/>
      <c r="F1576" s="45" t="s">
        <v>6232</v>
      </c>
      <c r="K1576" s="3" t="s">
        <v>5888</v>
      </c>
      <c r="AA1576" s="40" t="s">
        <v>2660</v>
      </c>
      <c r="AB1576" s="8" t="e">
        <f>TRUNC(중기사용료목록!#REF!*$AD1554/60*$AD1558,1)</f>
        <v>#REF!</v>
      </c>
      <c r="AC1576" s="40" t="s">
        <v>1650</v>
      </c>
      <c r="AD1576" s="7" t="e">
        <f>$AD1568+$AB1576</f>
        <v>#REF!</v>
      </c>
    </row>
    <row r="1577" spans="1:38" ht="18.399999999999999" customHeight="1">
      <c r="A1577" s="41" t="s">
        <v>6232</v>
      </c>
      <c r="B1577" s="37"/>
      <c r="C1577" s="37"/>
      <c r="D1577" s="37"/>
      <c r="E1577" s="37"/>
      <c r="F1577" s="45"/>
      <c r="K1577" s="3" t="s">
        <v>6232</v>
      </c>
    </row>
    <row r="1578" spans="1:38" ht="18.399999999999999" customHeight="1">
      <c r="A1578" s="42" t="e">
        <f>CONCATENATE("     노무비:  _x001D_49,479_x001D_ * CM / 60 = ",TEXT($AB1578,"#,##0.0"))</f>
        <v>#REF!</v>
      </c>
      <c r="B1578" s="37" t="e">
        <f>SUM($C1578,$D1578,$E1578)</f>
        <v>#REF!</v>
      </c>
      <c r="C1578" s="37"/>
      <c r="D1578" s="37" t="e">
        <f>$AB1578</f>
        <v>#REF!</v>
      </c>
      <c r="E1578" s="37"/>
      <c r="F1578" s="45" t="s">
        <v>6232</v>
      </c>
      <c r="K1578" s="3" t="s">
        <v>5243</v>
      </c>
      <c r="AA1578" s="40" t="s">
        <v>5305</v>
      </c>
      <c r="AB1578" s="8" t="e">
        <f>TRUNC(중기사용료목록!#REF!*$AD1554/60,1)</f>
        <v>#REF!</v>
      </c>
      <c r="AC1578" s="40" t="s">
        <v>5439</v>
      </c>
      <c r="AD1578" s="7" t="e">
        <f>$AD1570+$AB1578</f>
        <v>#REF!</v>
      </c>
    </row>
    <row r="1579" spans="1:38" ht="18.399999999999999" customHeight="1">
      <c r="A1579" s="41" t="s">
        <v>6232</v>
      </c>
      <c r="B1579" s="37"/>
      <c r="C1579" s="37"/>
      <c r="D1579" s="37"/>
      <c r="E1579" s="37"/>
      <c r="F1579" s="45"/>
      <c r="K1579" s="3" t="s">
        <v>6232</v>
      </c>
    </row>
    <row r="1580" spans="1:38" ht="18.399999999999999" customHeight="1">
      <c r="A1580" s="42" t="e">
        <f>CONCATENATE("     경  비:  _x001D_10,347_x001D_ * CM / 60 = ",TEXT($AB1580,"#,##0.0"))</f>
        <v>#REF!</v>
      </c>
      <c r="B1580" s="37" t="e">
        <f>SUM($C1580,$D1580,$E1580)</f>
        <v>#REF!</v>
      </c>
      <c r="C1580" s="37"/>
      <c r="D1580" s="37"/>
      <c r="E1580" s="37" t="e">
        <f>$AB1580</f>
        <v>#REF!</v>
      </c>
      <c r="F1580" s="45" t="s">
        <v>6232</v>
      </c>
      <c r="K1580" s="3" t="s">
        <v>4143</v>
      </c>
      <c r="AA1580" s="40" t="s">
        <v>3519</v>
      </c>
      <c r="AB1580" s="8" t="e">
        <f>TRUNC(중기사용료목록!#REF!*$AD1554/60,1)</f>
        <v>#REF!</v>
      </c>
      <c r="AC1580" s="40" t="s">
        <v>4149</v>
      </c>
      <c r="AD1580" s="7" t="e">
        <f>$AD1572+$AB1580</f>
        <v>#REF!</v>
      </c>
    </row>
    <row r="1581" spans="1:38" ht="18.399999999999999" customHeight="1">
      <c r="A1581" s="41" t="s">
        <v>6232</v>
      </c>
      <c r="B1581" s="37"/>
      <c r="C1581" s="37"/>
      <c r="D1581" s="37"/>
      <c r="E1581" s="37"/>
      <c r="F1581" s="45"/>
      <c r="K1581" s="3" t="s">
        <v>6232</v>
      </c>
    </row>
    <row r="1582" spans="1:38" ht="18.399999999999999" customHeight="1">
      <c r="A1582" s="41" t="s">
        <v>4035</v>
      </c>
      <c r="B1582" s="37">
        <v>13527.4</v>
      </c>
      <c r="C1582" s="37">
        <v>510.6</v>
      </c>
      <c r="D1582" s="37">
        <v>10530.9</v>
      </c>
      <c r="E1582" s="37">
        <v>2485.9</v>
      </c>
      <c r="F1582" s="45"/>
      <c r="K1582" s="3" t="s">
        <v>6070</v>
      </c>
    </row>
    <row r="1583" spans="1:38" ht="18.399999999999999" customHeight="1">
      <c r="A1583" s="41" t="s">
        <v>6232</v>
      </c>
      <c r="B1583" s="37">
        <f>SUM($C1583,$D1583,$E1583)</f>
        <v>0</v>
      </c>
      <c r="C1583" s="37">
        <f>$AB1583</f>
        <v>0</v>
      </c>
      <c r="D1583" s="37">
        <f>$AF1583</f>
        <v>0</v>
      </c>
      <c r="E1583" s="37">
        <f>$AJ1583</f>
        <v>0</v>
      </c>
      <c r="F1583" s="45"/>
      <c r="K1583" s="3" t="s">
        <v>5506</v>
      </c>
      <c r="AA1583" s="40" t="s">
        <v>4586</v>
      </c>
      <c r="AB1583" s="8">
        <f>ROUND(0,2)</f>
        <v>0</v>
      </c>
      <c r="AC1583" s="40" t="s">
        <v>4161</v>
      </c>
      <c r="AD1583" s="7">
        <f>$AB1583</f>
        <v>0</v>
      </c>
      <c r="AE1583" s="40" t="s">
        <v>222</v>
      </c>
      <c r="AF1583" s="8">
        <f>ROUND(0,2)</f>
        <v>0</v>
      </c>
      <c r="AG1583" s="40" t="s">
        <v>334</v>
      </c>
      <c r="AH1583" s="7">
        <f>$AF1583</f>
        <v>0</v>
      </c>
      <c r="AI1583" s="40" t="s">
        <v>1574</v>
      </c>
      <c r="AJ1583" s="8">
        <f>ROUND(0,2)</f>
        <v>0</v>
      </c>
      <c r="AK1583" s="40" t="s">
        <v>1622</v>
      </c>
      <c r="AL1583" s="7">
        <f>$AJ1583</f>
        <v>0</v>
      </c>
    </row>
    <row r="1584" spans="1:38" ht="18.399999999999999" customHeight="1">
      <c r="A1584" s="41" t="s">
        <v>2057</v>
      </c>
      <c r="B1584" s="37" t="e">
        <f>SUM($C1584,$D1584,$E1584)</f>
        <v>#REF!</v>
      </c>
      <c r="C1584" s="37" t="e">
        <f>$AB1584</f>
        <v>#REF!</v>
      </c>
      <c r="D1584" s="37" t="e">
        <f>$AF1584</f>
        <v>#REF!</v>
      </c>
      <c r="E1584" s="37" t="e">
        <f>$AJ1584</f>
        <v>#REF!</v>
      </c>
      <c r="F1584" s="45"/>
      <c r="K1584" s="3" t="s">
        <v>4286</v>
      </c>
      <c r="AA1584" s="40" t="s">
        <v>4586</v>
      </c>
      <c r="AB1584" s="8" t="e">
        <f>TRUNC($AD1576/12,1)</f>
        <v>#REF!</v>
      </c>
      <c r="AC1584" s="40" t="s">
        <v>4161</v>
      </c>
      <c r="AD1584" s="7" t="e">
        <f>$AB1584</f>
        <v>#REF!</v>
      </c>
      <c r="AE1584" s="40" t="s">
        <v>222</v>
      </c>
      <c r="AF1584" s="8" t="e">
        <f>TRUNC($AD1578/12,1)</f>
        <v>#REF!</v>
      </c>
      <c r="AG1584" s="40" t="s">
        <v>334</v>
      </c>
      <c r="AH1584" s="7" t="e">
        <f>$AF1584</f>
        <v>#REF!</v>
      </c>
      <c r="AI1584" s="40" t="s">
        <v>1574</v>
      </c>
      <c r="AJ1584" s="8" t="e">
        <f>TRUNC($AD1580/12,1)</f>
        <v>#REF!</v>
      </c>
      <c r="AK1584" s="40" t="s">
        <v>1622</v>
      </c>
      <c r="AL1584" s="7" t="e">
        <f>$AJ1584</f>
        <v>#REF!</v>
      </c>
    </row>
    <row r="1585" spans="1:38" ht="18.399999999999999" customHeight="1">
      <c r="A1585" s="41" t="s">
        <v>6232</v>
      </c>
      <c r="B1585" s="37"/>
      <c r="C1585" s="37"/>
      <c r="D1585" s="37"/>
      <c r="E1585" s="37"/>
      <c r="F1585" s="45"/>
      <c r="K1585" s="3" t="s">
        <v>6232</v>
      </c>
    </row>
    <row r="1586" spans="1:38" ht="18.399999999999999" customHeight="1">
      <c r="A1586" s="41" t="s">
        <v>3436</v>
      </c>
      <c r="B1586" s="37">
        <v>1127.0999999999999</v>
      </c>
      <c r="C1586" s="37">
        <v>42.5</v>
      </c>
      <c r="D1586" s="37">
        <v>877.5</v>
      </c>
      <c r="E1586" s="37">
        <v>207.1</v>
      </c>
      <c r="F1586" s="45"/>
      <c r="K1586" s="3" t="s">
        <v>1342</v>
      </c>
    </row>
    <row r="1587" spans="1:38" ht="18.399999999999999" customHeight="1">
      <c r="A1587" s="41" t="s">
        <v>6232</v>
      </c>
      <c r="B1587" s="37">
        <f>SUM($C1587,$D1587,$E1587)</f>
        <v>0</v>
      </c>
      <c r="C1587" s="37">
        <f>$AB1587</f>
        <v>0</v>
      </c>
      <c r="D1587" s="37">
        <f>$AF1587</f>
        <v>0</v>
      </c>
      <c r="E1587" s="37">
        <f>$AJ1587</f>
        <v>0</v>
      </c>
      <c r="F1587" s="45"/>
      <c r="K1587" s="3" t="s">
        <v>3238</v>
      </c>
      <c r="AA1587" s="40" t="s">
        <v>308</v>
      </c>
      <c r="AB1587" s="8">
        <f>ROUND(0,2)</f>
        <v>0</v>
      </c>
      <c r="AC1587" s="40" t="s">
        <v>5000</v>
      </c>
      <c r="AD1587" s="7">
        <f>$AB1587</f>
        <v>0</v>
      </c>
      <c r="AE1587" s="40" t="s">
        <v>4500</v>
      </c>
      <c r="AF1587" s="8">
        <f>ROUND(0,2)</f>
        <v>0</v>
      </c>
      <c r="AG1587" s="40" t="s">
        <v>2603</v>
      </c>
      <c r="AH1587" s="7">
        <f>$AF1587</f>
        <v>0</v>
      </c>
      <c r="AI1587" s="40" t="s">
        <v>5878</v>
      </c>
      <c r="AJ1587" s="8">
        <f>ROUND(0,2)</f>
        <v>0</v>
      </c>
      <c r="AK1587" s="40" t="s">
        <v>787</v>
      </c>
      <c r="AL1587" s="7">
        <f>$AJ1587</f>
        <v>0</v>
      </c>
    </row>
    <row r="1588" spans="1:38" ht="18.399999999999999" customHeight="1">
      <c r="A1588" s="41" t="s">
        <v>53</v>
      </c>
      <c r="B1588" s="37" t="e">
        <f>SUM($C1588,$D1588,$E1588)</f>
        <v>#REF!</v>
      </c>
      <c r="C1588" s="37" t="e">
        <f>$AB1588</f>
        <v>#REF!</v>
      </c>
      <c r="D1588" s="37" t="e">
        <f>$AF1588</f>
        <v>#REF!</v>
      </c>
      <c r="E1588" s="37" t="e">
        <f>$AJ1588</f>
        <v>#REF!</v>
      </c>
      <c r="F1588" s="45"/>
      <c r="K1588" s="3" t="s">
        <v>2347</v>
      </c>
      <c r="AA1588" s="40" t="s">
        <v>308</v>
      </c>
      <c r="AB1588" s="8" t="e">
        <f>TRUNC($AD1584*1.097,1)</f>
        <v>#REF!</v>
      </c>
      <c r="AC1588" s="40" t="s">
        <v>5000</v>
      </c>
      <c r="AD1588" s="7" t="e">
        <f>$AB1588</f>
        <v>#REF!</v>
      </c>
      <c r="AE1588" s="40" t="s">
        <v>4500</v>
      </c>
      <c r="AF1588" s="8" t="e">
        <f>TRUNC($AH1584*1.097,1)</f>
        <v>#REF!</v>
      </c>
      <c r="AG1588" s="40" t="s">
        <v>2603</v>
      </c>
      <c r="AH1588" s="7" t="e">
        <f>$AF1588</f>
        <v>#REF!</v>
      </c>
      <c r="AI1588" s="40" t="s">
        <v>5878</v>
      </c>
      <c r="AJ1588" s="8" t="e">
        <f>TRUNC($AL1584*1.097,1)</f>
        <v>#REF!</v>
      </c>
      <c r="AK1588" s="40" t="s">
        <v>787</v>
      </c>
      <c r="AL1588" s="7" t="e">
        <f>$AJ1588</f>
        <v>#REF!</v>
      </c>
    </row>
    <row r="1589" spans="1:38" ht="18.399999999999999" customHeight="1">
      <c r="A1589" s="41" t="s">
        <v>6232</v>
      </c>
      <c r="B1589" s="37"/>
      <c r="C1589" s="37"/>
      <c r="D1589" s="37"/>
      <c r="E1589" s="37"/>
      <c r="F1589" s="45"/>
      <c r="K1589" s="3" t="s">
        <v>6232</v>
      </c>
    </row>
    <row r="1590" spans="1:38" ht="18.399999999999999" customHeight="1">
      <c r="A1590" s="41" t="s">
        <v>3436</v>
      </c>
      <c r="B1590" s="37" t="e">
        <f>SUM($C1590,$D1590,$E1590)</f>
        <v>#REF!</v>
      </c>
      <c r="C1590" s="37" t="e">
        <f>$AB1590</f>
        <v>#REF!</v>
      </c>
      <c r="D1590" s="37" t="e">
        <f>$AF1590</f>
        <v>#REF!</v>
      </c>
      <c r="E1590" s="37" t="e">
        <f>$AJ1590</f>
        <v>#REF!</v>
      </c>
      <c r="F1590" s="45"/>
      <c r="K1590" s="3" t="s">
        <v>4527</v>
      </c>
      <c r="AA1590" s="40" t="s">
        <v>4592</v>
      </c>
      <c r="AB1590" s="8" t="e">
        <f>TRUNC($AD1588,1)</f>
        <v>#REF!</v>
      </c>
      <c r="AC1590" s="40" t="s">
        <v>5149</v>
      </c>
      <c r="AD1590" s="7" t="e">
        <f>$AB1590</f>
        <v>#REF!</v>
      </c>
      <c r="AE1590" s="40" t="s">
        <v>666</v>
      </c>
      <c r="AF1590" s="8" t="e">
        <f>TRUNC($AH1588,1)</f>
        <v>#REF!</v>
      </c>
      <c r="AG1590" s="40" t="s">
        <v>2431</v>
      </c>
      <c r="AH1590" s="7" t="e">
        <f>$AF1590</f>
        <v>#REF!</v>
      </c>
      <c r="AI1590" s="40" t="s">
        <v>1930</v>
      </c>
      <c r="AJ1590" s="8" t="e">
        <f>TRUNC($AL1588,1)</f>
        <v>#REF!</v>
      </c>
      <c r="AK1590" s="40" t="s">
        <v>3349</v>
      </c>
      <c r="AL1590" s="7" t="e">
        <f>$AJ1590</f>
        <v>#REF!</v>
      </c>
    </row>
    <row r="1591" spans="1:38" ht="18.399999999999999" customHeight="1">
      <c r="A1591" s="41"/>
      <c r="B1591" s="3"/>
      <c r="C1591" s="3"/>
      <c r="D1591" s="3"/>
      <c r="E1591" s="3"/>
      <c r="F1591" s="44"/>
    </row>
    <row r="1592" spans="1:38" ht="18.399999999999999" customHeight="1">
      <c r="A1592" s="43" t="s">
        <v>3543</v>
      </c>
      <c r="B1592" s="38" t="e">
        <f>SUM($C1592,$D1592,$E1592)</f>
        <v>#REF!</v>
      </c>
      <c r="C1592" s="38" t="e">
        <f>TRUNC(SUM($AD1590),0)</f>
        <v>#REF!</v>
      </c>
      <c r="D1592" s="38" t="e">
        <f>TRUNC(SUM($AH1590),0)</f>
        <v>#REF!</v>
      </c>
      <c r="E1592" s="38" t="e">
        <f>TRUNC(SUM($AL1590),0)</f>
        <v>#REF!</v>
      </c>
      <c r="F1592" s="46"/>
    </row>
    <row r="1593" spans="1:38" ht="18.399999999999999" customHeight="1">
      <c r="A1593" s="41"/>
      <c r="B1593" s="3"/>
      <c r="C1593" s="3"/>
      <c r="D1593" s="3"/>
      <c r="E1593" s="3"/>
      <c r="F1593" s="44"/>
    </row>
    <row r="1594" spans="1:38" ht="18.399999999999999" customHeight="1">
      <c r="A1594" s="41" t="s">
        <v>4384</v>
      </c>
      <c r="B1594" s="36" t="e">
        <f>$B1667</f>
        <v>#REF!</v>
      </c>
      <c r="C1594" s="36" t="e">
        <f>$C1667</f>
        <v>#REF!</v>
      </c>
      <c r="D1594" s="36" t="e">
        <f>$D1667</f>
        <v>#REF!</v>
      </c>
      <c r="E1594" s="36" t="e">
        <f>$E1667</f>
        <v>#REF!</v>
      </c>
      <c r="F1594" s="44" t="s">
        <v>3378</v>
      </c>
      <c r="G1594" t="s">
        <v>6232</v>
      </c>
      <c r="H1594" t="s">
        <v>5164</v>
      </c>
      <c r="K1594">
        <v>1</v>
      </c>
      <c r="Y1594" s="7" t="e">
        <f>EXACT($Z1594,$B1667)</f>
        <v>#REF!</v>
      </c>
      <c r="Z1594" s="38">
        <v>1235</v>
      </c>
    </row>
    <row r="1595" spans="1:38" ht="18.399999999999999" customHeight="1">
      <c r="A1595" s="41"/>
      <c r="B1595" s="3"/>
      <c r="C1595" s="3"/>
      <c r="D1595" s="3"/>
      <c r="E1595" s="3"/>
      <c r="F1595" s="44"/>
    </row>
    <row r="1596" spans="1:38" ht="18.399999999999999" customHeight="1">
      <c r="A1596" s="41" t="s">
        <v>6232</v>
      </c>
      <c r="B1596" s="3"/>
      <c r="C1596" s="3"/>
      <c r="D1596" s="3"/>
      <c r="E1596" s="3"/>
      <c r="F1596" s="44"/>
      <c r="G1596" t="s">
        <v>6232</v>
      </c>
      <c r="I1596" t="s">
        <v>742</v>
      </c>
      <c r="J1596" t="s">
        <v>6232</v>
      </c>
      <c r="K1596" t="s">
        <v>5235</v>
      </c>
    </row>
    <row r="1597" spans="1:38" ht="18.399999999999999" customHeight="1">
      <c r="A1597" s="41" t="s">
        <v>1377</v>
      </c>
      <c r="B1597" s="37"/>
      <c r="C1597" s="37"/>
      <c r="D1597" s="37"/>
      <c r="E1597" s="37"/>
      <c r="F1597" s="45"/>
      <c r="K1597" s="3" t="s">
        <v>803</v>
      </c>
    </row>
    <row r="1598" spans="1:38" ht="18.399999999999999" customHeight="1">
      <c r="A1598" s="41" t="s">
        <v>6232</v>
      </c>
      <c r="B1598" s="37"/>
      <c r="C1598" s="37"/>
      <c r="D1598" s="37"/>
      <c r="E1598" s="37"/>
      <c r="F1598" s="45"/>
      <c r="K1598" s="3" t="s">
        <v>6232</v>
      </c>
    </row>
    <row r="1599" spans="1:38" ht="18.399999999999999" customHeight="1">
      <c r="A1599" s="42" t="str">
        <f>CONCATENATE("                L=",TEXT($AB1599,"#,##0.0"),"   KM")</f>
        <v xml:space="preserve">                L=4.0   KM</v>
      </c>
      <c r="B1599" s="37"/>
      <c r="C1599" s="37"/>
      <c r="D1599" s="37"/>
      <c r="E1599" s="37"/>
      <c r="F1599" s="45"/>
      <c r="K1599" s="10" t="str">
        <f>SUBSTITUTE(SUBSTITUTE("                L = 4.0  _x001D_KM_x001D_","4.0",TEXT($AB1599,"#,##0.0"),1),"_x001D_","'")</f>
        <v xml:space="preserve">                L = 4.0  'KM'</v>
      </c>
      <c r="AA1599" s="39" t="s">
        <v>5842</v>
      </c>
      <c r="AB1599" s="6">
        <v>4</v>
      </c>
      <c r="AC1599" s="39" t="s">
        <v>5842</v>
      </c>
      <c r="AD1599" s="7">
        <f>$AB1599</f>
        <v>4</v>
      </c>
    </row>
    <row r="1600" spans="1:38" ht="18.399999999999999" customHeight="1">
      <c r="A1600" s="41" t="s">
        <v>6214</v>
      </c>
      <c r="B1600" s="37"/>
      <c r="C1600" s="37"/>
      <c r="D1600" s="37"/>
      <c r="E1600" s="37"/>
      <c r="F1600" s="45"/>
      <c r="K1600" s="3" t="s">
        <v>3965</v>
      </c>
    </row>
    <row r="1601" spans="1:38" ht="18.399999999999999" customHeight="1">
      <c r="A1601" s="42" t="str">
        <f>CONCATENATE("                V=",TEXT($AB1601,"#,##0.0"),"  KM/hr")</f>
        <v xml:space="preserve">                V=30.0  KM/hr</v>
      </c>
      <c r="B1601" s="37"/>
      <c r="C1601" s="37"/>
      <c r="D1601" s="37"/>
      <c r="E1601" s="37"/>
      <c r="F1601" s="45"/>
      <c r="K1601" s="10" t="str">
        <f>SUBSTITUTE(SUBSTITUTE("                V = 30.0 _x001D_KM/hr_x001D_","30.0",TEXT($AB1601,"#,##0.0"),1),"_x001D_","'")</f>
        <v xml:space="preserve">                V = 30.0 'KM/hr'</v>
      </c>
      <c r="AA1601" s="39" t="s">
        <v>247</v>
      </c>
      <c r="AB1601" s="6">
        <v>30</v>
      </c>
      <c r="AC1601" s="39" t="s">
        <v>247</v>
      </c>
      <c r="AD1601" s="7">
        <f>$AB1601</f>
        <v>30</v>
      </c>
    </row>
    <row r="1602" spans="1:38" ht="18.399999999999999" customHeight="1">
      <c r="A1602" s="41" t="s">
        <v>6232</v>
      </c>
      <c r="B1602" s="37">
        <f>SUM($C1602,$D1602,$E1602)</f>
        <v>0</v>
      </c>
      <c r="C1602" s="37">
        <f>$AB1602</f>
        <v>0</v>
      </c>
      <c r="D1602" s="37">
        <f>$AF1602</f>
        <v>0</v>
      </c>
      <c r="E1602" s="37">
        <f>$AJ1602</f>
        <v>0</v>
      </c>
      <c r="F1602" s="45"/>
      <c r="K1602" s="3" t="s">
        <v>295</v>
      </c>
      <c r="AA1602" s="40" t="s">
        <v>2660</v>
      </c>
      <c r="AB1602" s="8">
        <f>ROUND(0,2)</f>
        <v>0</v>
      </c>
      <c r="AC1602" s="40" t="s">
        <v>1650</v>
      </c>
      <c r="AD1602" s="7">
        <f>$AB1602</f>
        <v>0</v>
      </c>
      <c r="AE1602" s="40" t="s">
        <v>5305</v>
      </c>
      <c r="AF1602" s="8">
        <f>ROUND(0,2)</f>
        <v>0</v>
      </c>
      <c r="AG1602" s="40" t="s">
        <v>5439</v>
      </c>
      <c r="AH1602" s="7">
        <f>$AF1602</f>
        <v>0</v>
      </c>
      <c r="AI1602" s="40" t="s">
        <v>3519</v>
      </c>
      <c r="AJ1602" s="8">
        <f>ROUND(0,2)</f>
        <v>0</v>
      </c>
      <c r="AK1602" s="40" t="s">
        <v>4149</v>
      </c>
      <c r="AL1602" s="7">
        <f>$AJ1602</f>
        <v>0</v>
      </c>
    </row>
    <row r="1603" spans="1:38" ht="18.399999999999999" customHeight="1">
      <c r="A1603" s="41" t="s">
        <v>3557</v>
      </c>
      <c r="B1603" s="37"/>
      <c r="C1603" s="37"/>
      <c r="D1603" s="37"/>
      <c r="E1603" s="37"/>
      <c r="F1603" s="45"/>
      <c r="K1603" s="3" t="s">
        <v>5146</v>
      </c>
    </row>
    <row r="1604" spans="1:38" ht="18.399999999999999" customHeight="1">
      <c r="A1604" s="41" t="s">
        <v>6232</v>
      </c>
      <c r="B1604" s="37"/>
      <c r="C1604" s="37"/>
      <c r="D1604" s="37"/>
      <c r="E1604" s="37"/>
      <c r="F1604" s="45"/>
      <c r="K1604" s="3" t="s">
        <v>6232</v>
      </c>
    </row>
    <row r="1605" spans="1:38" ht="18.399999999999999" customHeight="1">
      <c r="A1605" s="41" t="s">
        <v>2653</v>
      </c>
      <c r="B1605" s="37"/>
      <c r="C1605" s="37"/>
      <c r="D1605" s="37"/>
      <c r="E1605" s="37"/>
      <c r="F1605" s="45"/>
      <c r="K1605" s="3" t="s">
        <v>2793</v>
      </c>
    </row>
    <row r="1606" spans="1:38" ht="18.399999999999999" customHeight="1">
      <c r="A1606" s="41" t="s">
        <v>52</v>
      </c>
      <c r="B1606" s="37"/>
      <c r="C1606" s="37"/>
      <c r="D1606" s="37"/>
      <c r="E1606" s="37"/>
      <c r="F1606" s="45"/>
      <c r="K1606" s="3" t="s">
        <v>3020</v>
      </c>
    </row>
    <row r="1607" spans="1:38" ht="18.399999999999999" customHeight="1">
      <c r="A1607" s="41" t="s">
        <v>6232</v>
      </c>
      <c r="B1607" s="37"/>
      <c r="C1607" s="37"/>
      <c r="D1607" s="37"/>
      <c r="E1607" s="37"/>
      <c r="F1607" s="45"/>
      <c r="K1607" s="3" t="s">
        <v>6232</v>
      </c>
    </row>
    <row r="1608" spans="1:38" ht="18.399999999999999" customHeight="1">
      <c r="A1608" s="41" t="s">
        <v>3700</v>
      </c>
      <c r="B1608" s="37"/>
      <c r="C1608" s="37"/>
      <c r="D1608" s="37"/>
      <c r="E1608" s="37"/>
      <c r="F1608" s="45"/>
      <c r="K1608" s="3" t="s">
        <v>2773</v>
      </c>
    </row>
    <row r="1609" spans="1:38" ht="18.399999999999999" customHeight="1">
      <c r="A1609" s="41" t="s">
        <v>679</v>
      </c>
      <c r="B1609" s="37"/>
      <c r="C1609" s="37"/>
      <c r="D1609" s="37"/>
      <c r="E1609" s="37"/>
      <c r="F1609" s="45"/>
      <c r="K1609" s="3" t="s">
        <v>1995</v>
      </c>
    </row>
    <row r="1610" spans="1:38" ht="18.399999999999999" customHeight="1">
      <c r="A1610" s="41" t="s">
        <v>5867</v>
      </c>
      <c r="B1610" s="37"/>
      <c r="C1610" s="37"/>
      <c r="D1610" s="37"/>
      <c r="E1610" s="37"/>
      <c r="F1610" s="45"/>
      <c r="K1610" s="3" t="s">
        <v>2096</v>
      </c>
    </row>
    <row r="1611" spans="1:38" ht="18.399999999999999" customHeight="1">
      <c r="A1611" s="41" t="s">
        <v>6232</v>
      </c>
      <c r="B1611" s="37"/>
      <c r="C1611" s="37"/>
      <c r="D1611" s="37"/>
      <c r="E1611" s="37"/>
      <c r="F1611" s="45"/>
      <c r="K1611" s="3" t="s">
        <v>6232</v>
      </c>
    </row>
    <row r="1612" spans="1:38" ht="18.399999999999999" customHeight="1">
      <c r="A1612" s="41" t="s">
        <v>4392</v>
      </c>
      <c r="B1612" s="37"/>
      <c r="C1612" s="37"/>
      <c r="D1612" s="37"/>
      <c r="E1612" s="37"/>
      <c r="F1612" s="45"/>
      <c r="K1612" s="3" t="s">
        <v>561</v>
      </c>
    </row>
    <row r="1613" spans="1:38" ht="18.399999999999999" customHeight="1">
      <c r="A1613" s="41" t="s">
        <v>6232</v>
      </c>
      <c r="B1613" s="37"/>
      <c r="C1613" s="37"/>
      <c r="D1613" s="37"/>
      <c r="E1613" s="37"/>
      <c r="F1613" s="45"/>
      <c r="K1613" s="3" t="s">
        <v>6232</v>
      </c>
    </row>
    <row r="1614" spans="1:38" ht="18.399999999999999" customHeight="1">
      <c r="A1614" s="41" t="s">
        <v>6134</v>
      </c>
      <c r="B1614" s="37"/>
      <c r="C1614" s="37"/>
      <c r="D1614" s="37"/>
      <c r="E1614" s="37"/>
      <c r="F1614" s="45"/>
      <c r="K1614" s="3" t="s">
        <v>4089</v>
      </c>
    </row>
    <row r="1615" spans="1:38" ht="18.399999999999999" customHeight="1">
      <c r="A1615" s="41" t="s">
        <v>6232</v>
      </c>
      <c r="B1615" s="37"/>
      <c r="C1615" s="37"/>
      <c r="D1615" s="37"/>
      <c r="E1615" s="37"/>
      <c r="F1615" s="45"/>
      <c r="K1615" s="3" t="s">
        <v>6232</v>
      </c>
    </row>
    <row r="1616" spans="1:38" ht="18.399999999999999" customHeight="1">
      <c r="A1616" s="41" t="s">
        <v>2299</v>
      </c>
      <c r="B1616" s="37"/>
      <c r="C1616" s="37"/>
      <c r="D1616" s="37"/>
      <c r="E1616" s="37"/>
      <c r="F1616" s="45"/>
      <c r="K1616" s="3" t="s">
        <v>3083</v>
      </c>
    </row>
    <row r="1617" spans="1:34" ht="18.399999999999999" customHeight="1">
      <c r="A1617" s="41" t="s">
        <v>257</v>
      </c>
      <c r="B1617" s="37"/>
      <c r="C1617" s="37"/>
      <c r="D1617" s="37"/>
      <c r="E1617" s="37"/>
      <c r="F1617" s="45"/>
      <c r="K1617" s="3" t="s">
        <v>1264</v>
      </c>
    </row>
    <row r="1618" spans="1:34" ht="18.399999999999999" customHeight="1">
      <c r="A1618" s="41" t="s">
        <v>6232</v>
      </c>
      <c r="B1618" s="37"/>
      <c r="C1618" s="37"/>
      <c r="D1618" s="37"/>
      <c r="E1618" s="37"/>
      <c r="F1618" s="45"/>
      <c r="K1618" s="3" t="s">
        <v>6232</v>
      </c>
    </row>
    <row r="1619" spans="1:34" ht="18.399999999999999" customHeight="1">
      <c r="A1619" s="42" t="str">
        <f>CONCATENATE("   - 1차당 적재량(본)         Q=",TEXT($AB1619,"#,##0.00"),"  본")</f>
        <v xml:space="preserve">   - 1차당 적재량(본)         Q=296.00  본</v>
      </c>
      <c r="B1619" s="37"/>
      <c r="C1619" s="37"/>
      <c r="D1619" s="37"/>
      <c r="E1619" s="37"/>
      <c r="F1619" s="45"/>
      <c r="K1619" s="10" t="str">
        <f>SUBSTITUTE(SUBSTITUTE("  _x001D_- 1차당 적재량(본)_x001D_        Q  =  296 _x001D_본_x001D_","296",TEXT($AB1619,"#,##0"),1),"_x001D_","'")</f>
        <v xml:space="preserve">  '- 1차당 적재량(본)'        Q  =  296 '본'</v>
      </c>
      <c r="AA1619" s="39" t="s">
        <v>4337</v>
      </c>
      <c r="AB1619" s="6">
        <v>296</v>
      </c>
      <c r="AC1619" s="39" t="s">
        <v>4337</v>
      </c>
      <c r="AD1619" s="7">
        <f>$AB1619</f>
        <v>296</v>
      </c>
    </row>
    <row r="1620" spans="1:34" ht="18.399999999999999" customHeight="1">
      <c r="A1620" s="41" t="s">
        <v>6232</v>
      </c>
      <c r="B1620" s="37"/>
      <c r="C1620" s="37"/>
      <c r="D1620" s="37"/>
      <c r="E1620" s="37"/>
      <c r="F1620" s="45"/>
      <c r="K1620" s="3" t="s">
        <v>6232</v>
      </c>
    </row>
    <row r="1621" spans="1:34" ht="18.399999999999999" customHeight="1">
      <c r="A1621" s="42" t="str">
        <f>CONCATENATE("   - 운반차량 대기시간(12M당)    T1=",TEXT($AB1621,"#,##0.00"),"  분")</f>
        <v xml:space="preserve">   - 운반차량 대기시간(12M당)    T1=2.00  분</v>
      </c>
      <c r="B1621" s="37"/>
      <c r="C1621" s="37"/>
      <c r="D1621" s="37"/>
      <c r="E1621" s="37"/>
      <c r="F1621" s="45"/>
      <c r="K1621" s="10" t="str">
        <f>SUBSTITUTE(SUBSTITUTE("  _x001D_- 운반차량 대기시간(12M당)_x001D_   T1 = 2 _x001D_분_x001D_","2",TEXT($AB1621,"#,##0"),1),"_x001D_","'")</f>
        <v xml:space="preserve">  '- 운반차량 대기시간(12M당)'   T1 = 2 '분'</v>
      </c>
      <c r="AA1621" s="39" t="s">
        <v>4528</v>
      </c>
      <c r="AB1621" s="6">
        <v>2</v>
      </c>
      <c r="AC1621" s="39" t="s">
        <v>4528</v>
      </c>
      <c r="AD1621" s="7">
        <f>$AB1621</f>
        <v>2</v>
      </c>
    </row>
    <row r="1622" spans="1:34" ht="18.399999999999999" customHeight="1">
      <c r="A1622" s="41" t="s">
        <v>6232</v>
      </c>
      <c r="B1622" s="37"/>
      <c r="C1622" s="37"/>
      <c r="D1622" s="37"/>
      <c r="E1622" s="37"/>
      <c r="F1622" s="45"/>
      <c r="K1622" s="3" t="s">
        <v>6232</v>
      </c>
    </row>
    <row r="1623" spans="1:34" ht="18.399999999999999" customHeight="1">
      <c r="A1623" s="41" t="s">
        <v>4838</v>
      </c>
      <c r="B1623" s="37"/>
      <c r="C1623" s="37"/>
      <c r="D1623" s="37"/>
      <c r="E1623" s="37"/>
      <c r="F1623" s="45"/>
      <c r="K1623" s="3" t="s">
        <v>6093</v>
      </c>
    </row>
    <row r="1624" spans="1:34" ht="18.399999999999999" customHeight="1">
      <c r="A1624" s="41" t="s">
        <v>6232</v>
      </c>
      <c r="B1624" s="37"/>
      <c r="C1624" s="37"/>
      <c r="D1624" s="37"/>
      <c r="E1624" s="37"/>
      <c r="F1624" s="45"/>
      <c r="K1624" s="3" t="s">
        <v>6232</v>
      </c>
    </row>
    <row r="1625" spans="1:34" ht="18.399999999999999" customHeight="1">
      <c r="A1625" s="42" t="str">
        <f>CONCATENATE("    T2 = (L / V * 2 * 60 + 20) / Q * 2 = ",TEXT($AF1625,"#,##0.00")," 분 ")</f>
        <v xml:space="preserve">    T2 = (L / V * 2 * 60 + 20) / Q * 2 = 0.24 분 </v>
      </c>
      <c r="B1625" s="37">
        <f>SUM($C1625,$D1625,$E1625)</f>
        <v>0</v>
      </c>
      <c r="C1625" s="37"/>
      <c r="D1625" s="37"/>
      <c r="E1625" s="37"/>
      <c r="F1625" s="45"/>
      <c r="K1625" s="3" t="s">
        <v>1389</v>
      </c>
      <c r="AA1625" s="39" t="s">
        <v>5897</v>
      </c>
      <c r="AB1625" s="8">
        <f>ROUND(($AD1599/$AD1601*2*60+20)/$AD1619*2,2)</f>
        <v>0.24</v>
      </c>
      <c r="AC1625" s="39" t="s">
        <v>2053</v>
      </c>
      <c r="AD1625" s="7">
        <f>$AB1625</f>
        <v>0.24</v>
      </c>
      <c r="AE1625" s="39" t="s">
        <v>288</v>
      </c>
      <c r="AF1625" s="8">
        <f>ROUND(ROUND(($AD1599/$AD1601*2*60+20)/$AD1619*2,2),2)</f>
        <v>0.24</v>
      </c>
      <c r="AG1625" s="39" t="s">
        <v>5514</v>
      </c>
      <c r="AH1625" s="7">
        <f>$AF1625</f>
        <v>0.24</v>
      </c>
    </row>
    <row r="1626" spans="1:34" ht="18.399999999999999" customHeight="1">
      <c r="A1626" s="41" t="s">
        <v>6232</v>
      </c>
      <c r="B1626" s="37"/>
      <c r="C1626" s="37"/>
      <c r="D1626" s="37"/>
      <c r="E1626" s="37"/>
      <c r="F1626" s="45"/>
      <c r="K1626" s="3" t="s">
        <v>6232</v>
      </c>
    </row>
    <row r="1627" spans="1:34" ht="18.399999999999999" customHeight="1">
      <c r="A1627" s="41" t="s">
        <v>2391</v>
      </c>
      <c r="B1627" s="37"/>
      <c r="C1627" s="37"/>
      <c r="D1627" s="37"/>
      <c r="E1627" s="37"/>
      <c r="F1627" s="45"/>
      <c r="K1627" s="3" t="s">
        <v>4710</v>
      </c>
    </row>
    <row r="1628" spans="1:34" ht="18.399999999999999" customHeight="1">
      <c r="A1628" s="41" t="s">
        <v>6232</v>
      </c>
      <c r="B1628" s="37"/>
      <c r="C1628" s="37"/>
      <c r="D1628" s="37"/>
      <c r="E1628" s="37"/>
      <c r="F1628" s="45"/>
      <c r="K1628" s="3" t="s">
        <v>6232</v>
      </c>
    </row>
    <row r="1629" spans="1:34" ht="18.399999999999999" customHeight="1">
      <c r="A1629" s="42" t="str">
        <f>CONCATENATE("    CM = T1 + T2 = ",TEXT($AF1629,"#,##0.00")," 분 ")</f>
        <v xml:space="preserve">    CM = T1 + T2 = 2.24 분 </v>
      </c>
      <c r="B1629" s="37">
        <f>SUM($C1629,$D1629,$E1629)</f>
        <v>0</v>
      </c>
      <c r="C1629" s="37"/>
      <c r="D1629" s="37"/>
      <c r="E1629" s="37"/>
      <c r="F1629" s="45"/>
      <c r="K1629" s="3" t="s">
        <v>6049</v>
      </c>
      <c r="AA1629" s="39" t="s">
        <v>5026</v>
      </c>
      <c r="AB1629" s="8">
        <f>ROUND($AD1621+$AD1625,2)</f>
        <v>2.2400000000000002</v>
      </c>
      <c r="AC1629" s="39" t="s">
        <v>289</v>
      </c>
      <c r="AD1629" s="7">
        <f>$AB1629</f>
        <v>2.2400000000000002</v>
      </c>
      <c r="AE1629" s="39" t="s">
        <v>623</v>
      </c>
      <c r="AF1629" s="8">
        <f>ROUND(ROUND($AD1621+$AD1625,2),2)</f>
        <v>2.2400000000000002</v>
      </c>
      <c r="AG1629" s="39" t="s">
        <v>4187</v>
      </c>
      <c r="AH1629" s="7">
        <f>$AF1629</f>
        <v>2.2400000000000002</v>
      </c>
    </row>
    <row r="1630" spans="1:34" ht="18.399999999999999" customHeight="1">
      <c r="A1630" s="41" t="s">
        <v>6232</v>
      </c>
      <c r="B1630" s="37"/>
      <c r="C1630" s="37"/>
      <c r="D1630" s="37"/>
      <c r="E1630" s="37"/>
      <c r="F1630" s="45"/>
      <c r="K1630" s="3" t="s">
        <v>6232</v>
      </c>
    </row>
    <row r="1631" spans="1:34" ht="18.399999999999999" customHeight="1">
      <c r="A1631" s="41" t="s">
        <v>5848</v>
      </c>
      <c r="B1631" s="37"/>
      <c r="C1631" s="37"/>
      <c r="D1631" s="37"/>
      <c r="E1631" s="37"/>
      <c r="F1631" s="45"/>
      <c r="K1631" s="3" t="s">
        <v>788</v>
      </c>
    </row>
    <row r="1632" spans="1:34" ht="18.399999999999999" customHeight="1">
      <c r="A1632" s="41" t="s">
        <v>6232</v>
      </c>
      <c r="B1632" s="37"/>
      <c r="C1632" s="37"/>
      <c r="D1632" s="37"/>
      <c r="E1632" s="37"/>
      <c r="F1632" s="45"/>
      <c r="K1632" s="3" t="s">
        <v>6232</v>
      </c>
    </row>
    <row r="1633" spans="1:34" ht="18.399999999999999" customHeight="1">
      <c r="A1633" s="42" t="str">
        <f>CONCATENATE("    Qo = T2 / CM = ",TEXT($AF1633,"#,##0.00")," 분 ")</f>
        <v xml:space="preserve">    Qo = T2 / CM = 0.11 분 </v>
      </c>
      <c r="B1633" s="37">
        <f>SUM($C1633,$D1633,$E1633)</f>
        <v>0</v>
      </c>
      <c r="C1633" s="37"/>
      <c r="D1633" s="37"/>
      <c r="E1633" s="37"/>
      <c r="F1633" s="45"/>
      <c r="K1633" s="3" t="s">
        <v>882</v>
      </c>
      <c r="AA1633" s="39" t="s">
        <v>1501</v>
      </c>
      <c r="AB1633" s="8">
        <f>ROUND($AD1625/$AD1629,2)</f>
        <v>0.11</v>
      </c>
      <c r="AC1633" s="39" t="s">
        <v>2425</v>
      </c>
      <c r="AD1633" s="7">
        <f>$AB1633</f>
        <v>0.11</v>
      </c>
      <c r="AE1633" s="39" t="s">
        <v>4484</v>
      </c>
      <c r="AF1633" s="8">
        <f>ROUND(ROUND($AD1625/$AD1629,2),2)</f>
        <v>0.11</v>
      </c>
      <c r="AG1633" s="39" t="s">
        <v>946</v>
      </c>
      <c r="AH1633" s="7">
        <f>$AF1633</f>
        <v>0.11</v>
      </c>
    </row>
    <row r="1634" spans="1:34" ht="18.399999999999999" customHeight="1">
      <c r="A1634" s="41" t="s">
        <v>6232</v>
      </c>
      <c r="B1634" s="37"/>
      <c r="C1634" s="37"/>
      <c r="D1634" s="37"/>
      <c r="E1634" s="37"/>
      <c r="F1634" s="45"/>
      <c r="K1634" s="3" t="s">
        <v>6232</v>
      </c>
    </row>
    <row r="1635" spans="1:34" ht="18.399999999999999" customHeight="1">
      <c r="A1635" s="41" t="s">
        <v>78</v>
      </c>
      <c r="B1635" s="37"/>
      <c r="C1635" s="37"/>
      <c r="D1635" s="37"/>
      <c r="E1635" s="37"/>
      <c r="F1635" s="45"/>
      <c r="K1635" s="3" t="s">
        <v>5459</v>
      </c>
    </row>
    <row r="1636" spans="1:34" ht="18.399999999999999" customHeight="1">
      <c r="A1636" s="41" t="s">
        <v>6232</v>
      </c>
      <c r="B1636" s="37"/>
      <c r="C1636" s="37"/>
      <c r="D1636" s="37"/>
      <c r="E1636" s="37"/>
      <c r="F1636" s="45"/>
      <c r="K1636" s="3" t="s">
        <v>6232</v>
      </c>
    </row>
    <row r="1637" spans="1:34" ht="18.399999999999999" customHeight="1">
      <c r="A1637" s="42" t="str">
        <f>CONCATENATE("      보통인부 :  2.0 인  * _x001D_169,804_x001D_ * (CM + 6 ) / 60 / 8 = ",TEXT($AB1637,"#,##0.0"))</f>
        <v xml:space="preserve">      보통인부 :  2.0 인  * _x001D_169,804_x001D_ * (CM + 6 ) / 60 / 8 = 5,907.6</v>
      </c>
      <c r="B1637" s="37">
        <f>SUM($C1637,$D1637,$E1637)</f>
        <v>5907.6</v>
      </c>
      <c r="C1637" s="37"/>
      <c r="D1637" s="37">
        <f>$AB1637</f>
        <v>5907.6</v>
      </c>
      <c r="E1637" s="37"/>
      <c r="F1637" s="45" t="s">
        <v>6232</v>
      </c>
      <c r="K1637" s="3" t="s">
        <v>3933</v>
      </c>
      <c r="AA1637" s="40" t="s">
        <v>5305</v>
      </c>
      <c r="AB1637" s="8">
        <f>TRUNC(2*노임!D3*($AD1629+6)/60/8,1)</f>
        <v>5907.6</v>
      </c>
      <c r="AC1637" s="40" t="s">
        <v>5439</v>
      </c>
      <c r="AD1637" s="7">
        <f>$AH1602+$AB1637</f>
        <v>5907.6</v>
      </c>
    </row>
    <row r="1638" spans="1:34" ht="18.399999999999999" customHeight="1">
      <c r="A1638" s="41" t="s">
        <v>6232</v>
      </c>
      <c r="B1638" s="37"/>
      <c r="C1638" s="37"/>
      <c r="D1638" s="37"/>
      <c r="E1638" s="37"/>
      <c r="F1638" s="45"/>
      <c r="K1638" s="3" t="s">
        <v>6232</v>
      </c>
    </row>
    <row r="1639" spans="1:34" ht="18.399999999999999" customHeight="1">
      <c r="A1639" s="41" t="s">
        <v>1528</v>
      </c>
      <c r="B1639" s="37"/>
      <c r="C1639" s="37"/>
      <c r="D1639" s="37"/>
      <c r="E1639" s="37"/>
      <c r="F1639" s="45"/>
      <c r="K1639" s="3" t="s">
        <v>3746</v>
      </c>
    </row>
    <row r="1640" spans="1:34" ht="18.399999999999999" customHeight="1">
      <c r="A1640" s="41" t="s">
        <v>6232</v>
      </c>
      <c r="B1640" s="37"/>
      <c r="C1640" s="37"/>
      <c r="D1640" s="37"/>
      <c r="E1640" s="37"/>
      <c r="F1640" s="45"/>
      <c r="K1640" s="3" t="s">
        <v>6232</v>
      </c>
    </row>
    <row r="1641" spans="1:34" ht="18.399999999999999" customHeight="1">
      <c r="A1641" s="41" t="s">
        <v>3329</v>
      </c>
      <c r="B1641" s="37"/>
      <c r="C1641" s="37"/>
      <c r="D1641" s="37"/>
      <c r="E1641" s="37"/>
      <c r="F1641" s="45"/>
      <c r="K1641" s="3" t="s">
        <v>3091</v>
      </c>
    </row>
    <row r="1642" spans="1:34" ht="18.399999999999999" customHeight="1">
      <c r="A1642" s="41" t="s">
        <v>6232</v>
      </c>
      <c r="B1642" s="37"/>
      <c r="C1642" s="37"/>
      <c r="D1642" s="37"/>
      <c r="E1642" s="37"/>
      <c r="F1642" s="45"/>
      <c r="K1642" s="3" t="s">
        <v>6232</v>
      </c>
    </row>
    <row r="1643" spans="1:34" ht="18.399999999999999" customHeight="1">
      <c r="A1643" s="42" t="str">
        <f>CONCATENATE("     재료비:  _x001D_8,795_x001D_ * 3 / 60 = ",TEXT($AB1643,"#,##0.0"))</f>
        <v xml:space="preserve">     재료비:  _x001D_8,795_x001D_ * 3 / 60 = 0.0</v>
      </c>
      <c r="B1643" s="37">
        <f>SUM($C1643,$D1643,$E1643)</f>
        <v>0</v>
      </c>
      <c r="C1643" s="37">
        <f>$AB1643</f>
        <v>0</v>
      </c>
      <c r="D1643" s="37"/>
      <c r="E1643" s="37"/>
      <c r="F1643" s="45" t="s">
        <v>6232</v>
      </c>
      <c r="K1643" s="3" t="s">
        <v>5313</v>
      </c>
      <c r="AA1643" s="40" t="s">
        <v>2660</v>
      </c>
      <c r="AB1643" s="8">
        <f>TRUNC(중기사용료목록!E4*3/60,1)</f>
        <v>0</v>
      </c>
      <c r="AC1643" s="40" t="s">
        <v>1650</v>
      </c>
      <c r="AD1643" s="7">
        <f>$AD1602+$AB1643</f>
        <v>0</v>
      </c>
    </row>
    <row r="1644" spans="1:34" ht="18.399999999999999" customHeight="1">
      <c r="A1644" s="41" t="s">
        <v>6232</v>
      </c>
      <c r="B1644" s="37"/>
      <c r="C1644" s="37"/>
      <c r="D1644" s="37"/>
      <c r="E1644" s="37"/>
      <c r="F1644" s="45"/>
      <c r="K1644" s="3" t="s">
        <v>6232</v>
      </c>
    </row>
    <row r="1645" spans="1:34" ht="18.399999999999999" customHeight="1">
      <c r="A1645" s="42" t="str">
        <f>CONCATENATE("     노무비:  _x001D_57,077_x001D_ * 3 / 60 = ",TEXT($AB1645,"#,##0.0"))</f>
        <v xml:space="preserve">     노무비:  _x001D_57,077_x001D_ * 3 / 60 = 0.0</v>
      </c>
      <c r="B1645" s="37">
        <f>SUM($C1645,$D1645,$E1645)</f>
        <v>0</v>
      </c>
      <c r="C1645" s="37"/>
      <c r="D1645" s="37">
        <f>$AB1645</f>
        <v>0</v>
      </c>
      <c r="E1645" s="37"/>
      <c r="F1645" s="45" t="s">
        <v>6232</v>
      </c>
      <c r="K1645" s="3" t="s">
        <v>2504</v>
      </c>
      <c r="AA1645" s="40" t="s">
        <v>5305</v>
      </c>
      <c r="AB1645" s="8">
        <f>TRUNC(중기사용료목록!F4*3/60,1)</f>
        <v>0</v>
      </c>
      <c r="AC1645" s="40" t="s">
        <v>5439</v>
      </c>
      <c r="AD1645" s="7">
        <f>$AD1637+$AB1645</f>
        <v>5907.6</v>
      </c>
    </row>
    <row r="1646" spans="1:34" ht="18.399999999999999" customHeight="1">
      <c r="A1646" s="41" t="s">
        <v>6232</v>
      </c>
      <c r="B1646" s="37"/>
      <c r="C1646" s="37"/>
      <c r="D1646" s="37"/>
      <c r="E1646" s="37"/>
      <c r="F1646" s="45"/>
      <c r="K1646" s="3" t="s">
        <v>6232</v>
      </c>
    </row>
    <row r="1647" spans="1:34" ht="18.399999999999999" customHeight="1">
      <c r="A1647" s="42" t="str">
        <f>CONCATENATE("     경  비:  _x001D_41,995_x001D_ * 3 / 60 = ",TEXT($AB1647,"#,##0.0"))</f>
        <v xml:space="preserve">     경  비:  _x001D_41,995_x001D_ * 3 / 60 = 5,533.9</v>
      </c>
      <c r="B1647" s="37">
        <f>SUM($C1647,$D1647,$E1647)</f>
        <v>5533.9</v>
      </c>
      <c r="C1647" s="37"/>
      <c r="D1647" s="37"/>
      <c r="E1647" s="37">
        <f>$AB1647</f>
        <v>5533.9</v>
      </c>
      <c r="F1647" s="45" t="s">
        <v>6232</v>
      </c>
      <c r="K1647" s="3" t="s">
        <v>1628</v>
      </c>
      <c r="AA1647" s="40" t="s">
        <v>3519</v>
      </c>
      <c r="AB1647" s="8">
        <f>TRUNC(중기사용료목록!G4*3/60,1)</f>
        <v>5533.9</v>
      </c>
      <c r="AC1647" s="40" t="s">
        <v>4149</v>
      </c>
      <c r="AD1647" s="7">
        <f>$AL1602+$AB1647</f>
        <v>5533.9</v>
      </c>
    </row>
    <row r="1648" spans="1:34" ht="18.399999999999999" customHeight="1">
      <c r="A1648" s="41" t="s">
        <v>6232</v>
      </c>
      <c r="B1648" s="37"/>
      <c r="C1648" s="37"/>
      <c r="D1648" s="37"/>
      <c r="E1648" s="37"/>
      <c r="F1648" s="45"/>
      <c r="K1648" s="3" t="s">
        <v>6232</v>
      </c>
    </row>
    <row r="1649" spans="1:38" ht="18.399999999999999" customHeight="1">
      <c r="A1649" s="41" t="s">
        <v>4024</v>
      </c>
      <c r="B1649" s="37"/>
      <c r="C1649" s="37"/>
      <c r="D1649" s="37"/>
      <c r="E1649" s="37"/>
      <c r="F1649" s="45"/>
      <c r="K1649" s="3" t="s">
        <v>4460</v>
      </c>
    </row>
    <row r="1650" spans="1:38" ht="18.399999999999999" customHeight="1">
      <c r="A1650" s="41" t="s">
        <v>6232</v>
      </c>
      <c r="B1650" s="37"/>
      <c r="C1650" s="37"/>
      <c r="D1650" s="37"/>
      <c r="E1650" s="37"/>
      <c r="F1650" s="45"/>
      <c r="K1650" s="3" t="s">
        <v>6232</v>
      </c>
    </row>
    <row r="1651" spans="1:38" ht="18.399999999999999" customHeight="1">
      <c r="A1651" s="42" t="e">
        <f>CONCATENATE("     재료비:  _x001D_17,279_x001D_ * CM / 60 * Qo = ",TEXT($AB1651,"#,##0.0"))</f>
        <v>#REF!</v>
      </c>
      <c r="B1651" s="37" t="e">
        <f>SUM($C1651,$D1651,$E1651)</f>
        <v>#REF!</v>
      </c>
      <c r="C1651" s="37" t="e">
        <f>$AB1651</f>
        <v>#REF!</v>
      </c>
      <c r="D1651" s="37"/>
      <c r="E1651" s="37"/>
      <c r="F1651" s="45" t="s">
        <v>6232</v>
      </c>
      <c r="K1651" s="3" t="s">
        <v>5888</v>
      </c>
      <c r="AA1651" s="40" t="s">
        <v>2660</v>
      </c>
      <c r="AB1651" s="8" t="e">
        <f>TRUNC(중기사용료목록!#REF!*$AD1629/60*$AD1633,1)</f>
        <v>#REF!</v>
      </c>
      <c r="AC1651" s="40" t="s">
        <v>1650</v>
      </c>
      <c r="AD1651" s="7" t="e">
        <f>$AD1643+$AB1651</f>
        <v>#REF!</v>
      </c>
    </row>
    <row r="1652" spans="1:38" ht="18.399999999999999" customHeight="1">
      <c r="A1652" s="41" t="s">
        <v>6232</v>
      </c>
      <c r="B1652" s="37"/>
      <c r="C1652" s="37"/>
      <c r="D1652" s="37"/>
      <c r="E1652" s="37"/>
      <c r="F1652" s="45"/>
      <c r="K1652" s="3" t="s">
        <v>6232</v>
      </c>
    </row>
    <row r="1653" spans="1:38" ht="18.399999999999999" customHeight="1">
      <c r="A1653" s="42" t="e">
        <f>CONCATENATE("     노무비:  _x001D_49,479_x001D_ * CM / 60 = ",TEXT($AB1653,"#,##0.0"))</f>
        <v>#REF!</v>
      </c>
      <c r="B1653" s="37" t="e">
        <f>SUM($C1653,$D1653,$E1653)</f>
        <v>#REF!</v>
      </c>
      <c r="C1653" s="37"/>
      <c r="D1653" s="37" t="e">
        <f>$AB1653</f>
        <v>#REF!</v>
      </c>
      <c r="E1653" s="37"/>
      <c r="F1653" s="45" t="s">
        <v>6232</v>
      </c>
      <c r="K1653" s="3" t="s">
        <v>5243</v>
      </c>
      <c r="AA1653" s="40" t="s">
        <v>5305</v>
      </c>
      <c r="AB1653" s="8" t="e">
        <f>TRUNC(중기사용료목록!#REF!*$AD1629/60,1)</f>
        <v>#REF!</v>
      </c>
      <c r="AC1653" s="40" t="s">
        <v>5439</v>
      </c>
      <c r="AD1653" s="7" t="e">
        <f>$AD1645+$AB1653</f>
        <v>#REF!</v>
      </c>
    </row>
    <row r="1654" spans="1:38" ht="18.399999999999999" customHeight="1">
      <c r="A1654" s="41" t="s">
        <v>6232</v>
      </c>
      <c r="B1654" s="37"/>
      <c r="C1654" s="37"/>
      <c r="D1654" s="37"/>
      <c r="E1654" s="37"/>
      <c r="F1654" s="45"/>
      <c r="K1654" s="3" t="s">
        <v>6232</v>
      </c>
    </row>
    <row r="1655" spans="1:38" ht="18.399999999999999" customHeight="1">
      <c r="A1655" s="42" t="e">
        <f>CONCATENATE("     경  비:  _x001D_10,347_x001D_ * CM / 60 = ",TEXT($AB1655,"#,##0.0"))</f>
        <v>#REF!</v>
      </c>
      <c r="B1655" s="37" t="e">
        <f>SUM($C1655,$D1655,$E1655)</f>
        <v>#REF!</v>
      </c>
      <c r="C1655" s="37"/>
      <c r="D1655" s="37"/>
      <c r="E1655" s="37" t="e">
        <f>$AB1655</f>
        <v>#REF!</v>
      </c>
      <c r="F1655" s="45" t="s">
        <v>6232</v>
      </c>
      <c r="K1655" s="3" t="s">
        <v>4143</v>
      </c>
      <c r="AA1655" s="40" t="s">
        <v>3519</v>
      </c>
      <c r="AB1655" s="8" t="e">
        <f>TRUNC(중기사용료목록!#REF!*$AD1629/60,1)</f>
        <v>#REF!</v>
      </c>
      <c r="AC1655" s="40" t="s">
        <v>4149</v>
      </c>
      <c r="AD1655" s="7" t="e">
        <f>$AD1647+$AB1655</f>
        <v>#REF!</v>
      </c>
    </row>
    <row r="1656" spans="1:38" ht="18.399999999999999" customHeight="1">
      <c r="A1656" s="41" t="s">
        <v>6232</v>
      </c>
      <c r="B1656" s="37"/>
      <c r="C1656" s="37"/>
      <c r="D1656" s="37"/>
      <c r="E1656" s="37"/>
      <c r="F1656" s="45"/>
      <c r="K1656" s="3" t="s">
        <v>6232</v>
      </c>
    </row>
    <row r="1657" spans="1:38" ht="18.399999999999999" customHeight="1">
      <c r="A1657" s="41" t="s">
        <v>4035</v>
      </c>
      <c r="B1657" s="37">
        <v>13527.4</v>
      </c>
      <c r="C1657" s="37">
        <v>510.6</v>
      </c>
      <c r="D1657" s="37">
        <v>10530.9</v>
      </c>
      <c r="E1657" s="37">
        <v>2485.9</v>
      </c>
      <c r="F1657" s="45"/>
      <c r="K1657" s="3" t="s">
        <v>6070</v>
      </c>
    </row>
    <row r="1658" spans="1:38" ht="18.399999999999999" customHeight="1">
      <c r="A1658" s="41" t="s">
        <v>6232</v>
      </c>
      <c r="B1658" s="37">
        <f>SUM($C1658,$D1658,$E1658)</f>
        <v>0</v>
      </c>
      <c r="C1658" s="37">
        <f>$AB1658</f>
        <v>0</v>
      </c>
      <c r="D1658" s="37">
        <f>$AF1658</f>
        <v>0</v>
      </c>
      <c r="E1658" s="37">
        <f>$AJ1658</f>
        <v>0</v>
      </c>
      <c r="F1658" s="45"/>
      <c r="K1658" s="3" t="s">
        <v>5506</v>
      </c>
      <c r="AA1658" s="40" t="s">
        <v>4586</v>
      </c>
      <c r="AB1658" s="8">
        <f>ROUND(0,2)</f>
        <v>0</v>
      </c>
      <c r="AC1658" s="40" t="s">
        <v>4161</v>
      </c>
      <c r="AD1658" s="7">
        <f>$AB1658</f>
        <v>0</v>
      </c>
      <c r="AE1658" s="40" t="s">
        <v>222</v>
      </c>
      <c r="AF1658" s="8">
        <f>ROUND(0,2)</f>
        <v>0</v>
      </c>
      <c r="AG1658" s="40" t="s">
        <v>334</v>
      </c>
      <c r="AH1658" s="7">
        <f>$AF1658</f>
        <v>0</v>
      </c>
      <c r="AI1658" s="40" t="s">
        <v>1574</v>
      </c>
      <c r="AJ1658" s="8">
        <f>ROUND(0,2)</f>
        <v>0</v>
      </c>
      <c r="AK1658" s="40" t="s">
        <v>1622</v>
      </c>
      <c r="AL1658" s="7">
        <f>$AJ1658</f>
        <v>0</v>
      </c>
    </row>
    <row r="1659" spans="1:38" ht="18.399999999999999" customHeight="1">
      <c r="A1659" s="41" t="s">
        <v>2057</v>
      </c>
      <c r="B1659" s="37" t="e">
        <f>SUM($C1659,$D1659,$E1659)</f>
        <v>#REF!</v>
      </c>
      <c r="C1659" s="37" t="e">
        <f>$AB1659</f>
        <v>#REF!</v>
      </c>
      <c r="D1659" s="37" t="e">
        <f>$AF1659</f>
        <v>#REF!</v>
      </c>
      <c r="E1659" s="37" t="e">
        <f>$AJ1659</f>
        <v>#REF!</v>
      </c>
      <c r="F1659" s="45"/>
      <c r="K1659" s="3" t="s">
        <v>4286</v>
      </c>
      <c r="AA1659" s="40" t="s">
        <v>4586</v>
      </c>
      <c r="AB1659" s="8" t="e">
        <f>TRUNC($AD1651/12,1)</f>
        <v>#REF!</v>
      </c>
      <c r="AC1659" s="40" t="s">
        <v>4161</v>
      </c>
      <c r="AD1659" s="7" t="e">
        <f>$AB1659</f>
        <v>#REF!</v>
      </c>
      <c r="AE1659" s="40" t="s">
        <v>222</v>
      </c>
      <c r="AF1659" s="8" t="e">
        <f>TRUNC($AD1653/12,1)</f>
        <v>#REF!</v>
      </c>
      <c r="AG1659" s="40" t="s">
        <v>334</v>
      </c>
      <c r="AH1659" s="7" t="e">
        <f>$AF1659</f>
        <v>#REF!</v>
      </c>
      <c r="AI1659" s="40" t="s">
        <v>1574</v>
      </c>
      <c r="AJ1659" s="8" t="e">
        <f>TRUNC($AD1655/12,1)</f>
        <v>#REF!</v>
      </c>
      <c r="AK1659" s="40" t="s">
        <v>1622</v>
      </c>
      <c r="AL1659" s="7" t="e">
        <f>$AJ1659</f>
        <v>#REF!</v>
      </c>
    </row>
    <row r="1660" spans="1:38" ht="18.399999999999999" customHeight="1">
      <c r="A1660" s="41" t="s">
        <v>6232</v>
      </c>
      <c r="B1660" s="37"/>
      <c r="C1660" s="37"/>
      <c r="D1660" s="37"/>
      <c r="E1660" s="37"/>
      <c r="F1660" s="45"/>
      <c r="K1660" s="3" t="s">
        <v>6232</v>
      </c>
    </row>
    <row r="1661" spans="1:38" ht="18.399999999999999" customHeight="1">
      <c r="A1661" s="41" t="s">
        <v>3436</v>
      </c>
      <c r="B1661" s="37">
        <v>1127.0999999999999</v>
      </c>
      <c r="C1661" s="37">
        <v>42.5</v>
      </c>
      <c r="D1661" s="37">
        <v>877.5</v>
      </c>
      <c r="E1661" s="37">
        <v>207.1</v>
      </c>
      <c r="F1661" s="45"/>
      <c r="K1661" s="3" t="s">
        <v>1342</v>
      </c>
    </row>
    <row r="1662" spans="1:38" ht="18.399999999999999" customHeight="1">
      <c r="A1662" s="41" t="s">
        <v>6232</v>
      </c>
      <c r="B1662" s="37">
        <f>SUM($C1662,$D1662,$E1662)</f>
        <v>0</v>
      </c>
      <c r="C1662" s="37">
        <f>$AB1662</f>
        <v>0</v>
      </c>
      <c r="D1662" s="37">
        <f>$AF1662</f>
        <v>0</v>
      </c>
      <c r="E1662" s="37">
        <f>$AJ1662</f>
        <v>0</v>
      </c>
      <c r="F1662" s="45"/>
      <c r="K1662" s="3" t="s">
        <v>3238</v>
      </c>
      <c r="AA1662" s="40" t="s">
        <v>308</v>
      </c>
      <c r="AB1662" s="8">
        <f>ROUND(0,2)</f>
        <v>0</v>
      </c>
      <c r="AC1662" s="40" t="s">
        <v>5000</v>
      </c>
      <c r="AD1662" s="7">
        <f>$AB1662</f>
        <v>0</v>
      </c>
      <c r="AE1662" s="40" t="s">
        <v>4500</v>
      </c>
      <c r="AF1662" s="8">
        <f>ROUND(0,2)</f>
        <v>0</v>
      </c>
      <c r="AG1662" s="40" t="s">
        <v>2603</v>
      </c>
      <c r="AH1662" s="7">
        <f>$AF1662</f>
        <v>0</v>
      </c>
      <c r="AI1662" s="40" t="s">
        <v>5878</v>
      </c>
      <c r="AJ1662" s="8">
        <f>ROUND(0,2)</f>
        <v>0</v>
      </c>
      <c r="AK1662" s="40" t="s">
        <v>787</v>
      </c>
      <c r="AL1662" s="7">
        <f>$AJ1662</f>
        <v>0</v>
      </c>
    </row>
    <row r="1663" spans="1:38" ht="18.399999999999999" customHeight="1">
      <c r="A1663" s="41" t="s">
        <v>53</v>
      </c>
      <c r="B1663" s="37" t="e">
        <f>SUM($C1663,$D1663,$E1663)</f>
        <v>#REF!</v>
      </c>
      <c r="C1663" s="37" t="e">
        <f>$AB1663</f>
        <v>#REF!</v>
      </c>
      <c r="D1663" s="37" t="e">
        <f>$AF1663</f>
        <v>#REF!</v>
      </c>
      <c r="E1663" s="37" t="e">
        <f>$AJ1663</f>
        <v>#REF!</v>
      </c>
      <c r="F1663" s="45"/>
      <c r="K1663" s="3" t="s">
        <v>2347</v>
      </c>
      <c r="AA1663" s="40" t="s">
        <v>308</v>
      </c>
      <c r="AB1663" s="8" t="e">
        <f>TRUNC($AD1659*1.097,1)</f>
        <v>#REF!</v>
      </c>
      <c r="AC1663" s="40" t="s">
        <v>5000</v>
      </c>
      <c r="AD1663" s="7" t="e">
        <f>$AB1663</f>
        <v>#REF!</v>
      </c>
      <c r="AE1663" s="40" t="s">
        <v>4500</v>
      </c>
      <c r="AF1663" s="8" t="e">
        <f>TRUNC($AH1659*1.097,1)</f>
        <v>#REF!</v>
      </c>
      <c r="AG1663" s="40" t="s">
        <v>2603</v>
      </c>
      <c r="AH1663" s="7" t="e">
        <f>$AF1663</f>
        <v>#REF!</v>
      </c>
      <c r="AI1663" s="40" t="s">
        <v>5878</v>
      </c>
      <c r="AJ1663" s="8" t="e">
        <f>TRUNC($AL1659*1.097,1)</f>
        <v>#REF!</v>
      </c>
      <c r="AK1663" s="40" t="s">
        <v>787</v>
      </c>
      <c r="AL1663" s="7" t="e">
        <f>$AJ1663</f>
        <v>#REF!</v>
      </c>
    </row>
    <row r="1664" spans="1:38" ht="18.399999999999999" customHeight="1">
      <c r="A1664" s="41" t="s">
        <v>6232</v>
      </c>
      <c r="B1664" s="37"/>
      <c r="C1664" s="37"/>
      <c r="D1664" s="37"/>
      <c r="E1664" s="37"/>
      <c r="F1664" s="45"/>
      <c r="K1664" s="3" t="s">
        <v>6232</v>
      </c>
    </row>
    <row r="1665" spans="1:38" ht="18.399999999999999" customHeight="1">
      <c r="A1665" s="41" t="s">
        <v>3436</v>
      </c>
      <c r="B1665" s="37" t="e">
        <f>SUM($C1665,$D1665,$E1665)</f>
        <v>#REF!</v>
      </c>
      <c r="C1665" s="37" t="e">
        <f>$AB1665</f>
        <v>#REF!</v>
      </c>
      <c r="D1665" s="37" t="e">
        <f>$AF1665</f>
        <v>#REF!</v>
      </c>
      <c r="E1665" s="37" t="e">
        <f>$AJ1665</f>
        <v>#REF!</v>
      </c>
      <c r="F1665" s="45"/>
      <c r="K1665" s="3" t="s">
        <v>4527</v>
      </c>
      <c r="AA1665" s="40" t="s">
        <v>4592</v>
      </c>
      <c r="AB1665" s="8" t="e">
        <f>TRUNC($AD1663,1)</f>
        <v>#REF!</v>
      </c>
      <c r="AC1665" s="40" t="s">
        <v>5149</v>
      </c>
      <c r="AD1665" s="7" t="e">
        <f>$AB1665</f>
        <v>#REF!</v>
      </c>
      <c r="AE1665" s="40" t="s">
        <v>666</v>
      </c>
      <c r="AF1665" s="8" t="e">
        <f>TRUNC($AH1663,1)</f>
        <v>#REF!</v>
      </c>
      <c r="AG1665" s="40" t="s">
        <v>2431</v>
      </c>
      <c r="AH1665" s="7" t="e">
        <f>$AF1665</f>
        <v>#REF!</v>
      </c>
      <c r="AI1665" s="40" t="s">
        <v>1930</v>
      </c>
      <c r="AJ1665" s="8" t="e">
        <f>TRUNC($AL1663,1)</f>
        <v>#REF!</v>
      </c>
      <c r="AK1665" s="40" t="s">
        <v>3349</v>
      </c>
      <c r="AL1665" s="7" t="e">
        <f>$AJ1665</f>
        <v>#REF!</v>
      </c>
    </row>
    <row r="1666" spans="1:38" ht="18.399999999999999" customHeight="1">
      <c r="A1666" s="41"/>
      <c r="B1666" s="3"/>
      <c r="C1666" s="3"/>
      <c r="D1666" s="3"/>
      <c r="E1666" s="3"/>
      <c r="F1666" s="44"/>
    </row>
    <row r="1667" spans="1:38" ht="18.399999999999999" customHeight="1">
      <c r="A1667" s="43" t="s">
        <v>3543</v>
      </c>
      <c r="B1667" s="38" t="e">
        <f>SUM($C1667,$D1667,$E1667)</f>
        <v>#REF!</v>
      </c>
      <c r="C1667" s="38" t="e">
        <f>TRUNC(SUM($AD1665),0)</f>
        <v>#REF!</v>
      </c>
      <c r="D1667" s="38" t="e">
        <f>TRUNC(SUM($AH1665),0)</f>
        <v>#REF!</v>
      </c>
      <c r="E1667" s="38" t="e">
        <f>TRUNC(SUM($AL1665),0)</f>
        <v>#REF!</v>
      </c>
      <c r="F1667" s="46"/>
    </row>
    <row r="1668" spans="1:38" ht="18.399999999999999" customHeight="1">
      <c r="A1668" s="41"/>
      <c r="B1668" s="3"/>
      <c r="C1668" s="3"/>
      <c r="D1668" s="3"/>
      <c r="E1668" s="3"/>
      <c r="F1668" s="44"/>
    </row>
    <row r="1669" spans="1:38" ht="18.399999999999999" customHeight="1">
      <c r="A1669" s="41" t="s">
        <v>1019</v>
      </c>
      <c r="B1669" s="36" t="e">
        <f>$B1707</f>
        <v>#REF!</v>
      </c>
      <c r="C1669" s="36" t="e">
        <f>$C1707</f>
        <v>#REF!</v>
      </c>
      <c r="D1669" s="36" t="e">
        <f>$D1707</f>
        <v>#REF!</v>
      </c>
      <c r="E1669" s="36" t="e">
        <f>$E1707</f>
        <v>#REF!</v>
      </c>
      <c r="F1669" s="44" t="s">
        <v>5957</v>
      </c>
      <c r="G1669" t="s">
        <v>6232</v>
      </c>
      <c r="H1669" t="s">
        <v>4233</v>
      </c>
      <c r="K1669">
        <v>1</v>
      </c>
      <c r="Y1669" s="7" t="e">
        <f>EXACT($Z1669,$B1707)</f>
        <v>#REF!</v>
      </c>
      <c r="Z1669" s="38">
        <v>436231</v>
      </c>
    </row>
    <row r="1670" spans="1:38" ht="18.399999999999999" customHeight="1">
      <c r="A1670" s="41"/>
      <c r="B1670" s="3"/>
      <c r="C1670" s="3"/>
      <c r="D1670" s="3"/>
      <c r="E1670" s="3"/>
      <c r="F1670" s="44"/>
    </row>
    <row r="1671" spans="1:38" ht="18.399999999999999" customHeight="1">
      <c r="A1671" s="41" t="s">
        <v>6232</v>
      </c>
      <c r="B1671" s="3"/>
      <c r="C1671" s="3"/>
      <c r="D1671" s="3"/>
      <c r="E1671" s="3"/>
      <c r="F1671" s="44"/>
      <c r="G1671" t="s">
        <v>6232</v>
      </c>
      <c r="I1671" t="s">
        <v>742</v>
      </c>
      <c r="J1671" t="s">
        <v>6232</v>
      </c>
      <c r="K1671" t="s">
        <v>5235</v>
      </c>
    </row>
    <row r="1672" spans="1:38" ht="18.399999999999999" customHeight="1">
      <c r="A1672" s="41" t="s">
        <v>434</v>
      </c>
      <c r="B1672" s="37"/>
      <c r="C1672" s="37"/>
      <c r="D1672" s="37"/>
      <c r="E1672" s="37"/>
      <c r="F1672" s="45"/>
      <c r="K1672" s="3" t="s">
        <v>3706</v>
      </c>
    </row>
    <row r="1673" spans="1:38" ht="18.399999999999999" customHeight="1">
      <c r="A1673" s="41" t="s">
        <v>6232</v>
      </c>
      <c r="B1673" s="37">
        <f>SUM($C1673,$D1673,$E1673)</f>
        <v>0</v>
      </c>
      <c r="C1673" s="37">
        <f>$AB1673</f>
        <v>0</v>
      </c>
      <c r="D1673" s="37">
        <f>$AF1673</f>
        <v>0</v>
      </c>
      <c r="E1673" s="37">
        <f>$AJ1673</f>
        <v>0</v>
      </c>
      <c r="F1673" s="45"/>
      <c r="K1673" s="3" t="s">
        <v>295</v>
      </c>
      <c r="AA1673" s="40" t="s">
        <v>2660</v>
      </c>
      <c r="AB1673" s="8">
        <f>ROUND(0,2)</f>
        <v>0</v>
      </c>
      <c r="AC1673" s="40" t="s">
        <v>1650</v>
      </c>
      <c r="AD1673" s="7">
        <f>$AB1673</f>
        <v>0</v>
      </c>
      <c r="AE1673" s="40" t="s">
        <v>5305</v>
      </c>
      <c r="AF1673" s="8">
        <f>ROUND(0,2)</f>
        <v>0</v>
      </c>
      <c r="AG1673" s="40" t="s">
        <v>5439</v>
      </c>
      <c r="AH1673" s="7">
        <f>$AF1673</f>
        <v>0</v>
      </c>
      <c r="AI1673" s="40" t="s">
        <v>3519</v>
      </c>
      <c r="AJ1673" s="8">
        <f>ROUND(0,2)</f>
        <v>0</v>
      </c>
      <c r="AK1673" s="40" t="s">
        <v>4149</v>
      </c>
      <c r="AL1673" s="7">
        <f>$AJ1673</f>
        <v>0</v>
      </c>
    </row>
    <row r="1674" spans="1:38" ht="18.399999999999999" customHeight="1">
      <c r="A1674" s="41" t="s">
        <v>6232</v>
      </c>
      <c r="B1674" s="37"/>
      <c r="C1674" s="37"/>
      <c r="D1674" s="37"/>
      <c r="E1674" s="37"/>
      <c r="F1674" s="45"/>
      <c r="K1674" s="3" t="s">
        <v>6232</v>
      </c>
    </row>
    <row r="1675" spans="1:38" ht="18.399999999999999" customHeight="1">
      <c r="A1675" s="42" t="str">
        <f>CONCATENATE(" 기계장비작업능력 불량  F=",TEXT($AB1675,"#,##0.0"))</f>
        <v xml:space="preserve"> 기계장비작업능력 불량  F=0.7</v>
      </c>
      <c r="B1675" s="37"/>
      <c r="C1675" s="37"/>
      <c r="D1675" s="37"/>
      <c r="E1675" s="37"/>
      <c r="F1675" s="45"/>
      <c r="K1675" s="10" t="str">
        <f>SUBSTITUTE(SUBSTITUTE("_x001D_기계장비작업능력 불량_x001D_ F=0.7","0.7",TEXT($AB1675,"#,##0.0"),1),"_x001D_","'")</f>
        <v>'기계장비작업능력 불량' F=0.7</v>
      </c>
      <c r="AA1675" s="39" t="s">
        <v>3585</v>
      </c>
      <c r="AB1675" s="6">
        <v>0.7</v>
      </c>
      <c r="AC1675" s="39" t="s">
        <v>3585</v>
      </c>
      <c r="AD1675" s="7">
        <f>$AB1675</f>
        <v>0.7</v>
      </c>
    </row>
    <row r="1676" spans="1:38" ht="18.399999999999999" customHeight="1">
      <c r="A1676" s="41" t="s">
        <v>6232</v>
      </c>
      <c r="B1676" s="37"/>
      <c r="C1676" s="37"/>
      <c r="D1676" s="37"/>
      <c r="E1676" s="37"/>
      <c r="F1676" s="45"/>
      <c r="K1676" s="3" t="s">
        <v>6232</v>
      </c>
    </row>
    <row r="1677" spans="1:38" ht="18.399999999999999" customHeight="1">
      <c r="A1677" s="42" t="str">
        <f>CONCATENATE(" - 노무비율 계산:  K=",TEXT($AB1677,"#,##0.00"))</f>
        <v xml:space="preserve"> - 노무비율 계산:  K=0.24</v>
      </c>
      <c r="B1677" s="37"/>
      <c r="C1677" s="37"/>
      <c r="D1677" s="37"/>
      <c r="E1677" s="37"/>
      <c r="F1677" s="45"/>
      <c r="K1677" s="10" t="str">
        <f>SUBSTITUTE(SUBSTITUTE("_x001D_- 노무비율 계산:_x001D_ K = 0.24","0.24",TEXT($AB1677,"#,##0.00"),1),"_x001D_","'")</f>
        <v>'- 노무비율 계산:' K = 0.24</v>
      </c>
      <c r="AA1677" s="39" t="s">
        <v>1753</v>
      </c>
      <c r="AB1677" s="6">
        <v>0.24</v>
      </c>
      <c r="AC1677" s="39" t="s">
        <v>1753</v>
      </c>
      <c r="AD1677" s="7">
        <f>$AB1677</f>
        <v>0.24</v>
      </c>
    </row>
    <row r="1678" spans="1:38" ht="18.399999999999999" customHeight="1">
      <c r="A1678" s="41" t="s">
        <v>6232</v>
      </c>
      <c r="B1678" s="37"/>
      <c r="C1678" s="37"/>
      <c r="D1678" s="37"/>
      <c r="E1678" s="37"/>
      <c r="F1678" s="45"/>
      <c r="K1678" s="3" t="s">
        <v>6232</v>
      </c>
    </row>
    <row r="1679" spans="1:38" ht="18.399999999999999" customHeight="1">
      <c r="A1679" s="42" t="str">
        <f>CONCATENATE(" 내 선 전 공 :  _x001D_268,915_x001D_ * K / F =",TEXT($AB1679,"#,##0.0"))</f>
        <v xml:space="preserve"> 내 선 전 공 :  _x001D_268,915_x001D_ * K / F =93,831.7</v>
      </c>
      <c r="B1679" s="37">
        <f>SUM($C1679,$D1679,$E1679)</f>
        <v>93831.7</v>
      </c>
      <c r="C1679" s="37">
        <f>$AB1679</f>
        <v>93831.7</v>
      </c>
      <c r="D1679" s="37"/>
      <c r="E1679" s="37"/>
      <c r="F1679" s="45" t="s">
        <v>6232</v>
      </c>
      <c r="K1679" s="3" t="s">
        <v>269</v>
      </c>
      <c r="AA1679" s="40" t="s">
        <v>2660</v>
      </c>
      <c r="AB1679" s="8">
        <f>TRUNC(노임!D13*$AD1677/$AD1675,1)</f>
        <v>93831.7</v>
      </c>
      <c r="AC1679" s="40" t="s">
        <v>1650</v>
      </c>
      <c r="AD1679" s="7">
        <f>$AB1679</f>
        <v>93831.7</v>
      </c>
    </row>
    <row r="1680" spans="1:38" ht="18.399999999999999" customHeight="1">
      <c r="A1680" s="41" t="s">
        <v>6232</v>
      </c>
      <c r="B1680" s="37"/>
      <c r="C1680" s="37"/>
      <c r="D1680" s="37"/>
      <c r="E1680" s="37"/>
      <c r="F1680" s="45"/>
      <c r="K1680" s="3" t="s">
        <v>6232</v>
      </c>
    </row>
    <row r="1681" spans="1:34" ht="18.399999999999999" customHeight="1">
      <c r="A1681" s="42" t="str">
        <f>CONCATENATE(" 보 통 인 부 :  _x001D_169,804_x001D_ * K / F =",TEXT($AB1681,"#,##0.0"))</f>
        <v xml:space="preserve"> 보 통 인 부 :  _x001D_169,804_x001D_ * K / F =58,994.7</v>
      </c>
      <c r="B1681" s="37">
        <f>SUM($C1681,$D1681,$E1681)</f>
        <v>58994.7</v>
      </c>
      <c r="C1681" s="37">
        <f>$AB1681</f>
        <v>58994.7</v>
      </c>
      <c r="D1681" s="37"/>
      <c r="E1681" s="37"/>
      <c r="F1681" s="45" t="s">
        <v>6232</v>
      </c>
      <c r="K1681" s="3" t="s">
        <v>2338</v>
      </c>
      <c r="AA1681" s="40" t="s">
        <v>2660</v>
      </c>
      <c r="AB1681" s="8">
        <f>TRUNC(노임!D3*$AD1677/$AD1675,1)</f>
        <v>58994.7</v>
      </c>
      <c r="AC1681" s="40" t="s">
        <v>1650</v>
      </c>
      <c r="AD1681" s="7">
        <f>$AD1679+$AB1681</f>
        <v>152826.4</v>
      </c>
    </row>
    <row r="1682" spans="1:34" ht="18.399999999999999" customHeight="1">
      <c r="A1682" s="41" t="s">
        <v>6232</v>
      </c>
      <c r="B1682" s="37"/>
      <c r="C1682" s="37"/>
      <c r="D1682" s="37"/>
      <c r="E1682" s="37"/>
      <c r="F1682" s="45"/>
      <c r="K1682" s="3" t="s">
        <v>6232</v>
      </c>
    </row>
    <row r="1683" spans="1:34" ht="18.399999999999999" customHeight="1">
      <c r="A1683" s="41" t="s">
        <v>2262</v>
      </c>
      <c r="B1683" s="37"/>
      <c r="C1683" s="37"/>
      <c r="D1683" s="37"/>
      <c r="E1683" s="37"/>
      <c r="F1683" s="45"/>
      <c r="K1683" s="3" t="s">
        <v>833</v>
      </c>
    </row>
    <row r="1684" spans="1:34" ht="18.399999999999999" customHeight="1">
      <c r="A1684" s="41" t="s">
        <v>6232</v>
      </c>
      <c r="B1684" s="37"/>
      <c r="C1684" s="37"/>
      <c r="D1684" s="37"/>
      <c r="E1684" s="37"/>
      <c r="F1684" s="45"/>
      <c r="K1684" s="3" t="s">
        <v>6232</v>
      </c>
    </row>
    <row r="1685" spans="1:34" ht="18.399999999999999" customHeight="1">
      <c r="A1685" s="42" t="e">
        <f>CONCATENATE(" 재료비:  _x001D_0_x001D_ * 1  대  / F =",TEXT($AB1685,"#,##0.0"))</f>
        <v>#REF!</v>
      </c>
      <c r="B1685" s="37" t="e">
        <f>SUM($C1685,$D1685,$E1685)</f>
        <v>#REF!</v>
      </c>
      <c r="C1685" s="37" t="e">
        <f>$AB1685</f>
        <v>#REF!</v>
      </c>
      <c r="D1685" s="37"/>
      <c r="E1685" s="37"/>
      <c r="F1685" s="45" t="s">
        <v>6232</v>
      </c>
      <c r="K1685" s="3" t="s">
        <v>1538</v>
      </c>
      <c r="AA1685" s="40" t="s">
        <v>2660</v>
      </c>
      <c r="AB1685" s="8" t="e">
        <f>TRUNC(중기사용료목록!#REF!*1/$AD1675,1)</f>
        <v>#REF!</v>
      </c>
      <c r="AC1685" s="40" t="s">
        <v>1650</v>
      </c>
      <c r="AD1685" s="7" t="e">
        <f>$AD1681+$AB1685</f>
        <v>#REF!</v>
      </c>
    </row>
    <row r="1686" spans="1:34" ht="18.399999999999999" customHeight="1">
      <c r="A1686" s="41" t="s">
        <v>6232</v>
      </c>
      <c r="B1686" s="37"/>
      <c r="C1686" s="37"/>
      <c r="D1686" s="37"/>
      <c r="E1686" s="37"/>
      <c r="F1686" s="45"/>
      <c r="K1686" s="3" t="s">
        <v>6232</v>
      </c>
    </row>
    <row r="1687" spans="1:34" ht="18.399999999999999" customHeight="1">
      <c r="A1687" s="42" t="e">
        <f>CONCATENATE(" 노무비:  _x001D_0_x001D_ * 1  대  / F =",TEXT($AB1687,"#,##0.0"))</f>
        <v>#REF!</v>
      </c>
      <c r="B1687" s="37" t="e">
        <f>SUM($C1687,$D1687,$E1687)</f>
        <v>#REF!</v>
      </c>
      <c r="C1687" s="37"/>
      <c r="D1687" s="37" t="e">
        <f>$AB1687</f>
        <v>#REF!</v>
      </c>
      <c r="E1687" s="37"/>
      <c r="F1687" s="45" t="s">
        <v>6232</v>
      </c>
      <c r="K1687" s="3" t="s">
        <v>2069</v>
      </c>
      <c r="AA1687" s="40" t="s">
        <v>5305</v>
      </c>
      <c r="AB1687" s="8" t="e">
        <f>TRUNC(중기사용료목록!#REF!*1/$AD1675,1)</f>
        <v>#REF!</v>
      </c>
      <c r="AC1687" s="40" t="s">
        <v>5439</v>
      </c>
      <c r="AD1687" s="7" t="e">
        <f>$AB1687</f>
        <v>#REF!</v>
      </c>
    </row>
    <row r="1688" spans="1:34" ht="18.399999999999999" customHeight="1">
      <c r="A1688" s="41" t="s">
        <v>6232</v>
      </c>
      <c r="B1688" s="37"/>
      <c r="C1688" s="37"/>
      <c r="D1688" s="37"/>
      <c r="E1688" s="37"/>
      <c r="F1688" s="45"/>
      <c r="K1688" s="3" t="s">
        <v>6232</v>
      </c>
    </row>
    <row r="1689" spans="1:34" ht="18.399999999999999" customHeight="1">
      <c r="A1689" s="42" t="e">
        <f>CONCATENATE(" 경  비:  _x001D_74,417_x001D_ * 1  대  / F =",TEXT($AB1689,"#,##0.0"))</f>
        <v>#REF!</v>
      </c>
      <c r="B1689" s="37" t="e">
        <f>SUM($C1689,$D1689,$E1689)</f>
        <v>#REF!</v>
      </c>
      <c r="C1689" s="37"/>
      <c r="D1689" s="37"/>
      <c r="E1689" s="37" t="e">
        <f>$AB1689</f>
        <v>#REF!</v>
      </c>
      <c r="F1689" s="45" t="s">
        <v>6232</v>
      </c>
      <c r="K1689" s="3" t="s">
        <v>2711</v>
      </c>
      <c r="AA1689" s="40" t="s">
        <v>3519</v>
      </c>
      <c r="AB1689" s="8" t="e">
        <f>TRUNC(중기사용료목록!#REF!*1/$AD1675,1)</f>
        <v>#REF!</v>
      </c>
      <c r="AC1689" s="40" t="s">
        <v>4149</v>
      </c>
      <c r="AD1689" s="7" t="e">
        <f>$AB1689</f>
        <v>#REF!</v>
      </c>
    </row>
    <row r="1690" spans="1:34" ht="18.399999999999999" customHeight="1">
      <c r="A1690" s="41" t="s">
        <v>6232</v>
      </c>
      <c r="B1690" s="37"/>
      <c r="C1690" s="37"/>
      <c r="D1690" s="37"/>
      <c r="E1690" s="37"/>
      <c r="F1690" s="45"/>
      <c r="K1690" s="3" t="s">
        <v>6232</v>
      </c>
    </row>
    <row r="1691" spans="1:34" ht="18.399999999999999" customHeight="1">
      <c r="A1691" s="41" t="s">
        <v>3679</v>
      </c>
      <c r="B1691" s="37"/>
      <c r="C1691" s="37"/>
      <c r="D1691" s="37"/>
      <c r="E1691" s="37"/>
      <c r="F1691" s="45"/>
      <c r="K1691" s="3" t="s">
        <v>5200</v>
      </c>
    </row>
    <row r="1692" spans="1:34" ht="18.399999999999999" customHeight="1">
      <c r="A1692" s="41" t="s">
        <v>6232</v>
      </c>
      <c r="B1692" s="37"/>
      <c r="C1692" s="37"/>
      <c r="D1692" s="37"/>
      <c r="E1692" s="37"/>
      <c r="F1692" s="45"/>
      <c r="K1692" s="3" t="s">
        <v>6232</v>
      </c>
    </row>
    <row r="1693" spans="1:34" ht="18.399999999999999" customHeight="1">
      <c r="A1693" s="42" t="str">
        <f>CONCATENATE(" - 주간노무비율 계산:  K1=",TEXT($AB1693,"#,##0.00"))</f>
        <v xml:space="preserve"> - 주간노무비율 계산:  K1=0.21</v>
      </c>
      <c r="B1693" s="37"/>
      <c r="C1693" s="37"/>
      <c r="D1693" s="37"/>
      <c r="E1693" s="37"/>
      <c r="F1693" s="45"/>
      <c r="K1693" s="10" t="str">
        <f>SUBSTITUTE(SUBSTITUTE("_x001D_- 주간노무비율 계산:_x001D_ K1 = 0.21","0.21",TEXT($AB1693,"#,##0.00"),1),"_x001D_","'")</f>
        <v>'- 주간노무비율 계산:' K1 = 0.21</v>
      </c>
      <c r="AA1693" s="39" t="s">
        <v>5667</v>
      </c>
      <c r="AB1693" s="6">
        <v>0.21</v>
      </c>
      <c r="AC1693" s="39" t="s">
        <v>5667</v>
      </c>
      <c r="AD1693" s="7">
        <f>$AB1693</f>
        <v>0.21</v>
      </c>
    </row>
    <row r="1694" spans="1:34" ht="18.399999999999999" customHeight="1">
      <c r="A1694" s="41" t="s">
        <v>6232</v>
      </c>
      <c r="B1694" s="37"/>
      <c r="C1694" s="37"/>
      <c r="D1694" s="37"/>
      <c r="E1694" s="37"/>
      <c r="F1694" s="45"/>
      <c r="K1694" s="3" t="s">
        <v>6232</v>
      </c>
    </row>
    <row r="1695" spans="1:34" ht="18.399999999999999" customHeight="1">
      <c r="A1695" s="42" t="str">
        <f>CONCATENATE(TEXT($AB1695,"#,##0.00")," / K * K1 * 0.03 =",TEXT($AF1695,"#,##0.0"))</f>
        <v>445,744.00 / K * K1 * 0.03 =11,700.7</v>
      </c>
      <c r="B1695" s="37">
        <f>SUM($C1695,$D1695,$E1695)</f>
        <v>11700.7</v>
      </c>
      <c r="C1695" s="37"/>
      <c r="D1695" s="37"/>
      <c r="E1695" s="37">
        <f>$AF1695</f>
        <v>11700.7</v>
      </c>
      <c r="F1695" s="45"/>
      <c r="K1695" s="3" t="s">
        <v>3287</v>
      </c>
      <c r="AA1695" s="39" t="s">
        <v>6088</v>
      </c>
      <c r="AB1695" s="8">
        <f>(노임!D13+노임!D3)</f>
        <v>445744</v>
      </c>
      <c r="AC1695" s="39" t="s">
        <v>1491</v>
      </c>
      <c r="AD1695" s="7">
        <f>$AB1695</f>
        <v>445744</v>
      </c>
      <c r="AE1695" s="40" t="s">
        <v>3519</v>
      </c>
      <c r="AF1695" s="8">
        <f>TRUNC($AD1695/$AD1677*$AD1693*0.03,1)</f>
        <v>11700.7</v>
      </c>
      <c r="AG1695" s="40" t="s">
        <v>4149</v>
      </c>
      <c r="AH1695" s="7" t="e">
        <f>$AD1689+$AF1695</f>
        <v>#REF!</v>
      </c>
    </row>
    <row r="1696" spans="1:34" ht="18.399999999999999" customHeight="1">
      <c r="A1696" s="41" t="s">
        <v>6232</v>
      </c>
      <c r="B1696" s="37"/>
      <c r="C1696" s="37"/>
      <c r="D1696" s="37"/>
      <c r="E1696" s="37"/>
      <c r="F1696" s="45"/>
      <c r="K1696" s="3" t="s">
        <v>6232</v>
      </c>
    </row>
    <row r="1697" spans="1:38" ht="18.399999999999999" customHeight="1">
      <c r="A1697" s="41" t="s">
        <v>17</v>
      </c>
      <c r="B1697" s="37"/>
      <c r="C1697" s="37"/>
      <c r="D1697" s="37"/>
      <c r="E1697" s="37"/>
      <c r="F1697" s="45"/>
      <c r="K1697" s="3" t="s">
        <v>6198</v>
      </c>
    </row>
    <row r="1698" spans="1:38" ht="18.399999999999999" customHeight="1">
      <c r="A1698" s="41" t="s">
        <v>6232</v>
      </c>
      <c r="B1698" s="37"/>
      <c r="C1698" s="37"/>
      <c r="D1698" s="37"/>
      <c r="E1698" s="37"/>
      <c r="F1698" s="45"/>
      <c r="K1698" s="3" t="s">
        <v>6232</v>
      </c>
    </row>
    <row r="1699" spans="1:38" ht="18.399999999999999" customHeight="1">
      <c r="A1699" s="42" t="e">
        <f>CONCATENATE(" 재료비:  _x001D_63,941_x001D_ * 1.0 / F =",TEXT($AB1699,"#,##0.0"))</f>
        <v>#REF!</v>
      </c>
      <c r="B1699" s="37" t="e">
        <f>SUM($C1699,$D1699,$E1699)</f>
        <v>#REF!</v>
      </c>
      <c r="C1699" s="37" t="e">
        <f>$AB1699</f>
        <v>#REF!</v>
      </c>
      <c r="D1699" s="37"/>
      <c r="E1699" s="37"/>
      <c r="F1699" s="45" t="s">
        <v>6232</v>
      </c>
      <c r="K1699" s="3" t="s">
        <v>4005</v>
      </c>
      <c r="AA1699" s="40" t="s">
        <v>2660</v>
      </c>
      <c r="AB1699" s="8" t="e">
        <f>TRUNC(중기사용료목록!#REF!*1/$AD1675,1)</f>
        <v>#REF!</v>
      </c>
      <c r="AC1699" s="40" t="s">
        <v>1650</v>
      </c>
      <c r="AD1699" s="7" t="e">
        <f>$AD1685+$AB1699</f>
        <v>#REF!</v>
      </c>
    </row>
    <row r="1700" spans="1:38" ht="18.399999999999999" customHeight="1">
      <c r="A1700" s="41" t="s">
        <v>6232</v>
      </c>
      <c r="B1700" s="37"/>
      <c r="C1700" s="37"/>
      <c r="D1700" s="37"/>
      <c r="E1700" s="37"/>
      <c r="F1700" s="45"/>
      <c r="K1700" s="3" t="s">
        <v>6232</v>
      </c>
    </row>
    <row r="1701" spans="1:38" ht="18.399999999999999" customHeight="1">
      <c r="A1701" s="42" t="e">
        <f>CONCATENATE(" 노무비:  _x001D_35,608_x001D_ * 1.0 / F * 1.167 =",TEXT($AB1701,"#,##0.0"))</f>
        <v>#REF!</v>
      </c>
      <c r="B1701" s="37" t="e">
        <f>SUM($C1701,$D1701,$E1701)</f>
        <v>#REF!</v>
      </c>
      <c r="C1701" s="37"/>
      <c r="D1701" s="37" t="e">
        <f>$AB1701</f>
        <v>#REF!</v>
      </c>
      <c r="E1701" s="37"/>
      <c r="F1701" s="45" t="s">
        <v>6232</v>
      </c>
      <c r="K1701" s="3" t="s">
        <v>2901</v>
      </c>
      <c r="AA1701" s="40" t="s">
        <v>5305</v>
      </c>
      <c r="AB1701" s="8" t="e">
        <f>TRUNC(중기사용료목록!#REF!*1/$AD1675*1.167,1)</f>
        <v>#REF!</v>
      </c>
      <c r="AC1701" s="40" t="s">
        <v>5439</v>
      </c>
      <c r="AD1701" s="7" t="e">
        <f>$AD1687+$AB1701</f>
        <v>#REF!</v>
      </c>
    </row>
    <row r="1702" spans="1:38" ht="18.399999999999999" customHeight="1">
      <c r="A1702" s="41" t="s">
        <v>6232</v>
      </c>
      <c r="B1702" s="37"/>
      <c r="C1702" s="37"/>
      <c r="D1702" s="37"/>
      <c r="E1702" s="37"/>
      <c r="F1702" s="45"/>
      <c r="K1702" s="3" t="s">
        <v>6232</v>
      </c>
    </row>
    <row r="1703" spans="1:38" ht="18.399999999999999" customHeight="1">
      <c r="A1703" s="42" t="e">
        <f>CONCATENATE(" 경  비:  _x001D_12,096_x001D_ * 1.0 / F =",TEXT($AB1703,"#,##0.0"))</f>
        <v>#REF!</v>
      </c>
      <c r="B1703" s="37" t="e">
        <f>SUM($C1703,$D1703,$E1703)</f>
        <v>#REF!</v>
      </c>
      <c r="C1703" s="37"/>
      <c r="D1703" s="37"/>
      <c r="E1703" s="37" t="e">
        <f>$AB1703</f>
        <v>#REF!</v>
      </c>
      <c r="F1703" s="45" t="s">
        <v>6232</v>
      </c>
      <c r="K1703" s="3" t="s">
        <v>2187</v>
      </c>
      <c r="AA1703" s="40" t="s">
        <v>3519</v>
      </c>
      <c r="AB1703" s="8" t="e">
        <f>TRUNC(중기사용료목록!#REF!*1/$AD1675,1)</f>
        <v>#REF!</v>
      </c>
      <c r="AC1703" s="40" t="s">
        <v>4149</v>
      </c>
      <c r="AD1703" s="7" t="e">
        <f>$AH1695+$AB1703</f>
        <v>#REF!</v>
      </c>
    </row>
    <row r="1704" spans="1:38" ht="18.399999999999999" customHeight="1">
      <c r="A1704" s="41" t="s">
        <v>6232</v>
      </c>
      <c r="B1704" s="37"/>
      <c r="C1704" s="37"/>
      <c r="D1704" s="37"/>
      <c r="E1704" s="37"/>
      <c r="F1704" s="45"/>
      <c r="K1704" s="3" t="s">
        <v>6232</v>
      </c>
    </row>
    <row r="1705" spans="1:38" ht="18.399999999999999" customHeight="1">
      <c r="A1705" s="41" t="s">
        <v>3436</v>
      </c>
      <c r="B1705" s="37" t="e">
        <f>SUM($C1705,$D1705,$E1705)</f>
        <v>#REF!</v>
      </c>
      <c r="C1705" s="37" t="e">
        <f>$AB1705</f>
        <v>#REF!</v>
      </c>
      <c r="D1705" s="37" t="e">
        <f>$AF1705</f>
        <v>#REF!</v>
      </c>
      <c r="E1705" s="37" t="e">
        <f>$AJ1705</f>
        <v>#REF!</v>
      </c>
      <c r="F1705" s="45"/>
      <c r="K1705" s="3" t="s">
        <v>5884</v>
      </c>
      <c r="AA1705" s="40" t="s">
        <v>4592</v>
      </c>
      <c r="AB1705" s="8" t="e">
        <f>TRUNC($AD1699,1)</f>
        <v>#REF!</v>
      </c>
      <c r="AC1705" s="40" t="s">
        <v>5149</v>
      </c>
      <c r="AD1705" s="7" t="e">
        <f>$AB1705</f>
        <v>#REF!</v>
      </c>
      <c r="AE1705" s="40" t="s">
        <v>666</v>
      </c>
      <c r="AF1705" s="8" t="e">
        <f>TRUNC($AD1701,1)</f>
        <v>#REF!</v>
      </c>
      <c r="AG1705" s="40" t="s">
        <v>2431</v>
      </c>
      <c r="AH1705" s="7" t="e">
        <f>$AF1705</f>
        <v>#REF!</v>
      </c>
      <c r="AI1705" s="40" t="s">
        <v>1930</v>
      </c>
      <c r="AJ1705" s="8" t="e">
        <f>TRUNC($AD1703,1)</f>
        <v>#REF!</v>
      </c>
      <c r="AK1705" s="40" t="s">
        <v>3349</v>
      </c>
      <c r="AL1705" s="7" t="e">
        <f>$AJ1705</f>
        <v>#REF!</v>
      </c>
    </row>
    <row r="1706" spans="1:38" ht="18.399999999999999" customHeight="1">
      <c r="A1706" s="41"/>
      <c r="B1706" s="3"/>
      <c r="C1706" s="3"/>
      <c r="D1706" s="3"/>
      <c r="E1706" s="3"/>
      <c r="F1706" s="44"/>
    </row>
    <row r="1707" spans="1:38" ht="18.399999999999999" customHeight="1">
      <c r="A1707" s="43" t="s">
        <v>3543</v>
      </c>
      <c r="B1707" s="38" t="e">
        <f>SUM($C1707,$D1707,$E1707)</f>
        <v>#REF!</v>
      </c>
      <c r="C1707" s="38" t="e">
        <f>TRUNC(SUM($AD1705),0)</f>
        <v>#REF!</v>
      </c>
      <c r="D1707" s="38" t="e">
        <f>TRUNC(SUM($AH1705),0)</f>
        <v>#REF!</v>
      </c>
      <c r="E1707" s="38" t="e">
        <f>TRUNC(SUM($AL1705),0)</f>
        <v>#REF!</v>
      </c>
      <c r="F1707" s="46"/>
    </row>
    <row r="1708" spans="1:38" ht="18.399999999999999" customHeight="1">
      <c r="A1708" s="41"/>
      <c r="B1708" s="3"/>
      <c r="C1708" s="3"/>
      <c r="D1708" s="3"/>
      <c r="E1708" s="3"/>
      <c r="F1708" s="44"/>
    </row>
    <row r="1709" spans="1:38" ht="18.399999999999999" customHeight="1">
      <c r="A1709" s="41" t="s">
        <v>957</v>
      </c>
      <c r="B1709" s="36" t="e">
        <f>$B1747</f>
        <v>#REF!</v>
      </c>
      <c r="C1709" s="36" t="e">
        <f>$C1747</f>
        <v>#REF!</v>
      </c>
      <c r="D1709" s="36" t="e">
        <f>$D1747</f>
        <v>#REF!</v>
      </c>
      <c r="E1709" s="36" t="e">
        <f>$E1747</f>
        <v>#REF!</v>
      </c>
      <c r="F1709" s="44" t="s">
        <v>5957</v>
      </c>
      <c r="G1709" t="s">
        <v>6232</v>
      </c>
      <c r="H1709" t="s">
        <v>1038</v>
      </c>
      <c r="K1709">
        <v>1</v>
      </c>
      <c r="Y1709" s="7" t="e">
        <f>EXACT($Z1709,$B1747)</f>
        <v>#REF!</v>
      </c>
      <c r="Z1709" s="38">
        <v>468124</v>
      </c>
    </row>
    <row r="1710" spans="1:38" ht="18.399999999999999" customHeight="1">
      <c r="A1710" s="41"/>
      <c r="B1710" s="3"/>
      <c r="C1710" s="3"/>
      <c r="D1710" s="3"/>
      <c r="E1710" s="3"/>
      <c r="F1710" s="44"/>
    </row>
    <row r="1711" spans="1:38" ht="18.399999999999999" customHeight="1">
      <c r="A1711" s="41" t="s">
        <v>6232</v>
      </c>
      <c r="B1711" s="3"/>
      <c r="C1711" s="3"/>
      <c r="D1711" s="3"/>
      <c r="E1711" s="3"/>
      <c r="F1711" s="44"/>
      <c r="G1711" t="s">
        <v>6232</v>
      </c>
      <c r="I1711" t="s">
        <v>742</v>
      </c>
      <c r="J1711" t="s">
        <v>6232</v>
      </c>
      <c r="K1711" t="s">
        <v>5235</v>
      </c>
    </row>
    <row r="1712" spans="1:38" ht="18.399999999999999" customHeight="1">
      <c r="A1712" s="41" t="s">
        <v>2353</v>
      </c>
      <c r="B1712" s="37"/>
      <c r="C1712" s="37"/>
      <c r="D1712" s="37"/>
      <c r="E1712" s="37"/>
      <c r="F1712" s="45"/>
      <c r="K1712" s="3" t="s">
        <v>5463</v>
      </c>
    </row>
    <row r="1713" spans="1:38" ht="18.399999999999999" customHeight="1">
      <c r="A1713" s="41" t="s">
        <v>6232</v>
      </c>
      <c r="B1713" s="37">
        <f>SUM($C1713,$D1713,$E1713)</f>
        <v>0</v>
      </c>
      <c r="C1713" s="37">
        <f>$AB1713</f>
        <v>0</v>
      </c>
      <c r="D1713" s="37">
        <f>$AF1713</f>
        <v>0</v>
      </c>
      <c r="E1713" s="37">
        <f>$AJ1713</f>
        <v>0</v>
      </c>
      <c r="F1713" s="45"/>
      <c r="K1713" s="3" t="s">
        <v>295</v>
      </c>
      <c r="AA1713" s="40" t="s">
        <v>2660</v>
      </c>
      <c r="AB1713" s="8">
        <f>ROUND(0,2)</f>
        <v>0</v>
      </c>
      <c r="AC1713" s="40" t="s">
        <v>1650</v>
      </c>
      <c r="AD1713" s="7">
        <f>$AB1713</f>
        <v>0</v>
      </c>
      <c r="AE1713" s="40" t="s">
        <v>5305</v>
      </c>
      <c r="AF1713" s="8">
        <f>ROUND(0,2)</f>
        <v>0</v>
      </c>
      <c r="AG1713" s="40" t="s">
        <v>5439</v>
      </c>
      <c r="AH1713" s="7">
        <f>$AF1713</f>
        <v>0</v>
      </c>
      <c r="AI1713" s="40" t="s">
        <v>3519</v>
      </c>
      <c r="AJ1713" s="8">
        <f>ROUND(0,2)</f>
        <v>0</v>
      </c>
      <c r="AK1713" s="40" t="s">
        <v>4149</v>
      </c>
      <c r="AL1713" s="7">
        <f>$AJ1713</f>
        <v>0</v>
      </c>
    </row>
    <row r="1714" spans="1:38" ht="18.399999999999999" customHeight="1">
      <c r="A1714" s="41" t="s">
        <v>6232</v>
      </c>
      <c r="B1714" s="37"/>
      <c r="C1714" s="37"/>
      <c r="D1714" s="37"/>
      <c r="E1714" s="37"/>
      <c r="F1714" s="45"/>
      <c r="K1714" s="3" t="s">
        <v>6232</v>
      </c>
    </row>
    <row r="1715" spans="1:38" ht="18.399999999999999" customHeight="1">
      <c r="A1715" s="42" t="str">
        <f>CONCATENATE(" 기계장비작업능력 불량  F=",TEXT($AB1715,"#,##0.0"))</f>
        <v xml:space="preserve"> 기계장비작업능력 불량  F=0.7</v>
      </c>
      <c r="B1715" s="37"/>
      <c r="C1715" s="37"/>
      <c r="D1715" s="37"/>
      <c r="E1715" s="37"/>
      <c r="F1715" s="45"/>
      <c r="K1715" s="10" t="str">
        <f>SUBSTITUTE(SUBSTITUTE("_x001D_기계장비작업능력 불량_x001D_ F=0.7","0.7",TEXT($AB1715,"#,##0.0"),1),"_x001D_","'")</f>
        <v>'기계장비작업능력 불량' F=0.7</v>
      </c>
      <c r="AA1715" s="39" t="s">
        <v>3585</v>
      </c>
      <c r="AB1715" s="6">
        <v>0.7</v>
      </c>
      <c r="AC1715" s="39" t="s">
        <v>3585</v>
      </c>
      <c r="AD1715" s="7">
        <f>$AB1715</f>
        <v>0.7</v>
      </c>
    </row>
    <row r="1716" spans="1:38" ht="18.399999999999999" customHeight="1">
      <c r="A1716" s="41" t="s">
        <v>6232</v>
      </c>
      <c r="B1716" s="37"/>
      <c r="C1716" s="37"/>
      <c r="D1716" s="37"/>
      <c r="E1716" s="37"/>
      <c r="F1716" s="45"/>
      <c r="K1716" s="3" t="s">
        <v>6232</v>
      </c>
    </row>
    <row r="1717" spans="1:38" ht="18.399999999999999" customHeight="1">
      <c r="A1717" s="42" t="str">
        <f>CONCATENATE(" - 노무비율 계산:  K=",TEXT($AB1717,"#,##0.00"))</f>
        <v xml:space="preserve"> - 노무비율 계산:  K=0.24</v>
      </c>
      <c r="B1717" s="37"/>
      <c r="C1717" s="37"/>
      <c r="D1717" s="37"/>
      <c r="E1717" s="37"/>
      <c r="F1717" s="45"/>
      <c r="K1717" s="10" t="str">
        <f>SUBSTITUTE(SUBSTITUTE("_x001D_- 노무비율 계산:_x001D_ K = 0.24","0.24",TEXT($AB1717,"#,##0.00"),1),"_x001D_","'")</f>
        <v>'- 노무비율 계산:' K = 0.24</v>
      </c>
      <c r="AA1717" s="39" t="s">
        <v>1753</v>
      </c>
      <c r="AB1717" s="6">
        <v>0.24</v>
      </c>
      <c r="AC1717" s="39" t="s">
        <v>1753</v>
      </c>
      <c r="AD1717" s="7">
        <f>$AB1717</f>
        <v>0.24</v>
      </c>
    </row>
    <row r="1718" spans="1:38" ht="18.399999999999999" customHeight="1">
      <c r="A1718" s="41" t="s">
        <v>6232</v>
      </c>
      <c r="B1718" s="37"/>
      <c r="C1718" s="37"/>
      <c r="D1718" s="37"/>
      <c r="E1718" s="37"/>
      <c r="F1718" s="45"/>
      <c r="K1718" s="3" t="s">
        <v>6232</v>
      </c>
    </row>
    <row r="1719" spans="1:38" ht="18.399999999999999" customHeight="1">
      <c r="A1719" s="42" t="str">
        <f>CONCATENATE(" 내 선 전 공 :  _x001D_268,915_x001D_ * K / F =",TEXT($AB1719,"#,##0.0"))</f>
        <v xml:space="preserve"> 내 선 전 공 :  _x001D_268,915_x001D_ * K / F =93,831.7</v>
      </c>
      <c r="B1719" s="37">
        <f>SUM($C1719,$D1719,$E1719)</f>
        <v>93831.7</v>
      </c>
      <c r="C1719" s="37">
        <f>$AB1719</f>
        <v>93831.7</v>
      </c>
      <c r="D1719" s="37"/>
      <c r="E1719" s="37"/>
      <c r="F1719" s="45" t="s">
        <v>6232</v>
      </c>
      <c r="K1719" s="3" t="s">
        <v>269</v>
      </c>
      <c r="AA1719" s="40" t="s">
        <v>2660</v>
      </c>
      <c r="AB1719" s="8">
        <f>TRUNC(노임!D13*$AD1717/$AD1715,1)</f>
        <v>93831.7</v>
      </c>
      <c r="AC1719" s="40" t="s">
        <v>1650</v>
      </c>
      <c r="AD1719" s="7">
        <f>$AB1719</f>
        <v>93831.7</v>
      </c>
    </row>
    <row r="1720" spans="1:38" ht="18.399999999999999" customHeight="1">
      <c r="A1720" s="41" t="s">
        <v>6232</v>
      </c>
      <c r="B1720" s="37"/>
      <c r="C1720" s="37"/>
      <c r="D1720" s="37"/>
      <c r="E1720" s="37"/>
      <c r="F1720" s="45"/>
      <c r="K1720" s="3" t="s">
        <v>6232</v>
      </c>
    </row>
    <row r="1721" spans="1:38" ht="18.399999999999999" customHeight="1">
      <c r="A1721" s="42" t="str">
        <f>CONCATENATE(" 보 통 인 부 :  _x001D_169,804_x001D_ * K / F =",TEXT($AB1721,"#,##0.0"))</f>
        <v xml:space="preserve"> 보 통 인 부 :  _x001D_169,804_x001D_ * K / F =58,994.7</v>
      </c>
      <c r="B1721" s="37">
        <f>SUM($C1721,$D1721,$E1721)</f>
        <v>58994.7</v>
      </c>
      <c r="C1721" s="37">
        <f>$AB1721</f>
        <v>58994.7</v>
      </c>
      <c r="D1721" s="37"/>
      <c r="E1721" s="37"/>
      <c r="F1721" s="45" t="s">
        <v>6232</v>
      </c>
      <c r="K1721" s="3" t="s">
        <v>2338</v>
      </c>
      <c r="AA1721" s="40" t="s">
        <v>2660</v>
      </c>
      <c r="AB1721" s="8">
        <f>TRUNC(노임!D3*$AD1717/$AD1715,1)</f>
        <v>58994.7</v>
      </c>
      <c r="AC1721" s="40" t="s">
        <v>1650</v>
      </c>
      <c r="AD1721" s="7">
        <f>$AD1719+$AB1721</f>
        <v>152826.4</v>
      </c>
    </row>
    <row r="1722" spans="1:38" ht="18.399999999999999" customHeight="1">
      <c r="A1722" s="41" t="s">
        <v>6232</v>
      </c>
      <c r="B1722" s="37"/>
      <c r="C1722" s="37"/>
      <c r="D1722" s="37"/>
      <c r="E1722" s="37"/>
      <c r="F1722" s="45"/>
      <c r="K1722" s="3" t="s">
        <v>6232</v>
      </c>
    </row>
    <row r="1723" spans="1:38" ht="18.399999999999999" customHeight="1">
      <c r="A1723" s="41" t="s">
        <v>2262</v>
      </c>
      <c r="B1723" s="37"/>
      <c r="C1723" s="37"/>
      <c r="D1723" s="37"/>
      <c r="E1723" s="37"/>
      <c r="F1723" s="45"/>
      <c r="K1723" s="3" t="s">
        <v>833</v>
      </c>
    </row>
    <row r="1724" spans="1:38" ht="18.399999999999999" customHeight="1">
      <c r="A1724" s="41" t="s">
        <v>6232</v>
      </c>
      <c r="B1724" s="37"/>
      <c r="C1724" s="37"/>
      <c r="D1724" s="37"/>
      <c r="E1724" s="37"/>
      <c r="F1724" s="45"/>
      <c r="K1724" s="3" t="s">
        <v>6232</v>
      </c>
    </row>
    <row r="1725" spans="1:38" ht="18.399999999999999" customHeight="1">
      <c r="A1725" s="42" t="e">
        <f>CONCATENATE(" 재료비:  _x001D_0_x001D_ * 1.3  대  / F =",TEXT($AB1725,"#,##0.0"))</f>
        <v>#REF!</v>
      </c>
      <c r="B1725" s="37" t="e">
        <f>SUM($C1725,$D1725,$E1725)</f>
        <v>#REF!</v>
      </c>
      <c r="C1725" s="37" t="e">
        <f>$AB1725</f>
        <v>#REF!</v>
      </c>
      <c r="D1725" s="37"/>
      <c r="E1725" s="37"/>
      <c r="F1725" s="45" t="s">
        <v>6232</v>
      </c>
      <c r="K1725" s="3" t="s">
        <v>5724</v>
      </c>
      <c r="AA1725" s="40" t="s">
        <v>2660</v>
      </c>
      <c r="AB1725" s="8" t="e">
        <f>TRUNC(중기사용료목록!#REF!*1.3/$AD1715,1)</f>
        <v>#REF!</v>
      </c>
      <c r="AC1725" s="40" t="s">
        <v>1650</v>
      </c>
      <c r="AD1725" s="7" t="e">
        <f>$AD1721+$AB1725</f>
        <v>#REF!</v>
      </c>
    </row>
    <row r="1726" spans="1:38" ht="18.399999999999999" customHeight="1">
      <c r="A1726" s="41" t="s">
        <v>6232</v>
      </c>
      <c r="B1726" s="37"/>
      <c r="C1726" s="37"/>
      <c r="D1726" s="37"/>
      <c r="E1726" s="37"/>
      <c r="F1726" s="45"/>
      <c r="K1726" s="3" t="s">
        <v>6232</v>
      </c>
    </row>
    <row r="1727" spans="1:38" ht="18.399999999999999" customHeight="1">
      <c r="A1727" s="42" t="e">
        <f>CONCATENATE(" 노무비:  _x001D_0_x001D_ * 1.3  대  / F =",TEXT($AB1727,"#,##0.0"))</f>
        <v>#REF!</v>
      </c>
      <c r="B1727" s="37" t="e">
        <f>SUM($C1727,$D1727,$E1727)</f>
        <v>#REF!</v>
      </c>
      <c r="C1727" s="37"/>
      <c r="D1727" s="37" t="e">
        <f>$AB1727</f>
        <v>#REF!</v>
      </c>
      <c r="E1727" s="37"/>
      <c r="F1727" s="45" t="s">
        <v>6232</v>
      </c>
      <c r="K1727" s="3" t="s">
        <v>3161</v>
      </c>
      <c r="AA1727" s="40" t="s">
        <v>5305</v>
      </c>
      <c r="AB1727" s="8" t="e">
        <f>TRUNC(중기사용료목록!#REF!*1.3/$AD1715,1)</f>
        <v>#REF!</v>
      </c>
      <c r="AC1727" s="40" t="s">
        <v>5439</v>
      </c>
      <c r="AD1727" s="7" t="e">
        <f>$AB1727</f>
        <v>#REF!</v>
      </c>
    </row>
    <row r="1728" spans="1:38" ht="18.399999999999999" customHeight="1">
      <c r="A1728" s="41" t="s">
        <v>6232</v>
      </c>
      <c r="B1728" s="37"/>
      <c r="C1728" s="37"/>
      <c r="D1728" s="37"/>
      <c r="E1728" s="37"/>
      <c r="F1728" s="45"/>
      <c r="K1728" s="3" t="s">
        <v>6232</v>
      </c>
    </row>
    <row r="1729" spans="1:34" ht="18.399999999999999" customHeight="1">
      <c r="A1729" s="42" t="e">
        <f>CONCATENATE(" 경  비:  _x001D_74,417_x001D_ * 1.3  대  / F =",TEXT($AB1729,"#,##0.0"))</f>
        <v>#REF!</v>
      </c>
      <c r="B1729" s="37" t="e">
        <f>SUM($C1729,$D1729,$E1729)</f>
        <v>#REF!</v>
      </c>
      <c r="C1729" s="37"/>
      <c r="D1729" s="37"/>
      <c r="E1729" s="37" t="e">
        <f>$AB1729</f>
        <v>#REF!</v>
      </c>
      <c r="F1729" s="45" t="s">
        <v>6232</v>
      </c>
      <c r="K1729" s="3" t="s">
        <v>1302</v>
      </c>
      <c r="AA1729" s="40" t="s">
        <v>3519</v>
      </c>
      <c r="AB1729" s="8" t="e">
        <f>TRUNC(중기사용료목록!#REF!*1.3/$AD1715,1)</f>
        <v>#REF!</v>
      </c>
      <c r="AC1729" s="40" t="s">
        <v>4149</v>
      </c>
      <c r="AD1729" s="7" t="e">
        <f>$AB1729</f>
        <v>#REF!</v>
      </c>
    </row>
    <row r="1730" spans="1:34" ht="18.399999999999999" customHeight="1">
      <c r="A1730" s="41" t="s">
        <v>6232</v>
      </c>
      <c r="B1730" s="37"/>
      <c r="C1730" s="37"/>
      <c r="D1730" s="37"/>
      <c r="E1730" s="37"/>
      <c r="F1730" s="45"/>
      <c r="K1730" s="3" t="s">
        <v>6232</v>
      </c>
    </row>
    <row r="1731" spans="1:34" ht="18.399999999999999" customHeight="1">
      <c r="A1731" s="41" t="s">
        <v>3679</v>
      </c>
      <c r="B1731" s="37"/>
      <c r="C1731" s="37"/>
      <c r="D1731" s="37"/>
      <c r="E1731" s="37"/>
      <c r="F1731" s="45"/>
      <c r="K1731" s="3" t="s">
        <v>5200</v>
      </c>
    </row>
    <row r="1732" spans="1:34" ht="18.399999999999999" customHeight="1">
      <c r="A1732" s="41" t="s">
        <v>6232</v>
      </c>
      <c r="B1732" s="37"/>
      <c r="C1732" s="37"/>
      <c r="D1732" s="37"/>
      <c r="E1732" s="37"/>
      <c r="F1732" s="45"/>
      <c r="K1732" s="3" t="s">
        <v>6232</v>
      </c>
    </row>
    <row r="1733" spans="1:34" ht="18.399999999999999" customHeight="1">
      <c r="A1733" s="42" t="str">
        <f>CONCATENATE(" - 주간노무비율 계산:  K1=",TEXT($AB1733,"#,##0.00"))</f>
        <v xml:space="preserve"> - 주간노무비율 계산:  K1=0.21</v>
      </c>
      <c r="B1733" s="37"/>
      <c r="C1733" s="37"/>
      <c r="D1733" s="37"/>
      <c r="E1733" s="37"/>
      <c r="F1733" s="45"/>
      <c r="K1733" s="10" t="str">
        <f>SUBSTITUTE(SUBSTITUTE("_x001D_- 주간노무비율 계산:_x001D_ K1 = 0.21","0.21",TEXT($AB1733,"#,##0.00"),1),"_x001D_","'")</f>
        <v>'- 주간노무비율 계산:' K1 = 0.21</v>
      </c>
      <c r="AA1733" s="39" t="s">
        <v>5667</v>
      </c>
      <c r="AB1733" s="6">
        <v>0.21</v>
      </c>
      <c r="AC1733" s="39" t="s">
        <v>5667</v>
      </c>
      <c r="AD1733" s="7">
        <f>$AB1733</f>
        <v>0.21</v>
      </c>
    </row>
    <row r="1734" spans="1:34" ht="18.399999999999999" customHeight="1">
      <c r="A1734" s="41" t="s">
        <v>6232</v>
      </c>
      <c r="B1734" s="37"/>
      <c r="C1734" s="37"/>
      <c r="D1734" s="37"/>
      <c r="E1734" s="37"/>
      <c r="F1734" s="45"/>
      <c r="K1734" s="3" t="s">
        <v>6232</v>
      </c>
    </row>
    <row r="1735" spans="1:34" ht="18.399999999999999" customHeight="1">
      <c r="A1735" s="42" t="str">
        <f>CONCATENATE(TEXT($AB1735,"#,##0.00")," / K * K1 * 0.03 =",TEXT($AF1735,"#,##0.0"))</f>
        <v>445,744.00 / K * K1 * 0.03 =11,700.7</v>
      </c>
      <c r="B1735" s="37">
        <f>SUM($C1735,$D1735,$E1735)</f>
        <v>11700.7</v>
      </c>
      <c r="C1735" s="37"/>
      <c r="D1735" s="37"/>
      <c r="E1735" s="37">
        <f>$AF1735</f>
        <v>11700.7</v>
      </c>
      <c r="F1735" s="45"/>
      <c r="K1735" s="3" t="s">
        <v>3287</v>
      </c>
      <c r="AA1735" s="39" t="s">
        <v>5920</v>
      </c>
      <c r="AB1735" s="8">
        <f>(노임!D13+노임!D3)</f>
        <v>445744</v>
      </c>
      <c r="AC1735" s="39" t="s">
        <v>3827</v>
      </c>
      <c r="AD1735" s="7">
        <f>$AB1735</f>
        <v>445744</v>
      </c>
      <c r="AE1735" s="40" t="s">
        <v>3519</v>
      </c>
      <c r="AF1735" s="8">
        <f>TRUNC($AD1735/$AD1717*$AD1733*0.03,1)</f>
        <v>11700.7</v>
      </c>
      <c r="AG1735" s="40" t="s">
        <v>4149</v>
      </c>
      <c r="AH1735" s="7" t="e">
        <f>$AD1729+$AF1735</f>
        <v>#REF!</v>
      </c>
    </row>
    <row r="1736" spans="1:34" ht="18.399999999999999" customHeight="1">
      <c r="A1736" s="41" t="s">
        <v>6232</v>
      </c>
      <c r="B1736" s="37"/>
      <c r="C1736" s="37"/>
      <c r="D1736" s="37"/>
      <c r="E1736" s="37"/>
      <c r="F1736" s="45"/>
      <c r="K1736" s="3" t="s">
        <v>6232</v>
      </c>
    </row>
    <row r="1737" spans="1:34" ht="18.399999999999999" customHeight="1">
      <c r="A1737" s="41" t="s">
        <v>17</v>
      </c>
      <c r="B1737" s="37"/>
      <c r="C1737" s="37"/>
      <c r="D1737" s="37"/>
      <c r="E1737" s="37"/>
      <c r="F1737" s="45"/>
      <c r="K1737" s="3" t="s">
        <v>6198</v>
      </c>
    </row>
    <row r="1738" spans="1:34" ht="18.399999999999999" customHeight="1">
      <c r="A1738" s="41" t="s">
        <v>6232</v>
      </c>
      <c r="B1738" s="37"/>
      <c r="C1738" s="37"/>
      <c r="D1738" s="37"/>
      <c r="E1738" s="37"/>
      <c r="F1738" s="45"/>
      <c r="K1738" s="3" t="s">
        <v>6232</v>
      </c>
    </row>
    <row r="1739" spans="1:34" ht="18.399999999999999" customHeight="1">
      <c r="A1739" s="42" t="e">
        <f>CONCATENATE(" 재료비:  _x001D_63,941_x001D_ * 1.0 / F =",TEXT($AB1739,"#,##0.0"))</f>
        <v>#REF!</v>
      </c>
      <c r="B1739" s="37" t="e">
        <f>SUM($C1739,$D1739,$E1739)</f>
        <v>#REF!</v>
      </c>
      <c r="C1739" s="37" t="e">
        <f>$AB1739</f>
        <v>#REF!</v>
      </c>
      <c r="D1739" s="37"/>
      <c r="E1739" s="37"/>
      <c r="F1739" s="45" t="s">
        <v>6232</v>
      </c>
      <c r="K1739" s="3" t="s">
        <v>4005</v>
      </c>
      <c r="AA1739" s="40" t="s">
        <v>2660</v>
      </c>
      <c r="AB1739" s="8" t="e">
        <f>TRUNC(중기사용료목록!#REF!*1/$AD1715,1)</f>
        <v>#REF!</v>
      </c>
      <c r="AC1739" s="40" t="s">
        <v>1650</v>
      </c>
      <c r="AD1739" s="7" t="e">
        <f>$AD1725+$AB1739</f>
        <v>#REF!</v>
      </c>
    </row>
    <row r="1740" spans="1:34" ht="18.399999999999999" customHeight="1">
      <c r="A1740" s="41" t="s">
        <v>6232</v>
      </c>
      <c r="B1740" s="37"/>
      <c r="C1740" s="37"/>
      <c r="D1740" s="37"/>
      <c r="E1740" s="37"/>
      <c r="F1740" s="45"/>
      <c r="K1740" s="3" t="s">
        <v>6232</v>
      </c>
    </row>
    <row r="1741" spans="1:34" ht="18.399999999999999" customHeight="1">
      <c r="A1741" s="42" t="e">
        <f>CONCATENATE(" 노무비:  _x001D_35,608_x001D_ * 1.0 / F * 1.167 =",TEXT($AB1741,"#,##0.0"))</f>
        <v>#REF!</v>
      </c>
      <c r="B1741" s="37" t="e">
        <f>SUM($C1741,$D1741,$E1741)</f>
        <v>#REF!</v>
      </c>
      <c r="C1741" s="37"/>
      <c r="D1741" s="37" t="e">
        <f>$AB1741</f>
        <v>#REF!</v>
      </c>
      <c r="E1741" s="37"/>
      <c r="F1741" s="45" t="s">
        <v>6232</v>
      </c>
      <c r="K1741" s="3" t="s">
        <v>2901</v>
      </c>
      <c r="AA1741" s="40" t="s">
        <v>5305</v>
      </c>
      <c r="AB1741" s="8" t="e">
        <f>TRUNC(중기사용료목록!#REF!*1/$AD1715*1.167,1)</f>
        <v>#REF!</v>
      </c>
      <c r="AC1741" s="40" t="s">
        <v>5439</v>
      </c>
      <c r="AD1741" s="7" t="e">
        <f>$AD1727+$AB1741</f>
        <v>#REF!</v>
      </c>
    </row>
    <row r="1742" spans="1:34" ht="18.399999999999999" customHeight="1">
      <c r="A1742" s="41" t="s">
        <v>6232</v>
      </c>
      <c r="B1742" s="37"/>
      <c r="C1742" s="37"/>
      <c r="D1742" s="37"/>
      <c r="E1742" s="37"/>
      <c r="F1742" s="45"/>
      <c r="K1742" s="3" t="s">
        <v>6232</v>
      </c>
    </row>
    <row r="1743" spans="1:34" ht="18.399999999999999" customHeight="1">
      <c r="A1743" s="42" t="e">
        <f>CONCATENATE(" 경  비:  _x001D_12,096_x001D_ * 1.0 / F =",TEXT($AB1743,"#,##0.0"))</f>
        <v>#REF!</v>
      </c>
      <c r="B1743" s="37" t="e">
        <f>SUM($C1743,$D1743,$E1743)</f>
        <v>#REF!</v>
      </c>
      <c r="C1743" s="37"/>
      <c r="D1743" s="37"/>
      <c r="E1743" s="37" t="e">
        <f>$AB1743</f>
        <v>#REF!</v>
      </c>
      <c r="F1743" s="45" t="s">
        <v>6232</v>
      </c>
      <c r="K1743" s="3" t="s">
        <v>2187</v>
      </c>
      <c r="AA1743" s="40" t="s">
        <v>3519</v>
      </c>
      <c r="AB1743" s="8" t="e">
        <f>TRUNC(중기사용료목록!#REF!*1/$AD1715,1)</f>
        <v>#REF!</v>
      </c>
      <c r="AC1743" s="40" t="s">
        <v>4149</v>
      </c>
      <c r="AD1743" s="7" t="e">
        <f>$AH1735+$AB1743</f>
        <v>#REF!</v>
      </c>
    </row>
    <row r="1744" spans="1:34" ht="18.399999999999999" customHeight="1">
      <c r="A1744" s="41" t="s">
        <v>6232</v>
      </c>
      <c r="B1744" s="37"/>
      <c r="C1744" s="37"/>
      <c r="D1744" s="37"/>
      <c r="E1744" s="37"/>
      <c r="F1744" s="45"/>
      <c r="K1744" s="3" t="s">
        <v>6232</v>
      </c>
    </row>
    <row r="1745" spans="1:38" ht="18.399999999999999" customHeight="1">
      <c r="A1745" s="41" t="s">
        <v>3436</v>
      </c>
      <c r="B1745" s="37" t="e">
        <f>SUM($C1745,$D1745,$E1745)</f>
        <v>#REF!</v>
      </c>
      <c r="C1745" s="37" t="e">
        <f>$AB1745</f>
        <v>#REF!</v>
      </c>
      <c r="D1745" s="37" t="e">
        <f>$AF1745</f>
        <v>#REF!</v>
      </c>
      <c r="E1745" s="37" t="e">
        <f>$AJ1745</f>
        <v>#REF!</v>
      </c>
      <c r="F1745" s="45"/>
      <c r="K1745" s="3" t="s">
        <v>5884</v>
      </c>
      <c r="AA1745" s="40" t="s">
        <v>4592</v>
      </c>
      <c r="AB1745" s="8" t="e">
        <f>TRUNC($AD1739,1)</f>
        <v>#REF!</v>
      </c>
      <c r="AC1745" s="40" t="s">
        <v>5149</v>
      </c>
      <c r="AD1745" s="7" t="e">
        <f>$AB1745</f>
        <v>#REF!</v>
      </c>
      <c r="AE1745" s="40" t="s">
        <v>666</v>
      </c>
      <c r="AF1745" s="8" t="e">
        <f>TRUNC($AD1741,1)</f>
        <v>#REF!</v>
      </c>
      <c r="AG1745" s="40" t="s">
        <v>2431</v>
      </c>
      <c r="AH1745" s="7" t="e">
        <f>$AF1745</f>
        <v>#REF!</v>
      </c>
      <c r="AI1745" s="40" t="s">
        <v>1930</v>
      </c>
      <c r="AJ1745" s="8" t="e">
        <f>TRUNC($AD1743,1)</f>
        <v>#REF!</v>
      </c>
      <c r="AK1745" s="40" t="s">
        <v>3349</v>
      </c>
      <c r="AL1745" s="7" t="e">
        <f>$AJ1745</f>
        <v>#REF!</v>
      </c>
    </row>
    <row r="1746" spans="1:38" ht="18.399999999999999" customHeight="1">
      <c r="A1746" s="41"/>
      <c r="B1746" s="3"/>
      <c r="C1746" s="3"/>
      <c r="D1746" s="3"/>
      <c r="E1746" s="3"/>
      <c r="F1746" s="44"/>
    </row>
    <row r="1747" spans="1:38" ht="18.399999999999999" customHeight="1">
      <c r="A1747" s="43" t="s">
        <v>3543</v>
      </c>
      <c r="B1747" s="38" t="e">
        <f>SUM($C1747,$D1747,$E1747)</f>
        <v>#REF!</v>
      </c>
      <c r="C1747" s="38" t="e">
        <f>TRUNC(SUM($AD1745),0)</f>
        <v>#REF!</v>
      </c>
      <c r="D1747" s="38" t="e">
        <f>TRUNC(SUM($AH1745),0)</f>
        <v>#REF!</v>
      </c>
      <c r="E1747" s="38" t="e">
        <f>TRUNC(SUM($AL1745),0)</f>
        <v>#REF!</v>
      </c>
      <c r="F1747" s="46"/>
    </row>
    <row r="1748" spans="1:38" ht="18.399999999999999" customHeight="1">
      <c r="A1748" s="41"/>
      <c r="B1748" s="3"/>
      <c r="C1748" s="3"/>
      <c r="D1748" s="3"/>
      <c r="E1748" s="3"/>
      <c r="F1748" s="44"/>
    </row>
    <row r="1749" spans="1:38" ht="18.399999999999999" customHeight="1">
      <c r="A1749" s="41" t="s">
        <v>5436</v>
      </c>
      <c r="B1749" s="36" t="e">
        <f>$B1787</f>
        <v>#REF!</v>
      </c>
      <c r="C1749" s="36" t="e">
        <f>$C1787</f>
        <v>#REF!</v>
      </c>
      <c r="D1749" s="36" t="e">
        <f>$D1787</f>
        <v>#REF!</v>
      </c>
      <c r="E1749" s="36" t="e">
        <f>$E1787</f>
        <v>#REF!</v>
      </c>
      <c r="F1749" s="44" t="s">
        <v>5957</v>
      </c>
      <c r="G1749" t="s">
        <v>6232</v>
      </c>
      <c r="H1749" t="s">
        <v>2754</v>
      </c>
      <c r="K1749">
        <v>1</v>
      </c>
      <c r="Y1749" s="7" t="e">
        <f>EXACT($Z1749,$B1787)</f>
        <v>#REF!</v>
      </c>
      <c r="Z1749" s="38">
        <v>542541</v>
      </c>
    </row>
    <row r="1750" spans="1:38" ht="18.399999999999999" customHeight="1">
      <c r="A1750" s="41"/>
      <c r="B1750" s="3"/>
      <c r="C1750" s="3"/>
      <c r="D1750" s="3"/>
      <c r="E1750" s="3"/>
      <c r="F1750" s="44"/>
    </row>
    <row r="1751" spans="1:38" ht="18.399999999999999" customHeight="1">
      <c r="A1751" s="41" t="s">
        <v>6232</v>
      </c>
      <c r="B1751" s="3"/>
      <c r="C1751" s="3"/>
      <c r="D1751" s="3"/>
      <c r="E1751" s="3"/>
      <c r="F1751" s="44"/>
      <c r="G1751" t="s">
        <v>6232</v>
      </c>
      <c r="I1751" t="s">
        <v>742</v>
      </c>
      <c r="J1751" t="s">
        <v>6232</v>
      </c>
      <c r="K1751" t="s">
        <v>5235</v>
      </c>
    </row>
    <row r="1752" spans="1:38" ht="18.399999999999999" customHeight="1">
      <c r="A1752" s="41" t="s">
        <v>3033</v>
      </c>
      <c r="B1752" s="37"/>
      <c r="C1752" s="37"/>
      <c r="D1752" s="37"/>
      <c r="E1752" s="37"/>
      <c r="F1752" s="45"/>
      <c r="K1752" s="3" t="s">
        <v>1671</v>
      </c>
    </row>
    <row r="1753" spans="1:38" ht="18.399999999999999" customHeight="1">
      <c r="A1753" s="41" t="s">
        <v>6232</v>
      </c>
      <c r="B1753" s="37">
        <f>SUM($C1753,$D1753,$E1753)</f>
        <v>0</v>
      </c>
      <c r="C1753" s="37">
        <f>$AB1753</f>
        <v>0</v>
      </c>
      <c r="D1753" s="37">
        <f>$AF1753</f>
        <v>0</v>
      </c>
      <c r="E1753" s="37">
        <f>$AJ1753</f>
        <v>0</v>
      </c>
      <c r="F1753" s="45"/>
      <c r="K1753" s="3" t="s">
        <v>295</v>
      </c>
      <c r="AA1753" s="40" t="s">
        <v>2660</v>
      </c>
      <c r="AB1753" s="8">
        <f>ROUND(0,2)</f>
        <v>0</v>
      </c>
      <c r="AC1753" s="40" t="s">
        <v>1650</v>
      </c>
      <c r="AD1753" s="7">
        <f>$AB1753</f>
        <v>0</v>
      </c>
      <c r="AE1753" s="40" t="s">
        <v>5305</v>
      </c>
      <c r="AF1753" s="8">
        <f>ROUND(0,2)</f>
        <v>0</v>
      </c>
      <c r="AG1753" s="40" t="s">
        <v>5439</v>
      </c>
      <c r="AH1753" s="7">
        <f>$AF1753</f>
        <v>0</v>
      </c>
      <c r="AI1753" s="40" t="s">
        <v>3519</v>
      </c>
      <c r="AJ1753" s="8">
        <f>ROUND(0,2)</f>
        <v>0</v>
      </c>
      <c r="AK1753" s="40" t="s">
        <v>4149</v>
      </c>
      <c r="AL1753" s="7">
        <f>$AJ1753</f>
        <v>0</v>
      </c>
    </row>
    <row r="1754" spans="1:38" ht="18.399999999999999" customHeight="1">
      <c r="A1754" s="41" t="s">
        <v>6232</v>
      </c>
      <c r="B1754" s="37"/>
      <c r="C1754" s="37"/>
      <c r="D1754" s="37"/>
      <c r="E1754" s="37"/>
      <c r="F1754" s="45"/>
      <c r="K1754" s="3" t="s">
        <v>6232</v>
      </c>
    </row>
    <row r="1755" spans="1:38" ht="18.399999999999999" customHeight="1">
      <c r="A1755" s="42" t="str">
        <f>CONCATENATE(" 기계장비작업능력 보통  F=",TEXT($AB1755,"#,##0.0"))</f>
        <v xml:space="preserve"> 기계장비작업능력 보통  F=0.7</v>
      </c>
      <c r="B1755" s="37"/>
      <c r="C1755" s="37"/>
      <c r="D1755" s="37"/>
      <c r="E1755" s="37"/>
      <c r="F1755" s="45"/>
      <c r="K1755" s="10" t="str">
        <f>SUBSTITUTE(SUBSTITUTE("_x001D_기계장비작업능력 보통_x001D_ F=0.7","0.7",TEXT($AB1755,"#,##0.0"),1),"_x001D_","'")</f>
        <v>'기계장비작업능력 보통' F=0.7</v>
      </c>
      <c r="AA1755" s="39" t="s">
        <v>3585</v>
      </c>
      <c r="AB1755" s="6">
        <v>0.7</v>
      </c>
      <c r="AC1755" s="39" t="s">
        <v>3585</v>
      </c>
      <c r="AD1755" s="7">
        <f>$AB1755</f>
        <v>0.7</v>
      </c>
    </row>
    <row r="1756" spans="1:38" ht="18.399999999999999" customHeight="1">
      <c r="A1756" s="41" t="s">
        <v>6232</v>
      </c>
      <c r="B1756" s="37"/>
      <c r="C1756" s="37"/>
      <c r="D1756" s="37"/>
      <c r="E1756" s="37"/>
      <c r="F1756" s="45"/>
      <c r="K1756" s="3" t="s">
        <v>6232</v>
      </c>
    </row>
    <row r="1757" spans="1:38" ht="18.399999999999999" customHeight="1">
      <c r="A1757" s="42" t="str">
        <f>CONCATENATE(" - 노무비율 계산:  K=",TEXT($AB1757,"#,##0.00"))</f>
        <v xml:space="preserve"> - 노무비율 계산:  K=0.24</v>
      </c>
      <c r="B1757" s="37"/>
      <c r="C1757" s="37"/>
      <c r="D1757" s="37"/>
      <c r="E1757" s="37"/>
      <c r="F1757" s="45"/>
      <c r="K1757" s="10" t="str">
        <f>SUBSTITUTE(SUBSTITUTE("_x001D_- 노무비율 계산:_x001D_ K = 0.24","0.24",TEXT($AB1757,"#,##0.00"),1),"_x001D_","'")</f>
        <v>'- 노무비율 계산:' K = 0.24</v>
      </c>
      <c r="AA1757" s="39" t="s">
        <v>1753</v>
      </c>
      <c r="AB1757" s="6">
        <v>0.24</v>
      </c>
      <c r="AC1757" s="39" t="s">
        <v>1753</v>
      </c>
      <c r="AD1757" s="7">
        <f>$AB1757</f>
        <v>0.24</v>
      </c>
    </row>
    <row r="1758" spans="1:38" ht="18.399999999999999" customHeight="1">
      <c r="A1758" s="41" t="s">
        <v>6232</v>
      </c>
      <c r="B1758" s="37"/>
      <c r="C1758" s="37"/>
      <c r="D1758" s="37"/>
      <c r="E1758" s="37"/>
      <c r="F1758" s="45"/>
      <c r="K1758" s="3" t="s">
        <v>6232</v>
      </c>
    </row>
    <row r="1759" spans="1:38" ht="18.399999999999999" customHeight="1">
      <c r="A1759" s="42" t="str">
        <f>CONCATENATE(" 내 선 전 공 :  _x001D_268,915_x001D_ * K / F =",TEXT($AB1759,"#,##0.0"))</f>
        <v xml:space="preserve"> 내 선 전 공 :  _x001D_268,915_x001D_ * K / F =93,831.7</v>
      </c>
      <c r="B1759" s="37">
        <f>SUM($C1759,$D1759,$E1759)</f>
        <v>93831.7</v>
      </c>
      <c r="C1759" s="37">
        <f>$AB1759</f>
        <v>93831.7</v>
      </c>
      <c r="D1759" s="37"/>
      <c r="E1759" s="37"/>
      <c r="F1759" s="45" t="s">
        <v>6232</v>
      </c>
      <c r="K1759" s="3" t="s">
        <v>269</v>
      </c>
      <c r="AA1759" s="40" t="s">
        <v>2660</v>
      </c>
      <c r="AB1759" s="8">
        <f>TRUNC(노임!D13*$AD1757/$AD1755,1)</f>
        <v>93831.7</v>
      </c>
      <c r="AC1759" s="40" t="s">
        <v>1650</v>
      </c>
      <c r="AD1759" s="7">
        <f>$AB1759</f>
        <v>93831.7</v>
      </c>
    </row>
    <row r="1760" spans="1:38" ht="18.399999999999999" customHeight="1">
      <c r="A1760" s="41" t="s">
        <v>6232</v>
      </c>
      <c r="B1760" s="37"/>
      <c r="C1760" s="37"/>
      <c r="D1760" s="37"/>
      <c r="E1760" s="37"/>
      <c r="F1760" s="45"/>
      <c r="K1760" s="3" t="s">
        <v>6232</v>
      </c>
    </row>
    <row r="1761" spans="1:34" ht="18.399999999999999" customHeight="1">
      <c r="A1761" s="42" t="str">
        <f>CONCATENATE(" 보 통 인 부 :  _x001D_169,804_x001D_ * K / F =",TEXT($AB1761,"#,##0.0"))</f>
        <v xml:space="preserve"> 보 통 인 부 :  _x001D_169,804_x001D_ * K / F =58,994.7</v>
      </c>
      <c r="B1761" s="37">
        <f>SUM($C1761,$D1761,$E1761)</f>
        <v>58994.7</v>
      </c>
      <c r="C1761" s="37">
        <f>$AB1761</f>
        <v>58994.7</v>
      </c>
      <c r="D1761" s="37"/>
      <c r="E1761" s="37"/>
      <c r="F1761" s="45" t="s">
        <v>6232</v>
      </c>
      <c r="K1761" s="3" t="s">
        <v>2338</v>
      </c>
      <c r="AA1761" s="40" t="s">
        <v>2660</v>
      </c>
      <c r="AB1761" s="8">
        <f>TRUNC(노임!D3*$AD1757/$AD1755,1)</f>
        <v>58994.7</v>
      </c>
      <c r="AC1761" s="40" t="s">
        <v>1650</v>
      </c>
      <c r="AD1761" s="7">
        <f>$AD1759+$AB1761</f>
        <v>152826.4</v>
      </c>
    </row>
    <row r="1762" spans="1:34" ht="18.399999999999999" customHeight="1">
      <c r="A1762" s="41" t="s">
        <v>6232</v>
      </c>
      <c r="B1762" s="37"/>
      <c r="C1762" s="37"/>
      <c r="D1762" s="37"/>
      <c r="E1762" s="37"/>
      <c r="F1762" s="45"/>
      <c r="K1762" s="3" t="s">
        <v>6232</v>
      </c>
    </row>
    <row r="1763" spans="1:34" ht="18.399999999999999" customHeight="1">
      <c r="A1763" s="41" t="s">
        <v>2262</v>
      </c>
      <c r="B1763" s="37"/>
      <c r="C1763" s="37"/>
      <c r="D1763" s="37"/>
      <c r="E1763" s="37"/>
      <c r="F1763" s="45"/>
      <c r="K1763" s="3" t="s">
        <v>833</v>
      </c>
    </row>
    <row r="1764" spans="1:34" ht="18.399999999999999" customHeight="1">
      <c r="A1764" s="41" t="s">
        <v>6232</v>
      </c>
      <c r="B1764" s="37"/>
      <c r="C1764" s="37"/>
      <c r="D1764" s="37"/>
      <c r="E1764" s="37"/>
      <c r="F1764" s="45"/>
      <c r="K1764" s="3" t="s">
        <v>6232</v>
      </c>
    </row>
    <row r="1765" spans="1:34" ht="18.399999999999999" customHeight="1">
      <c r="A1765" s="42" t="e">
        <f>CONCATENATE(" 재료비:  _x001D_0_x001D_ * 2  대  / F =",TEXT($AB1765,"#,##0.0"))</f>
        <v>#REF!</v>
      </c>
      <c r="B1765" s="37" t="e">
        <f>SUM($C1765,$D1765,$E1765)</f>
        <v>#REF!</v>
      </c>
      <c r="C1765" s="37" t="e">
        <f>$AB1765</f>
        <v>#REF!</v>
      </c>
      <c r="D1765" s="37"/>
      <c r="E1765" s="37"/>
      <c r="F1765" s="45" t="s">
        <v>6232</v>
      </c>
      <c r="K1765" s="3" t="s">
        <v>6224</v>
      </c>
      <c r="AA1765" s="40" t="s">
        <v>2660</v>
      </c>
      <c r="AB1765" s="8" t="e">
        <f>TRUNC(중기사용료목록!#REF!*2/$AD1755,1)</f>
        <v>#REF!</v>
      </c>
      <c r="AC1765" s="40" t="s">
        <v>1650</v>
      </c>
      <c r="AD1765" s="7" t="e">
        <f>$AD1761+$AB1765</f>
        <v>#REF!</v>
      </c>
    </row>
    <row r="1766" spans="1:34" ht="18.399999999999999" customHeight="1">
      <c r="A1766" s="41" t="s">
        <v>6232</v>
      </c>
      <c r="B1766" s="37"/>
      <c r="C1766" s="37"/>
      <c r="D1766" s="37"/>
      <c r="E1766" s="37"/>
      <c r="F1766" s="45"/>
      <c r="K1766" s="3" t="s">
        <v>6232</v>
      </c>
    </row>
    <row r="1767" spans="1:34" ht="18.399999999999999" customHeight="1">
      <c r="A1767" s="42" t="e">
        <f>CONCATENATE(" 노무비:  _x001D_0_x001D_ * 2  대  / F =",TEXT($AB1767,"#,##0.0"))</f>
        <v>#REF!</v>
      </c>
      <c r="B1767" s="37" t="e">
        <f>SUM($C1767,$D1767,$E1767)</f>
        <v>#REF!</v>
      </c>
      <c r="C1767" s="37"/>
      <c r="D1767" s="37" t="e">
        <f>$AB1767</f>
        <v>#REF!</v>
      </c>
      <c r="E1767" s="37"/>
      <c r="F1767" s="45" t="s">
        <v>6232</v>
      </c>
      <c r="K1767" s="3" t="s">
        <v>1859</v>
      </c>
      <c r="AA1767" s="40" t="s">
        <v>5305</v>
      </c>
      <c r="AB1767" s="8" t="e">
        <f>TRUNC(중기사용료목록!#REF!*2/$AD1755,1)</f>
        <v>#REF!</v>
      </c>
      <c r="AC1767" s="40" t="s">
        <v>5439</v>
      </c>
      <c r="AD1767" s="7" t="e">
        <f>$AB1767</f>
        <v>#REF!</v>
      </c>
    </row>
    <row r="1768" spans="1:34" ht="18.399999999999999" customHeight="1">
      <c r="A1768" s="41" t="s">
        <v>6232</v>
      </c>
      <c r="B1768" s="37"/>
      <c r="C1768" s="37"/>
      <c r="D1768" s="37"/>
      <c r="E1768" s="37"/>
      <c r="F1768" s="45"/>
      <c r="K1768" s="3" t="s">
        <v>6232</v>
      </c>
    </row>
    <row r="1769" spans="1:34" ht="18.399999999999999" customHeight="1">
      <c r="A1769" s="42" t="e">
        <f>CONCATENATE(" 경  비:  _x001D_74,417_x001D_ * 2  대  / F =",TEXT($AB1769,"#,##0.0"))</f>
        <v>#REF!</v>
      </c>
      <c r="B1769" s="37" t="e">
        <f>SUM($C1769,$D1769,$E1769)</f>
        <v>#REF!</v>
      </c>
      <c r="C1769" s="37"/>
      <c r="D1769" s="37"/>
      <c r="E1769" s="37" t="e">
        <f>$AB1769</f>
        <v>#REF!</v>
      </c>
      <c r="F1769" s="45" t="s">
        <v>6232</v>
      </c>
      <c r="K1769" s="3" t="s">
        <v>2513</v>
      </c>
      <c r="AA1769" s="40" t="s">
        <v>3519</v>
      </c>
      <c r="AB1769" s="8" t="e">
        <f>TRUNC(중기사용료목록!#REF!*2/$AD1755,1)</f>
        <v>#REF!</v>
      </c>
      <c r="AC1769" s="40" t="s">
        <v>4149</v>
      </c>
      <c r="AD1769" s="7" t="e">
        <f>$AB1769</f>
        <v>#REF!</v>
      </c>
    </row>
    <row r="1770" spans="1:34" ht="18.399999999999999" customHeight="1">
      <c r="A1770" s="41" t="s">
        <v>6232</v>
      </c>
      <c r="B1770" s="37"/>
      <c r="C1770" s="37"/>
      <c r="D1770" s="37"/>
      <c r="E1770" s="37"/>
      <c r="F1770" s="45"/>
      <c r="K1770" s="3" t="s">
        <v>6232</v>
      </c>
    </row>
    <row r="1771" spans="1:34" ht="18.399999999999999" customHeight="1">
      <c r="A1771" s="41" t="s">
        <v>3679</v>
      </c>
      <c r="B1771" s="37"/>
      <c r="C1771" s="37"/>
      <c r="D1771" s="37"/>
      <c r="E1771" s="37"/>
      <c r="F1771" s="45"/>
      <c r="K1771" s="3" t="s">
        <v>5200</v>
      </c>
    </row>
    <row r="1772" spans="1:34" ht="18.399999999999999" customHeight="1">
      <c r="A1772" s="41" t="s">
        <v>6232</v>
      </c>
      <c r="B1772" s="37"/>
      <c r="C1772" s="37"/>
      <c r="D1772" s="37"/>
      <c r="E1772" s="37"/>
      <c r="F1772" s="45"/>
      <c r="K1772" s="3" t="s">
        <v>6232</v>
      </c>
    </row>
    <row r="1773" spans="1:34" ht="18.399999999999999" customHeight="1">
      <c r="A1773" s="42" t="str">
        <f>CONCATENATE(" - 주간노무비율 계산:  K1=",TEXT($AB1773,"#,##0.00"))</f>
        <v xml:space="preserve"> - 주간노무비율 계산:  K1=0.21</v>
      </c>
      <c r="B1773" s="37"/>
      <c r="C1773" s="37"/>
      <c r="D1773" s="37"/>
      <c r="E1773" s="37"/>
      <c r="F1773" s="45"/>
      <c r="K1773" s="10" t="str">
        <f>SUBSTITUTE(SUBSTITUTE("_x001D_- 주간노무비율 계산:_x001D_ K1 = 0.21","0.21",TEXT($AB1773,"#,##0.00"),1),"_x001D_","'")</f>
        <v>'- 주간노무비율 계산:' K1 = 0.21</v>
      </c>
      <c r="AA1773" s="39" t="s">
        <v>5667</v>
      </c>
      <c r="AB1773" s="6">
        <v>0.21</v>
      </c>
      <c r="AC1773" s="39" t="s">
        <v>5667</v>
      </c>
      <c r="AD1773" s="7">
        <f>$AB1773</f>
        <v>0.21</v>
      </c>
    </row>
    <row r="1774" spans="1:34" ht="18.399999999999999" customHeight="1">
      <c r="A1774" s="41" t="s">
        <v>6232</v>
      </c>
      <c r="B1774" s="37"/>
      <c r="C1774" s="37"/>
      <c r="D1774" s="37"/>
      <c r="E1774" s="37"/>
      <c r="F1774" s="45"/>
      <c r="K1774" s="3" t="s">
        <v>6232</v>
      </c>
    </row>
    <row r="1775" spans="1:34" ht="18.399999999999999" customHeight="1">
      <c r="A1775" s="42" t="str">
        <f>CONCATENATE(TEXT($AB1775,"#,##0.00")," / K * K1 * 0.03 =",TEXT($AF1775,"#,##0.0"))</f>
        <v>445,744.00 / K * K1 * 0.03 =11,700.7</v>
      </c>
      <c r="B1775" s="37">
        <f>SUM($C1775,$D1775,$E1775)</f>
        <v>11700.7</v>
      </c>
      <c r="C1775" s="37"/>
      <c r="D1775" s="37"/>
      <c r="E1775" s="37">
        <f>$AF1775</f>
        <v>11700.7</v>
      </c>
      <c r="F1775" s="45"/>
      <c r="K1775" s="3" t="s">
        <v>3287</v>
      </c>
      <c r="AA1775" s="39" t="s">
        <v>3318</v>
      </c>
      <c r="AB1775" s="8">
        <f>(노임!D13+노임!D3)</f>
        <v>445744</v>
      </c>
      <c r="AC1775" s="39" t="s">
        <v>3515</v>
      </c>
      <c r="AD1775" s="7">
        <f>$AB1775</f>
        <v>445744</v>
      </c>
      <c r="AE1775" s="40" t="s">
        <v>3519</v>
      </c>
      <c r="AF1775" s="8">
        <f>TRUNC($AD1775/$AD1757*$AD1773*0.03,1)</f>
        <v>11700.7</v>
      </c>
      <c r="AG1775" s="40" t="s">
        <v>4149</v>
      </c>
      <c r="AH1775" s="7" t="e">
        <f>$AD1769+$AF1775</f>
        <v>#REF!</v>
      </c>
    </row>
    <row r="1776" spans="1:34" ht="18.399999999999999" customHeight="1">
      <c r="A1776" s="41" t="s">
        <v>6232</v>
      </c>
      <c r="B1776" s="37"/>
      <c r="C1776" s="37"/>
      <c r="D1776" s="37"/>
      <c r="E1776" s="37"/>
      <c r="F1776" s="45"/>
      <c r="K1776" s="3" t="s">
        <v>6232</v>
      </c>
    </row>
    <row r="1777" spans="1:38" ht="18.399999999999999" customHeight="1">
      <c r="A1777" s="41" t="s">
        <v>17</v>
      </c>
      <c r="B1777" s="37"/>
      <c r="C1777" s="37"/>
      <c r="D1777" s="37"/>
      <c r="E1777" s="37"/>
      <c r="F1777" s="45"/>
      <c r="K1777" s="3" t="s">
        <v>6198</v>
      </c>
    </row>
    <row r="1778" spans="1:38" ht="18.399999999999999" customHeight="1">
      <c r="A1778" s="41" t="s">
        <v>6232</v>
      </c>
      <c r="B1778" s="37"/>
      <c r="C1778" s="37"/>
      <c r="D1778" s="37"/>
      <c r="E1778" s="37"/>
      <c r="F1778" s="45"/>
      <c r="K1778" s="3" t="s">
        <v>6232</v>
      </c>
    </row>
    <row r="1779" spans="1:38" ht="18.399999999999999" customHeight="1">
      <c r="A1779" s="42" t="e">
        <f>CONCATENATE(" 재료비:  _x001D_63,941_x001D_ * 1.0 / F =",TEXT($AB1779,"#,##0.0"))</f>
        <v>#REF!</v>
      </c>
      <c r="B1779" s="37" t="e">
        <f>SUM($C1779,$D1779,$E1779)</f>
        <v>#REF!</v>
      </c>
      <c r="C1779" s="37" t="e">
        <f>$AB1779</f>
        <v>#REF!</v>
      </c>
      <c r="D1779" s="37"/>
      <c r="E1779" s="37"/>
      <c r="F1779" s="45" t="s">
        <v>6232</v>
      </c>
      <c r="K1779" s="3" t="s">
        <v>4005</v>
      </c>
      <c r="AA1779" s="40" t="s">
        <v>2660</v>
      </c>
      <c r="AB1779" s="8" t="e">
        <f>TRUNC(중기사용료목록!#REF!*1/$AD1755,1)</f>
        <v>#REF!</v>
      </c>
      <c r="AC1779" s="40" t="s">
        <v>1650</v>
      </c>
      <c r="AD1779" s="7" t="e">
        <f>$AD1765+$AB1779</f>
        <v>#REF!</v>
      </c>
    </row>
    <row r="1780" spans="1:38" ht="18.399999999999999" customHeight="1">
      <c r="A1780" s="41" t="s">
        <v>6232</v>
      </c>
      <c r="B1780" s="37"/>
      <c r="C1780" s="37"/>
      <c r="D1780" s="37"/>
      <c r="E1780" s="37"/>
      <c r="F1780" s="45"/>
      <c r="K1780" s="3" t="s">
        <v>6232</v>
      </c>
    </row>
    <row r="1781" spans="1:38" ht="18.399999999999999" customHeight="1">
      <c r="A1781" s="42" t="e">
        <f>CONCATENATE(" 노무비:  _x001D_35,608_x001D_ * 1.0 / F * 1.167 =",TEXT($AB1781,"#,##0.0"))</f>
        <v>#REF!</v>
      </c>
      <c r="B1781" s="37" t="e">
        <f>SUM($C1781,$D1781,$E1781)</f>
        <v>#REF!</v>
      </c>
      <c r="C1781" s="37"/>
      <c r="D1781" s="37" t="e">
        <f>$AB1781</f>
        <v>#REF!</v>
      </c>
      <c r="E1781" s="37"/>
      <c r="F1781" s="45" t="s">
        <v>6232</v>
      </c>
      <c r="K1781" s="3" t="s">
        <v>2901</v>
      </c>
      <c r="AA1781" s="40" t="s">
        <v>5305</v>
      </c>
      <c r="AB1781" s="8" t="e">
        <f>TRUNC(중기사용료목록!#REF!*1/$AD1755*1.167,1)</f>
        <v>#REF!</v>
      </c>
      <c r="AC1781" s="40" t="s">
        <v>5439</v>
      </c>
      <c r="AD1781" s="7" t="e">
        <f>$AD1767+$AB1781</f>
        <v>#REF!</v>
      </c>
    </row>
    <row r="1782" spans="1:38" ht="18.399999999999999" customHeight="1">
      <c r="A1782" s="41" t="s">
        <v>6232</v>
      </c>
      <c r="B1782" s="37"/>
      <c r="C1782" s="37"/>
      <c r="D1782" s="37"/>
      <c r="E1782" s="37"/>
      <c r="F1782" s="45"/>
      <c r="K1782" s="3" t="s">
        <v>6232</v>
      </c>
    </row>
    <row r="1783" spans="1:38" ht="18.399999999999999" customHeight="1">
      <c r="A1783" s="42" t="e">
        <f>CONCATENATE(" 경  비:  _x001D_12,096_x001D_ * 1.0 / F =",TEXT($AB1783,"#,##0.0"))</f>
        <v>#REF!</v>
      </c>
      <c r="B1783" s="37" t="e">
        <f>SUM($C1783,$D1783,$E1783)</f>
        <v>#REF!</v>
      </c>
      <c r="C1783" s="37"/>
      <c r="D1783" s="37"/>
      <c r="E1783" s="37" t="e">
        <f>$AB1783</f>
        <v>#REF!</v>
      </c>
      <c r="F1783" s="45" t="s">
        <v>6232</v>
      </c>
      <c r="K1783" s="3" t="s">
        <v>2187</v>
      </c>
      <c r="AA1783" s="40" t="s">
        <v>3519</v>
      </c>
      <c r="AB1783" s="8" t="e">
        <f>TRUNC(중기사용료목록!#REF!*1/$AD1755,1)</f>
        <v>#REF!</v>
      </c>
      <c r="AC1783" s="40" t="s">
        <v>4149</v>
      </c>
      <c r="AD1783" s="7" t="e">
        <f>$AH1775+$AB1783</f>
        <v>#REF!</v>
      </c>
    </row>
    <row r="1784" spans="1:38" ht="18.399999999999999" customHeight="1">
      <c r="A1784" s="41" t="s">
        <v>6232</v>
      </c>
      <c r="B1784" s="37"/>
      <c r="C1784" s="37"/>
      <c r="D1784" s="37"/>
      <c r="E1784" s="37"/>
      <c r="F1784" s="45"/>
      <c r="K1784" s="3" t="s">
        <v>6232</v>
      </c>
    </row>
    <row r="1785" spans="1:38" ht="18.399999999999999" customHeight="1">
      <c r="A1785" s="41" t="s">
        <v>3436</v>
      </c>
      <c r="B1785" s="37" t="e">
        <f>SUM($C1785,$D1785,$E1785)</f>
        <v>#REF!</v>
      </c>
      <c r="C1785" s="37" t="e">
        <f>$AB1785</f>
        <v>#REF!</v>
      </c>
      <c r="D1785" s="37" t="e">
        <f>$AF1785</f>
        <v>#REF!</v>
      </c>
      <c r="E1785" s="37" t="e">
        <f>$AJ1785</f>
        <v>#REF!</v>
      </c>
      <c r="F1785" s="45"/>
      <c r="K1785" s="3" t="s">
        <v>5884</v>
      </c>
      <c r="AA1785" s="40" t="s">
        <v>4592</v>
      </c>
      <c r="AB1785" s="8" t="e">
        <f>TRUNC($AD1779,1)</f>
        <v>#REF!</v>
      </c>
      <c r="AC1785" s="40" t="s">
        <v>5149</v>
      </c>
      <c r="AD1785" s="7" t="e">
        <f>$AB1785</f>
        <v>#REF!</v>
      </c>
      <c r="AE1785" s="40" t="s">
        <v>666</v>
      </c>
      <c r="AF1785" s="8" t="e">
        <f>TRUNC($AD1781,1)</f>
        <v>#REF!</v>
      </c>
      <c r="AG1785" s="40" t="s">
        <v>2431</v>
      </c>
      <c r="AH1785" s="7" t="e">
        <f>$AF1785</f>
        <v>#REF!</v>
      </c>
      <c r="AI1785" s="40" t="s">
        <v>1930</v>
      </c>
      <c r="AJ1785" s="8" t="e">
        <f>TRUNC($AD1783,1)</f>
        <v>#REF!</v>
      </c>
      <c r="AK1785" s="40" t="s">
        <v>3349</v>
      </c>
      <c r="AL1785" s="7" t="e">
        <f>$AJ1785</f>
        <v>#REF!</v>
      </c>
    </row>
    <row r="1786" spans="1:38" ht="18.399999999999999" customHeight="1">
      <c r="A1786" s="41"/>
      <c r="B1786" s="3"/>
      <c r="C1786" s="3"/>
      <c r="D1786" s="3"/>
      <c r="E1786" s="3"/>
      <c r="F1786" s="44"/>
    </row>
    <row r="1787" spans="1:38" ht="18.399999999999999" customHeight="1">
      <c r="A1787" s="43" t="s">
        <v>3543</v>
      </c>
      <c r="B1787" s="38" t="e">
        <f>SUM($C1787,$D1787,$E1787)</f>
        <v>#REF!</v>
      </c>
      <c r="C1787" s="38" t="e">
        <f>TRUNC(SUM($AD1785),0)</f>
        <v>#REF!</v>
      </c>
      <c r="D1787" s="38" t="e">
        <f>TRUNC(SUM($AH1785),0)</f>
        <v>#REF!</v>
      </c>
      <c r="E1787" s="38" t="e">
        <f>TRUNC(SUM($AL1785),0)</f>
        <v>#REF!</v>
      </c>
      <c r="F1787" s="46"/>
    </row>
    <row r="1788" spans="1:38" ht="18.399999999999999" customHeight="1">
      <c r="A1788" s="41"/>
      <c r="B1788" s="3"/>
      <c r="C1788" s="3"/>
      <c r="D1788" s="3"/>
      <c r="E1788" s="3"/>
      <c r="F1788" s="44"/>
    </row>
    <row r="1789" spans="1:38" ht="18.399999999999999" customHeight="1">
      <c r="A1789" s="41" t="s">
        <v>1140</v>
      </c>
      <c r="B1789" s="36">
        <f>$B1860</f>
        <v>939428</v>
      </c>
      <c r="C1789" s="36">
        <f>$C1860</f>
        <v>34326</v>
      </c>
      <c r="D1789" s="36">
        <f>$D1860</f>
        <v>549796</v>
      </c>
      <c r="E1789" s="36">
        <f>$E1860</f>
        <v>355306</v>
      </c>
      <c r="F1789" s="44" t="s">
        <v>5957</v>
      </c>
      <c r="G1789" t="s">
        <v>6232</v>
      </c>
      <c r="H1789" t="s">
        <v>4603</v>
      </c>
      <c r="K1789">
        <v>1</v>
      </c>
      <c r="Y1789" s="7" t="b">
        <f>EXACT($Z1789,$B1860)</f>
        <v>0</v>
      </c>
      <c r="Z1789" s="38">
        <v>930252</v>
      </c>
    </row>
    <row r="1790" spans="1:38" ht="18.399999999999999" customHeight="1">
      <c r="A1790" s="41"/>
      <c r="B1790" s="3"/>
      <c r="C1790" s="3"/>
      <c r="D1790" s="3"/>
      <c r="E1790" s="3"/>
      <c r="F1790" s="44"/>
    </row>
    <row r="1791" spans="1:38" ht="18.399999999999999" customHeight="1">
      <c r="A1791" s="41" t="s">
        <v>6232</v>
      </c>
      <c r="B1791" s="3"/>
      <c r="C1791" s="3"/>
      <c r="D1791" s="3"/>
      <c r="E1791" s="3"/>
      <c r="F1791" s="44"/>
      <c r="G1791" t="s">
        <v>6232</v>
      </c>
      <c r="I1791" t="s">
        <v>742</v>
      </c>
      <c r="J1791" t="s">
        <v>6232</v>
      </c>
      <c r="K1791" t="s">
        <v>5235</v>
      </c>
    </row>
    <row r="1792" spans="1:38" ht="18.399999999999999" customHeight="1">
      <c r="A1792" s="41" t="s">
        <v>6232</v>
      </c>
      <c r="B1792" s="37">
        <f>SUM($C1792,$D1792,$E1792)</f>
        <v>0</v>
      </c>
      <c r="C1792" s="37">
        <f>$AB1792</f>
        <v>0</v>
      </c>
      <c r="D1792" s="37">
        <f>$AF1792</f>
        <v>0</v>
      </c>
      <c r="E1792" s="37">
        <f>$AJ1792</f>
        <v>0</v>
      </c>
      <c r="F1792" s="45"/>
      <c r="K1792" s="3" t="s">
        <v>3494</v>
      </c>
      <c r="AA1792" s="40" t="s">
        <v>3919</v>
      </c>
      <c r="AB1792" s="8">
        <f>ROUND(0,2)</f>
        <v>0</v>
      </c>
      <c r="AC1792" s="40" t="s">
        <v>5259</v>
      </c>
      <c r="AD1792" s="7">
        <f>$AB1792</f>
        <v>0</v>
      </c>
      <c r="AE1792" s="40" t="s">
        <v>526</v>
      </c>
      <c r="AF1792" s="8">
        <f>ROUND(0,2)</f>
        <v>0</v>
      </c>
      <c r="AG1792" s="40" t="s">
        <v>2997</v>
      </c>
      <c r="AH1792" s="7">
        <f>$AF1792</f>
        <v>0</v>
      </c>
      <c r="AI1792" s="40" t="s">
        <v>2260</v>
      </c>
      <c r="AJ1792" s="8">
        <f>ROUND(0,2)</f>
        <v>0</v>
      </c>
      <c r="AK1792" s="40" t="s">
        <v>1293</v>
      </c>
      <c r="AL1792" s="7">
        <f>$AJ1792</f>
        <v>0</v>
      </c>
    </row>
    <row r="1793" spans="1:38" ht="18.399999999999999" customHeight="1">
      <c r="A1793" s="41" t="s">
        <v>6232</v>
      </c>
      <c r="B1793" s="37"/>
      <c r="C1793" s="37"/>
      <c r="D1793" s="37"/>
      <c r="E1793" s="37"/>
      <c r="F1793" s="45"/>
      <c r="K1793" s="3" t="s">
        <v>6232</v>
      </c>
    </row>
    <row r="1794" spans="1:38" ht="18.399999999999999" customHeight="1">
      <c r="A1794" s="41" t="s">
        <v>3165</v>
      </c>
      <c r="B1794" s="37"/>
      <c r="C1794" s="37"/>
      <c r="D1794" s="37"/>
      <c r="E1794" s="37"/>
      <c r="F1794" s="45"/>
      <c r="K1794" s="3" t="s">
        <v>3264</v>
      </c>
    </row>
    <row r="1795" spans="1:38" ht="18.399999999999999" customHeight="1">
      <c r="A1795" s="41" t="s">
        <v>6232</v>
      </c>
      <c r="B1795" s="37">
        <f>SUM($C1795,$D1795,$E1795)</f>
        <v>0</v>
      </c>
      <c r="C1795" s="37">
        <f>$AB1795</f>
        <v>0</v>
      </c>
      <c r="D1795" s="37">
        <f>$AF1795</f>
        <v>0</v>
      </c>
      <c r="E1795" s="37">
        <f>$AJ1795</f>
        <v>0</v>
      </c>
      <c r="F1795" s="45"/>
      <c r="K1795" s="3" t="s">
        <v>295</v>
      </c>
      <c r="AA1795" s="40" t="s">
        <v>2660</v>
      </c>
      <c r="AB1795" s="8">
        <f>ROUND(0,2)</f>
        <v>0</v>
      </c>
      <c r="AC1795" s="40" t="s">
        <v>1650</v>
      </c>
      <c r="AD1795" s="7">
        <f>$AB1795</f>
        <v>0</v>
      </c>
      <c r="AE1795" s="40" t="s">
        <v>5305</v>
      </c>
      <c r="AF1795" s="8">
        <f>ROUND(0,2)</f>
        <v>0</v>
      </c>
      <c r="AG1795" s="40" t="s">
        <v>5439</v>
      </c>
      <c r="AH1795" s="7">
        <f>$AF1795</f>
        <v>0</v>
      </c>
      <c r="AI1795" s="40" t="s">
        <v>3519</v>
      </c>
      <c r="AJ1795" s="8">
        <f>ROUND(0,2)</f>
        <v>0</v>
      </c>
      <c r="AK1795" s="40" t="s">
        <v>4149</v>
      </c>
      <c r="AL1795" s="7">
        <f>$AJ1795</f>
        <v>0</v>
      </c>
    </row>
    <row r="1796" spans="1:38" ht="18.399999999999999" customHeight="1">
      <c r="A1796" s="41" t="s">
        <v>6232</v>
      </c>
      <c r="B1796" s="37"/>
      <c r="C1796" s="37"/>
      <c r="D1796" s="37"/>
      <c r="E1796" s="37"/>
      <c r="F1796" s="45"/>
      <c r="K1796" s="3" t="s">
        <v>6232</v>
      </c>
    </row>
    <row r="1797" spans="1:38" ht="18.399999999999999" customHeight="1">
      <c r="A1797" s="41" t="s">
        <v>2566</v>
      </c>
      <c r="B1797" s="37"/>
      <c r="C1797" s="37"/>
      <c r="D1797" s="37"/>
      <c r="E1797" s="37"/>
      <c r="F1797" s="45"/>
      <c r="K1797" s="3" t="s">
        <v>4353</v>
      </c>
    </row>
    <row r="1798" spans="1:38" ht="18.399999999999999" customHeight="1">
      <c r="A1798" s="41" t="s">
        <v>126</v>
      </c>
      <c r="B1798" s="37"/>
      <c r="C1798" s="37"/>
      <c r="D1798" s="37"/>
      <c r="E1798" s="37"/>
      <c r="F1798" s="45"/>
      <c r="K1798" s="3" t="s">
        <v>2989</v>
      </c>
    </row>
    <row r="1799" spans="1:38" ht="18.399999999999999" customHeight="1">
      <c r="A1799" s="41" t="s">
        <v>1102</v>
      </c>
      <c r="B1799" s="37"/>
      <c r="C1799" s="37"/>
      <c r="D1799" s="37"/>
      <c r="E1799" s="37"/>
      <c r="F1799" s="45"/>
      <c r="K1799" s="3" t="s">
        <v>1797</v>
      </c>
    </row>
    <row r="1800" spans="1:38" ht="18.399999999999999" customHeight="1">
      <c r="A1800" s="41" t="s">
        <v>907</v>
      </c>
      <c r="B1800" s="37"/>
      <c r="C1800" s="37"/>
      <c r="D1800" s="37"/>
      <c r="E1800" s="37"/>
      <c r="F1800" s="45"/>
      <c r="K1800" s="3" t="s">
        <v>5470</v>
      </c>
    </row>
    <row r="1801" spans="1:38" ht="18.399999999999999" customHeight="1">
      <c r="A1801" s="41" t="s">
        <v>138</v>
      </c>
      <c r="B1801" s="37"/>
      <c r="C1801" s="37"/>
      <c r="D1801" s="37"/>
      <c r="E1801" s="37"/>
      <c r="F1801" s="45"/>
      <c r="K1801" s="3" t="s">
        <v>4856</v>
      </c>
    </row>
    <row r="1802" spans="1:38" ht="18.399999999999999" customHeight="1">
      <c r="A1802" s="41" t="s">
        <v>2713</v>
      </c>
      <c r="B1802" s="37"/>
      <c r="C1802" s="37"/>
      <c r="D1802" s="37"/>
      <c r="E1802" s="37"/>
      <c r="F1802" s="45"/>
      <c r="K1802" s="3" t="s">
        <v>5855</v>
      </c>
    </row>
    <row r="1803" spans="1:38" ht="18.399999999999999" customHeight="1">
      <c r="A1803" s="41" t="s">
        <v>3955</v>
      </c>
      <c r="B1803" s="37"/>
      <c r="C1803" s="37"/>
      <c r="D1803" s="37"/>
      <c r="E1803" s="37"/>
      <c r="F1803" s="45"/>
      <c r="K1803" s="3" t="s">
        <v>1800</v>
      </c>
    </row>
    <row r="1804" spans="1:38" ht="18.399999999999999" customHeight="1">
      <c r="A1804" s="41" t="s">
        <v>6232</v>
      </c>
      <c r="B1804" s="37"/>
      <c r="C1804" s="37"/>
      <c r="D1804" s="37"/>
      <c r="E1804" s="37"/>
      <c r="F1804" s="45"/>
      <c r="K1804" s="3" t="s">
        <v>6232</v>
      </c>
    </row>
    <row r="1805" spans="1:38" ht="18.399999999999999" customHeight="1">
      <c r="A1805" s="41" t="s">
        <v>3802</v>
      </c>
      <c r="B1805" s="37"/>
      <c r="C1805" s="37"/>
      <c r="D1805" s="37"/>
      <c r="E1805" s="37"/>
      <c r="F1805" s="45"/>
      <c r="K1805" s="3" t="s">
        <v>449</v>
      </c>
    </row>
    <row r="1806" spans="1:38" ht="18.399999999999999" customHeight="1">
      <c r="A1806" s="41" t="s">
        <v>6232</v>
      </c>
      <c r="B1806" s="37"/>
      <c r="C1806" s="37"/>
      <c r="D1806" s="37"/>
      <c r="E1806" s="37"/>
      <c r="F1806" s="45"/>
      <c r="K1806" s="3" t="s">
        <v>6232</v>
      </c>
    </row>
    <row r="1807" spans="1:38" ht="18.399999999999999" customHeight="1">
      <c r="A1807" s="42" t="str">
        <f>CONCATENATE("Q = 6 분/회   * 2 회  * 2 대   = ",TEXT($AF1807,"#,##0.00")," 분 ")</f>
        <v xml:space="preserve">Q = 6 분/회   * 2 회  * 2 대   = 24.00 분 </v>
      </c>
      <c r="B1807" s="37">
        <f>SUM($C1807,$D1807,$E1807)</f>
        <v>0</v>
      </c>
      <c r="C1807" s="37"/>
      <c r="D1807" s="37"/>
      <c r="E1807" s="37"/>
      <c r="F1807" s="45"/>
      <c r="K1807" s="3" t="s">
        <v>910</v>
      </c>
      <c r="AA1807" s="39" t="s">
        <v>1162</v>
      </c>
      <c r="AB1807" s="8">
        <f>ROUND(6*2*2,2)</f>
        <v>24</v>
      </c>
      <c r="AC1807" s="39" t="s">
        <v>4337</v>
      </c>
      <c r="AD1807" s="7">
        <f>$AB1807</f>
        <v>24</v>
      </c>
      <c r="AE1807" s="39" t="s">
        <v>4290</v>
      </c>
      <c r="AF1807" s="8">
        <f>ROUND(ROUND(6*2*2,2),2)</f>
        <v>24</v>
      </c>
      <c r="AG1807" s="39" t="s">
        <v>4160</v>
      </c>
      <c r="AH1807" s="7">
        <f>$AF1807</f>
        <v>24</v>
      </c>
    </row>
    <row r="1808" spans="1:38" ht="18.399999999999999" customHeight="1">
      <c r="A1808" s="41" t="s">
        <v>6232</v>
      </c>
      <c r="B1808" s="37"/>
      <c r="C1808" s="37"/>
      <c r="D1808" s="37"/>
      <c r="E1808" s="37"/>
      <c r="F1808" s="45"/>
      <c r="K1808" s="3" t="s">
        <v>6232</v>
      </c>
    </row>
    <row r="1809" spans="1:38" ht="18.399999999999999" customHeight="1">
      <c r="A1809" s="41" t="s">
        <v>2188</v>
      </c>
      <c r="B1809" s="37"/>
      <c r="C1809" s="37"/>
      <c r="D1809" s="37"/>
      <c r="E1809" s="37"/>
      <c r="F1809" s="45"/>
      <c r="K1809" s="3" t="s">
        <v>462</v>
      </c>
    </row>
    <row r="1810" spans="1:38" ht="18.399999999999999" customHeight="1">
      <c r="A1810" s="41" t="s">
        <v>6232</v>
      </c>
      <c r="B1810" s="37"/>
      <c r="C1810" s="37"/>
      <c r="D1810" s="37"/>
      <c r="E1810" s="37"/>
      <c r="F1810" s="45"/>
      <c r="K1810" s="3" t="s">
        <v>6232</v>
      </c>
    </row>
    <row r="1811" spans="1:38" ht="18.399999999999999" customHeight="1">
      <c r="A1811" s="42" t="str">
        <f>CONCATENATE(" 재료비:  _x001D_11,415_x001D_ / (60 / Q) =",TEXT($AB1811,"#,##0.0"))</f>
        <v xml:space="preserve"> 재료비:  _x001D_11,415_x001D_ / (60 / Q) =0.0</v>
      </c>
      <c r="B1811" s="37">
        <f>SUM($C1811,$D1811,$E1811)</f>
        <v>0</v>
      </c>
      <c r="C1811" s="37">
        <f>$AB1811</f>
        <v>0</v>
      </c>
      <c r="D1811" s="37"/>
      <c r="E1811" s="37"/>
      <c r="F1811" s="45" t="s">
        <v>6232</v>
      </c>
      <c r="K1811" s="3" t="s">
        <v>6092</v>
      </c>
      <c r="AA1811" s="40" t="s">
        <v>2660</v>
      </c>
      <c r="AB1811" s="8">
        <f>TRUNC(중기사용료목록!E6/(60/$AD1807),1)</f>
        <v>0</v>
      </c>
      <c r="AC1811" s="40" t="s">
        <v>1650</v>
      </c>
      <c r="AD1811" s="7">
        <f>$AB1811</f>
        <v>0</v>
      </c>
    </row>
    <row r="1812" spans="1:38" ht="18.399999999999999" customHeight="1">
      <c r="A1812" s="41" t="s">
        <v>6232</v>
      </c>
      <c r="B1812" s="37"/>
      <c r="C1812" s="37"/>
      <c r="D1812" s="37"/>
      <c r="E1812" s="37"/>
      <c r="F1812" s="45"/>
      <c r="K1812" s="3" t="s">
        <v>6232</v>
      </c>
    </row>
    <row r="1813" spans="1:38" ht="18.399999999999999" customHeight="1">
      <c r="A1813" s="42" t="str">
        <f>CONCATENATE(" 노무비:  _x001D_57,077_x001D_ / (60 / Q) =",TEXT($AB1813,"#,##0.0"))</f>
        <v xml:space="preserve"> 노무비:  _x001D_57,077_x001D_ / (60 / Q) =0.0</v>
      </c>
      <c r="B1813" s="37">
        <f>SUM($C1813,$D1813,$E1813)</f>
        <v>0</v>
      </c>
      <c r="C1813" s="37"/>
      <c r="D1813" s="37">
        <f>$AB1813</f>
        <v>0</v>
      </c>
      <c r="E1813" s="37"/>
      <c r="F1813" s="45" t="s">
        <v>6232</v>
      </c>
      <c r="K1813" s="3" t="s">
        <v>3085</v>
      </c>
      <c r="AA1813" s="40" t="s">
        <v>5305</v>
      </c>
      <c r="AB1813" s="8">
        <f>TRUNC(중기사용료목록!F6/(60/$AD1807),1)</f>
        <v>0</v>
      </c>
      <c r="AC1813" s="40" t="s">
        <v>5439</v>
      </c>
      <c r="AD1813" s="7">
        <f>$AB1813</f>
        <v>0</v>
      </c>
    </row>
    <row r="1814" spans="1:38" ht="18.399999999999999" customHeight="1">
      <c r="A1814" s="41" t="s">
        <v>6232</v>
      </c>
      <c r="B1814" s="37"/>
      <c r="C1814" s="37"/>
      <c r="D1814" s="37"/>
      <c r="E1814" s="37"/>
      <c r="F1814" s="45"/>
      <c r="K1814" s="3" t="s">
        <v>6232</v>
      </c>
    </row>
    <row r="1815" spans="1:38" ht="18.399999999999999" customHeight="1">
      <c r="A1815" s="42" t="str">
        <f>CONCATENATE(" 경  비:  _x001D_58,116_x001D_ / (60 / Q) =",TEXT($AB1815,"#,##0.0"))</f>
        <v xml:space="preserve"> 경  비:  _x001D_58,116_x001D_ / (60 / Q) =51,957.2</v>
      </c>
      <c r="B1815" s="37">
        <f>SUM($C1815,$D1815,$E1815)</f>
        <v>51957.2</v>
      </c>
      <c r="C1815" s="37"/>
      <c r="D1815" s="37"/>
      <c r="E1815" s="37">
        <f>$AB1815</f>
        <v>51957.2</v>
      </c>
      <c r="F1815" s="45" t="s">
        <v>6232</v>
      </c>
      <c r="K1815" s="3" t="s">
        <v>5290</v>
      </c>
      <c r="AA1815" s="40" t="s">
        <v>3519</v>
      </c>
      <c r="AB1815" s="8">
        <f>TRUNC(중기사용료목록!G6/(60/$AD1807),1)</f>
        <v>51957.2</v>
      </c>
      <c r="AC1815" s="40" t="s">
        <v>4149</v>
      </c>
      <c r="AD1815" s="7">
        <f>$AB1815</f>
        <v>51957.2</v>
      </c>
    </row>
    <row r="1816" spans="1:38" ht="18.399999999999999" customHeight="1">
      <c r="A1816" s="41" t="s">
        <v>6232</v>
      </c>
      <c r="B1816" s="37"/>
      <c r="C1816" s="37"/>
      <c r="D1816" s="37"/>
      <c r="E1816" s="37"/>
      <c r="F1816" s="45"/>
      <c r="K1816" s="3" t="s">
        <v>6232</v>
      </c>
    </row>
    <row r="1817" spans="1:38" ht="18.399999999999999" customHeight="1">
      <c r="A1817" s="42" t="str">
        <f>CONCATENATE(" 보통인부 :  _x001D_169,804_x001D_ * 2 / (60 / Q) * (1/8) =",TEXT($AB1817,"#,##0.0"))</f>
        <v xml:space="preserve"> 보통인부 :  _x001D_169,804_x001D_ * 2 / (60 / Q) * (1/8) =17,206.8</v>
      </c>
      <c r="B1817" s="37">
        <f>SUM($C1817,$D1817,$E1817)</f>
        <v>17206.8</v>
      </c>
      <c r="C1817" s="37"/>
      <c r="D1817" s="37">
        <f>$AB1817</f>
        <v>17206.8</v>
      </c>
      <c r="E1817" s="37"/>
      <c r="F1817" s="45" t="s">
        <v>6232</v>
      </c>
      <c r="K1817" s="3" t="s">
        <v>5361</v>
      </c>
      <c r="AA1817" s="40" t="s">
        <v>5305</v>
      </c>
      <c r="AB1817" s="8">
        <f>TRUNC(노임!D3*2/(60/$AD1807)*(1/8),1)</f>
        <v>17206.8</v>
      </c>
      <c r="AC1817" s="40" t="s">
        <v>5439</v>
      </c>
      <c r="AD1817" s="7">
        <f>$AD1813+$AB1817</f>
        <v>17206.8</v>
      </c>
    </row>
    <row r="1818" spans="1:38" ht="18.399999999999999" customHeight="1">
      <c r="A1818" s="41" t="s">
        <v>6232</v>
      </c>
      <c r="B1818" s="37"/>
      <c r="C1818" s="37"/>
      <c r="D1818" s="37"/>
      <c r="E1818" s="37"/>
      <c r="F1818" s="45"/>
      <c r="K1818" s="3" t="s">
        <v>6232</v>
      </c>
    </row>
    <row r="1819" spans="1:38" ht="18.399999999999999" customHeight="1">
      <c r="A1819" s="41" t="s">
        <v>4035</v>
      </c>
      <c r="B1819" s="37">
        <v>67623.599999999991</v>
      </c>
      <c r="C1819" s="37">
        <v>4566</v>
      </c>
      <c r="D1819" s="37">
        <v>39811.199999999997</v>
      </c>
      <c r="E1819" s="37">
        <v>23246.400000000001</v>
      </c>
      <c r="F1819" s="45"/>
      <c r="K1819" s="3" t="s">
        <v>6070</v>
      </c>
    </row>
    <row r="1820" spans="1:38" ht="18.399999999999999" customHeight="1">
      <c r="A1820" s="41" t="s">
        <v>6232</v>
      </c>
      <c r="B1820" s="37">
        <f>SUM($C1820,$D1820,$E1820)</f>
        <v>0</v>
      </c>
      <c r="C1820" s="37">
        <f>$AB1820</f>
        <v>0</v>
      </c>
      <c r="D1820" s="37">
        <f>$AF1820</f>
        <v>0</v>
      </c>
      <c r="E1820" s="37">
        <f>$AJ1820</f>
        <v>0</v>
      </c>
      <c r="F1820" s="45"/>
      <c r="K1820" s="3" t="s">
        <v>5506</v>
      </c>
      <c r="AA1820" s="40" t="s">
        <v>4586</v>
      </c>
      <c r="AB1820" s="8">
        <f>ROUND(0,2)</f>
        <v>0</v>
      </c>
      <c r="AC1820" s="40" t="s">
        <v>4161</v>
      </c>
      <c r="AD1820" s="7">
        <f>$AB1820</f>
        <v>0</v>
      </c>
      <c r="AE1820" s="40" t="s">
        <v>222</v>
      </c>
      <c r="AF1820" s="8">
        <f>ROUND(0,2)</f>
        <v>0</v>
      </c>
      <c r="AG1820" s="40" t="s">
        <v>334</v>
      </c>
      <c r="AH1820" s="7">
        <f>$AF1820</f>
        <v>0</v>
      </c>
      <c r="AI1820" s="40" t="s">
        <v>1574</v>
      </c>
      <c r="AJ1820" s="8">
        <f>ROUND(0,2)</f>
        <v>0</v>
      </c>
      <c r="AK1820" s="40" t="s">
        <v>1622</v>
      </c>
      <c r="AL1820" s="7">
        <f>$AJ1820</f>
        <v>0</v>
      </c>
    </row>
    <row r="1821" spans="1:38" ht="18.399999999999999" customHeight="1">
      <c r="A1821" s="41" t="s">
        <v>3843</v>
      </c>
      <c r="B1821" s="37"/>
      <c r="C1821" s="37"/>
      <c r="D1821" s="37"/>
      <c r="E1821" s="37"/>
      <c r="F1821" s="45"/>
      <c r="K1821" s="3" t="s">
        <v>6123</v>
      </c>
    </row>
    <row r="1822" spans="1:38" ht="18.399999999999999" customHeight="1">
      <c r="A1822" s="41" t="s">
        <v>3149</v>
      </c>
      <c r="B1822" s="37"/>
      <c r="C1822" s="37"/>
      <c r="D1822" s="37"/>
      <c r="E1822" s="37"/>
      <c r="F1822" s="45"/>
      <c r="K1822" s="3" t="s">
        <v>293</v>
      </c>
    </row>
    <row r="1823" spans="1:38" ht="18.399999999999999" customHeight="1">
      <c r="A1823" s="41" t="s">
        <v>5124</v>
      </c>
      <c r="B1823" s="37"/>
      <c r="C1823" s="37"/>
      <c r="D1823" s="37"/>
      <c r="E1823" s="37"/>
      <c r="F1823" s="45"/>
      <c r="K1823" s="3" t="s">
        <v>5595</v>
      </c>
    </row>
    <row r="1824" spans="1:38" ht="18.399999999999999" customHeight="1">
      <c r="A1824" s="41" t="s">
        <v>6232</v>
      </c>
      <c r="B1824" s="37"/>
      <c r="C1824" s="37"/>
      <c r="D1824" s="37"/>
      <c r="E1824" s="37"/>
      <c r="F1824" s="45"/>
      <c r="K1824" s="3" t="s">
        <v>6232</v>
      </c>
    </row>
    <row r="1825" spans="1:38" ht="18.399999999999999" customHeight="1">
      <c r="A1825" s="42" t="str">
        <f>CONCATENATE(" 내선전공 :  0.102 * _x001D_268,915_x001D_ * 4 개   =",TEXT($AB1825,"#,##0.0"))</f>
        <v xml:space="preserve"> 내선전공 :  0.102 * _x001D_268,915_x001D_ * 4 개   =111,659.8</v>
      </c>
      <c r="B1825" s="37">
        <f>SUM($C1825,$D1825,$E1825)</f>
        <v>111659.8</v>
      </c>
      <c r="C1825" s="37"/>
      <c r="D1825" s="37">
        <f>$AB1825</f>
        <v>111659.8</v>
      </c>
      <c r="E1825" s="37"/>
      <c r="F1825" s="45" t="s">
        <v>6232</v>
      </c>
      <c r="K1825" s="3" t="s">
        <v>4346</v>
      </c>
      <c r="AA1825" s="40" t="s">
        <v>526</v>
      </c>
      <c r="AB1825" s="8">
        <f>TRUNC(0.102*노임!D13*4,1)</f>
        <v>111659.8</v>
      </c>
      <c r="AC1825" s="40" t="s">
        <v>2997</v>
      </c>
      <c r="AD1825" s="7">
        <f>$AB1825</f>
        <v>111659.8</v>
      </c>
      <c r="AE1825" s="40" t="s">
        <v>222</v>
      </c>
      <c r="AF1825" s="8">
        <f>$AB1825</f>
        <v>111659.8</v>
      </c>
      <c r="AG1825" s="40" t="s">
        <v>334</v>
      </c>
      <c r="AH1825" s="7">
        <f>$AF1825</f>
        <v>111659.8</v>
      </c>
    </row>
    <row r="1826" spans="1:38" ht="18.399999999999999" customHeight="1">
      <c r="A1826" s="41" t="s">
        <v>6232</v>
      </c>
      <c r="B1826" s="37"/>
      <c r="C1826" s="37"/>
      <c r="D1826" s="37"/>
      <c r="E1826" s="37"/>
      <c r="F1826" s="45"/>
      <c r="K1826" s="3" t="s">
        <v>6232</v>
      </c>
    </row>
    <row r="1827" spans="1:38" ht="18.399999999999999" customHeight="1">
      <c r="A1827" s="42" t="str">
        <f>CONCATENATE(" 공구손료(직노의 3%) :  ",TEXT($AB1827,"#,##0.00")," * 0.03 %   =",TEXT($AF1827,"#,##0.0"))</f>
        <v xml:space="preserve"> 공구손료(직노의 3%) :  111,659.80 * 0.03 %   =3,349.7</v>
      </c>
      <c r="B1827" s="37">
        <f>SUM($C1827,$D1827,$E1827)</f>
        <v>3349.7</v>
      </c>
      <c r="C1827" s="37"/>
      <c r="D1827" s="37"/>
      <c r="E1827" s="37">
        <f>$AF1827</f>
        <v>3349.7</v>
      </c>
      <c r="F1827" s="45"/>
      <c r="K1827" s="3" t="s">
        <v>5064</v>
      </c>
      <c r="AA1827" s="39" t="s">
        <v>3411</v>
      </c>
      <c r="AB1827" s="8">
        <f>($AD1825)</f>
        <v>111659.8</v>
      </c>
      <c r="AC1827" s="39" t="s">
        <v>1069</v>
      </c>
      <c r="AD1827" s="7">
        <f>$AB1827</f>
        <v>111659.8</v>
      </c>
      <c r="AE1827" s="40" t="s">
        <v>1574</v>
      </c>
      <c r="AF1827" s="8">
        <f>TRUNC($AD1827*0.03,1)</f>
        <v>3349.7</v>
      </c>
      <c r="AG1827" s="40" t="s">
        <v>1622</v>
      </c>
      <c r="AH1827" s="7">
        <f>$AF1827</f>
        <v>3349.7</v>
      </c>
    </row>
    <row r="1828" spans="1:38" ht="18.399999999999999" customHeight="1">
      <c r="A1828" s="41" t="s">
        <v>6232</v>
      </c>
      <c r="B1828" s="37"/>
      <c r="C1828" s="37"/>
      <c r="D1828" s="37"/>
      <c r="E1828" s="37"/>
      <c r="F1828" s="45"/>
      <c r="K1828" s="3" t="s">
        <v>6232</v>
      </c>
    </row>
    <row r="1829" spans="1:38" ht="18.399999999999999" customHeight="1">
      <c r="A1829" s="41" t="s">
        <v>3022</v>
      </c>
      <c r="B1829" s="37"/>
      <c r="C1829" s="37"/>
      <c r="D1829" s="37"/>
      <c r="E1829" s="37"/>
      <c r="F1829" s="45"/>
      <c r="K1829" s="3" t="s">
        <v>1167</v>
      </c>
    </row>
    <row r="1830" spans="1:38" ht="18.399999999999999" customHeight="1">
      <c r="A1830" s="41" t="s">
        <v>6232</v>
      </c>
      <c r="B1830" s="37"/>
      <c r="C1830" s="37"/>
      <c r="D1830" s="37"/>
      <c r="E1830" s="37"/>
      <c r="F1830" s="45"/>
      <c r="K1830" s="3" t="s">
        <v>6232</v>
      </c>
    </row>
    <row r="1831" spans="1:38" ht="18.399999999999999" customHeight="1">
      <c r="A1831" s="42" t="str">
        <f>CONCATENATE(" 저압케이블전공 :   0.01331 * _x001D_300,337_x001D_ * 48 m   * 0.80  =",TEXT($AB1831,"#,##0.0"))</f>
        <v xml:space="preserve"> 저압케이블전공 :   0.01331 * _x001D_300,337_x001D_ * 48 m   * 0.80  =155,455.3</v>
      </c>
      <c r="B1831" s="37">
        <f>SUM($C1831,$D1831,$E1831)</f>
        <v>155455.29999999999</v>
      </c>
      <c r="C1831" s="37"/>
      <c r="D1831" s="37">
        <f>$AB1831</f>
        <v>155455.29999999999</v>
      </c>
      <c r="E1831" s="37"/>
      <c r="F1831" s="45" t="s">
        <v>6232</v>
      </c>
      <c r="K1831" s="3" t="s">
        <v>3207</v>
      </c>
      <c r="AA1831" s="40" t="s">
        <v>222</v>
      </c>
      <c r="AB1831" s="8">
        <f>TRUNC(0.01331*노임!D14*48*0.8,1)</f>
        <v>155455.29999999999</v>
      </c>
      <c r="AC1831" s="40" t="s">
        <v>334</v>
      </c>
      <c r="AD1831" s="7">
        <f>$AH1825+$AB1831</f>
        <v>267115.09999999998</v>
      </c>
    </row>
    <row r="1832" spans="1:38" ht="18.399999999999999" customHeight="1">
      <c r="A1832" s="41" t="s">
        <v>6232</v>
      </c>
      <c r="B1832" s="37"/>
      <c r="C1832" s="37"/>
      <c r="D1832" s="37"/>
      <c r="E1832" s="37"/>
      <c r="F1832" s="45"/>
      <c r="K1832" s="3" t="s">
        <v>6232</v>
      </c>
    </row>
    <row r="1833" spans="1:38" ht="18.399999999999999" customHeight="1">
      <c r="A1833" s="42" t="str">
        <f>CONCATENATE(" 보  통  인  부 :   0.01331 * _x001D_169,804_x001D_ * 48 m   * 0.80  =",TEXT($AB1833,"#,##0.0"))</f>
        <v xml:space="preserve"> 보  통  인  부 :   0.01331 * _x001D_169,804_x001D_ * 48 m   * 0.80  =87,944.6</v>
      </c>
      <c r="B1833" s="37">
        <f>SUM($C1833,$D1833,$E1833)</f>
        <v>87944.6</v>
      </c>
      <c r="C1833" s="37"/>
      <c r="D1833" s="37">
        <f>$AB1833</f>
        <v>87944.6</v>
      </c>
      <c r="E1833" s="37"/>
      <c r="F1833" s="45" t="s">
        <v>6232</v>
      </c>
      <c r="K1833" s="3" t="s">
        <v>4230</v>
      </c>
      <c r="AA1833" s="40" t="s">
        <v>222</v>
      </c>
      <c r="AB1833" s="8">
        <f>TRUNC(0.01331*노임!D3*48*0.8,1)</f>
        <v>87944.6</v>
      </c>
      <c r="AC1833" s="40" t="s">
        <v>334</v>
      </c>
      <c r="AD1833" s="7">
        <f>$AD1831+$AB1833</f>
        <v>355059.69999999995</v>
      </c>
    </row>
    <row r="1834" spans="1:38" ht="18.399999999999999" customHeight="1">
      <c r="A1834" s="41" t="s">
        <v>6232</v>
      </c>
      <c r="B1834" s="37"/>
      <c r="C1834" s="37"/>
      <c r="D1834" s="37"/>
      <c r="E1834" s="37"/>
      <c r="F1834" s="45"/>
      <c r="K1834" s="3" t="s">
        <v>6232</v>
      </c>
    </row>
    <row r="1835" spans="1:38" ht="18.399999999999999" customHeight="1">
      <c r="A1835" s="41" t="s">
        <v>4035</v>
      </c>
      <c r="B1835" s="37">
        <v>353299.7</v>
      </c>
      <c r="C1835" s="37"/>
      <c r="D1835" s="37">
        <v>350008.2</v>
      </c>
      <c r="E1835" s="37">
        <v>3291.5</v>
      </c>
      <c r="F1835" s="45"/>
      <c r="K1835" s="3" t="s">
        <v>193</v>
      </c>
    </row>
    <row r="1836" spans="1:38" ht="18.399999999999999" customHeight="1">
      <c r="A1836" s="41" t="s">
        <v>6232</v>
      </c>
      <c r="B1836" s="37">
        <f>SUM($C1836,$D1836,$E1836)</f>
        <v>0</v>
      </c>
      <c r="C1836" s="37">
        <f>$AB1836</f>
        <v>0</v>
      </c>
      <c r="D1836" s="37">
        <f>$AF1836</f>
        <v>0</v>
      </c>
      <c r="E1836" s="37">
        <f>$AJ1836</f>
        <v>0</v>
      </c>
      <c r="F1836" s="45"/>
      <c r="K1836" s="3" t="s">
        <v>3238</v>
      </c>
      <c r="AA1836" s="40" t="s">
        <v>308</v>
      </c>
      <c r="AB1836" s="8">
        <f>ROUND(0,2)</f>
        <v>0</v>
      </c>
      <c r="AC1836" s="40" t="s">
        <v>5000</v>
      </c>
      <c r="AD1836" s="7">
        <f>$AB1836</f>
        <v>0</v>
      </c>
      <c r="AE1836" s="40" t="s">
        <v>4500</v>
      </c>
      <c r="AF1836" s="8">
        <f>ROUND(0,2)</f>
        <v>0</v>
      </c>
      <c r="AG1836" s="40" t="s">
        <v>2603</v>
      </c>
      <c r="AH1836" s="7">
        <f>$AF1836</f>
        <v>0</v>
      </c>
      <c r="AI1836" s="40" t="s">
        <v>5878</v>
      </c>
      <c r="AJ1836" s="8">
        <f>ROUND(0,2)</f>
        <v>0</v>
      </c>
      <c r="AK1836" s="40" t="s">
        <v>787</v>
      </c>
      <c r="AL1836" s="7">
        <f>$AJ1836</f>
        <v>0</v>
      </c>
    </row>
    <row r="1837" spans="1:38" ht="18.399999999999999" customHeight="1">
      <c r="A1837" s="41" t="s">
        <v>4947</v>
      </c>
      <c r="B1837" s="37"/>
      <c r="C1837" s="37"/>
      <c r="D1837" s="37"/>
      <c r="E1837" s="37"/>
      <c r="F1837" s="45"/>
      <c r="K1837" s="3" t="s">
        <v>3894</v>
      </c>
    </row>
    <row r="1838" spans="1:38" ht="18.399999999999999" customHeight="1">
      <c r="A1838" s="41" t="s">
        <v>6232</v>
      </c>
      <c r="B1838" s="37"/>
      <c r="C1838" s="37"/>
      <c r="D1838" s="37"/>
      <c r="E1838" s="37"/>
      <c r="F1838" s="45"/>
      <c r="K1838" s="3" t="s">
        <v>6232</v>
      </c>
    </row>
    <row r="1839" spans="1:38" ht="18.399999999999999" customHeight="1">
      <c r="A1839" s="42" t="str">
        <f>CONCATENATE(" 내선전공 :  0.102 * _x001D_268,915_x001D_ * 4 개   * 0.5 =",TEXT($AB1839,"#,##0.0"))</f>
        <v xml:space="preserve"> 내선전공 :  0.102 * _x001D_268,915_x001D_ * 4 개   * 0.5 =55,829.9</v>
      </c>
      <c r="B1839" s="37">
        <f>SUM($C1839,$D1839,$E1839)</f>
        <v>55829.9</v>
      </c>
      <c r="C1839" s="37"/>
      <c r="D1839" s="37">
        <f>$AB1839</f>
        <v>55829.9</v>
      </c>
      <c r="E1839" s="37"/>
      <c r="F1839" s="45" t="s">
        <v>6232</v>
      </c>
      <c r="K1839" s="3" t="s">
        <v>5122</v>
      </c>
      <c r="AA1839" s="40" t="s">
        <v>4500</v>
      </c>
      <c r="AB1839" s="8">
        <f>TRUNC(0.102*노임!D13*4*0.5,1)</f>
        <v>55829.9</v>
      </c>
      <c r="AC1839" s="40" t="s">
        <v>2603</v>
      </c>
      <c r="AD1839" s="7">
        <f>$AB1839</f>
        <v>55829.9</v>
      </c>
    </row>
    <row r="1840" spans="1:38" ht="18.399999999999999" customHeight="1">
      <c r="A1840" s="41" t="s">
        <v>6232</v>
      </c>
      <c r="B1840" s="37"/>
      <c r="C1840" s="37"/>
      <c r="D1840" s="37"/>
      <c r="E1840" s="37"/>
      <c r="F1840" s="45"/>
      <c r="K1840" s="3" t="s">
        <v>6232</v>
      </c>
    </row>
    <row r="1841" spans="1:38" ht="18.399999999999999" customHeight="1">
      <c r="A1841" s="42" t="str">
        <f>CONCATENATE(" 저압케이블전공 :   0.01331 * _x001D_300,337_x001D_ * 48 m   * 0.80  * 0.5 =",TEXT($AB1841,"#,##0.0"))</f>
        <v xml:space="preserve"> 저압케이블전공 :   0.01331 * _x001D_300,337_x001D_ * 48 m   * 0.80  * 0.5 =77,727.6</v>
      </c>
      <c r="B1841" s="37">
        <f>SUM($C1841,$D1841,$E1841)</f>
        <v>77727.600000000006</v>
      </c>
      <c r="C1841" s="37"/>
      <c r="D1841" s="37">
        <f>$AB1841</f>
        <v>77727.600000000006</v>
      </c>
      <c r="E1841" s="37"/>
      <c r="F1841" s="45" t="s">
        <v>6232</v>
      </c>
      <c r="K1841" s="3" t="s">
        <v>1817</v>
      </c>
      <c r="AA1841" s="40" t="s">
        <v>4500</v>
      </c>
      <c r="AB1841" s="8">
        <f>TRUNC(0.01331*노임!D14*48*0.8*0.5,1)</f>
        <v>77727.600000000006</v>
      </c>
      <c r="AC1841" s="40" t="s">
        <v>2603</v>
      </c>
      <c r="AD1841" s="7">
        <f>$AD1839+$AB1841</f>
        <v>133557.5</v>
      </c>
    </row>
    <row r="1842" spans="1:38" ht="18.399999999999999" customHeight="1">
      <c r="A1842" s="41" t="s">
        <v>6232</v>
      </c>
      <c r="B1842" s="37"/>
      <c r="C1842" s="37"/>
      <c r="D1842" s="37"/>
      <c r="E1842" s="37"/>
      <c r="F1842" s="45"/>
      <c r="K1842" s="3" t="s">
        <v>6232</v>
      </c>
    </row>
    <row r="1843" spans="1:38" ht="18.399999999999999" customHeight="1">
      <c r="A1843" s="42" t="str">
        <f>CONCATENATE(" 보  통  인  부 :   0.01331 * _x001D_169,804_x001D_ * 48 m   * 0.80  * 0.5 =",TEXT($AB1843,"#,##0.0"))</f>
        <v xml:space="preserve"> 보  통  인  부 :   0.01331 * _x001D_169,804_x001D_ * 48 m   * 0.80  * 0.5 =43,972.3</v>
      </c>
      <c r="B1843" s="37">
        <f>SUM($C1843,$D1843,$E1843)</f>
        <v>43972.3</v>
      </c>
      <c r="C1843" s="37"/>
      <c r="D1843" s="37">
        <f>$AB1843</f>
        <v>43972.3</v>
      </c>
      <c r="E1843" s="37"/>
      <c r="F1843" s="45" t="s">
        <v>6232</v>
      </c>
      <c r="K1843" s="3" t="s">
        <v>4764</v>
      </c>
      <c r="AA1843" s="40" t="s">
        <v>4500</v>
      </c>
      <c r="AB1843" s="8">
        <f>TRUNC(0.01331*노임!D3*48*0.8*0.5,1)</f>
        <v>43972.3</v>
      </c>
      <c r="AC1843" s="40" t="s">
        <v>2603</v>
      </c>
      <c r="AD1843" s="7">
        <f>$AD1841+$AB1843</f>
        <v>177529.8</v>
      </c>
    </row>
    <row r="1844" spans="1:38" ht="18.399999999999999" customHeight="1">
      <c r="A1844" s="41" t="s">
        <v>6232</v>
      </c>
      <c r="B1844" s="37"/>
      <c r="C1844" s="37"/>
      <c r="D1844" s="37"/>
      <c r="E1844" s="37"/>
      <c r="F1844" s="45"/>
      <c r="K1844" s="3" t="s">
        <v>6232</v>
      </c>
    </row>
    <row r="1845" spans="1:38" ht="18.399999999999999" customHeight="1">
      <c r="A1845" s="41" t="s">
        <v>4035</v>
      </c>
      <c r="B1845" s="37">
        <v>175004</v>
      </c>
      <c r="C1845" s="37"/>
      <c r="D1845" s="37">
        <v>175004</v>
      </c>
      <c r="E1845" s="37"/>
      <c r="F1845" s="45"/>
      <c r="K1845" s="3" t="s">
        <v>3724</v>
      </c>
    </row>
    <row r="1846" spans="1:38" ht="18.399999999999999" customHeight="1">
      <c r="A1846" s="41" t="s">
        <v>6232</v>
      </c>
      <c r="B1846" s="37">
        <f>SUM($C1846,$D1846,$E1846)</f>
        <v>0</v>
      </c>
      <c r="C1846" s="37">
        <f>$AB1846</f>
        <v>0</v>
      </c>
      <c r="D1846" s="37">
        <f>$AF1846</f>
        <v>0</v>
      </c>
      <c r="E1846" s="37">
        <f>$AJ1846</f>
        <v>0</v>
      </c>
      <c r="F1846" s="45"/>
      <c r="K1846" s="3" t="s">
        <v>1503</v>
      </c>
      <c r="AA1846" s="40" t="s">
        <v>744</v>
      </c>
      <c r="AB1846" s="8">
        <f>ROUND(0,2)</f>
        <v>0</v>
      </c>
      <c r="AC1846" s="40" t="s">
        <v>2874</v>
      </c>
      <c r="AD1846" s="7">
        <f>$AB1846</f>
        <v>0</v>
      </c>
      <c r="AE1846" s="40" t="s">
        <v>4158</v>
      </c>
      <c r="AF1846" s="8">
        <f>ROUND(0,2)</f>
        <v>0</v>
      </c>
      <c r="AG1846" s="40" t="s">
        <v>5097</v>
      </c>
      <c r="AH1846" s="7">
        <f>$AF1846</f>
        <v>0</v>
      </c>
      <c r="AI1846" s="40" t="s">
        <v>5498</v>
      </c>
      <c r="AJ1846" s="8">
        <f>ROUND(0,2)</f>
        <v>0</v>
      </c>
      <c r="AK1846" s="40" t="s">
        <v>3707</v>
      </c>
      <c r="AL1846" s="7">
        <f>$AJ1846</f>
        <v>0</v>
      </c>
    </row>
    <row r="1847" spans="1:38" ht="18.399999999999999" customHeight="1">
      <c r="A1847" s="41" t="s">
        <v>50</v>
      </c>
      <c r="B1847" s="37"/>
      <c r="C1847" s="37"/>
      <c r="D1847" s="37"/>
      <c r="E1847" s="37"/>
      <c r="F1847" s="45"/>
      <c r="K1847" s="3" t="s">
        <v>3273</v>
      </c>
    </row>
    <row r="1848" spans="1:38" ht="18.399999999999999" customHeight="1">
      <c r="A1848" s="41" t="s">
        <v>6232</v>
      </c>
      <c r="B1848" s="37"/>
      <c r="C1848" s="37"/>
      <c r="D1848" s="37"/>
      <c r="E1848" s="37"/>
      <c r="F1848" s="45"/>
      <c r="K1848" s="3" t="s">
        <v>6232</v>
      </c>
    </row>
    <row r="1849" spans="1:38" ht="18.399999999999999" customHeight="1">
      <c r="A1849" s="42" t="str">
        <f>CONCATENATE(" 600V - 150mm2 - 1C:  _x001D_47,676_x001D_ * 48 m   * 0.015 =",TEXT($AB1849,"#,##0.0"))</f>
        <v xml:space="preserve"> 600V - 150mm2 - 1C:  _x001D_47,676_x001D_ * 48 m   * 0.015 =34,326.7</v>
      </c>
      <c r="B1849" s="37">
        <f>SUM($C1849,$D1849,$E1849)</f>
        <v>34326.699999999997</v>
      </c>
      <c r="C1849" s="37">
        <f>$AB1849</f>
        <v>34326.699999999997</v>
      </c>
      <c r="D1849" s="37"/>
      <c r="E1849" s="37"/>
      <c r="F1849" s="45" t="s">
        <v>6232</v>
      </c>
      <c r="K1849" s="3" t="s">
        <v>5195</v>
      </c>
      <c r="AA1849" s="40" t="s">
        <v>744</v>
      </c>
      <c r="AB1849" s="8">
        <f>TRUNC(자재조서!E37*48*0.015,1)</f>
        <v>34326.699999999997</v>
      </c>
      <c r="AC1849" s="40" t="s">
        <v>2874</v>
      </c>
      <c r="AD1849" s="7">
        <f>$AB1849</f>
        <v>34326.699999999997</v>
      </c>
    </row>
    <row r="1850" spans="1:38" ht="18.399999999999999" customHeight="1">
      <c r="A1850" s="41" t="s">
        <v>6232</v>
      </c>
      <c r="B1850" s="37"/>
      <c r="C1850" s="37"/>
      <c r="D1850" s="37"/>
      <c r="E1850" s="37"/>
      <c r="F1850" s="45"/>
      <c r="K1850" s="3" t="s">
        <v>6232</v>
      </c>
    </row>
    <row r="1851" spans="1:38" ht="18.399999999999999" customHeight="1">
      <c r="A1851" s="41" t="s">
        <v>4035</v>
      </c>
      <c r="B1851" s="37">
        <v>34326.699999999997</v>
      </c>
      <c r="C1851" s="37">
        <v>34326.699999999997</v>
      </c>
      <c r="D1851" s="37"/>
      <c r="E1851" s="37"/>
      <c r="F1851" s="45"/>
      <c r="K1851" s="3" t="s">
        <v>5749</v>
      </c>
    </row>
    <row r="1852" spans="1:38" ht="18.399999999999999" customHeight="1">
      <c r="A1852" s="41" t="s">
        <v>6232</v>
      </c>
      <c r="B1852" s="37">
        <f>SUM($C1852,$D1852,$E1852)</f>
        <v>0</v>
      </c>
      <c r="C1852" s="37">
        <f>$AB1852</f>
        <v>0</v>
      </c>
      <c r="D1852" s="37">
        <f>$AF1852</f>
        <v>0</v>
      </c>
      <c r="E1852" s="37">
        <f>$AJ1852</f>
        <v>0</v>
      </c>
      <c r="F1852" s="45"/>
      <c r="K1852" s="3" t="s">
        <v>2167</v>
      </c>
      <c r="AA1852" s="40" t="s">
        <v>4241</v>
      </c>
      <c r="AB1852" s="8">
        <f>ROUND(0,2)</f>
        <v>0</v>
      </c>
      <c r="AC1852" s="40" t="s">
        <v>433</v>
      </c>
      <c r="AD1852" s="7">
        <f>$AB1852</f>
        <v>0</v>
      </c>
      <c r="AE1852" s="40" t="s">
        <v>650</v>
      </c>
      <c r="AF1852" s="8">
        <f>ROUND(0,2)</f>
        <v>0</v>
      </c>
      <c r="AG1852" s="40" t="s">
        <v>4441</v>
      </c>
      <c r="AH1852" s="7">
        <f>$AF1852</f>
        <v>0</v>
      </c>
      <c r="AI1852" s="40" t="s">
        <v>1969</v>
      </c>
      <c r="AJ1852" s="8">
        <f>ROUND(0,2)</f>
        <v>0</v>
      </c>
      <c r="AK1852" s="40" t="s">
        <v>6153</v>
      </c>
      <c r="AL1852" s="7">
        <f>$AJ1852</f>
        <v>0</v>
      </c>
    </row>
    <row r="1853" spans="1:38" ht="18.399999999999999" customHeight="1">
      <c r="A1853" s="41" t="s">
        <v>520</v>
      </c>
      <c r="B1853" s="37"/>
      <c r="C1853" s="37"/>
      <c r="D1853" s="37"/>
      <c r="E1853" s="37"/>
      <c r="F1853" s="45"/>
      <c r="K1853" s="3" t="s">
        <v>2413</v>
      </c>
    </row>
    <row r="1854" spans="1:38" ht="18.399999999999999" customHeight="1">
      <c r="A1854" s="41" t="s">
        <v>6232</v>
      </c>
      <c r="B1854" s="37"/>
      <c r="C1854" s="37"/>
      <c r="D1854" s="37"/>
      <c r="E1854" s="37"/>
      <c r="F1854" s="45"/>
      <c r="K1854" s="3" t="s">
        <v>6232</v>
      </c>
    </row>
    <row r="1855" spans="1:38" ht="18.399999999999999" customHeight="1">
      <c r="A1855" s="42" t="str">
        <f>CONCATENATE("  _x001D_150,000_x001D_ * 2  회   =",TEXT($AB1855,"#,##0.0"))</f>
        <v xml:space="preserve">  _x001D_150,000_x001D_ * 2  회   =300,000.0</v>
      </c>
      <c r="B1855" s="37">
        <f>SUM($C1855,$D1855,$E1855)</f>
        <v>300000</v>
      </c>
      <c r="C1855" s="37"/>
      <c r="D1855" s="37"/>
      <c r="E1855" s="37">
        <f>$AB1855</f>
        <v>300000</v>
      </c>
      <c r="F1855" s="45" t="s">
        <v>6232</v>
      </c>
      <c r="K1855" s="3" t="s">
        <v>2208</v>
      </c>
      <c r="AA1855" s="40" t="s">
        <v>1969</v>
      </c>
      <c r="AB1855" s="8">
        <f>TRUNC((경비!D3+경비!E3+경비!F3)*2,1)</f>
        <v>300000</v>
      </c>
      <c r="AC1855" s="40" t="s">
        <v>6153</v>
      </c>
      <c r="AD1855" s="7">
        <f>$AB1855</f>
        <v>300000</v>
      </c>
    </row>
    <row r="1856" spans="1:38" ht="18.399999999999999" customHeight="1">
      <c r="A1856" s="41" t="s">
        <v>4035</v>
      </c>
      <c r="B1856" s="37">
        <v>300000</v>
      </c>
      <c r="C1856" s="37"/>
      <c r="D1856" s="37"/>
      <c r="E1856" s="37">
        <v>300000</v>
      </c>
      <c r="F1856" s="45"/>
      <c r="K1856" s="3" t="s">
        <v>3012</v>
      </c>
    </row>
    <row r="1857" spans="1:38" ht="18.399999999999999" customHeight="1">
      <c r="A1857" s="41" t="s">
        <v>6232</v>
      </c>
      <c r="B1857" s="37"/>
      <c r="C1857" s="37"/>
      <c r="D1857" s="37"/>
      <c r="E1857" s="37"/>
      <c r="F1857" s="45"/>
      <c r="K1857" s="3" t="s">
        <v>6232</v>
      </c>
    </row>
    <row r="1858" spans="1:38" ht="18.399999999999999" customHeight="1">
      <c r="A1858" s="41" t="s">
        <v>2279</v>
      </c>
      <c r="B1858" s="37">
        <f>SUM($C1858,$D1858,$E1858)</f>
        <v>939429.9</v>
      </c>
      <c r="C1858" s="37">
        <f>$AB1858</f>
        <v>34326.699999999997</v>
      </c>
      <c r="D1858" s="37">
        <f>$AF1858</f>
        <v>549796.30000000005</v>
      </c>
      <c r="E1858" s="37">
        <f>$AJ1858</f>
        <v>355306.9</v>
      </c>
      <c r="F1858" s="45"/>
      <c r="K1858" s="3" t="s">
        <v>758</v>
      </c>
      <c r="AA1858" s="40" t="s">
        <v>4592</v>
      </c>
      <c r="AB1858" s="8">
        <f>TRUNC($AD1811+$AD1820+$AD1836+$AD1849+$AD1852,1)</f>
        <v>34326.699999999997</v>
      </c>
      <c r="AC1858" s="40" t="s">
        <v>5149</v>
      </c>
      <c r="AD1858" s="7">
        <f>$AB1858</f>
        <v>34326.699999999997</v>
      </c>
      <c r="AE1858" s="40" t="s">
        <v>666</v>
      </c>
      <c r="AF1858" s="8">
        <f>TRUNC($AD1817+$AD1833+$AD1843+$AH1846+$AH1852,1)</f>
        <v>549796.30000000005</v>
      </c>
      <c r="AG1858" s="40" t="s">
        <v>2431</v>
      </c>
      <c r="AH1858" s="7">
        <f>$AF1858</f>
        <v>549796.30000000005</v>
      </c>
      <c r="AI1858" s="40" t="s">
        <v>1930</v>
      </c>
      <c r="AJ1858" s="8">
        <f>TRUNC($AD1815+$AH1827+$AL1836+$AL1846+$AD1855,1)</f>
        <v>355306.9</v>
      </c>
      <c r="AK1858" s="40" t="s">
        <v>3349</v>
      </c>
      <c r="AL1858" s="7">
        <f>$AJ1858</f>
        <v>355306.9</v>
      </c>
    </row>
    <row r="1859" spans="1:38" ht="18.399999999999999" customHeight="1">
      <c r="A1859" s="41"/>
      <c r="B1859" s="3"/>
      <c r="C1859" s="3"/>
      <c r="D1859" s="3"/>
      <c r="E1859" s="3"/>
      <c r="F1859" s="44"/>
    </row>
    <row r="1860" spans="1:38" ht="18.399999999999999" customHeight="1">
      <c r="A1860" s="43" t="s">
        <v>3543</v>
      </c>
      <c r="B1860" s="38">
        <f>SUM($C1860,$D1860,$E1860)</f>
        <v>939428</v>
      </c>
      <c r="C1860" s="38">
        <f>TRUNC(SUM($AD1858),0)</f>
        <v>34326</v>
      </c>
      <c r="D1860" s="38">
        <f>TRUNC(SUM($AH1858),0)</f>
        <v>549796</v>
      </c>
      <c r="E1860" s="38">
        <f>TRUNC(SUM($AL1858),0)</f>
        <v>355306</v>
      </c>
      <c r="F1860" s="46"/>
    </row>
    <row r="1861" spans="1:38" ht="18.399999999999999" customHeight="1">
      <c r="A1861" s="41"/>
      <c r="B1861" s="3"/>
      <c r="C1861" s="3"/>
      <c r="D1861" s="3"/>
      <c r="E1861" s="3"/>
      <c r="F1861" s="44"/>
    </row>
    <row r="1862" spans="1:38" ht="18.399999999999999" customHeight="1">
      <c r="A1862" s="41" t="s">
        <v>1748</v>
      </c>
      <c r="B1862" s="36">
        <f>$B1933</f>
        <v>1544277</v>
      </c>
      <c r="C1862" s="36">
        <f>$C1933</f>
        <v>68653</v>
      </c>
      <c r="D1862" s="36">
        <f>$D1933</f>
        <v>1090989</v>
      </c>
      <c r="E1862" s="36">
        <f>$E1933</f>
        <v>384635</v>
      </c>
      <c r="F1862" s="44" t="s">
        <v>5957</v>
      </c>
      <c r="G1862" t="s">
        <v>6232</v>
      </c>
      <c r="H1862" t="s">
        <v>390</v>
      </c>
      <c r="K1862">
        <v>1</v>
      </c>
      <c r="Y1862" s="7" t="b">
        <f>EXACT($Z1862,$B1933)</f>
        <v>0</v>
      </c>
      <c r="Z1862" s="38">
        <v>1526695</v>
      </c>
    </row>
    <row r="1863" spans="1:38" ht="18.399999999999999" customHeight="1">
      <c r="A1863" s="41"/>
      <c r="B1863" s="3"/>
      <c r="C1863" s="3"/>
      <c r="D1863" s="3"/>
      <c r="E1863" s="3"/>
      <c r="F1863" s="44"/>
    </row>
    <row r="1864" spans="1:38" ht="18.399999999999999" customHeight="1">
      <c r="A1864" s="41" t="s">
        <v>6232</v>
      </c>
      <c r="B1864" s="3"/>
      <c r="C1864" s="3"/>
      <c r="D1864" s="3"/>
      <c r="E1864" s="3"/>
      <c r="F1864" s="44"/>
      <c r="G1864" t="s">
        <v>6232</v>
      </c>
      <c r="I1864" t="s">
        <v>742</v>
      </c>
      <c r="J1864" t="s">
        <v>6232</v>
      </c>
      <c r="K1864" t="s">
        <v>5235</v>
      </c>
    </row>
    <row r="1865" spans="1:38" ht="18.399999999999999" customHeight="1">
      <c r="A1865" s="41" t="s">
        <v>6232</v>
      </c>
      <c r="B1865" s="37">
        <f>SUM($C1865,$D1865,$E1865)</f>
        <v>0</v>
      </c>
      <c r="C1865" s="37">
        <f>$AB1865</f>
        <v>0</v>
      </c>
      <c r="D1865" s="37">
        <f>$AF1865</f>
        <v>0</v>
      </c>
      <c r="E1865" s="37">
        <f>$AJ1865</f>
        <v>0</v>
      </c>
      <c r="F1865" s="45"/>
      <c r="K1865" s="3" t="s">
        <v>3494</v>
      </c>
      <c r="AA1865" s="40" t="s">
        <v>3919</v>
      </c>
      <c r="AB1865" s="8">
        <f>ROUND(0,2)</f>
        <v>0</v>
      </c>
      <c r="AC1865" s="40" t="s">
        <v>5259</v>
      </c>
      <c r="AD1865" s="7">
        <f>$AB1865</f>
        <v>0</v>
      </c>
      <c r="AE1865" s="40" t="s">
        <v>526</v>
      </c>
      <c r="AF1865" s="8">
        <f>ROUND(0,2)</f>
        <v>0</v>
      </c>
      <c r="AG1865" s="40" t="s">
        <v>2997</v>
      </c>
      <c r="AH1865" s="7">
        <f>$AF1865</f>
        <v>0</v>
      </c>
      <c r="AI1865" s="40" t="s">
        <v>2260</v>
      </c>
      <c r="AJ1865" s="8">
        <f>ROUND(0,2)</f>
        <v>0</v>
      </c>
      <c r="AK1865" s="40" t="s">
        <v>1293</v>
      </c>
      <c r="AL1865" s="7">
        <f>$AJ1865</f>
        <v>0</v>
      </c>
    </row>
    <row r="1866" spans="1:38" ht="18.399999999999999" customHeight="1">
      <c r="A1866" s="41" t="s">
        <v>6232</v>
      </c>
      <c r="B1866" s="37"/>
      <c r="C1866" s="37"/>
      <c r="D1866" s="37"/>
      <c r="E1866" s="37"/>
      <c r="F1866" s="45"/>
      <c r="K1866" s="3" t="s">
        <v>6232</v>
      </c>
    </row>
    <row r="1867" spans="1:38" ht="18.399999999999999" customHeight="1">
      <c r="A1867" s="41" t="s">
        <v>3165</v>
      </c>
      <c r="B1867" s="37"/>
      <c r="C1867" s="37"/>
      <c r="D1867" s="37"/>
      <c r="E1867" s="37"/>
      <c r="F1867" s="45"/>
      <c r="K1867" s="3" t="s">
        <v>3264</v>
      </c>
    </row>
    <row r="1868" spans="1:38" ht="18.399999999999999" customHeight="1">
      <c r="A1868" s="41" t="s">
        <v>6232</v>
      </c>
      <c r="B1868" s="37">
        <f>SUM($C1868,$D1868,$E1868)</f>
        <v>0</v>
      </c>
      <c r="C1868" s="37">
        <f>$AB1868</f>
        <v>0</v>
      </c>
      <c r="D1868" s="37">
        <f>$AF1868</f>
        <v>0</v>
      </c>
      <c r="E1868" s="37">
        <f>$AJ1868</f>
        <v>0</v>
      </c>
      <c r="F1868" s="45"/>
      <c r="K1868" s="3" t="s">
        <v>295</v>
      </c>
      <c r="AA1868" s="40" t="s">
        <v>2660</v>
      </c>
      <c r="AB1868" s="8">
        <f>ROUND(0,2)</f>
        <v>0</v>
      </c>
      <c r="AC1868" s="40" t="s">
        <v>1650</v>
      </c>
      <c r="AD1868" s="7">
        <f>$AB1868</f>
        <v>0</v>
      </c>
      <c r="AE1868" s="40" t="s">
        <v>5305</v>
      </c>
      <c r="AF1868" s="8">
        <f>ROUND(0,2)</f>
        <v>0</v>
      </c>
      <c r="AG1868" s="40" t="s">
        <v>5439</v>
      </c>
      <c r="AH1868" s="7">
        <f>$AF1868</f>
        <v>0</v>
      </c>
      <c r="AI1868" s="40" t="s">
        <v>3519</v>
      </c>
      <c r="AJ1868" s="8">
        <f>ROUND(0,2)</f>
        <v>0</v>
      </c>
      <c r="AK1868" s="40" t="s">
        <v>4149</v>
      </c>
      <c r="AL1868" s="7">
        <f>$AJ1868</f>
        <v>0</v>
      </c>
    </row>
    <row r="1869" spans="1:38" ht="18.399999999999999" customHeight="1">
      <c r="A1869" s="41" t="s">
        <v>6232</v>
      </c>
      <c r="B1869" s="37"/>
      <c r="C1869" s="37"/>
      <c r="D1869" s="37"/>
      <c r="E1869" s="37"/>
      <c r="F1869" s="45"/>
      <c r="K1869" s="3" t="s">
        <v>6232</v>
      </c>
    </row>
    <row r="1870" spans="1:38" ht="18.399999999999999" customHeight="1">
      <c r="A1870" s="41" t="s">
        <v>2566</v>
      </c>
      <c r="B1870" s="37"/>
      <c r="C1870" s="37"/>
      <c r="D1870" s="37"/>
      <c r="E1870" s="37"/>
      <c r="F1870" s="45"/>
      <c r="K1870" s="3" t="s">
        <v>4353</v>
      </c>
    </row>
    <row r="1871" spans="1:38" ht="18.399999999999999" customHeight="1">
      <c r="A1871" s="41" t="s">
        <v>126</v>
      </c>
      <c r="B1871" s="37"/>
      <c r="C1871" s="37"/>
      <c r="D1871" s="37"/>
      <c r="E1871" s="37"/>
      <c r="F1871" s="45"/>
      <c r="K1871" s="3" t="s">
        <v>2989</v>
      </c>
    </row>
    <row r="1872" spans="1:38" ht="18.399999999999999" customHeight="1">
      <c r="A1872" s="41" t="s">
        <v>1102</v>
      </c>
      <c r="B1872" s="37"/>
      <c r="C1872" s="37"/>
      <c r="D1872" s="37"/>
      <c r="E1872" s="37"/>
      <c r="F1872" s="45"/>
      <c r="K1872" s="3" t="s">
        <v>1797</v>
      </c>
    </row>
    <row r="1873" spans="1:34" ht="18.399999999999999" customHeight="1">
      <c r="A1873" s="41" t="s">
        <v>907</v>
      </c>
      <c r="B1873" s="37"/>
      <c r="C1873" s="37"/>
      <c r="D1873" s="37"/>
      <c r="E1873" s="37"/>
      <c r="F1873" s="45"/>
      <c r="K1873" s="3" t="s">
        <v>5470</v>
      </c>
    </row>
    <row r="1874" spans="1:34" ht="18.399999999999999" customHeight="1">
      <c r="A1874" s="41" t="s">
        <v>138</v>
      </c>
      <c r="B1874" s="37"/>
      <c r="C1874" s="37"/>
      <c r="D1874" s="37"/>
      <c r="E1874" s="37"/>
      <c r="F1874" s="45"/>
      <c r="K1874" s="3" t="s">
        <v>4856</v>
      </c>
    </row>
    <row r="1875" spans="1:34" ht="18.399999999999999" customHeight="1">
      <c r="A1875" s="41" t="s">
        <v>2713</v>
      </c>
      <c r="B1875" s="37"/>
      <c r="C1875" s="37"/>
      <c r="D1875" s="37"/>
      <c r="E1875" s="37"/>
      <c r="F1875" s="45"/>
      <c r="K1875" s="3" t="s">
        <v>5855</v>
      </c>
    </row>
    <row r="1876" spans="1:34" ht="18.399999999999999" customHeight="1">
      <c r="A1876" s="41" t="s">
        <v>1340</v>
      </c>
      <c r="B1876" s="37"/>
      <c r="C1876" s="37"/>
      <c r="D1876" s="37"/>
      <c r="E1876" s="37"/>
      <c r="F1876" s="45"/>
      <c r="K1876" s="3" t="s">
        <v>3317</v>
      </c>
    </row>
    <row r="1877" spans="1:34" ht="18.399999999999999" customHeight="1">
      <c r="A1877" s="41" t="s">
        <v>6232</v>
      </c>
      <c r="B1877" s="37"/>
      <c r="C1877" s="37"/>
      <c r="D1877" s="37"/>
      <c r="E1877" s="37"/>
      <c r="F1877" s="45"/>
      <c r="K1877" s="3" t="s">
        <v>6232</v>
      </c>
    </row>
    <row r="1878" spans="1:34" ht="18.399999999999999" customHeight="1">
      <c r="A1878" s="41" t="s">
        <v>3802</v>
      </c>
      <c r="B1878" s="37"/>
      <c r="C1878" s="37"/>
      <c r="D1878" s="37"/>
      <c r="E1878" s="37"/>
      <c r="F1878" s="45"/>
      <c r="K1878" s="3" t="s">
        <v>449</v>
      </c>
    </row>
    <row r="1879" spans="1:34" ht="18.399999999999999" customHeight="1">
      <c r="A1879" s="41" t="s">
        <v>6232</v>
      </c>
      <c r="B1879" s="37"/>
      <c r="C1879" s="37"/>
      <c r="D1879" s="37"/>
      <c r="E1879" s="37"/>
      <c r="F1879" s="45"/>
      <c r="K1879" s="3" t="s">
        <v>6232</v>
      </c>
    </row>
    <row r="1880" spans="1:34" ht="18.399999999999999" customHeight="1">
      <c r="A1880" s="42" t="str">
        <f>CONCATENATE("Q = 6 분/회   * 2 회  * 3 대   = ",TEXT($AF1880,"#,##0.00")," 분 ")</f>
        <v xml:space="preserve">Q = 6 분/회   * 2 회  * 3 대   = 36.00 분 </v>
      </c>
      <c r="B1880" s="37">
        <f>SUM($C1880,$D1880,$E1880)</f>
        <v>0</v>
      </c>
      <c r="C1880" s="37"/>
      <c r="D1880" s="37"/>
      <c r="E1880" s="37"/>
      <c r="F1880" s="45"/>
      <c r="K1880" s="3" t="s">
        <v>60</v>
      </c>
      <c r="AA1880" s="39" t="s">
        <v>1162</v>
      </c>
      <c r="AB1880" s="8">
        <f>ROUND(6*2*3,2)</f>
        <v>36</v>
      </c>
      <c r="AC1880" s="39" t="s">
        <v>4337</v>
      </c>
      <c r="AD1880" s="7">
        <f>$AB1880</f>
        <v>36</v>
      </c>
      <c r="AE1880" s="39" t="s">
        <v>3412</v>
      </c>
      <c r="AF1880" s="8">
        <f>ROUND(ROUND(6*2*3,2),2)</f>
        <v>36</v>
      </c>
      <c r="AG1880" s="39" t="s">
        <v>4148</v>
      </c>
      <c r="AH1880" s="7">
        <f>$AF1880</f>
        <v>36</v>
      </c>
    </row>
    <row r="1881" spans="1:34" ht="18.399999999999999" customHeight="1">
      <c r="A1881" s="41" t="s">
        <v>6232</v>
      </c>
      <c r="B1881" s="37"/>
      <c r="C1881" s="37"/>
      <c r="D1881" s="37"/>
      <c r="E1881" s="37"/>
      <c r="F1881" s="45"/>
      <c r="K1881" s="3" t="s">
        <v>6232</v>
      </c>
    </row>
    <row r="1882" spans="1:34" ht="18.399999999999999" customHeight="1">
      <c r="A1882" s="41" t="s">
        <v>2188</v>
      </c>
      <c r="B1882" s="37"/>
      <c r="C1882" s="37"/>
      <c r="D1882" s="37"/>
      <c r="E1882" s="37"/>
      <c r="F1882" s="45"/>
      <c r="K1882" s="3" t="s">
        <v>462</v>
      </c>
    </row>
    <row r="1883" spans="1:34" ht="18.399999999999999" customHeight="1">
      <c r="A1883" s="41" t="s">
        <v>6232</v>
      </c>
      <c r="B1883" s="37"/>
      <c r="C1883" s="37"/>
      <c r="D1883" s="37"/>
      <c r="E1883" s="37"/>
      <c r="F1883" s="45"/>
      <c r="K1883" s="3" t="s">
        <v>6232</v>
      </c>
    </row>
    <row r="1884" spans="1:34" ht="18.399999999999999" customHeight="1">
      <c r="A1884" s="42" t="str">
        <f>CONCATENATE(" 재료비:  _x001D_11,415_x001D_ / (60 / Q) =",TEXT($AB1884,"#,##0.0"))</f>
        <v xml:space="preserve"> 재료비:  _x001D_11,415_x001D_ / (60 / Q) =0.0</v>
      </c>
      <c r="B1884" s="37">
        <f>SUM($C1884,$D1884,$E1884)</f>
        <v>0</v>
      </c>
      <c r="C1884" s="37">
        <f>$AB1884</f>
        <v>0</v>
      </c>
      <c r="D1884" s="37"/>
      <c r="E1884" s="37"/>
      <c r="F1884" s="45" t="s">
        <v>6232</v>
      </c>
      <c r="K1884" s="3" t="s">
        <v>6092</v>
      </c>
      <c r="AA1884" s="40" t="s">
        <v>2660</v>
      </c>
      <c r="AB1884" s="8">
        <f>TRUNC(중기사용료목록!E6/(60/$AD1880),1)</f>
        <v>0</v>
      </c>
      <c r="AC1884" s="40" t="s">
        <v>1650</v>
      </c>
      <c r="AD1884" s="7">
        <f>$AB1884</f>
        <v>0</v>
      </c>
    </row>
    <row r="1885" spans="1:34" ht="18.399999999999999" customHeight="1">
      <c r="A1885" s="41" t="s">
        <v>6232</v>
      </c>
      <c r="B1885" s="37"/>
      <c r="C1885" s="37"/>
      <c r="D1885" s="37"/>
      <c r="E1885" s="37"/>
      <c r="F1885" s="45"/>
      <c r="K1885" s="3" t="s">
        <v>6232</v>
      </c>
    </row>
    <row r="1886" spans="1:34" ht="18.399999999999999" customHeight="1">
      <c r="A1886" s="42" t="str">
        <f>CONCATENATE(" 노무비:  _x001D_57,077_x001D_ / (60 / Q) =",TEXT($AB1886,"#,##0.0"))</f>
        <v xml:space="preserve"> 노무비:  _x001D_57,077_x001D_ / (60 / Q) =0.0</v>
      </c>
      <c r="B1886" s="37">
        <f>SUM($C1886,$D1886,$E1886)</f>
        <v>0</v>
      </c>
      <c r="C1886" s="37"/>
      <c r="D1886" s="37">
        <f>$AB1886</f>
        <v>0</v>
      </c>
      <c r="E1886" s="37"/>
      <c r="F1886" s="45" t="s">
        <v>6232</v>
      </c>
      <c r="K1886" s="3" t="s">
        <v>3085</v>
      </c>
      <c r="AA1886" s="40" t="s">
        <v>5305</v>
      </c>
      <c r="AB1886" s="8">
        <f>TRUNC(중기사용료목록!F6/(60/$AD1880),1)</f>
        <v>0</v>
      </c>
      <c r="AC1886" s="40" t="s">
        <v>5439</v>
      </c>
      <c r="AD1886" s="7">
        <f>$AB1886</f>
        <v>0</v>
      </c>
    </row>
    <row r="1887" spans="1:34" ht="18.399999999999999" customHeight="1">
      <c r="A1887" s="41" t="s">
        <v>6232</v>
      </c>
      <c r="B1887" s="37"/>
      <c r="C1887" s="37"/>
      <c r="D1887" s="37"/>
      <c r="E1887" s="37"/>
      <c r="F1887" s="45"/>
      <c r="K1887" s="3" t="s">
        <v>6232</v>
      </c>
    </row>
    <row r="1888" spans="1:34" ht="18.399999999999999" customHeight="1">
      <c r="A1888" s="42" t="str">
        <f>CONCATENATE(" 경  비:  _x001D_58,116_x001D_ / (60 / Q) =",TEXT($AB1888,"#,##0.0"))</f>
        <v xml:space="preserve"> 경  비:  _x001D_58,116_x001D_ / (60 / Q) =77,935.8</v>
      </c>
      <c r="B1888" s="37">
        <f>SUM($C1888,$D1888,$E1888)</f>
        <v>77935.8</v>
      </c>
      <c r="C1888" s="37"/>
      <c r="D1888" s="37"/>
      <c r="E1888" s="37">
        <f>$AB1888</f>
        <v>77935.8</v>
      </c>
      <c r="F1888" s="45" t="s">
        <v>6232</v>
      </c>
      <c r="K1888" s="3" t="s">
        <v>5290</v>
      </c>
      <c r="AA1888" s="40" t="s">
        <v>3519</v>
      </c>
      <c r="AB1888" s="8">
        <f>TRUNC(중기사용료목록!G6/(60/$AD1880),1)</f>
        <v>77935.8</v>
      </c>
      <c r="AC1888" s="40" t="s">
        <v>4149</v>
      </c>
      <c r="AD1888" s="7">
        <f>$AB1888</f>
        <v>77935.8</v>
      </c>
    </row>
    <row r="1889" spans="1:38" ht="18.399999999999999" customHeight="1">
      <c r="A1889" s="41" t="s">
        <v>6232</v>
      </c>
      <c r="B1889" s="37"/>
      <c r="C1889" s="37"/>
      <c r="D1889" s="37"/>
      <c r="E1889" s="37"/>
      <c r="F1889" s="45"/>
      <c r="K1889" s="3" t="s">
        <v>6232</v>
      </c>
    </row>
    <row r="1890" spans="1:38" ht="18.399999999999999" customHeight="1">
      <c r="A1890" s="42" t="str">
        <f>CONCATENATE(" 보통인부 :  _x001D_169,804_x001D_ * 2 / (60 / Q) * (1/8) =",TEXT($AB1890,"#,##0.0"))</f>
        <v xml:space="preserve"> 보통인부 :  _x001D_169,804_x001D_ * 2 / (60 / Q) * (1/8) =25,810.2</v>
      </c>
      <c r="B1890" s="37">
        <f>SUM($C1890,$D1890,$E1890)</f>
        <v>25810.2</v>
      </c>
      <c r="C1890" s="37"/>
      <c r="D1890" s="37">
        <f>$AB1890</f>
        <v>25810.2</v>
      </c>
      <c r="E1890" s="37"/>
      <c r="F1890" s="45" t="s">
        <v>6232</v>
      </c>
      <c r="K1890" s="3" t="s">
        <v>5361</v>
      </c>
      <c r="AA1890" s="40" t="s">
        <v>5305</v>
      </c>
      <c r="AB1890" s="8">
        <f>TRUNC(노임!D3*2/(60/$AD1880)*(1/8),1)</f>
        <v>25810.2</v>
      </c>
      <c r="AC1890" s="40" t="s">
        <v>5439</v>
      </c>
      <c r="AD1890" s="7">
        <f>$AD1886+$AB1890</f>
        <v>25810.2</v>
      </c>
    </row>
    <row r="1891" spans="1:38" ht="18.399999999999999" customHeight="1">
      <c r="A1891" s="41" t="s">
        <v>6232</v>
      </c>
      <c r="B1891" s="37"/>
      <c r="C1891" s="37"/>
      <c r="D1891" s="37"/>
      <c r="E1891" s="37"/>
      <c r="F1891" s="45"/>
      <c r="K1891" s="3" t="s">
        <v>6232</v>
      </c>
    </row>
    <row r="1892" spans="1:38" ht="18.399999999999999" customHeight="1">
      <c r="A1892" s="41" t="s">
        <v>4035</v>
      </c>
      <c r="B1892" s="37">
        <v>101435.40000000001</v>
      </c>
      <c r="C1892" s="37">
        <v>6849</v>
      </c>
      <c r="D1892" s="37">
        <v>59716.800000000003</v>
      </c>
      <c r="E1892" s="37">
        <v>34869.599999999999</v>
      </c>
      <c r="F1892" s="45"/>
      <c r="K1892" s="3" t="s">
        <v>6070</v>
      </c>
    </row>
    <row r="1893" spans="1:38" ht="18.399999999999999" customHeight="1">
      <c r="A1893" s="41" t="s">
        <v>6232</v>
      </c>
      <c r="B1893" s="37">
        <f>SUM($C1893,$D1893,$E1893)</f>
        <v>0</v>
      </c>
      <c r="C1893" s="37">
        <f>$AB1893</f>
        <v>0</v>
      </c>
      <c r="D1893" s="37">
        <f>$AF1893</f>
        <v>0</v>
      </c>
      <c r="E1893" s="37">
        <f>$AJ1893</f>
        <v>0</v>
      </c>
      <c r="F1893" s="45"/>
      <c r="K1893" s="3" t="s">
        <v>5506</v>
      </c>
      <c r="AA1893" s="40" t="s">
        <v>4586</v>
      </c>
      <c r="AB1893" s="8">
        <f>ROUND(0,2)</f>
        <v>0</v>
      </c>
      <c r="AC1893" s="40" t="s">
        <v>4161</v>
      </c>
      <c r="AD1893" s="7">
        <f>$AB1893</f>
        <v>0</v>
      </c>
      <c r="AE1893" s="40" t="s">
        <v>222</v>
      </c>
      <c r="AF1893" s="8">
        <f>ROUND(0,2)</f>
        <v>0</v>
      </c>
      <c r="AG1893" s="40" t="s">
        <v>334</v>
      </c>
      <c r="AH1893" s="7">
        <f>$AF1893</f>
        <v>0</v>
      </c>
      <c r="AI1893" s="40" t="s">
        <v>1574</v>
      </c>
      <c r="AJ1893" s="8">
        <f>ROUND(0,2)</f>
        <v>0</v>
      </c>
      <c r="AK1893" s="40" t="s">
        <v>1622</v>
      </c>
      <c r="AL1893" s="7">
        <f>$AJ1893</f>
        <v>0</v>
      </c>
    </row>
    <row r="1894" spans="1:38" ht="18.399999999999999" customHeight="1">
      <c r="A1894" s="41" t="s">
        <v>3843</v>
      </c>
      <c r="B1894" s="37"/>
      <c r="C1894" s="37"/>
      <c r="D1894" s="37"/>
      <c r="E1894" s="37"/>
      <c r="F1894" s="45"/>
      <c r="K1894" s="3" t="s">
        <v>6123</v>
      </c>
    </row>
    <row r="1895" spans="1:38" ht="18.399999999999999" customHeight="1">
      <c r="A1895" s="41" t="s">
        <v>298</v>
      </c>
      <c r="B1895" s="37"/>
      <c r="C1895" s="37"/>
      <c r="D1895" s="37"/>
      <c r="E1895" s="37"/>
      <c r="F1895" s="45"/>
      <c r="K1895" s="3" t="s">
        <v>3398</v>
      </c>
    </row>
    <row r="1896" spans="1:38" ht="18.399999999999999" customHeight="1">
      <c r="A1896" s="41" t="s">
        <v>5124</v>
      </c>
      <c r="B1896" s="37"/>
      <c r="C1896" s="37"/>
      <c r="D1896" s="37"/>
      <c r="E1896" s="37"/>
      <c r="F1896" s="45"/>
      <c r="K1896" s="3" t="s">
        <v>5595</v>
      </c>
    </row>
    <row r="1897" spans="1:38" ht="18.399999999999999" customHeight="1">
      <c r="A1897" s="41" t="s">
        <v>6232</v>
      </c>
      <c r="B1897" s="37"/>
      <c r="C1897" s="37"/>
      <c r="D1897" s="37"/>
      <c r="E1897" s="37"/>
      <c r="F1897" s="45"/>
      <c r="K1897" s="3" t="s">
        <v>6232</v>
      </c>
    </row>
    <row r="1898" spans="1:38" ht="18.399999999999999" customHeight="1">
      <c r="A1898" s="42" t="str">
        <f>CONCATENATE(" 내선전공 :  0.102 * _x001D_268,915_x001D_ * 8 개   =",TEXT($AB1898,"#,##0.0"))</f>
        <v xml:space="preserve"> 내선전공 :  0.102 * _x001D_268,915_x001D_ * 8 개   =223,319.6</v>
      </c>
      <c r="B1898" s="37">
        <f>SUM($C1898,$D1898,$E1898)</f>
        <v>223319.6</v>
      </c>
      <c r="C1898" s="37"/>
      <c r="D1898" s="37">
        <f>$AB1898</f>
        <v>223319.6</v>
      </c>
      <c r="E1898" s="37"/>
      <c r="F1898" s="45" t="s">
        <v>6232</v>
      </c>
      <c r="K1898" s="3" t="s">
        <v>3551</v>
      </c>
      <c r="AA1898" s="40" t="s">
        <v>526</v>
      </c>
      <c r="AB1898" s="8">
        <f>TRUNC(0.102*노임!D13*8,1)</f>
        <v>223319.6</v>
      </c>
      <c r="AC1898" s="40" t="s">
        <v>2997</v>
      </c>
      <c r="AD1898" s="7">
        <f>$AB1898</f>
        <v>223319.6</v>
      </c>
      <c r="AE1898" s="40" t="s">
        <v>222</v>
      </c>
      <c r="AF1898" s="8">
        <f>$AB1898</f>
        <v>223319.6</v>
      </c>
      <c r="AG1898" s="40" t="s">
        <v>334</v>
      </c>
      <c r="AH1898" s="7">
        <f>$AF1898</f>
        <v>223319.6</v>
      </c>
    </row>
    <row r="1899" spans="1:38" ht="18.399999999999999" customHeight="1">
      <c r="A1899" s="41" t="s">
        <v>6232</v>
      </c>
      <c r="B1899" s="37"/>
      <c r="C1899" s="37"/>
      <c r="D1899" s="37"/>
      <c r="E1899" s="37"/>
      <c r="F1899" s="45"/>
      <c r="K1899" s="3" t="s">
        <v>6232</v>
      </c>
    </row>
    <row r="1900" spans="1:38" ht="18.399999999999999" customHeight="1">
      <c r="A1900" s="42" t="str">
        <f>CONCATENATE(" 공구손료(직노의 3%) :  ",TEXT($AB1900,"#,##0.00")," * 0.03 %   =",TEXT($AF1900,"#,##0.0"))</f>
        <v xml:space="preserve"> 공구손료(직노의 3%) :  223,319.60 * 0.03 %   =6,699.5</v>
      </c>
      <c r="B1900" s="37">
        <f>SUM($C1900,$D1900,$E1900)</f>
        <v>6699.5</v>
      </c>
      <c r="C1900" s="37"/>
      <c r="D1900" s="37"/>
      <c r="E1900" s="37">
        <f>$AF1900</f>
        <v>6699.5</v>
      </c>
      <c r="F1900" s="45"/>
      <c r="K1900" s="3" t="s">
        <v>5064</v>
      </c>
      <c r="AA1900" s="39" t="s">
        <v>4473</v>
      </c>
      <c r="AB1900" s="8">
        <f>($AD1898)</f>
        <v>223319.6</v>
      </c>
      <c r="AC1900" s="39" t="s">
        <v>3389</v>
      </c>
      <c r="AD1900" s="7">
        <f>$AB1900</f>
        <v>223319.6</v>
      </c>
      <c r="AE1900" s="40" t="s">
        <v>1574</v>
      </c>
      <c r="AF1900" s="8">
        <f>TRUNC($AD1900*0.03,1)</f>
        <v>6699.5</v>
      </c>
      <c r="AG1900" s="40" t="s">
        <v>1622</v>
      </c>
      <c r="AH1900" s="7">
        <f>$AF1900</f>
        <v>6699.5</v>
      </c>
    </row>
    <row r="1901" spans="1:38" ht="18.399999999999999" customHeight="1">
      <c r="A1901" s="41" t="s">
        <v>6232</v>
      </c>
      <c r="B1901" s="37"/>
      <c r="C1901" s="37"/>
      <c r="D1901" s="37"/>
      <c r="E1901" s="37"/>
      <c r="F1901" s="45"/>
      <c r="K1901" s="3" t="s">
        <v>6232</v>
      </c>
    </row>
    <row r="1902" spans="1:38" ht="18.399999999999999" customHeight="1">
      <c r="A1902" s="41" t="s">
        <v>3022</v>
      </c>
      <c r="B1902" s="37"/>
      <c r="C1902" s="37"/>
      <c r="D1902" s="37"/>
      <c r="E1902" s="37"/>
      <c r="F1902" s="45"/>
      <c r="K1902" s="3" t="s">
        <v>1167</v>
      </c>
    </row>
    <row r="1903" spans="1:38" ht="18.399999999999999" customHeight="1">
      <c r="A1903" s="41" t="s">
        <v>6232</v>
      </c>
      <c r="B1903" s="37"/>
      <c r="C1903" s="37"/>
      <c r="D1903" s="37"/>
      <c r="E1903" s="37"/>
      <c r="F1903" s="45"/>
      <c r="K1903" s="3" t="s">
        <v>6232</v>
      </c>
    </row>
    <row r="1904" spans="1:38" ht="18.399999999999999" customHeight="1">
      <c r="A1904" s="42" t="str">
        <f>CONCATENATE(" 저압케이블전공 :   0.01331 * _x001D_300,337_x001D_ * 96 m   * 0.80  =",TEXT($AB1904,"#,##0.0"))</f>
        <v xml:space="preserve"> 저압케이블전공 :   0.01331 * _x001D_300,337_x001D_ * 96 m   * 0.80  =310,910.6</v>
      </c>
      <c r="B1904" s="37">
        <f>SUM($C1904,$D1904,$E1904)</f>
        <v>310910.59999999998</v>
      </c>
      <c r="C1904" s="37"/>
      <c r="D1904" s="37">
        <f>$AB1904</f>
        <v>310910.59999999998</v>
      </c>
      <c r="E1904" s="37"/>
      <c r="F1904" s="45" t="s">
        <v>6232</v>
      </c>
      <c r="K1904" s="3" t="s">
        <v>1723</v>
      </c>
      <c r="AA1904" s="40" t="s">
        <v>222</v>
      </c>
      <c r="AB1904" s="8">
        <f>TRUNC(0.01331*노임!D14*96*0.8,1)</f>
        <v>310910.59999999998</v>
      </c>
      <c r="AC1904" s="40" t="s">
        <v>334</v>
      </c>
      <c r="AD1904" s="7">
        <f>$AH1898+$AB1904</f>
        <v>534230.19999999995</v>
      </c>
    </row>
    <row r="1905" spans="1:38" ht="18.399999999999999" customHeight="1">
      <c r="A1905" s="41" t="s">
        <v>6232</v>
      </c>
      <c r="B1905" s="37"/>
      <c r="C1905" s="37"/>
      <c r="D1905" s="37"/>
      <c r="E1905" s="37"/>
      <c r="F1905" s="45"/>
      <c r="K1905" s="3" t="s">
        <v>6232</v>
      </c>
    </row>
    <row r="1906" spans="1:38" ht="18.399999999999999" customHeight="1">
      <c r="A1906" s="42" t="str">
        <f>CONCATENATE(" 보  통  인  부 :   0.01331 * _x001D_169,804_x001D_ * 96 m   * 0.80  =",TEXT($AB1906,"#,##0.0"))</f>
        <v xml:space="preserve"> 보  통  인  부 :   0.01331 * _x001D_169,804_x001D_ * 96 m   * 0.80  =175,889.2</v>
      </c>
      <c r="B1906" s="37">
        <f>SUM($C1906,$D1906,$E1906)</f>
        <v>175889.2</v>
      </c>
      <c r="C1906" s="37"/>
      <c r="D1906" s="37">
        <f>$AB1906</f>
        <v>175889.2</v>
      </c>
      <c r="E1906" s="37"/>
      <c r="F1906" s="45" t="s">
        <v>6232</v>
      </c>
      <c r="K1906" s="3" t="s">
        <v>2392</v>
      </c>
      <c r="AA1906" s="40" t="s">
        <v>222</v>
      </c>
      <c r="AB1906" s="8">
        <f>TRUNC(0.01331*노임!D3*96*0.8,1)</f>
        <v>175889.2</v>
      </c>
      <c r="AC1906" s="40" t="s">
        <v>334</v>
      </c>
      <c r="AD1906" s="7">
        <f>$AD1904+$AB1906</f>
        <v>710119.39999999991</v>
      </c>
    </row>
    <row r="1907" spans="1:38" ht="18.399999999999999" customHeight="1">
      <c r="A1907" s="41" t="s">
        <v>6232</v>
      </c>
      <c r="B1907" s="37"/>
      <c r="C1907" s="37"/>
      <c r="D1907" s="37"/>
      <c r="E1907" s="37"/>
      <c r="F1907" s="45"/>
      <c r="K1907" s="3" t="s">
        <v>6232</v>
      </c>
    </row>
    <row r="1908" spans="1:38" ht="18.399999999999999" customHeight="1">
      <c r="A1908" s="41" t="s">
        <v>4035</v>
      </c>
      <c r="B1908" s="37">
        <v>706599.4</v>
      </c>
      <c r="C1908" s="37"/>
      <c r="D1908" s="37">
        <v>700016.4</v>
      </c>
      <c r="E1908" s="37">
        <v>6583</v>
      </c>
      <c r="F1908" s="45"/>
      <c r="K1908" s="3" t="s">
        <v>193</v>
      </c>
    </row>
    <row r="1909" spans="1:38" ht="18.399999999999999" customHeight="1">
      <c r="A1909" s="41" t="s">
        <v>6232</v>
      </c>
      <c r="B1909" s="37">
        <f>SUM($C1909,$D1909,$E1909)</f>
        <v>0</v>
      </c>
      <c r="C1909" s="37">
        <f>$AB1909</f>
        <v>0</v>
      </c>
      <c r="D1909" s="37">
        <f>$AF1909</f>
        <v>0</v>
      </c>
      <c r="E1909" s="37">
        <f>$AJ1909</f>
        <v>0</v>
      </c>
      <c r="F1909" s="45"/>
      <c r="K1909" s="3" t="s">
        <v>3238</v>
      </c>
      <c r="AA1909" s="40" t="s">
        <v>308</v>
      </c>
      <c r="AB1909" s="8">
        <f>ROUND(0,2)</f>
        <v>0</v>
      </c>
      <c r="AC1909" s="40" t="s">
        <v>5000</v>
      </c>
      <c r="AD1909" s="7">
        <f>$AB1909</f>
        <v>0</v>
      </c>
      <c r="AE1909" s="40" t="s">
        <v>4500</v>
      </c>
      <c r="AF1909" s="8">
        <f>ROUND(0,2)</f>
        <v>0</v>
      </c>
      <c r="AG1909" s="40" t="s">
        <v>2603</v>
      </c>
      <c r="AH1909" s="7">
        <f>$AF1909</f>
        <v>0</v>
      </c>
      <c r="AI1909" s="40" t="s">
        <v>5878</v>
      </c>
      <c r="AJ1909" s="8">
        <f>ROUND(0,2)</f>
        <v>0</v>
      </c>
      <c r="AK1909" s="40" t="s">
        <v>787</v>
      </c>
      <c r="AL1909" s="7">
        <f>$AJ1909</f>
        <v>0</v>
      </c>
    </row>
    <row r="1910" spans="1:38" ht="18.399999999999999" customHeight="1">
      <c r="A1910" s="41" t="s">
        <v>4947</v>
      </c>
      <c r="B1910" s="37"/>
      <c r="C1910" s="37"/>
      <c r="D1910" s="37"/>
      <c r="E1910" s="37"/>
      <c r="F1910" s="45"/>
      <c r="K1910" s="3" t="s">
        <v>3894</v>
      </c>
    </row>
    <row r="1911" spans="1:38" ht="18.399999999999999" customHeight="1">
      <c r="A1911" s="41" t="s">
        <v>6232</v>
      </c>
      <c r="B1911" s="37"/>
      <c r="C1911" s="37"/>
      <c r="D1911" s="37"/>
      <c r="E1911" s="37"/>
      <c r="F1911" s="45"/>
      <c r="K1911" s="3" t="s">
        <v>6232</v>
      </c>
    </row>
    <row r="1912" spans="1:38" ht="18.399999999999999" customHeight="1">
      <c r="A1912" s="42" t="str">
        <f>CONCATENATE(" 내선전공 :  0.102 * _x001D_268,915_x001D_ * 8 개   * 0.5 =",TEXT($AB1912,"#,##0.0"))</f>
        <v xml:space="preserve"> 내선전공 :  0.102 * _x001D_268,915_x001D_ * 8 개   * 0.5 =111,659.8</v>
      </c>
      <c r="B1912" s="37">
        <f>SUM($C1912,$D1912,$E1912)</f>
        <v>111659.8</v>
      </c>
      <c r="C1912" s="37"/>
      <c r="D1912" s="37">
        <f>$AB1912</f>
        <v>111659.8</v>
      </c>
      <c r="E1912" s="37"/>
      <c r="F1912" s="45" t="s">
        <v>6232</v>
      </c>
      <c r="K1912" s="3" t="s">
        <v>6081</v>
      </c>
      <c r="AA1912" s="40" t="s">
        <v>4500</v>
      </c>
      <c r="AB1912" s="8">
        <f>TRUNC(0.102*노임!D13*8*0.5,1)</f>
        <v>111659.8</v>
      </c>
      <c r="AC1912" s="40" t="s">
        <v>2603</v>
      </c>
      <c r="AD1912" s="7">
        <f>$AB1912</f>
        <v>111659.8</v>
      </c>
    </row>
    <row r="1913" spans="1:38" ht="18.399999999999999" customHeight="1">
      <c r="A1913" s="41" t="s">
        <v>6232</v>
      </c>
      <c r="B1913" s="37"/>
      <c r="C1913" s="37"/>
      <c r="D1913" s="37"/>
      <c r="E1913" s="37"/>
      <c r="F1913" s="45"/>
      <c r="K1913" s="3" t="s">
        <v>6232</v>
      </c>
    </row>
    <row r="1914" spans="1:38" ht="18.399999999999999" customHeight="1">
      <c r="A1914" s="42" t="str">
        <f>CONCATENATE(" 저압케이블전공 :   0.01331 * _x001D_300,337_x001D_ * 96 m   * 0.80  * 0.5 =",TEXT($AB1914,"#,##0.0"))</f>
        <v xml:space="preserve"> 저압케이블전공 :   0.01331 * _x001D_300,337_x001D_ * 96 m   * 0.80  * 0.5 =155,455.3</v>
      </c>
      <c r="B1914" s="37">
        <f>SUM($C1914,$D1914,$E1914)</f>
        <v>155455.29999999999</v>
      </c>
      <c r="C1914" s="37"/>
      <c r="D1914" s="37">
        <f>$AB1914</f>
        <v>155455.29999999999</v>
      </c>
      <c r="E1914" s="37"/>
      <c r="F1914" s="45" t="s">
        <v>6232</v>
      </c>
      <c r="K1914" s="3" t="s">
        <v>580</v>
      </c>
      <c r="AA1914" s="40" t="s">
        <v>4500</v>
      </c>
      <c r="AB1914" s="8">
        <f>TRUNC(0.01331*노임!D14*96*0.8*0.5,1)</f>
        <v>155455.29999999999</v>
      </c>
      <c r="AC1914" s="40" t="s">
        <v>2603</v>
      </c>
      <c r="AD1914" s="7">
        <f>$AD1912+$AB1914</f>
        <v>267115.09999999998</v>
      </c>
    </row>
    <row r="1915" spans="1:38" ht="18.399999999999999" customHeight="1">
      <c r="A1915" s="41" t="s">
        <v>6232</v>
      </c>
      <c r="B1915" s="37"/>
      <c r="C1915" s="37"/>
      <c r="D1915" s="37"/>
      <c r="E1915" s="37"/>
      <c r="F1915" s="45"/>
      <c r="K1915" s="3" t="s">
        <v>6232</v>
      </c>
    </row>
    <row r="1916" spans="1:38" ht="18.399999999999999" customHeight="1">
      <c r="A1916" s="42" t="str">
        <f>CONCATENATE(" 보  통  인  부 :   0.01331 * _x001D_169,804_x001D_ * 96 m   * 0.80  * 0.5 =",TEXT($AB1916,"#,##0.0"))</f>
        <v xml:space="preserve"> 보  통  인  부 :   0.01331 * _x001D_169,804_x001D_ * 96 m   * 0.80  * 0.5 =87,944.6</v>
      </c>
      <c r="B1916" s="37">
        <f>SUM($C1916,$D1916,$E1916)</f>
        <v>87944.6</v>
      </c>
      <c r="C1916" s="37"/>
      <c r="D1916" s="37">
        <f>$AB1916</f>
        <v>87944.6</v>
      </c>
      <c r="E1916" s="37"/>
      <c r="F1916" s="45" t="s">
        <v>6232</v>
      </c>
      <c r="K1916" s="3" t="s">
        <v>3852</v>
      </c>
      <c r="AA1916" s="40" t="s">
        <v>4500</v>
      </c>
      <c r="AB1916" s="8">
        <f>TRUNC(0.01331*노임!D3*96*0.8*0.5,1)</f>
        <v>87944.6</v>
      </c>
      <c r="AC1916" s="40" t="s">
        <v>2603</v>
      </c>
      <c r="AD1916" s="7">
        <f>$AD1914+$AB1916</f>
        <v>355059.69999999995</v>
      </c>
    </row>
    <row r="1917" spans="1:38" ht="18.399999999999999" customHeight="1">
      <c r="A1917" s="41" t="s">
        <v>6232</v>
      </c>
      <c r="B1917" s="37"/>
      <c r="C1917" s="37"/>
      <c r="D1917" s="37"/>
      <c r="E1917" s="37"/>
      <c r="F1917" s="45"/>
      <c r="K1917" s="3" t="s">
        <v>6232</v>
      </c>
    </row>
    <row r="1918" spans="1:38" ht="18.399999999999999" customHeight="1">
      <c r="A1918" s="41" t="s">
        <v>4035</v>
      </c>
      <c r="B1918" s="37">
        <v>350008.2</v>
      </c>
      <c r="C1918" s="37"/>
      <c r="D1918" s="37">
        <v>350008.2</v>
      </c>
      <c r="E1918" s="37"/>
      <c r="F1918" s="45"/>
      <c r="K1918" s="3" t="s">
        <v>3724</v>
      </c>
    </row>
    <row r="1919" spans="1:38" ht="18.399999999999999" customHeight="1">
      <c r="A1919" s="41" t="s">
        <v>6232</v>
      </c>
      <c r="B1919" s="37">
        <f>SUM($C1919,$D1919,$E1919)</f>
        <v>0</v>
      </c>
      <c r="C1919" s="37">
        <f>$AB1919</f>
        <v>0</v>
      </c>
      <c r="D1919" s="37">
        <f>$AF1919</f>
        <v>0</v>
      </c>
      <c r="E1919" s="37">
        <f>$AJ1919</f>
        <v>0</v>
      </c>
      <c r="F1919" s="45"/>
      <c r="K1919" s="3" t="s">
        <v>1503</v>
      </c>
      <c r="AA1919" s="40" t="s">
        <v>744</v>
      </c>
      <c r="AB1919" s="8">
        <f>ROUND(0,2)</f>
        <v>0</v>
      </c>
      <c r="AC1919" s="40" t="s">
        <v>2874</v>
      </c>
      <c r="AD1919" s="7">
        <f>$AB1919</f>
        <v>0</v>
      </c>
      <c r="AE1919" s="40" t="s">
        <v>4158</v>
      </c>
      <c r="AF1919" s="8">
        <f>ROUND(0,2)</f>
        <v>0</v>
      </c>
      <c r="AG1919" s="40" t="s">
        <v>5097</v>
      </c>
      <c r="AH1919" s="7">
        <f>$AF1919</f>
        <v>0</v>
      </c>
      <c r="AI1919" s="40" t="s">
        <v>5498</v>
      </c>
      <c r="AJ1919" s="8">
        <f>ROUND(0,2)</f>
        <v>0</v>
      </c>
      <c r="AK1919" s="40" t="s">
        <v>3707</v>
      </c>
      <c r="AL1919" s="7">
        <f>$AJ1919</f>
        <v>0</v>
      </c>
    </row>
    <row r="1920" spans="1:38" ht="18.399999999999999" customHeight="1">
      <c r="A1920" s="41" t="s">
        <v>50</v>
      </c>
      <c r="B1920" s="37"/>
      <c r="C1920" s="37"/>
      <c r="D1920" s="37"/>
      <c r="E1920" s="37"/>
      <c r="F1920" s="45"/>
      <c r="K1920" s="3" t="s">
        <v>3273</v>
      </c>
    </row>
    <row r="1921" spans="1:38" ht="18.399999999999999" customHeight="1">
      <c r="A1921" s="41" t="s">
        <v>6232</v>
      </c>
      <c r="B1921" s="37"/>
      <c r="C1921" s="37"/>
      <c r="D1921" s="37"/>
      <c r="E1921" s="37"/>
      <c r="F1921" s="45"/>
      <c r="K1921" s="3" t="s">
        <v>6232</v>
      </c>
    </row>
    <row r="1922" spans="1:38" ht="18.399999999999999" customHeight="1">
      <c r="A1922" s="42" t="str">
        <f>CONCATENATE(" 600V - 150mm2 - 1C:  _x001D_47,676_x001D_ * 96 m   * 0.015 =",TEXT($AB1922,"#,##0.0"))</f>
        <v xml:space="preserve"> 600V - 150mm2 - 1C:  _x001D_47,676_x001D_ * 96 m   * 0.015 =68,653.4</v>
      </c>
      <c r="B1922" s="37">
        <f>SUM($C1922,$D1922,$E1922)</f>
        <v>68653.399999999994</v>
      </c>
      <c r="C1922" s="37">
        <f>$AB1922</f>
        <v>68653.399999999994</v>
      </c>
      <c r="D1922" s="37"/>
      <c r="E1922" s="37"/>
      <c r="F1922" s="45" t="s">
        <v>6232</v>
      </c>
      <c r="K1922" s="3" t="s">
        <v>5769</v>
      </c>
      <c r="AA1922" s="40" t="s">
        <v>744</v>
      </c>
      <c r="AB1922" s="8">
        <f>TRUNC(자재조서!E37*96*0.015,1)</f>
        <v>68653.399999999994</v>
      </c>
      <c r="AC1922" s="40" t="s">
        <v>2874</v>
      </c>
      <c r="AD1922" s="7">
        <f>$AB1922</f>
        <v>68653.399999999994</v>
      </c>
    </row>
    <row r="1923" spans="1:38" ht="18.399999999999999" customHeight="1">
      <c r="A1923" s="41" t="s">
        <v>6232</v>
      </c>
      <c r="B1923" s="37"/>
      <c r="C1923" s="37"/>
      <c r="D1923" s="37"/>
      <c r="E1923" s="37"/>
      <c r="F1923" s="45"/>
      <c r="K1923" s="3" t="s">
        <v>6232</v>
      </c>
    </row>
    <row r="1924" spans="1:38" ht="18.399999999999999" customHeight="1">
      <c r="A1924" s="41" t="s">
        <v>4035</v>
      </c>
      <c r="B1924" s="37">
        <v>68653.399999999994</v>
      </c>
      <c r="C1924" s="37">
        <v>68653.399999999994</v>
      </c>
      <c r="D1924" s="37"/>
      <c r="E1924" s="37"/>
      <c r="F1924" s="45"/>
      <c r="K1924" s="3" t="s">
        <v>5749</v>
      </c>
    </row>
    <row r="1925" spans="1:38" ht="18.399999999999999" customHeight="1">
      <c r="A1925" s="41" t="s">
        <v>6232</v>
      </c>
      <c r="B1925" s="37">
        <f>SUM($C1925,$D1925,$E1925)</f>
        <v>0</v>
      </c>
      <c r="C1925" s="37">
        <f>$AB1925</f>
        <v>0</v>
      </c>
      <c r="D1925" s="37">
        <f>$AF1925</f>
        <v>0</v>
      </c>
      <c r="E1925" s="37">
        <f>$AJ1925</f>
        <v>0</v>
      </c>
      <c r="F1925" s="45"/>
      <c r="K1925" s="3" t="s">
        <v>2167</v>
      </c>
      <c r="AA1925" s="40" t="s">
        <v>4241</v>
      </c>
      <c r="AB1925" s="8">
        <f>ROUND(0,2)</f>
        <v>0</v>
      </c>
      <c r="AC1925" s="40" t="s">
        <v>433</v>
      </c>
      <c r="AD1925" s="7">
        <f>$AB1925</f>
        <v>0</v>
      </c>
      <c r="AE1925" s="40" t="s">
        <v>650</v>
      </c>
      <c r="AF1925" s="8">
        <f>ROUND(0,2)</f>
        <v>0</v>
      </c>
      <c r="AG1925" s="40" t="s">
        <v>4441</v>
      </c>
      <c r="AH1925" s="7">
        <f>$AF1925</f>
        <v>0</v>
      </c>
      <c r="AI1925" s="40" t="s">
        <v>1969</v>
      </c>
      <c r="AJ1925" s="8">
        <f>ROUND(0,2)</f>
        <v>0</v>
      </c>
      <c r="AK1925" s="40" t="s">
        <v>6153</v>
      </c>
      <c r="AL1925" s="7">
        <f>$AJ1925</f>
        <v>0</v>
      </c>
    </row>
    <row r="1926" spans="1:38" ht="18.399999999999999" customHeight="1">
      <c r="A1926" s="41" t="s">
        <v>520</v>
      </c>
      <c r="B1926" s="37"/>
      <c r="C1926" s="37"/>
      <c r="D1926" s="37"/>
      <c r="E1926" s="37"/>
      <c r="F1926" s="45"/>
      <c r="K1926" s="3" t="s">
        <v>2413</v>
      </c>
    </row>
    <row r="1927" spans="1:38" ht="18.399999999999999" customHeight="1">
      <c r="A1927" s="41" t="s">
        <v>6232</v>
      </c>
      <c r="B1927" s="37"/>
      <c r="C1927" s="37"/>
      <c r="D1927" s="37"/>
      <c r="E1927" s="37"/>
      <c r="F1927" s="45"/>
      <c r="K1927" s="3" t="s">
        <v>6232</v>
      </c>
    </row>
    <row r="1928" spans="1:38" ht="18.399999999999999" customHeight="1">
      <c r="A1928" s="42" t="str">
        <f>CONCATENATE("  _x001D_150,000_x001D_ * 2  회   =",TEXT($AB1928,"#,##0.0"))</f>
        <v xml:space="preserve">  _x001D_150,000_x001D_ * 2  회   =300,000.0</v>
      </c>
      <c r="B1928" s="37">
        <f>SUM($C1928,$D1928,$E1928)</f>
        <v>300000</v>
      </c>
      <c r="C1928" s="37"/>
      <c r="D1928" s="37"/>
      <c r="E1928" s="37">
        <f>$AB1928</f>
        <v>300000</v>
      </c>
      <c r="F1928" s="45" t="s">
        <v>6232</v>
      </c>
      <c r="K1928" s="3" t="s">
        <v>2208</v>
      </c>
      <c r="AA1928" s="40" t="s">
        <v>1969</v>
      </c>
      <c r="AB1928" s="8">
        <f>TRUNC((경비!D3+경비!E3+경비!F3)*2,1)</f>
        <v>300000</v>
      </c>
      <c r="AC1928" s="40" t="s">
        <v>6153</v>
      </c>
      <c r="AD1928" s="7">
        <f>$AB1928</f>
        <v>300000</v>
      </c>
    </row>
    <row r="1929" spans="1:38" ht="18.399999999999999" customHeight="1">
      <c r="A1929" s="41" t="s">
        <v>4035</v>
      </c>
      <c r="B1929" s="37">
        <v>300000</v>
      </c>
      <c r="C1929" s="37"/>
      <c r="D1929" s="37"/>
      <c r="E1929" s="37">
        <v>300000</v>
      </c>
      <c r="F1929" s="45"/>
      <c r="K1929" s="3" t="s">
        <v>3012</v>
      </c>
    </row>
    <row r="1930" spans="1:38" ht="18.399999999999999" customHeight="1">
      <c r="A1930" s="41" t="s">
        <v>6232</v>
      </c>
      <c r="B1930" s="37"/>
      <c r="C1930" s="37"/>
      <c r="D1930" s="37"/>
      <c r="E1930" s="37"/>
      <c r="F1930" s="45"/>
      <c r="K1930" s="3" t="s">
        <v>6232</v>
      </c>
    </row>
    <row r="1931" spans="1:38" ht="18.399999999999999" customHeight="1">
      <c r="A1931" s="41" t="s">
        <v>2279</v>
      </c>
      <c r="B1931" s="37">
        <f>SUM($C1931,$D1931,$E1931)</f>
        <v>1544278</v>
      </c>
      <c r="C1931" s="37">
        <f>$AB1931</f>
        <v>68653.399999999994</v>
      </c>
      <c r="D1931" s="37">
        <f>$AF1931</f>
        <v>1090989.3</v>
      </c>
      <c r="E1931" s="37">
        <f>$AJ1931</f>
        <v>384635.3</v>
      </c>
      <c r="F1931" s="45"/>
      <c r="K1931" s="3" t="s">
        <v>758</v>
      </c>
      <c r="AA1931" s="40" t="s">
        <v>4592</v>
      </c>
      <c r="AB1931" s="8">
        <f>TRUNC($AD1884+$AD1893+$AD1909+$AD1922+$AD1925,1)</f>
        <v>68653.399999999994</v>
      </c>
      <c r="AC1931" s="40" t="s">
        <v>5149</v>
      </c>
      <c r="AD1931" s="7">
        <f>$AB1931</f>
        <v>68653.399999999994</v>
      </c>
      <c r="AE1931" s="40" t="s">
        <v>666</v>
      </c>
      <c r="AF1931" s="8">
        <f>TRUNC($AD1890+$AD1906+$AD1916+$AH1919+$AH1925,1)</f>
        <v>1090989.3</v>
      </c>
      <c r="AG1931" s="40" t="s">
        <v>2431</v>
      </c>
      <c r="AH1931" s="7">
        <f>$AF1931</f>
        <v>1090989.3</v>
      </c>
      <c r="AI1931" s="40" t="s">
        <v>1930</v>
      </c>
      <c r="AJ1931" s="8">
        <f>TRUNC($AD1888+$AH1900+$AL1909+$AL1919+$AD1928,1)</f>
        <v>384635.3</v>
      </c>
      <c r="AK1931" s="40" t="s">
        <v>3349</v>
      </c>
      <c r="AL1931" s="7">
        <f>$AJ1931</f>
        <v>384635.3</v>
      </c>
    </row>
    <row r="1932" spans="1:38" ht="18.399999999999999" customHeight="1">
      <c r="A1932" s="41"/>
      <c r="B1932" s="3"/>
      <c r="C1932" s="3"/>
      <c r="D1932" s="3"/>
      <c r="E1932" s="3"/>
      <c r="F1932" s="44"/>
    </row>
    <row r="1933" spans="1:38" ht="18.399999999999999" customHeight="1">
      <c r="A1933" s="43" t="s">
        <v>3543</v>
      </c>
      <c r="B1933" s="38">
        <f>SUM($C1933,$D1933,$E1933)</f>
        <v>1544277</v>
      </c>
      <c r="C1933" s="38">
        <f>TRUNC(SUM($AD1931),0)</f>
        <v>68653</v>
      </c>
      <c r="D1933" s="38">
        <f>TRUNC(SUM($AH1931),0)</f>
        <v>1090989</v>
      </c>
      <c r="E1933" s="38">
        <f>TRUNC(SUM($AL1931),0)</f>
        <v>384635</v>
      </c>
      <c r="F1933" s="46"/>
    </row>
    <row r="1934" spans="1:38" ht="18.399999999999999" customHeight="1">
      <c r="A1934" s="41"/>
      <c r="B1934" s="3"/>
      <c r="C1934" s="3"/>
      <c r="D1934" s="3"/>
      <c r="E1934" s="3"/>
      <c r="F1934" s="44"/>
    </row>
    <row r="1935" spans="1:38" ht="18.399999999999999" customHeight="1">
      <c r="A1935" s="41" t="s">
        <v>5594</v>
      </c>
      <c r="B1935" s="36" t="e">
        <f>$B1946</f>
        <v>#REF!</v>
      </c>
      <c r="C1935" s="36" t="e">
        <f>$C1946</f>
        <v>#REF!</v>
      </c>
      <c r="D1935" s="36" t="e">
        <f>$D1946</f>
        <v>#REF!</v>
      </c>
      <c r="E1935" s="36" t="e">
        <f>$E1946</f>
        <v>#REF!</v>
      </c>
      <c r="F1935" s="44" t="s">
        <v>4819</v>
      </c>
      <c r="G1935" t="s">
        <v>6232</v>
      </c>
      <c r="H1935" t="s">
        <v>4728</v>
      </c>
      <c r="K1935">
        <v>1</v>
      </c>
      <c r="Y1935" s="7" t="e">
        <f>EXACT($Z1935,$B1946)</f>
        <v>#REF!</v>
      </c>
      <c r="Z1935" s="38">
        <v>43531</v>
      </c>
    </row>
    <row r="1936" spans="1:38" ht="18.399999999999999" customHeight="1">
      <c r="A1936" s="41"/>
      <c r="B1936" s="3"/>
      <c r="C1936" s="3"/>
      <c r="D1936" s="3"/>
      <c r="E1936" s="3"/>
      <c r="F1936" s="44"/>
    </row>
    <row r="1937" spans="1:38" ht="18.399999999999999" customHeight="1">
      <c r="A1937" s="41" t="s">
        <v>6232</v>
      </c>
      <c r="B1937" s="3"/>
      <c r="C1937" s="3"/>
      <c r="D1937" s="3"/>
      <c r="E1937" s="3"/>
      <c r="F1937" s="44"/>
      <c r="G1937" t="s">
        <v>6232</v>
      </c>
      <c r="I1937" t="s">
        <v>742</v>
      </c>
      <c r="J1937" t="s">
        <v>6232</v>
      </c>
      <c r="K1937" t="s">
        <v>5235</v>
      </c>
    </row>
    <row r="1938" spans="1:38" ht="18.399999999999999" customHeight="1">
      <c r="A1938" s="41" t="s">
        <v>187</v>
      </c>
      <c r="B1938" s="37"/>
      <c r="C1938" s="37"/>
      <c r="D1938" s="37"/>
      <c r="E1938" s="37"/>
      <c r="F1938" s="45"/>
      <c r="K1938" s="3" t="s">
        <v>3162</v>
      </c>
    </row>
    <row r="1939" spans="1:38" ht="18.399999999999999" customHeight="1">
      <c r="A1939" s="41" t="s">
        <v>6232</v>
      </c>
      <c r="B1939" s="37">
        <f>SUM($C1939,$D1939,$E1939)</f>
        <v>0</v>
      </c>
      <c r="C1939" s="37">
        <f>$AB1939</f>
        <v>0</v>
      </c>
      <c r="D1939" s="37">
        <f>$AF1939</f>
        <v>0</v>
      </c>
      <c r="E1939" s="37">
        <f>$AJ1939</f>
        <v>0</v>
      </c>
      <c r="F1939" s="45"/>
      <c r="K1939" s="3" t="s">
        <v>295</v>
      </c>
      <c r="AA1939" s="40" t="s">
        <v>2660</v>
      </c>
      <c r="AB1939" s="8">
        <f>ROUND(0,2)</f>
        <v>0</v>
      </c>
      <c r="AC1939" s="40" t="s">
        <v>1650</v>
      </c>
      <c r="AD1939" s="7">
        <f>$AB1939</f>
        <v>0</v>
      </c>
      <c r="AE1939" s="40" t="s">
        <v>5305</v>
      </c>
      <c r="AF1939" s="8">
        <f>ROUND(0,2)</f>
        <v>0</v>
      </c>
      <c r="AG1939" s="40" t="s">
        <v>5439</v>
      </c>
      <c r="AH1939" s="7">
        <f>$AF1939</f>
        <v>0</v>
      </c>
      <c r="AI1939" s="40" t="s">
        <v>3519</v>
      </c>
      <c r="AJ1939" s="8">
        <f>ROUND(0,2)</f>
        <v>0</v>
      </c>
      <c r="AK1939" s="40" t="s">
        <v>4149</v>
      </c>
      <c r="AL1939" s="7">
        <f>$AJ1939</f>
        <v>0</v>
      </c>
    </row>
    <row r="1940" spans="1:38" ht="18.399999999999999" customHeight="1">
      <c r="A1940" s="42" t="str">
        <f>CONCATENATE("  PE용접 길이  L=",TEXT($AB1940,"#,##0.00")," m")</f>
        <v xml:space="preserve">  PE용접 길이  L=12.57 m</v>
      </c>
      <c r="B1940" s="37"/>
      <c r="C1940" s="37"/>
      <c r="D1940" s="37"/>
      <c r="E1940" s="37"/>
      <c r="F1940" s="45"/>
      <c r="K1940" s="10" t="str">
        <f>SUBSTITUTE(SUBSTITUTE(" _x001D_PE용접 길이_x001D_ L=12.57_x001D_m_x001D_","12.57",TEXT($AB1940,"#,##0.00"),1),"_x001D_","'")</f>
        <v xml:space="preserve"> 'PE용접 길이' L=12.57'm'</v>
      </c>
      <c r="AA1940" s="39" t="s">
        <v>5842</v>
      </c>
      <c r="AB1940" s="6">
        <v>12.57</v>
      </c>
      <c r="AC1940" s="39" t="s">
        <v>5842</v>
      </c>
      <c r="AD1940" s="7">
        <f>$AB1940</f>
        <v>12.57</v>
      </c>
    </row>
    <row r="1941" spans="1:38" ht="18.399999999999999" customHeight="1">
      <c r="A1941" s="41" t="s">
        <v>6232</v>
      </c>
      <c r="B1941" s="37"/>
      <c r="C1941" s="37"/>
      <c r="D1941" s="37"/>
      <c r="E1941" s="37"/>
      <c r="F1941" s="45"/>
      <c r="K1941" s="3" t="s">
        <v>6232</v>
      </c>
    </row>
    <row r="1942" spans="1:38" ht="18.399999999999999" customHeight="1">
      <c r="A1942" s="41" t="s">
        <v>575</v>
      </c>
      <c r="B1942" s="37" t="e">
        <f>SUM($C1942,$D1942,$E1942)</f>
        <v>#REF!</v>
      </c>
      <c r="C1942" s="37" t="e">
        <f>$AB1942</f>
        <v>#REF!</v>
      </c>
      <c r="D1942" s="37" t="e">
        <f>$AF1942</f>
        <v>#REF!</v>
      </c>
      <c r="E1942" s="37" t="e">
        <f>$AJ1942</f>
        <v>#REF!</v>
      </c>
      <c r="F1942" s="45" t="s">
        <v>6232</v>
      </c>
      <c r="K1942" s="3" t="s">
        <v>2724</v>
      </c>
      <c r="AA1942" s="40" t="s">
        <v>2660</v>
      </c>
      <c r="AB1942" s="8" t="e">
        <f>TRUNC(일위대가목록!#REF!/$AD1940,1)</f>
        <v>#REF!</v>
      </c>
      <c r="AC1942" s="40" t="s">
        <v>1650</v>
      </c>
      <c r="AD1942" s="7" t="e">
        <f>$AD1939+$AB1942</f>
        <v>#REF!</v>
      </c>
      <c r="AE1942" s="40" t="s">
        <v>5305</v>
      </c>
      <c r="AF1942" s="8" t="e">
        <f>TRUNC(일위대가목록!#REF!/$AD1940,1)</f>
        <v>#REF!</v>
      </c>
      <c r="AG1942" s="40" t="s">
        <v>5439</v>
      </c>
      <c r="AH1942" s="7" t="e">
        <f>$AH1939+$AF1942</f>
        <v>#REF!</v>
      </c>
      <c r="AI1942" s="40" t="s">
        <v>3519</v>
      </c>
      <c r="AJ1942" s="8" t="e">
        <f>TRUNC(일위대가목록!#REF!/$AD1940,1)</f>
        <v>#REF!</v>
      </c>
      <c r="AK1942" s="40" t="s">
        <v>4149</v>
      </c>
      <c r="AL1942" s="7" t="e">
        <f>$AL1939+$AJ1942</f>
        <v>#REF!</v>
      </c>
    </row>
    <row r="1943" spans="1:38" ht="18.399999999999999" customHeight="1">
      <c r="A1943" s="41" t="s">
        <v>6232</v>
      </c>
      <c r="B1943" s="37"/>
      <c r="C1943" s="37"/>
      <c r="D1943" s="37"/>
      <c r="E1943" s="37"/>
      <c r="F1943" s="45"/>
      <c r="K1943" s="3" t="s">
        <v>6232</v>
      </c>
    </row>
    <row r="1944" spans="1:38" ht="18.399999999999999" customHeight="1">
      <c r="A1944" s="41" t="s">
        <v>4035</v>
      </c>
      <c r="B1944" s="37" t="e">
        <f>SUM($C1944,$D1944,$E1944)</f>
        <v>#REF!</v>
      </c>
      <c r="C1944" s="37" t="e">
        <f>$AB1944</f>
        <v>#REF!</v>
      </c>
      <c r="D1944" s="37" t="e">
        <f>$AF1944</f>
        <v>#REF!</v>
      </c>
      <c r="E1944" s="37" t="e">
        <f>$AJ1944</f>
        <v>#REF!</v>
      </c>
      <c r="F1944" s="45"/>
      <c r="K1944" s="3" t="s">
        <v>6125</v>
      </c>
      <c r="AA1944" s="40" t="s">
        <v>4592</v>
      </c>
      <c r="AB1944" s="8" t="e">
        <f>TRUNC($AD1942,1)</f>
        <v>#REF!</v>
      </c>
      <c r="AC1944" s="40" t="s">
        <v>5149</v>
      </c>
      <c r="AD1944" s="7" t="e">
        <f>$AB1944</f>
        <v>#REF!</v>
      </c>
      <c r="AE1944" s="40" t="s">
        <v>666</v>
      </c>
      <c r="AF1944" s="8" t="e">
        <f>TRUNC($AH1942,1)</f>
        <v>#REF!</v>
      </c>
      <c r="AG1944" s="40" t="s">
        <v>2431</v>
      </c>
      <c r="AH1944" s="7" t="e">
        <f>$AF1944</f>
        <v>#REF!</v>
      </c>
      <c r="AI1944" s="40" t="s">
        <v>1930</v>
      </c>
      <c r="AJ1944" s="8" t="e">
        <f>TRUNC($AL1942,1)</f>
        <v>#REF!</v>
      </c>
      <c r="AK1944" s="40" t="s">
        <v>3349</v>
      </c>
      <c r="AL1944" s="7" t="e">
        <f>$AJ1944</f>
        <v>#REF!</v>
      </c>
    </row>
    <row r="1945" spans="1:38" ht="18.399999999999999" customHeight="1">
      <c r="A1945" s="41"/>
      <c r="B1945" s="3"/>
      <c r="C1945" s="3"/>
      <c r="D1945" s="3"/>
      <c r="E1945" s="3"/>
      <c r="F1945" s="44"/>
    </row>
    <row r="1946" spans="1:38" ht="18.399999999999999" customHeight="1">
      <c r="A1946" s="43" t="s">
        <v>3543</v>
      </c>
      <c r="B1946" s="38" t="e">
        <f>SUM($C1946,$D1946,$E1946)</f>
        <v>#REF!</v>
      </c>
      <c r="C1946" s="38" t="e">
        <f>TRUNC(SUM($AD1944),0)</f>
        <v>#REF!</v>
      </c>
      <c r="D1946" s="38" t="e">
        <f>TRUNC(SUM($AH1944),0)</f>
        <v>#REF!</v>
      </c>
      <c r="E1946" s="38" t="e">
        <f>TRUNC(SUM($AL1944),0)</f>
        <v>#REF!</v>
      </c>
      <c r="F1946" s="46"/>
    </row>
    <row r="1947" spans="1:38" ht="18.399999999999999" customHeight="1">
      <c r="A1947" s="41"/>
      <c r="B1947" s="3"/>
      <c r="C1947" s="3"/>
      <c r="D1947" s="3"/>
      <c r="E1947" s="3"/>
      <c r="F1947" s="44"/>
    </row>
    <row r="1948" spans="1:38" ht="18.399999999999999" customHeight="1">
      <c r="A1948" s="41" t="s">
        <v>587</v>
      </c>
      <c r="B1948" s="36" t="e">
        <f>$B1959</f>
        <v>#REF!</v>
      </c>
      <c r="C1948" s="36" t="e">
        <f>$C1959</f>
        <v>#REF!</v>
      </c>
      <c r="D1948" s="36" t="e">
        <f>$D1959</f>
        <v>#REF!</v>
      </c>
      <c r="E1948" s="36" t="e">
        <f>$E1959</f>
        <v>#REF!</v>
      </c>
      <c r="F1948" s="44" t="s">
        <v>4819</v>
      </c>
      <c r="G1948" t="s">
        <v>6232</v>
      </c>
      <c r="H1948" t="s">
        <v>1826</v>
      </c>
      <c r="K1948">
        <v>1</v>
      </c>
      <c r="Y1948" s="7" t="e">
        <f>EXACT($Z1948,$B1959)</f>
        <v>#REF!</v>
      </c>
      <c r="Z1948" s="38">
        <v>44609</v>
      </c>
    </row>
    <row r="1949" spans="1:38" ht="18.399999999999999" customHeight="1">
      <c r="A1949" s="41"/>
      <c r="B1949" s="3"/>
      <c r="C1949" s="3"/>
      <c r="D1949" s="3"/>
      <c r="E1949" s="3"/>
      <c r="F1949" s="44"/>
    </row>
    <row r="1950" spans="1:38" ht="18.399999999999999" customHeight="1">
      <c r="A1950" s="41" t="s">
        <v>6232</v>
      </c>
      <c r="B1950" s="3"/>
      <c r="C1950" s="3"/>
      <c r="D1950" s="3"/>
      <c r="E1950" s="3"/>
      <c r="F1950" s="44"/>
      <c r="G1950" t="s">
        <v>6232</v>
      </c>
      <c r="I1950" t="s">
        <v>742</v>
      </c>
      <c r="J1950" t="s">
        <v>6232</v>
      </c>
      <c r="K1950" t="s">
        <v>5235</v>
      </c>
    </row>
    <row r="1951" spans="1:38" ht="18.399999999999999" customHeight="1">
      <c r="A1951" s="41" t="s">
        <v>590</v>
      </c>
      <c r="B1951" s="37"/>
      <c r="C1951" s="37"/>
      <c r="D1951" s="37"/>
      <c r="E1951" s="37"/>
      <c r="F1951" s="45"/>
      <c r="K1951" s="3" t="s">
        <v>5798</v>
      </c>
    </row>
    <row r="1952" spans="1:38" ht="18.399999999999999" customHeight="1">
      <c r="A1952" s="41" t="s">
        <v>6232</v>
      </c>
      <c r="B1952" s="37">
        <f>SUM($C1952,$D1952,$E1952)</f>
        <v>0</v>
      </c>
      <c r="C1952" s="37">
        <f>$AB1952</f>
        <v>0</v>
      </c>
      <c r="D1952" s="37">
        <f>$AF1952</f>
        <v>0</v>
      </c>
      <c r="E1952" s="37">
        <f>$AJ1952</f>
        <v>0</v>
      </c>
      <c r="F1952" s="45"/>
      <c r="K1952" s="3" t="s">
        <v>295</v>
      </c>
      <c r="AA1952" s="40" t="s">
        <v>2660</v>
      </c>
      <c r="AB1952" s="8">
        <f>ROUND(0,2)</f>
        <v>0</v>
      </c>
      <c r="AC1952" s="40" t="s">
        <v>1650</v>
      </c>
      <c r="AD1952" s="7">
        <f>$AB1952</f>
        <v>0</v>
      </c>
      <c r="AE1952" s="40" t="s">
        <v>5305</v>
      </c>
      <c r="AF1952" s="8">
        <f>ROUND(0,2)</f>
        <v>0</v>
      </c>
      <c r="AG1952" s="40" t="s">
        <v>5439</v>
      </c>
      <c r="AH1952" s="7">
        <f>$AF1952</f>
        <v>0</v>
      </c>
      <c r="AI1952" s="40" t="s">
        <v>3519</v>
      </c>
      <c r="AJ1952" s="8">
        <f>ROUND(0,2)</f>
        <v>0</v>
      </c>
      <c r="AK1952" s="40" t="s">
        <v>4149</v>
      </c>
      <c r="AL1952" s="7">
        <f>$AJ1952</f>
        <v>0</v>
      </c>
    </row>
    <row r="1953" spans="1:38" ht="18.399999999999999" customHeight="1">
      <c r="A1953" s="42" t="str">
        <f>CONCATENATE("  PE용접 길이  L=",TEXT($AB1953,"#,##0.00")," m")</f>
        <v xml:space="preserve">  PE용접 길이  L=12.57 m</v>
      </c>
      <c r="B1953" s="37"/>
      <c r="C1953" s="37"/>
      <c r="D1953" s="37"/>
      <c r="E1953" s="37"/>
      <c r="F1953" s="45"/>
      <c r="K1953" s="10" t="str">
        <f>SUBSTITUTE(SUBSTITUTE(" _x001D_PE용접 길이_x001D_ L=12.57_x001D_m_x001D_","12.57",TEXT($AB1953,"#,##0.00"),1),"_x001D_","'")</f>
        <v xml:space="preserve"> 'PE용접 길이' L=12.57'm'</v>
      </c>
      <c r="AA1953" s="39" t="s">
        <v>5842</v>
      </c>
      <c r="AB1953" s="6">
        <v>12.57</v>
      </c>
      <c r="AC1953" s="39" t="s">
        <v>5842</v>
      </c>
      <c r="AD1953" s="7">
        <f>$AB1953</f>
        <v>12.57</v>
      </c>
    </row>
    <row r="1954" spans="1:38" ht="18.399999999999999" customHeight="1">
      <c r="A1954" s="41" t="s">
        <v>6232</v>
      </c>
      <c r="B1954" s="37"/>
      <c r="C1954" s="37"/>
      <c r="D1954" s="37"/>
      <c r="E1954" s="37"/>
      <c r="F1954" s="45"/>
      <c r="K1954" s="3" t="s">
        <v>6232</v>
      </c>
    </row>
    <row r="1955" spans="1:38" ht="18.399999999999999" customHeight="1">
      <c r="A1955" s="41" t="s">
        <v>2635</v>
      </c>
      <c r="B1955" s="37" t="e">
        <f>SUM($C1955,$D1955,$E1955)</f>
        <v>#REF!</v>
      </c>
      <c r="C1955" s="37" t="e">
        <f>$AB1955</f>
        <v>#REF!</v>
      </c>
      <c r="D1955" s="37" t="e">
        <f>$AF1955</f>
        <v>#REF!</v>
      </c>
      <c r="E1955" s="37" t="e">
        <f>$AJ1955</f>
        <v>#REF!</v>
      </c>
      <c r="F1955" s="45" t="s">
        <v>6232</v>
      </c>
      <c r="K1955" s="3" t="s">
        <v>5850</v>
      </c>
      <c r="AA1955" s="40" t="s">
        <v>2660</v>
      </c>
      <c r="AB1955" s="8" t="e">
        <f>TRUNC(일위대가목록!#REF!/$AD1953,1)</f>
        <v>#REF!</v>
      </c>
      <c r="AC1955" s="40" t="s">
        <v>1650</v>
      </c>
      <c r="AD1955" s="7" t="e">
        <f>$AD1952+$AB1955</f>
        <v>#REF!</v>
      </c>
      <c r="AE1955" s="40" t="s">
        <v>5305</v>
      </c>
      <c r="AF1955" s="8" t="e">
        <f>TRUNC(일위대가목록!#REF!/$AD1953,1)</f>
        <v>#REF!</v>
      </c>
      <c r="AG1955" s="40" t="s">
        <v>5439</v>
      </c>
      <c r="AH1955" s="7" t="e">
        <f>$AH1952+$AF1955</f>
        <v>#REF!</v>
      </c>
      <c r="AI1955" s="40" t="s">
        <v>3519</v>
      </c>
      <c r="AJ1955" s="8" t="e">
        <f>TRUNC(일위대가목록!#REF!/$AD1953,1)</f>
        <v>#REF!</v>
      </c>
      <c r="AK1955" s="40" t="s">
        <v>4149</v>
      </c>
      <c r="AL1955" s="7" t="e">
        <f>$AL1952+$AJ1955</f>
        <v>#REF!</v>
      </c>
    </row>
    <row r="1956" spans="1:38" ht="18.399999999999999" customHeight="1">
      <c r="A1956" s="41" t="s">
        <v>6232</v>
      </c>
      <c r="B1956" s="37"/>
      <c r="C1956" s="37"/>
      <c r="D1956" s="37"/>
      <c r="E1956" s="37"/>
      <c r="F1956" s="45"/>
      <c r="K1956" s="3" t="s">
        <v>6232</v>
      </c>
    </row>
    <row r="1957" spans="1:38" ht="18.399999999999999" customHeight="1">
      <c r="A1957" s="41" t="s">
        <v>4035</v>
      </c>
      <c r="B1957" s="37" t="e">
        <f>SUM($C1957,$D1957,$E1957)</f>
        <v>#REF!</v>
      </c>
      <c r="C1957" s="37" t="e">
        <f>$AB1957</f>
        <v>#REF!</v>
      </c>
      <c r="D1957" s="37" t="e">
        <f>$AF1957</f>
        <v>#REF!</v>
      </c>
      <c r="E1957" s="37" t="e">
        <f>$AJ1957</f>
        <v>#REF!</v>
      </c>
      <c r="F1957" s="45"/>
      <c r="K1957" s="3" t="s">
        <v>6125</v>
      </c>
      <c r="AA1957" s="40" t="s">
        <v>4592</v>
      </c>
      <c r="AB1957" s="8" t="e">
        <f>TRUNC($AD1955,1)</f>
        <v>#REF!</v>
      </c>
      <c r="AC1957" s="40" t="s">
        <v>5149</v>
      </c>
      <c r="AD1957" s="7" t="e">
        <f>$AB1957</f>
        <v>#REF!</v>
      </c>
      <c r="AE1957" s="40" t="s">
        <v>666</v>
      </c>
      <c r="AF1957" s="8" t="e">
        <f>TRUNC($AH1955,1)</f>
        <v>#REF!</v>
      </c>
      <c r="AG1957" s="40" t="s">
        <v>2431</v>
      </c>
      <c r="AH1957" s="7" t="e">
        <f>$AF1957</f>
        <v>#REF!</v>
      </c>
      <c r="AI1957" s="40" t="s">
        <v>1930</v>
      </c>
      <c r="AJ1957" s="8" t="e">
        <f>TRUNC($AL1955,1)</f>
        <v>#REF!</v>
      </c>
      <c r="AK1957" s="40" t="s">
        <v>3349</v>
      </c>
      <c r="AL1957" s="7" t="e">
        <f>$AJ1957</f>
        <v>#REF!</v>
      </c>
    </row>
    <row r="1958" spans="1:38" ht="18.399999999999999" customHeight="1">
      <c r="A1958" s="41"/>
      <c r="B1958" s="3"/>
      <c r="C1958" s="3"/>
      <c r="D1958" s="3"/>
      <c r="E1958" s="3"/>
      <c r="F1958" s="44"/>
    </row>
    <row r="1959" spans="1:38" ht="18.399999999999999" customHeight="1">
      <c r="A1959" s="43" t="s">
        <v>3543</v>
      </c>
      <c r="B1959" s="38" t="e">
        <f>SUM($C1959,$D1959,$E1959)</f>
        <v>#REF!</v>
      </c>
      <c r="C1959" s="38" t="e">
        <f>TRUNC(SUM($AD1957),0)</f>
        <v>#REF!</v>
      </c>
      <c r="D1959" s="38" t="e">
        <f>TRUNC(SUM($AH1957),0)</f>
        <v>#REF!</v>
      </c>
      <c r="E1959" s="38" t="e">
        <f>TRUNC(SUM($AL1957),0)</f>
        <v>#REF!</v>
      </c>
      <c r="F1959" s="46"/>
    </row>
    <row r="1960" spans="1:38" ht="18.399999999999999" customHeight="1">
      <c r="A1960" s="41"/>
      <c r="B1960" s="3"/>
      <c r="C1960" s="3"/>
      <c r="D1960" s="3"/>
      <c r="E1960" s="3"/>
      <c r="F1960" s="44"/>
    </row>
    <row r="1961" spans="1:38" ht="18.399999999999999" customHeight="1">
      <c r="A1961" s="41" t="s">
        <v>2526</v>
      </c>
      <c r="B1961" s="36" t="e">
        <f>$B1972</f>
        <v>#REF!</v>
      </c>
      <c r="C1961" s="36" t="e">
        <f>$C1972</f>
        <v>#REF!</v>
      </c>
      <c r="D1961" s="36" t="e">
        <f>$D1972</f>
        <v>#REF!</v>
      </c>
      <c r="E1961" s="36" t="e">
        <f>$E1972</f>
        <v>#REF!</v>
      </c>
      <c r="F1961" s="44" t="s">
        <v>4819</v>
      </c>
      <c r="G1961" t="s">
        <v>6232</v>
      </c>
      <c r="H1961" t="s">
        <v>4232</v>
      </c>
      <c r="K1961">
        <v>1</v>
      </c>
      <c r="Y1961" s="7" t="e">
        <f>EXACT($Z1961,$B1972)</f>
        <v>#REF!</v>
      </c>
      <c r="Z1961" s="38">
        <v>49224</v>
      </c>
    </row>
    <row r="1962" spans="1:38" ht="18.399999999999999" customHeight="1">
      <c r="A1962" s="41"/>
      <c r="B1962" s="3"/>
      <c r="C1962" s="3"/>
      <c r="D1962" s="3"/>
      <c r="E1962" s="3"/>
      <c r="F1962" s="44"/>
    </row>
    <row r="1963" spans="1:38" ht="18.399999999999999" customHeight="1">
      <c r="A1963" s="41" t="s">
        <v>6232</v>
      </c>
      <c r="B1963" s="3"/>
      <c r="C1963" s="3"/>
      <c r="D1963" s="3"/>
      <c r="E1963" s="3"/>
      <c r="F1963" s="44"/>
      <c r="G1963" t="s">
        <v>6232</v>
      </c>
      <c r="I1963" t="s">
        <v>742</v>
      </c>
      <c r="J1963" t="s">
        <v>6232</v>
      </c>
      <c r="K1963" t="s">
        <v>5235</v>
      </c>
    </row>
    <row r="1964" spans="1:38" ht="18.399999999999999" customHeight="1">
      <c r="A1964" s="41" t="s">
        <v>5449</v>
      </c>
      <c r="B1964" s="37"/>
      <c r="C1964" s="37"/>
      <c r="D1964" s="37"/>
      <c r="E1964" s="37"/>
      <c r="F1964" s="45"/>
      <c r="K1964" s="3" t="s">
        <v>4634</v>
      </c>
    </row>
    <row r="1965" spans="1:38" ht="18.399999999999999" customHeight="1">
      <c r="A1965" s="41" t="s">
        <v>6232</v>
      </c>
      <c r="B1965" s="37">
        <f>SUM($C1965,$D1965,$E1965)</f>
        <v>0</v>
      </c>
      <c r="C1965" s="37">
        <f>$AB1965</f>
        <v>0</v>
      </c>
      <c r="D1965" s="37">
        <f>$AF1965</f>
        <v>0</v>
      </c>
      <c r="E1965" s="37">
        <f>$AJ1965</f>
        <v>0</v>
      </c>
      <c r="F1965" s="45"/>
      <c r="K1965" s="3" t="s">
        <v>295</v>
      </c>
      <c r="AA1965" s="40" t="s">
        <v>2660</v>
      </c>
      <c r="AB1965" s="8">
        <f>ROUND(0,2)</f>
        <v>0</v>
      </c>
      <c r="AC1965" s="40" t="s">
        <v>1650</v>
      </c>
      <c r="AD1965" s="7">
        <f>$AB1965</f>
        <v>0</v>
      </c>
      <c r="AE1965" s="40" t="s">
        <v>5305</v>
      </c>
      <c r="AF1965" s="8">
        <f>ROUND(0,2)</f>
        <v>0</v>
      </c>
      <c r="AG1965" s="40" t="s">
        <v>5439</v>
      </c>
      <c r="AH1965" s="7">
        <f>$AF1965</f>
        <v>0</v>
      </c>
      <c r="AI1965" s="40" t="s">
        <v>3519</v>
      </c>
      <c r="AJ1965" s="8">
        <f>ROUND(0,2)</f>
        <v>0</v>
      </c>
      <c r="AK1965" s="40" t="s">
        <v>4149</v>
      </c>
      <c r="AL1965" s="7">
        <f>$AJ1965</f>
        <v>0</v>
      </c>
    </row>
    <row r="1966" spans="1:38" ht="18.399999999999999" customHeight="1">
      <c r="A1966" s="42" t="str">
        <f>CONCATENATE("  PE용접 길이  L=",TEXT($AB1966,"#,##0.00")," m")</f>
        <v xml:space="preserve">  PE용접 길이  L=12.69 m</v>
      </c>
      <c r="B1966" s="37"/>
      <c r="C1966" s="37"/>
      <c r="D1966" s="37"/>
      <c r="E1966" s="37"/>
      <c r="F1966" s="45"/>
      <c r="K1966" s="10" t="str">
        <f>SUBSTITUTE(SUBSTITUTE(" _x001D_PE용접 길이_x001D_ L=12.69_x001D_m_x001D_","12.69",TEXT($AB1966,"#,##0.00"),1),"_x001D_","'")</f>
        <v xml:space="preserve"> 'PE용접 길이' L=12.69'm'</v>
      </c>
      <c r="AA1966" s="39" t="s">
        <v>5842</v>
      </c>
      <c r="AB1966" s="6">
        <v>12.69</v>
      </c>
      <c r="AC1966" s="39" t="s">
        <v>5842</v>
      </c>
      <c r="AD1966" s="7">
        <f>$AB1966</f>
        <v>12.69</v>
      </c>
    </row>
    <row r="1967" spans="1:38" ht="18.399999999999999" customHeight="1">
      <c r="A1967" s="41" t="s">
        <v>6232</v>
      </c>
      <c r="B1967" s="37"/>
      <c r="C1967" s="37"/>
      <c r="D1967" s="37"/>
      <c r="E1967" s="37"/>
      <c r="F1967" s="45"/>
      <c r="K1967" s="3" t="s">
        <v>6232</v>
      </c>
    </row>
    <row r="1968" spans="1:38" ht="18.399999999999999" customHeight="1">
      <c r="A1968" s="41" t="s">
        <v>3435</v>
      </c>
      <c r="B1968" s="37" t="e">
        <f>SUM($C1968,$D1968,$E1968)</f>
        <v>#REF!</v>
      </c>
      <c r="C1968" s="37" t="e">
        <f>$AB1968</f>
        <v>#REF!</v>
      </c>
      <c r="D1968" s="37" t="e">
        <f>$AF1968</f>
        <v>#REF!</v>
      </c>
      <c r="E1968" s="37" t="e">
        <f>$AJ1968</f>
        <v>#REF!</v>
      </c>
      <c r="F1968" s="45" t="s">
        <v>6232</v>
      </c>
      <c r="K1968" s="3" t="s">
        <v>1959</v>
      </c>
      <c r="AA1968" s="40" t="s">
        <v>2660</v>
      </c>
      <c r="AB1968" s="8" t="e">
        <f>TRUNC(일위대가목록!#REF!/$AD1966,1)</f>
        <v>#REF!</v>
      </c>
      <c r="AC1968" s="40" t="s">
        <v>1650</v>
      </c>
      <c r="AD1968" s="7" t="e">
        <f>$AD1965+$AB1968</f>
        <v>#REF!</v>
      </c>
      <c r="AE1968" s="40" t="s">
        <v>5305</v>
      </c>
      <c r="AF1968" s="8" t="e">
        <f>TRUNC(일위대가목록!#REF!/$AD1966,1)</f>
        <v>#REF!</v>
      </c>
      <c r="AG1968" s="40" t="s">
        <v>5439</v>
      </c>
      <c r="AH1968" s="7" t="e">
        <f>$AH1965+$AF1968</f>
        <v>#REF!</v>
      </c>
      <c r="AI1968" s="40" t="s">
        <v>3519</v>
      </c>
      <c r="AJ1968" s="8" t="e">
        <f>TRUNC(일위대가목록!#REF!/$AD1966,1)</f>
        <v>#REF!</v>
      </c>
      <c r="AK1968" s="40" t="s">
        <v>4149</v>
      </c>
      <c r="AL1968" s="7" t="e">
        <f>$AL1965+$AJ1968</f>
        <v>#REF!</v>
      </c>
    </row>
    <row r="1969" spans="1:38" ht="18.399999999999999" customHeight="1">
      <c r="A1969" s="41" t="s">
        <v>6232</v>
      </c>
      <c r="B1969" s="37"/>
      <c r="C1969" s="37"/>
      <c r="D1969" s="37"/>
      <c r="E1969" s="37"/>
      <c r="F1969" s="45"/>
      <c r="K1969" s="3" t="s">
        <v>6232</v>
      </c>
    </row>
    <row r="1970" spans="1:38" ht="18.399999999999999" customHeight="1">
      <c r="A1970" s="41" t="s">
        <v>4035</v>
      </c>
      <c r="B1970" s="37" t="e">
        <f>SUM($C1970,$D1970,$E1970)</f>
        <v>#REF!</v>
      </c>
      <c r="C1970" s="37" t="e">
        <f>$AB1970</f>
        <v>#REF!</v>
      </c>
      <c r="D1970" s="37" t="e">
        <f>$AF1970</f>
        <v>#REF!</v>
      </c>
      <c r="E1970" s="37" t="e">
        <f>$AJ1970</f>
        <v>#REF!</v>
      </c>
      <c r="F1970" s="45"/>
      <c r="K1970" s="3" t="s">
        <v>6125</v>
      </c>
      <c r="AA1970" s="40" t="s">
        <v>4592</v>
      </c>
      <c r="AB1970" s="8" t="e">
        <f>TRUNC($AD1968,1)</f>
        <v>#REF!</v>
      </c>
      <c r="AC1970" s="40" t="s">
        <v>5149</v>
      </c>
      <c r="AD1970" s="7" t="e">
        <f>$AB1970</f>
        <v>#REF!</v>
      </c>
      <c r="AE1970" s="40" t="s">
        <v>666</v>
      </c>
      <c r="AF1970" s="8" t="e">
        <f>TRUNC($AH1968,1)</f>
        <v>#REF!</v>
      </c>
      <c r="AG1970" s="40" t="s">
        <v>2431</v>
      </c>
      <c r="AH1970" s="7" t="e">
        <f>$AF1970</f>
        <v>#REF!</v>
      </c>
      <c r="AI1970" s="40" t="s">
        <v>1930</v>
      </c>
      <c r="AJ1970" s="8" t="e">
        <f>TRUNC($AL1968,1)</f>
        <v>#REF!</v>
      </c>
      <c r="AK1970" s="40" t="s">
        <v>3349</v>
      </c>
      <c r="AL1970" s="7" t="e">
        <f>$AJ1970</f>
        <v>#REF!</v>
      </c>
    </row>
    <row r="1971" spans="1:38" ht="18.399999999999999" customHeight="1">
      <c r="A1971" s="41"/>
      <c r="B1971" s="3"/>
      <c r="C1971" s="3"/>
      <c r="D1971" s="3"/>
      <c r="E1971" s="3"/>
      <c r="F1971" s="44"/>
    </row>
    <row r="1972" spans="1:38" ht="18.399999999999999" customHeight="1">
      <c r="A1972" s="43" t="s">
        <v>3543</v>
      </c>
      <c r="B1972" s="38" t="e">
        <f>SUM($C1972,$D1972,$E1972)</f>
        <v>#REF!</v>
      </c>
      <c r="C1972" s="38" t="e">
        <f>TRUNC(SUM($AD1970),0)</f>
        <v>#REF!</v>
      </c>
      <c r="D1972" s="38" t="e">
        <f>TRUNC(SUM($AH1970),0)</f>
        <v>#REF!</v>
      </c>
      <c r="E1972" s="38" t="e">
        <f>TRUNC(SUM($AL1970),0)</f>
        <v>#REF!</v>
      </c>
      <c r="F1972" s="46"/>
    </row>
    <row r="1973" spans="1:38" ht="18.399999999999999" customHeight="1">
      <c r="A1973" s="41"/>
      <c r="B1973" s="3"/>
      <c r="C1973" s="3"/>
      <c r="D1973" s="3"/>
      <c r="E1973" s="3"/>
      <c r="F1973" s="44"/>
    </row>
    <row r="1974" spans="1:38" ht="18.399999999999999" customHeight="1">
      <c r="A1974" s="41" t="s">
        <v>6039</v>
      </c>
      <c r="B1974" s="36" t="e">
        <f>$B1985</f>
        <v>#REF!</v>
      </c>
      <c r="C1974" s="36" t="e">
        <f>$C1985</f>
        <v>#REF!</v>
      </c>
      <c r="D1974" s="36" t="e">
        <f>$D1985</f>
        <v>#REF!</v>
      </c>
      <c r="E1974" s="36" t="e">
        <f>$E1985</f>
        <v>#REF!</v>
      </c>
      <c r="F1974" s="44" t="s">
        <v>4819</v>
      </c>
      <c r="G1974" t="s">
        <v>6232</v>
      </c>
      <c r="H1974" t="s">
        <v>1651</v>
      </c>
      <c r="K1974">
        <v>1</v>
      </c>
      <c r="Y1974" s="7" t="e">
        <f>EXACT($Z1974,$B1985)</f>
        <v>#REF!</v>
      </c>
      <c r="Z1974" s="38">
        <v>50263</v>
      </c>
    </row>
    <row r="1975" spans="1:38" ht="18.399999999999999" customHeight="1">
      <c r="A1975" s="41"/>
      <c r="B1975" s="3"/>
      <c r="C1975" s="3"/>
      <c r="D1975" s="3"/>
      <c r="E1975" s="3"/>
      <c r="F1975" s="44"/>
    </row>
    <row r="1976" spans="1:38" ht="18.399999999999999" customHeight="1">
      <c r="A1976" s="41" t="s">
        <v>6232</v>
      </c>
      <c r="B1976" s="3"/>
      <c r="C1976" s="3"/>
      <c r="D1976" s="3"/>
      <c r="E1976" s="3"/>
      <c r="F1976" s="44"/>
      <c r="G1976" t="s">
        <v>6232</v>
      </c>
      <c r="I1976" t="s">
        <v>742</v>
      </c>
      <c r="J1976" t="s">
        <v>6232</v>
      </c>
      <c r="K1976" t="s">
        <v>5235</v>
      </c>
    </row>
    <row r="1977" spans="1:38" ht="18.399999999999999" customHeight="1">
      <c r="A1977" s="41" t="s">
        <v>4593</v>
      </c>
      <c r="B1977" s="37"/>
      <c r="C1977" s="37"/>
      <c r="D1977" s="37"/>
      <c r="E1977" s="37"/>
      <c r="F1977" s="45"/>
      <c r="K1977" s="3" t="s">
        <v>2509</v>
      </c>
    </row>
    <row r="1978" spans="1:38" ht="18.399999999999999" customHeight="1">
      <c r="A1978" s="41" t="s">
        <v>6232</v>
      </c>
      <c r="B1978" s="37">
        <f>SUM($C1978,$D1978,$E1978)</f>
        <v>0</v>
      </c>
      <c r="C1978" s="37">
        <f>$AB1978</f>
        <v>0</v>
      </c>
      <c r="D1978" s="37">
        <f>$AF1978</f>
        <v>0</v>
      </c>
      <c r="E1978" s="37">
        <f>$AJ1978</f>
        <v>0</v>
      </c>
      <c r="F1978" s="45"/>
      <c r="K1978" s="3" t="s">
        <v>295</v>
      </c>
      <c r="AA1978" s="40" t="s">
        <v>2660</v>
      </c>
      <c r="AB1978" s="8">
        <f>ROUND(0,2)</f>
        <v>0</v>
      </c>
      <c r="AC1978" s="40" t="s">
        <v>1650</v>
      </c>
      <c r="AD1978" s="7">
        <f>$AB1978</f>
        <v>0</v>
      </c>
      <c r="AE1978" s="40" t="s">
        <v>5305</v>
      </c>
      <c r="AF1978" s="8">
        <f>ROUND(0,2)</f>
        <v>0</v>
      </c>
      <c r="AG1978" s="40" t="s">
        <v>5439</v>
      </c>
      <c r="AH1978" s="7">
        <f>$AF1978</f>
        <v>0</v>
      </c>
      <c r="AI1978" s="40" t="s">
        <v>3519</v>
      </c>
      <c r="AJ1978" s="8">
        <f>ROUND(0,2)</f>
        <v>0</v>
      </c>
      <c r="AK1978" s="40" t="s">
        <v>4149</v>
      </c>
      <c r="AL1978" s="7">
        <f>$AJ1978</f>
        <v>0</v>
      </c>
    </row>
    <row r="1979" spans="1:38" ht="18.399999999999999" customHeight="1">
      <c r="A1979" s="42" t="str">
        <f>CONCATENATE("  PE용접 길이  L=",TEXT($AB1979,"#,##0.00")," m")</f>
        <v xml:space="preserve">  PE용접 길이  L=12.69 m</v>
      </c>
      <c r="B1979" s="37"/>
      <c r="C1979" s="37"/>
      <c r="D1979" s="37"/>
      <c r="E1979" s="37"/>
      <c r="F1979" s="45"/>
      <c r="K1979" s="10" t="str">
        <f>SUBSTITUTE(SUBSTITUTE(" _x001D_PE용접 길이_x001D_ L=12.69_x001D_m_x001D_","12.69",TEXT($AB1979,"#,##0.00"),1),"_x001D_","'")</f>
        <v xml:space="preserve"> 'PE용접 길이' L=12.69'm'</v>
      </c>
      <c r="AA1979" s="39" t="s">
        <v>5842</v>
      </c>
      <c r="AB1979" s="6">
        <v>12.69</v>
      </c>
      <c r="AC1979" s="39" t="s">
        <v>5842</v>
      </c>
      <c r="AD1979" s="7">
        <f>$AB1979</f>
        <v>12.69</v>
      </c>
    </row>
    <row r="1980" spans="1:38" ht="18.399999999999999" customHeight="1">
      <c r="A1980" s="41" t="s">
        <v>6232</v>
      </c>
      <c r="B1980" s="37"/>
      <c r="C1980" s="37"/>
      <c r="D1980" s="37"/>
      <c r="E1980" s="37"/>
      <c r="F1980" s="45"/>
      <c r="K1980" s="3" t="s">
        <v>6232</v>
      </c>
    </row>
    <row r="1981" spans="1:38" ht="18.399999999999999" customHeight="1">
      <c r="A1981" s="41" t="s">
        <v>4924</v>
      </c>
      <c r="B1981" s="37" t="e">
        <f>SUM($C1981,$D1981,$E1981)</f>
        <v>#REF!</v>
      </c>
      <c r="C1981" s="37" t="e">
        <f>$AB1981</f>
        <v>#REF!</v>
      </c>
      <c r="D1981" s="37" t="e">
        <f>$AF1981</f>
        <v>#REF!</v>
      </c>
      <c r="E1981" s="37" t="e">
        <f>$AJ1981</f>
        <v>#REF!</v>
      </c>
      <c r="F1981" s="45" t="s">
        <v>6232</v>
      </c>
      <c r="K1981" s="3" t="s">
        <v>4795</v>
      </c>
      <c r="AA1981" s="40" t="s">
        <v>2660</v>
      </c>
      <c r="AB1981" s="8" t="e">
        <f>TRUNC(일위대가목록!#REF!/$AD1979,1)</f>
        <v>#REF!</v>
      </c>
      <c r="AC1981" s="40" t="s">
        <v>1650</v>
      </c>
      <c r="AD1981" s="7" t="e">
        <f>$AD1978+$AB1981</f>
        <v>#REF!</v>
      </c>
      <c r="AE1981" s="40" t="s">
        <v>5305</v>
      </c>
      <c r="AF1981" s="8" t="e">
        <f>TRUNC(일위대가목록!#REF!/$AD1979,1)</f>
        <v>#REF!</v>
      </c>
      <c r="AG1981" s="40" t="s">
        <v>5439</v>
      </c>
      <c r="AH1981" s="7" t="e">
        <f>$AH1978+$AF1981</f>
        <v>#REF!</v>
      </c>
      <c r="AI1981" s="40" t="s">
        <v>3519</v>
      </c>
      <c r="AJ1981" s="8" t="e">
        <f>TRUNC(일위대가목록!#REF!/$AD1979,1)</f>
        <v>#REF!</v>
      </c>
      <c r="AK1981" s="40" t="s">
        <v>4149</v>
      </c>
      <c r="AL1981" s="7" t="e">
        <f>$AL1978+$AJ1981</f>
        <v>#REF!</v>
      </c>
    </row>
    <row r="1982" spans="1:38" ht="18.399999999999999" customHeight="1">
      <c r="A1982" s="41" t="s">
        <v>6232</v>
      </c>
      <c r="B1982" s="37"/>
      <c r="C1982" s="37"/>
      <c r="D1982" s="37"/>
      <c r="E1982" s="37"/>
      <c r="F1982" s="45"/>
      <c r="K1982" s="3" t="s">
        <v>6232</v>
      </c>
    </row>
    <row r="1983" spans="1:38" ht="18.399999999999999" customHeight="1">
      <c r="A1983" s="41" t="s">
        <v>4035</v>
      </c>
      <c r="B1983" s="37" t="e">
        <f>SUM($C1983,$D1983,$E1983)</f>
        <v>#REF!</v>
      </c>
      <c r="C1983" s="37" t="e">
        <f>$AB1983</f>
        <v>#REF!</v>
      </c>
      <c r="D1983" s="37" t="e">
        <f>$AF1983</f>
        <v>#REF!</v>
      </c>
      <c r="E1983" s="37" t="e">
        <f>$AJ1983</f>
        <v>#REF!</v>
      </c>
      <c r="F1983" s="45"/>
      <c r="K1983" s="3" t="s">
        <v>6125</v>
      </c>
      <c r="AA1983" s="40" t="s">
        <v>4592</v>
      </c>
      <c r="AB1983" s="8" t="e">
        <f>TRUNC($AD1981,1)</f>
        <v>#REF!</v>
      </c>
      <c r="AC1983" s="40" t="s">
        <v>5149</v>
      </c>
      <c r="AD1983" s="7" t="e">
        <f>$AB1983</f>
        <v>#REF!</v>
      </c>
      <c r="AE1983" s="40" t="s">
        <v>666</v>
      </c>
      <c r="AF1983" s="8" t="e">
        <f>TRUNC($AH1981,1)</f>
        <v>#REF!</v>
      </c>
      <c r="AG1983" s="40" t="s">
        <v>2431</v>
      </c>
      <c r="AH1983" s="7" t="e">
        <f>$AF1983</f>
        <v>#REF!</v>
      </c>
      <c r="AI1983" s="40" t="s">
        <v>1930</v>
      </c>
      <c r="AJ1983" s="8" t="e">
        <f>TRUNC($AL1981,1)</f>
        <v>#REF!</v>
      </c>
      <c r="AK1983" s="40" t="s">
        <v>3349</v>
      </c>
      <c r="AL1983" s="7" t="e">
        <f>$AJ1983</f>
        <v>#REF!</v>
      </c>
    </row>
    <row r="1984" spans="1:38" ht="18.399999999999999" customHeight="1">
      <c r="A1984" s="41"/>
      <c r="B1984" s="3"/>
      <c r="C1984" s="3"/>
      <c r="D1984" s="3"/>
      <c r="E1984" s="3"/>
      <c r="F1984" s="44"/>
    </row>
    <row r="1985" spans="1:38" ht="18.399999999999999" customHeight="1">
      <c r="A1985" s="43" t="s">
        <v>3543</v>
      </c>
      <c r="B1985" s="38" t="e">
        <f>SUM($C1985,$D1985,$E1985)</f>
        <v>#REF!</v>
      </c>
      <c r="C1985" s="38" t="e">
        <f>TRUNC(SUM($AD1983),0)</f>
        <v>#REF!</v>
      </c>
      <c r="D1985" s="38" t="e">
        <f>TRUNC(SUM($AH1983),0)</f>
        <v>#REF!</v>
      </c>
      <c r="E1985" s="38" t="e">
        <f>TRUNC(SUM($AL1983),0)</f>
        <v>#REF!</v>
      </c>
      <c r="F1985" s="46"/>
    </row>
    <row r="1986" spans="1:38" ht="18.399999999999999" customHeight="1">
      <c r="A1986" s="41"/>
      <c r="B1986" s="3"/>
      <c r="C1986" s="3"/>
      <c r="D1986" s="3"/>
      <c r="E1986" s="3"/>
      <c r="F1986" s="44"/>
    </row>
    <row r="1987" spans="1:38" ht="18.399999999999999" customHeight="1">
      <c r="A1987" s="41" t="s">
        <v>1354</v>
      </c>
      <c r="B1987" s="36" t="e">
        <f>$B1998</f>
        <v>#REF!</v>
      </c>
      <c r="C1987" s="36" t="e">
        <f>$C1998</f>
        <v>#REF!</v>
      </c>
      <c r="D1987" s="36" t="e">
        <f>$D1998</f>
        <v>#REF!</v>
      </c>
      <c r="E1987" s="36" t="e">
        <f>$E1998</f>
        <v>#REF!</v>
      </c>
      <c r="F1987" s="44" t="s">
        <v>4819</v>
      </c>
      <c r="G1987" t="s">
        <v>6232</v>
      </c>
      <c r="H1987" t="s">
        <v>98</v>
      </c>
      <c r="K1987">
        <v>1</v>
      </c>
      <c r="Y1987" s="7" t="e">
        <f>EXACT($Z1987,$B1998)</f>
        <v>#REF!</v>
      </c>
      <c r="Z1987" s="38">
        <v>54404</v>
      </c>
    </row>
    <row r="1988" spans="1:38" ht="18.399999999999999" customHeight="1">
      <c r="A1988" s="41"/>
      <c r="B1988" s="3"/>
      <c r="C1988" s="3"/>
      <c r="D1988" s="3"/>
      <c r="E1988" s="3"/>
      <c r="F1988" s="44"/>
    </row>
    <row r="1989" spans="1:38" ht="18.399999999999999" customHeight="1">
      <c r="A1989" s="41" t="s">
        <v>6232</v>
      </c>
      <c r="B1989" s="3"/>
      <c r="C1989" s="3"/>
      <c r="D1989" s="3"/>
      <c r="E1989" s="3"/>
      <c r="F1989" s="44"/>
      <c r="G1989" t="s">
        <v>6232</v>
      </c>
      <c r="I1989" t="s">
        <v>742</v>
      </c>
      <c r="J1989" t="s">
        <v>6232</v>
      </c>
      <c r="K1989" t="s">
        <v>5235</v>
      </c>
    </row>
    <row r="1990" spans="1:38" ht="18.399999999999999" customHeight="1">
      <c r="A1990" s="41" t="s">
        <v>4859</v>
      </c>
      <c r="B1990" s="37"/>
      <c r="C1990" s="37"/>
      <c r="D1990" s="37"/>
      <c r="E1990" s="37"/>
      <c r="F1990" s="45"/>
      <c r="K1990" s="3" t="s">
        <v>5981</v>
      </c>
    </row>
    <row r="1991" spans="1:38" ht="18.399999999999999" customHeight="1">
      <c r="A1991" s="41" t="s">
        <v>6232</v>
      </c>
      <c r="B1991" s="37">
        <f>SUM($C1991,$D1991,$E1991)</f>
        <v>0</v>
      </c>
      <c r="C1991" s="37">
        <f>$AB1991</f>
        <v>0</v>
      </c>
      <c r="D1991" s="37">
        <f>$AF1991</f>
        <v>0</v>
      </c>
      <c r="E1991" s="37">
        <f>$AJ1991</f>
        <v>0</v>
      </c>
      <c r="F1991" s="45"/>
      <c r="K1991" s="3" t="s">
        <v>295</v>
      </c>
      <c r="AA1991" s="40" t="s">
        <v>2660</v>
      </c>
      <c r="AB1991" s="8">
        <f>ROUND(0,2)</f>
        <v>0</v>
      </c>
      <c r="AC1991" s="40" t="s">
        <v>1650</v>
      </c>
      <c r="AD1991" s="7">
        <f>$AB1991</f>
        <v>0</v>
      </c>
      <c r="AE1991" s="40" t="s">
        <v>5305</v>
      </c>
      <c r="AF1991" s="8">
        <f>ROUND(0,2)</f>
        <v>0</v>
      </c>
      <c r="AG1991" s="40" t="s">
        <v>5439</v>
      </c>
      <c r="AH1991" s="7">
        <f>$AF1991</f>
        <v>0</v>
      </c>
      <c r="AI1991" s="40" t="s">
        <v>3519</v>
      </c>
      <c r="AJ1991" s="8">
        <f>ROUND(0,2)</f>
        <v>0</v>
      </c>
      <c r="AK1991" s="40" t="s">
        <v>4149</v>
      </c>
      <c r="AL1991" s="7">
        <f>$AJ1991</f>
        <v>0</v>
      </c>
    </row>
    <row r="1992" spans="1:38" ht="18.399999999999999" customHeight="1">
      <c r="A1992" s="42" t="str">
        <f>CONCATENATE("  PE용접 길이  L=",TEXT($AB1992,"#,##0.00")," m")</f>
        <v xml:space="preserve">  PE용접 길이  L=12.79 m</v>
      </c>
      <c r="B1992" s="37"/>
      <c r="C1992" s="37"/>
      <c r="D1992" s="37"/>
      <c r="E1992" s="37"/>
      <c r="F1992" s="45"/>
      <c r="K1992" s="10" t="str">
        <f>SUBSTITUTE(SUBSTITUTE(" _x001D_PE용접 길이_x001D_ L=12.79_x001D_m_x001D_","12.79",TEXT($AB1992,"#,##0.00"),1),"_x001D_","'")</f>
        <v xml:space="preserve"> 'PE용접 길이' L=12.79'm'</v>
      </c>
      <c r="AA1992" s="39" t="s">
        <v>5842</v>
      </c>
      <c r="AB1992" s="6">
        <v>12.79</v>
      </c>
      <c r="AC1992" s="39" t="s">
        <v>5842</v>
      </c>
      <c r="AD1992" s="7">
        <f>$AB1992</f>
        <v>12.79</v>
      </c>
    </row>
    <row r="1993" spans="1:38" ht="18.399999999999999" customHeight="1">
      <c r="A1993" s="41" t="s">
        <v>6232</v>
      </c>
      <c r="B1993" s="37"/>
      <c r="C1993" s="37"/>
      <c r="D1993" s="37"/>
      <c r="E1993" s="37"/>
      <c r="F1993" s="45"/>
      <c r="K1993" s="3" t="s">
        <v>6232</v>
      </c>
    </row>
    <row r="1994" spans="1:38" ht="18.399999999999999" customHeight="1">
      <c r="A1994" s="41" t="s">
        <v>4322</v>
      </c>
      <c r="B1994" s="37" t="e">
        <f>SUM($C1994,$D1994,$E1994)</f>
        <v>#REF!</v>
      </c>
      <c r="C1994" s="37" t="e">
        <f>$AB1994</f>
        <v>#REF!</v>
      </c>
      <c r="D1994" s="37" t="e">
        <f>$AF1994</f>
        <v>#REF!</v>
      </c>
      <c r="E1994" s="37" t="e">
        <f>$AJ1994</f>
        <v>#REF!</v>
      </c>
      <c r="F1994" s="45" t="s">
        <v>6232</v>
      </c>
      <c r="K1994" s="3" t="s">
        <v>5926</v>
      </c>
      <c r="AA1994" s="40" t="s">
        <v>2660</v>
      </c>
      <c r="AB1994" s="8" t="e">
        <f>TRUNC(일위대가목록!#REF!/$AD1992,1)</f>
        <v>#REF!</v>
      </c>
      <c r="AC1994" s="40" t="s">
        <v>1650</v>
      </c>
      <c r="AD1994" s="7" t="e">
        <f>$AD1991+$AB1994</f>
        <v>#REF!</v>
      </c>
      <c r="AE1994" s="40" t="s">
        <v>5305</v>
      </c>
      <c r="AF1994" s="8" t="e">
        <f>TRUNC(일위대가목록!#REF!/$AD1992,1)</f>
        <v>#REF!</v>
      </c>
      <c r="AG1994" s="40" t="s">
        <v>5439</v>
      </c>
      <c r="AH1994" s="7" t="e">
        <f>$AH1991+$AF1994</f>
        <v>#REF!</v>
      </c>
      <c r="AI1994" s="40" t="s">
        <v>3519</v>
      </c>
      <c r="AJ1994" s="8" t="e">
        <f>TRUNC(일위대가목록!#REF!/$AD1992,1)</f>
        <v>#REF!</v>
      </c>
      <c r="AK1994" s="40" t="s">
        <v>4149</v>
      </c>
      <c r="AL1994" s="7" t="e">
        <f>$AL1991+$AJ1994</f>
        <v>#REF!</v>
      </c>
    </row>
    <row r="1995" spans="1:38" ht="18.399999999999999" customHeight="1">
      <c r="A1995" s="41" t="s">
        <v>6232</v>
      </c>
      <c r="B1995" s="37"/>
      <c r="C1995" s="37"/>
      <c r="D1995" s="37"/>
      <c r="E1995" s="37"/>
      <c r="F1995" s="45"/>
      <c r="K1995" s="3" t="s">
        <v>6232</v>
      </c>
    </row>
    <row r="1996" spans="1:38" ht="18.399999999999999" customHeight="1">
      <c r="A1996" s="41" t="s">
        <v>4035</v>
      </c>
      <c r="B1996" s="37" t="e">
        <f>SUM($C1996,$D1996,$E1996)</f>
        <v>#REF!</v>
      </c>
      <c r="C1996" s="37" t="e">
        <f>$AB1996</f>
        <v>#REF!</v>
      </c>
      <c r="D1996" s="37" t="e">
        <f>$AF1996</f>
        <v>#REF!</v>
      </c>
      <c r="E1996" s="37" t="e">
        <f>$AJ1996</f>
        <v>#REF!</v>
      </c>
      <c r="F1996" s="45"/>
      <c r="K1996" s="3" t="s">
        <v>6125</v>
      </c>
      <c r="AA1996" s="40" t="s">
        <v>4592</v>
      </c>
      <c r="AB1996" s="8" t="e">
        <f>TRUNC($AD1994,1)</f>
        <v>#REF!</v>
      </c>
      <c r="AC1996" s="40" t="s">
        <v>5149</v>
      </c>
      <c r="AD1996" s="7" t="e">
        <f>$AB1996</f>
        <v>#REF!</v>
      </c>
      <c r="AE1996" s="40" t="s">
        <v>666</v>
      </c>
      <c r="AF1996" s="8" t="e">
        <f>TRUNC($AH1994,1)</f>
        <v>#REF!</v>
      </c>
      <c r="AG1996" s="40" t="s">
        <v>2431</v>
      </c>
      <c r="AH1996" s="7" t="e">
        <f>$AF1996</f>
        <v>#REF!</v>
      </c>
      <c r="AI1996" s="40" t="s">
        <v>1930</v>
      </c>
      <c r="AJ1996" s="8" t="e">
        <f>TRUNC($AL1994,1)</f>
        <v>#REF!</v>
      </c>
      <c r="AK1996" s="40" t="s">
        <v>3349</v>
      </c>
      <c r="AL1996" s="7" t="e">
        <f>$AJ1996</f>
        <v>#REF!</v>
      </c>
    </row>
    <row r="1997" spans="1:38" ht="18.399999999999999" customHeight="1">
      <c r="A1997" s="41"/>
      <c r="B1997" s="3"/>
      <c r="C1997" s="3"/>
      <c r="D1997" s="3"/>
      <c r="E1997" s="3"/>
      <c r="F1997" s="44"/>
    </row>
    <row r="1998" spans="1:38" ht="18.399999999999999" customHeight="1">
      <c r="A1998" s="43" t="s">
        <v>3543</v>
      </c>
      <c r="B1998" s="38" t="e">
        <f>SUM($C1998,$D1998,$E1998)</f>
        <v>#REF!</v>
      </c>
      <c r="C1998" s="38" t="e">
        <f>TRUNC(SUM($AD1996),0)</f>
        <v>#REF!</v>
      </c>
      <c r="D1998" s="38" t="e">
        <f>TRUNC(SUM($AH1996),0)</f>
        <v>#REF!</v>
      </c>
      <c r="E1998" s="38" t="e">
        <f>TRUNC(SUM($AL1996),0)</f>
        <v>#REF!</v>
      </c>
      <c r="F1998" s="46"/>
    </row>
    <row r="1999" spans="1:38" ht="18.399999999999999" customHeight="1">
      <c r="A1999" s="41"/>
      <c r="B1999" s="3"/>
      <c r="C1999" s="3"/>
      <c r="D1999" s="3"/>
      <c r="E1999" s="3"/>
      <c r="F1999" s="44"/>
    </row>
    <row r="2000" spans="1:38" ht="18.399999999999999" customHeight="1">
      <c r="A2000" s="41" t="s">
        <v>4916</v>
      </c>
      <c r="B2000" s="36" t="e">
        <f>$B2011</f>
        <v>#REF!</v>
      </c>
      <c r="C2000" s="36" t="e">
        <f>$C2011</f>
        <v>#REF!</v>
      </c>
      <c r="D2000" s="36" t="e">
        <f>$D2011</f>
        <v>#REF!</v>
      </c>
      <c r="E2000" s="36" t="e">
        <f>$E2011</f>
        <v>#REF!</v>
      </c>
      <c r="F2000" s="44" t="s">
        <v>4819</v>
      </c>
      <c r="G2000" t="s">
        <v>6232</v>
      </c>
      <c r="H2000" t="s">
        <v>1712</v>
      </c>
      <c r="K2000">
        <v>1</v>
      </c>
      <c r="Y2000" s="7" t="e">
        <f>EXACT($Z2000,$B2011)</f>
        <v>#REF!</v>
      </c>
      <c r="Z2000" s="38">
        <v>57798</v>
      </c>
    </row>
    <row r="2001" spans="1:38" ht="18.399999999999999" customHeight="1">
      <c r="A2001" s="41"/>
      <c r="B2001" s="3"/>
      <c r="C2001" s="3"/>
      <c r="D2001" s="3"/>
      <c r="E2001" s="3"/>
      <c r="F2001" s="44"/>
    </row>
    <row r="2002" spans="1:38" ht="18.399999999999999" customHeight="1">
      <c r="A2002" s="41" t="s">
        <v>6232</v>
      </c>
      <c r="B2002" s="3"/>
      <c r="C2002" s="3"/>
      <c r="D2002" s="3"/>
      <c r="E2002" s="3"/>
      <c r="F2002" s="44"/>
      <c r="G2002" t="s">
        <v>6232</v>
      </c>
      <c r="I2002" t="s">
        <v>742</v>
      </c>
      <c r="J2002" t="s">
        <v>6232</v>
      </c>
      <c r="K2002" t="s">
        <v>5235</v>
      </c>
    </row>
    <row r="2003" spans="1:38" ht="18.399999999999999" customHeight="1">
      <c r="A2003" s="41" t="s">
        <v>75</v>
      </c>
      <c r="B2003" s="37"/>
      <c r="C2003" s="37"/>
      <c r="D2003" s="37"/>
      <c r="E2003" s="37"/>
      <c r="F2003" s="45"/>
      <c r="K2003" s="3" t="s">
        <v>2546</v>
      </c>
    </row>
    <row r="2004" spans="1:38" ht="18.399999999999999" customHeight="1">
      <c r="A2004" s="41" t="s">
        <v>6232</v>
      </c>
      <c r="B2004" s="37">
        <f>SUM($C2004,$D2004,$E2004)</f>
        <v>0</v>
      </c>
      <c r="C2004" s="37">
        <f>$AB2004</f>
        <v>0</v>
      </c>
      <c r="D2004" s="37">
        <f>$AF2004</f>
        <v>0</v>
      </c>
      <c r="E2004" s="37">
        <f>$AJ2004</f>
        <v>0</v>
      </c>
      <c r="F2004" s="45"/>
      <c r="K2004" s="3" t="s">
        <v>295</v>
      </c>
      <c r="AA2004" s="40" t="s">
        <v>2660</v>
      </c>
      <c r="AB2004" s="8">
        <f>ROUND(0,2)</f>
        <v>0</v>
      </c>
      <c r="AC2004" s="40" t="s">
        <v>1650</v>
      </c>
      <c r="AD2004" s="7">
        <f>$AB2004</f>
        <v>0</v>
      </c>
      <c r="AE2004" s="40" t="s">
        <v>5305</v>
      </c>
      <c r="AF2004" s="8">
        <f>ROUND(0,2)</f>
        <v>0</v>
      </c>
      <c r="AG2004" s="40" t="s">
        <v>5439</v>
      </c>
      <c r="AH2004" s="7">
        <f>$AF2004</f>
        <v>0</v>
      </c>
      <c r="AI2004" s="40" t="s">
        <v>3519</v>
      </c>
      <c r="AJ2004" s="8">
        <f>ROUND(0,2)</f>
        <v>0</v>
      </c>
      <c r="AK2004" s="40" t="s">
        <v>4149</v>
      </c>
      <c r="AL2004" s="7">
        <f>$AJ2004</f>
        <v>0</v>
      </c>
    </row>
    <row r="2005" spans="1:38" ht="18.399999999999999" customHeight="1">
      <c r="A2005" s="42" t="str">
        <f>CONCATENATE("  PE용접 길이  L=",TEXT($AB2005,"#,##0.00")," m")</f>
        <v xml:space="preserve">  PE용접 길이  L=12.88 m</v>
      </c>
      <c r="B2005" s="37"/>
      <c r="C2005" s="37"/>
      <c r="D2005" s="37"/>
      <c r="E2005" s="37"/>
      <c r="F2005" s="45"/>
      <c r="K2005" s="10" t="str">
        <f>SUBSTITUTE(SUBSTITUTE(" _x001D_PE용접 길이_x001D_ L=12.88_x001D_m_x001D_","12.88",TEXT($AB2005,"#,##0.00"),1),"_x001D_","'")</f>
        <v xml:space="preserve"> 'PE용접 길이' L=12.88'm'</v>
      </c>
      <c r="AA2005" s="39" t="s">
        <v>5842</v>
      </c>
      <c r="AB2005" s="6">
        <v>12.88</v>
      </c>
      <c r="AC2005" s="39" t="s">
        <v>5842</v>
      </c>
      <c r="AD2005" s="7">
        <f>$AB2005</f>
        <v>12.88</v>
      </c>
    </row>
    <row r="2006" spans="1:38" ht="18.399999999999999" customHeight="1">
      <c r="A2006" s="41" t="s">
        <v>6232</v>
      </c>
      <c r="B2006" s="37"/>
      <c r="C2006" s="37"/>
      <c r="D2006" s="37"/>
      <c r="E2006" s="37"/>
      <c r="F2006" s="45"/>
      <c r="K2006" s="3" t="s">
        <v>6232</v>
      </c>
    </row>
    <row r="2007" spans="1:38" ht="18.399999999999999" customHeight="1">
      <c r="A2007" s="41" t="s">
        <v>581</v>
      </c>
      <c r="B2007" s="37" t="e">
        <f>SUM($C2007,$D2007,$E2007)</f>
        <v>#REF!</v>
      </c>
      <c r="C2007" s="37" t="e">
        <f>$AB2007</f>
        <v>#REF!</v>
      </c>
      <c r="D2007" s="37" t="e">
        <f>$AF2007</f>
        <v>#REF!</v>
      </c>
      <c r="E2007" s="37" t="e">
        <f>$AJ2007</f>
        <v>#REF!</v>
      </c>
      <c r="F2007" s="45" t="s">
        <v>6232</v>
      </c>
      <c r="K2007" s="3" t="s">
        <v>986</v>
      </c>
      <c r="AA2007" s="40" t="s">
        <v>2660</v>
      </c>
      <c r="AB2007" s="8" t="e">
        <f>TRUNC(일위대가목록!#REF!/$AD2005,1)</f>
        <v>#REF!</v>
      </c>
      <c r="AC2007" s="40" t="s">
        <v>1650</v>
      </c>
      <c r="AD2007" s="7" t="e">
        <f>$AD2004+$AB2007</f>
        <v>#REF!</v>
      </c>
      <c r="AE2007" s="40" t="s">
        <v>5305</v>
      </c>
      <c r="AF2007" s="8" t="e">
        <f>TRUNC(일위대가목록!#REF!/$AD2005,1)</f>
        <v>#REF!</v>
      </c>
      <c r="AG2007" s="40" t="s">
        <v>5439</v>
      </c>
      <c r="AH2007" s="7" t="e">
        <f>$AH2004+$AF2007</f>
        <v>#REF!</v>
      </c>
      <c r="AI2007" s="40" t="s">
        <v>3519</v>
      </c>
      <c r="AJ2007" s="8" t="e">
        <f>TRUNC(일위대가목록!#REF!/$AD2005,1)</f>
        <v>#REF!</v>
      </c>
      <c r="AK2007" s="40" t="s">
        <v>4149</v>
      </c>
      <c r="AL2007" s="7" t="e">
        <f>$AL2004+$AJ2007</f>
        <v>#REF!</v>
      </c>
    </row>
    <row r="2008" spans="1:38" ht="18.399999999999999" customHeight="1">
      <c r="A2008" s="41" t="s">
        <v>6232</v>
      </c>
      <c r="B2008" s="37"/>
      <c r="C2008" s="37"/>
      <c r="D2008" s="37"/>
      <c r="E2008" s="37"/>
      <c r="F2008" s="45"/>
      <c r="K2008" s="3" t="s">
        <v>6232</v>
      </c>
    </row>
    <row r="2009" spans="1:38" ht="18.399999999999999" customHeight="1">
      <c r="A2009" s="41" t="s">
        <v>4035</v>
      </c>
      <c r="B2009" s="37" t="e">
        <f>SUM($C2009,$D2009,$E2009)</f>
        <v>#REF!</v>
      </c>
      <c r="C2009" s="37" t="e">
        <f>$AB2009</f>
        <v>#REF!</v>
      </c>
      <c r="D2009" s="37" t="e">
        <f>$AF2009</f>
        <v>#REF!</v>
      </c>
      <c r="E2009" s="37" t="e">
        <f>$AJ2009</f>
        <v>#REF!</v>
      </c>
      <c r="F2009" s="45"/>
      <c r="K2009" s="3" t="s">
        <v>6125</v>
      </c>
      <c r="AA2009" s="40" t="s">
        <v>4592</v>
      </c>
      <c r="AB2009" s="8" t="e">
        <f>TRUNC($AD2007,1)</f>
        <v>#REF!</v>
      </c>
      <c r="AC2009" s="40" t="s">
        <v>5149</v>
      </c>
      <c r="AD2009" s="7" t="e">
        <f>$AB2009</f>
        <v>#REF!</v>
      </c>
      <c r="AE2009" s="40" t="s">
        <v>666</v>
      </c>
      <c r="AF2009" s="8" t="e">
        <f>TRUNC($AH2007,1)</f>
        <v>#REF!</v>
      </c>
      <c r="AG2009" s="40" t="s">
        <v>2431</v>
      </c>
      <c r="AH2009" s="7" t="e">
        <f>$AF2009</f>
        <v>#REF!</v>
      </c>
      <c r="AI2009" s="40" t="s">
        <v>1930</v>
      </c>
      <c r="AJ2009" s="8" t="e">
        <f>TRUNC($AL2007,1)</f>
        <v>#REF!</v>
      </c>
      <c r="AK2009" s="40" t="s">
        <v>3349</v>
      </c>
      <c r="AL2009" s="7" t="e">
        <f>$AJ2009</f>
        <v>#REF!</v>
      </c>
    </row>
    <row r="2010" spans="1:38" ht="18.399999999999999" customHeight="1">
      <c r="A2010" s="41"/>
      <c r="B2010" s="3"/>
      <c r="C2010" s="3"/>
      <c r="D2010" s="3"/>
      <c r="E2010" s="3"/>
      <c r="F2010" s="44"/>
    </row>
    <row r="2011" spans="1:38" ht="18.399999999999999" customHeight="1">
      <c r="A2011" s="43" t="s">
        <v>3543</v>
      </c>
      <c r="B2011" s="38" t="e">
        <f>SUM($C2011,$D2011,$E2011)</f>
        <v>#REF!</v>
      </c>
      <c r="C2011" s="38" t="e">
        <f>TRUNC(SUM($AD2009),0)</f>
        <v>#REF!</v>
      </c>
      <c r="D2011" s="38" t="e">
        <f>TRUNC(SUM($AH2009),0)</f>
        <v>#REF!</v>
      </c>
      <c r="E2011" s="38" t="e">
        <f>TRUNC(SUM($AL2009),0)</f>
        <v>#REF!</v>
      </c>
      <c r="F2011" s="46"/>
    </row>
    <row r="2012" spans="1:38" ht="18.399999999999999" customHeight="1">
      <c r="A2012" s="41"/>
      <c r="B2012" s="3"/>
      <c r="C2012" s="3"/>
      <c r="D2012" s="3"/>
      <c r="E2012" s="3"/>
      <c r="F2012" s="44"/>
    </row>
    <row r="2013" spans="1:38" ht="18.399999999999999" customHeight="1">
      <c r="A2013" s="41" t="s">
        <v>2802</v>
      </c>
      <c r="B2013" s="36" t="e">
        <f>$B2024</f>
        <v>#REF!</v>
      </c>
      <c r="C2013" s="36" t="e">
        <f>$C2024</f>
        <v>#REF!</v>
      </c>
      <c r="D2013" s="36" t="e">
        <f>$D2024</f>
        <v>#REF!</v>
      </c>
      <c r="E2013" s="36" t="e">
        <f>$E2024</f>
        <v>#REF!</v>
      </c>
      <c r="F2013" s="44" t="s">
        <v>4819</v>
      </c>
      <c r="G2013" t="s">
        <v>6232</v>
      </c>
      <c r="H2013" t="s">
        <v>1751</v>
      </c>
      <c r="K2013">
        <v>1</v>
      </c>
      <c r="Y2013" s="7" t="e">
        <f>EXACT($Z2013,$B2024)</f>
        <v>#REF!</v>
      </c>
      <c r="Z2013" s="38">
        <v>62260</v>
      </c>
    </row>
    <row r="2014" spans="1:38" ht="18.399999999999999" customHeight="1">
      <c r="A2014" s="41"/>
      <c r="B2014" s="3"/>
      <c r="C2014" s="3"/>
      <c r="D2014" s="3"/>
      <c r="E2014" s="3"/>
      <c r="F2014" s="44"/>
    </row>
    <row r="2015" spans="1:38" ht="18.399999999999999" customHeight="1">
      <c r="A2015" s="41" t="s">
        <v>6232</v>
      </c>
      <c r="B2015" s="3"/>
      <c r="C2015" s="3"/>
      <c r="D2015" s="3"/>
      <c r="E2015" s="3"/>
      <c r="F2015" s="44"/>
      <c r="G2015" t="s">
        <v>6232</v>
      </c>
      <c r="I2015" t="s">
        <v>742</v>
      </c>
      <c r="J2015" t="s">
        <v>6232</v>
      </c>
      <c r="K2015" t="s">
        <v>5235</v>
      </c>
    </row>
    <row r="2016" spans="1:38" ht="18.399999999999999" customHeight="1">
      <c r="A2016" s="41" t="s">
        <v>3575</v>
      </c>
      <c r="B2016" s="37"/>
      <c r="C2016" s="37"/>
      <c r="D2016" s="37"/>
      <c r="E2016" s="37"/>
      <c r="F2016" s="45"/>
      <c r="K2016" s="3" t="s">
        <v>4251</v>
      </c>
    </row>
    <row r="2017" spans="1:38" ht="18.399999999999999" customHeight="1">
      <c r="A2017" s="41" t="s">
        <v>6232</v>
      </c>
      <c r="B2017" s="37">
        <f>SUM($C2017,$D2017,$E2017)</f>
        <v>0</v>
      </c>
      <c r="C2017" s="37">
        <f>$AB2017</f>
        <v>0</v>
      </c>
      <c r="D2017" s="37">
        <f>$AF2017</f>
        <v>0</v>
      </c>
      <c r="E2017" s="37">
        <f>$AJ2017</f>
        <v>0</v>
      </c>
      <c r="F2017" s="45"/>
      <c r="K2017" s="3" t="s">
        <v>295</v>
      </c>
      <c r="AA2017" s="40" t="s">
        <v>2660</v>
      </c>
      <c r="AB2017" s="8">
        <f>ROUND(0,2)</f>
        <v>0</v>
      </c>
      <c r="AC2017" s="40" t="s">
        <v>1650</v>
      </c>
      <c r="AD2017" s="7">
        <f>$AB2017</f>
        <v>0</v>
      </c>
      <c r="AE2017" s="40" t="s">
        <v>5305</v>
      </c>
      <c r="AF2017" s="8">
        <f>ROUND(0,2)</f>
        <v>0</v>
      </c>
      <c r="AG2017" s="40" t="s">
        <v>5439</v>
      </c>
      <c r="AH2017" s="7">
        <f>$AF2017</f>
        <v>0</v>
      </c>
      <c r="AI2017" s="40" t="s">
        <v>3519</v>
      </c>
      <c r="AJ2017" s="8">
        <f>ROUND(0,2)</f>
        <v>0</v>
      </c>
      <c r="AK2017" s="40" t="s">
        <v>4149</v>
      </c>
      <c r="AL2017" s="7">
        <f>$AJ2017</f>
        <v>0</v>
      </c>
    </row>
    <row r="2018" spans="1:38" ht="18.399999999999999" customHeight="1">
      <c r="A2018" s="42" t="str">
        <f>CONCATENATE("  PE용접 길이  L=",TEXT($AB2018,"#,##0.00")," m")</f>
        <v xml:space="preserve">  PE용접 길이  L=13.00 m</v>
      </c>
      <c r="B2018" s="37"/>
      <c r="C2018" s="37"/>
      <c r="D2018" s="37"/>
      <c r="E2018" s="37"/>
      <c r="F2018" s="45"/>
      <c r="K2018" s="10" t="str">
        <f>SUBSTITUTE(SUBSTITUTE(" _x001D_PE용접 길이_x001D_ L=13.00_x001D_m_x001D_","13.00",TEXT($AB2018,"#,##0.00"),1),"_x001D_","'")</f>
        <v xml:space="preserve"> 'PE용접 길이' L=13.00'm'</v>
      </c>
      <c r="AA2018" s="39" t="s">
        <v>5842</v>
      </c>
      <c r="AB2018" s="6">
        <v>13</v>
      </c>
      <c r="AC2018" s="39" t="s">
        <v>5842</v>
      </c>
      <c r="AD2018" s="7">
        <f>$AB2018</f>
        <v>13</v>
      </c>
    </row>
    <row r="2019" spans="1:38" ht="18.399999999999999" customHeight="1">
      <c r="A2019" s="41" t="s">
        <v>6232</v>
      </c>
      <c r="B2019" s="37"/>
      <c r="C2019" s="37"/>
      <c r="D2019" s="37"/>
      <c r="E2019" s="37"/>
      <c r="F2019" s="45"/>
      <c r="K2019" s="3" t="s">
        <v>6232</v>
      </c>
    </row>
    <row r="2020" spans="1:38" ht="18.399999999999999" customHeight="1">
      <c r="A2020" s="41" t="s">
        <v>3406</v>
      </c>
      <c r="B2020" s="37" t="e">
        <f>SUM($C2020,$D2020,$E2020)</f>
        <v>#REF!</v>
      </c>
      <c r="C2020" s="37" t="e">
        <f>$AB2020</f>
        <v>#REF!</v>
      </c>
      <c r="D2020" s="37" t="e">
        <f>$AF2020</f>
        <v>#REF!</v>
      </c>
      <c r="E2020" s="37" t="e">
        <f>$AJ2020</f>
        <v>#REF!</v>
      </c>
      <c r="F2020" s="45" t="s">
        <v>6232</v>
      </c>
      <c r="K2020" s="3" t="s">
        <v>5738</v>
      </c>
      <c r="AA2020" s="40" t="s">
        <v>2660</v>
      </c>
      <c r="AB2020" s="8" t="e">
        <f>TRUNC(일위대가목록!#REF!/$AD2018,1)</f>
        <v>#REF!</v>
      </c>
      <c r="AC2020" s="40" t="s">
        <v>1650</v>
      </c>
      <c r="AD2020" s="7" t="e">
        <f>$AD2017+$AB2020</f>
        <v>#REF!</v>
      </c>
      <c r="AE2020" s="40" t="s">
        <v>5305</v>
      </c>
      <c r="AF2020" s="8" t="e">
        <f>TRUNC(일위대가목록!#REF!/$AD2018,1)</f>
        <v>#REF!</v>
      </c>
      <c r="AG2020" s="40" t="s">
        <v>5439</v>
      </c>
      <c r="AH2020" s="7" t="e">
        <f>$AH2017+$AF2020</f>
        <v>#REF!</v>
      </c>
      <c r="AI2020" s="40" t="s">
        <v>3519</v>
      </c>
      <c r="AJ2020" s="8" t="e">
        <f>TRUNC(일위대가목록!#REF!/$AD2018,1)</f>
        <v>#REF!</v>
      </c>
      <c r="AK2020" s="40" t="s">
        <v>4149</v>
      </c>
      <c r="AL2020" s="7" t="e">
        <f>$AL2017+$AJ2020</f>
        <v>#REF!</v>
      </c>
    </row>
    <row r="2021" spans="1:38" ht="18.399999999999999" customHeight="1">
      <c r="A2021" s="41" t="s">
        <v>6232</v>
      </c>
      <c r="B2021" s="37"/>
      <c r="C2021" s="37"/>
      <c r="D2021" s="37"/>
      <c r="E2021" s="37"/>
      <c r="F2021" s="45"/>
      <c r="K2021" s="3" t="s">
        <v>6232</v>
      </c>
    </row>
    <row r="2022" spans="1:38" ht="18.399999999999999" customHeight="1">
      <c r="A2022" s="41" t="s">
        <v>4035</v>
      </c>
      <c r="B2022" s="37" t="e">
        <f>SUM($C2022,$D2022,$E2022)</f>
        <v>#REF!</v>
      </c>
      <c r="C2022" s="37" t="e">
        <f>$AB2022</f>
        <v>#REF!</v>
      </c>
      <c r="D2022" s="37" t="e">
        <f>$AF2022</f>
        <v>#REF!</v>
      </c>
      <c r="E2022" s="37" t="e">
        <f>$AJ2022</f>
        <v>#REF!</v>
      </c>
      <c r="F2022" s="45"/>
      <c r="K2022" s="3" t="s">
        <v>6125</v>
      </c>
      <c r="AA2022" s="40" t="s">
        <v>4592</v>
      </c>
      <c r="AB2022" s="8" t="e">
        <f>TRUNC($AD2020,1)</f>
        <v>#REF!</v>
      </c>
      <c r="AC2022" s="40" t="s">
        <v>5149</v>
      </c>
      <c r="AD2022" s="7" t="e">
        <f>$AB2022</f>
        <v>#REF!</v>
      </c>
      <c r="AE2022" s="40" t="s">
        <v>666</v>
      </c>
      <c r="AF2022" s="8" t="e">
        <f>TRUNC($AH2020,1)</f>
        <v>#REF!</v>
      </c>
      <c r="AG2022" s="40" t="s">
        <v>2431</v>
      </c>
      <c r="AH2022" s="7" t="e">
        <f>$AF2022</f>
        <v>#REF!</v>
      </c>
      <c r="AI2022" s="40" t="s">
        <v>1930</v>
      </c>
      <c r="AJ2022" s="8" t="e">
        <f>TRUNC($AL2020,1)</f>
        <v>#REF!</v>
      </c>
      <c r="AK2022" s="40" t="s">
        <v>3349</v>
      </c>
      <c r="AL2022" s="7" t="e">
        <f>$AJ2022</f>
        <v>#REF!</v>
      </c>
    </row>
    <row r="2023" spans="1:38" ht="18.399999999999999" customHeight="1">
      <c r="A2023" s="41"/>
      <c r="B2023" s="3"/>
      <c r="C2023" s="3"/>
      <c r="D2023" s="3"/>
      <c r="E2023" s="3"/>
      <c r="F2023" s="44"/>
    </row>
    <row r="2024" spans="1:38" ht="18.399999999999999" customHeight="1">
      <c r="A2024" s="43" t="s">
        <v>3543</v>
      </c>
      <c r="B2024" s="38" t="e">
        <f>SUM($C2024,$D2024,$E2024)</f>
        <v>#REF!</v>
      </c>
      <c r="C2024" s="38" t="e">
        <f>TRUNC(SUM($AD2022),0)</f>
        <v>#REF!</v>
      </c>
      <c r="D2024" s="38" t="e">
        <f>TRUNC(SUM($AH2022),0)</f>
        <v>#REF!</v>
      </c>
      <c r="E2024" s="38" t="e">
        <f>TRUNC(SUM($AL2022),0)</f>
        <v>#REF!</v>
      </c>
      <c r="F2024" s="46"/>
    </row>
    <row r="2025" spans="1:38" ht="18.399999999999999" customHeight="1">
      <c r="A2025" s="41"/>
      <c r="B2025" s="3"/>
      <c r="C2025" s="3"/>
      <c r="D2025" s="3"/>
      <c r="E2025" s="3"/>
      <c r="F2025" s="44"/>
    </row>
    <row r="2026" spans="1:38" ht="18.399999999999999" customHeight="1">
      <c r="A2026" s="41" t="s">
        <v>604</v>
      </c>
      <c r="B2026" s="36" t="e">
        <f>$B2037</f>
        <v>#REF!</v>
      </c>
      <c r="C2026" s="36" t="e">
        <f>$C2037</f>
        <v>#REF!</v>
      </c>
      <c r="D2026" s="36" t="e">
        <f>$D2037</f>
        <v>#REF!</v>
      </c>
      <c r="E2026" s="36" t="e">
        <f>$E2037</f>
        <v>#REF!</v>
      </c>
      <c r="F2026" s="44" t="s">
        <v>4819</v>
      </c>
      <c r="G2026" t="s">
        <v>6232</v>
      </c>
      <c r="H2026" t="s">
        <v>2834</v>
      </c>
      <c r="K2026">
        <v>1</v>
      </c>
      <c r="Y2026" s="7" t="e">
        <f>EXACT($Z2026,$B2037)</f>
        <v>#REF!</v>
      </c>
      <c r="Z2026" s="38">
        <v>74099</v>
      </c>
    </row>
    <row r="2027" spans="1:38" ht="18.399999999999999" customHeight="1">
      <c r="A2027" s="41"/>
      <c r="B2027" s="3"/>
      <c r="C2027" s="3"/>
      <c r="D2027" s="3"/>
      <c r="E2027" s="3"/>
      <c r="F2027" s="44"/>
    </row>
    <row r="2028" spans="1:38" ht="18.399999999999999" customHeight="1">
      <c r="A2028" s="41" t="s">
        <v>6232</v>
      </c>
      <c r="B2028" s="3"/>
      <c r="C2028" s="3"/>
      <c r="D2028" s="3"/>
      <c r="E2028" s="3"/>
      <c r="F2028" s="44"/>
      <c r="G2028" t="s">
        <v>6232</v>
      </c>
      <c r="I2028" t="s">
        <v>742</v>
      </c>
      <c r="J2028" t="s">
        <v>6232</v>
      </c>
      <c r="K2028" t="s">
        <v>5235</v>
      </c>
    </row>
    <row r="2029" spans="1:38" ht="18.399999999999999" customHeight="1">
      <c r="A2029" s="41" t="s">
        <v>4525</v>
      </c>
      <c r="B2029" s="37"/>
      <c r="C2029" s="37"/>
      <c r="D2029" s="37"/>
      <c r="E2029" s="37"/>
      <c r="F2029" s="45"/>
      <c r="K2029" s="3" t="s">
        <v>1295</v>
      </c>
    </row>
    <row r="2030" spans="1:38" ht="18.399999999999999" customHeight="1">
      <c r="A2030" s="41" t="s">
        <v>6232</v>
      </c>
      <c r="B2030" s="37">
        <f>SUM($C2030,$D2030,$E2030)</f>
        <v>0</v>
      </c>
      <c r="C2030" s="37">
        <f>$AB2030</f>
        <v>0</v>
      </c>
      <c r="D2030" s="37">
        <f>$AF2030</f>
        <v>0</v>
      </c>
      <c r="E2030" s="37">
        <f>$AJ2030</f>
        <v>0</v>
      </c>
      <c r="F2030" s="45"/>
      <c r="K2030" s="3" t="s">
        <v>295</v>
      </c>
      <c r="AA2030" s="40" t="s">
        <v>2660</v>
      </c>
      <c r="AB2030" s="8">
        <f>ROUND(0,2)</f>
        <v>0</v>
      </c>
      <c r="AC2030" s="40" t="s">
        <v>1650</v>
      </c>
      <c r="AD2030" s="7">
        <f>$AB2030</f>
        <v>0</v>
      </c>
      <c r="AE2030" s="40" t="s">
        <v>5305</v>
      </c>
      <c r="AF2030" s="8">
        <f>ROUND(0,2)</f>
        <v>0</v>
      </c>
      <c r="AG2030" s="40" t="s">
        <v>5439</v>
      </c>
      <c r="AH2030" s="7">
        <f>$AF2030</f>
        <v>0</v>
      </c>
      <c r="AI2030" s="40" t="s">
        <v>3519</v>
      </c>
      <c r="AJ2030" s="8">
        <f>ROUND(0,2)</f>
        <v>0</v>
      </c>
      <c r="AK2030" s="40" t="s">
        <v>4149</v>
      </c>
      <c r="AL2030" s="7">
        <f>$AJ2030</f>
        <v>0</v>
      </c>
    </row>
    <row r="2031" spans="1:38" ht="18.399999999999999" customHeight="1">
      <c r="A2031" s="42" t="str">
        <f>CONCATENATE("  PE용접 길이  L=",TEXT($AB2031,"#,##0.00")," m")</f>
        <v xml:space="preserve">  PE용접 길이  L=13.26 m</v>
      </c>
      <c r="B2031" s="37"/>
      <c r="C2031" s="37"/>
      <c r="D2031" s="37"/>
      <c r="E2031" s="37"/>
      <c r="F2031" s="45"/>
      <c r="K2031" s="10" t="str">
        <f>SUBSTITUTE(SUBSTITUTE(" _x001D_PE용접 길이_x001D_ L=13.26_x001D_m_x001D_","13.26",TEXT($AB2031,"#,##0.00"),1),"_x001D_","'")</f>
        <v xml:space="preserve"> 'PE용접 길이' L=13.26'm'</v>
      </c>
      <c r="AA2031" s="39" t="s">
        <v>5842</v>
      </c>
      <c r="AB2031" s="6">
        <v>13.26</v>
      </c>
      <c r="AC2031" s="39" t="s">
        <v>5842</v>
      </c>
      <c r="AD2031" s="7">
        <f>$AB2031</f>
        <v>13.26</v>
      </c>
    </row>
    <row r="2032" spans="1:38" ht="18.399999999999999" customHeight="1">
      <c r="A2032" s="41" t="s">
        <v>6232</v>
      </c>
      <c r="B2032" s="37"/>
      <c r="C2032" s="37"/>
      <c r="D2032" s="37"/>
      <c r="E2032" s="37"/>
      <c r="F2032" s="45"/>
      <c r="K2032" s="3" t="s">
        <v>6232</v>
      </c>
    </row>
    <row r="2033" spans="1:38" ht="18.399999999999999" customHeight="1">
      <c r="A2033" s="41" t="s">
        <v>1933</v>
      </c>
      <c r="B2033" s="37" t="e">
        <f>SUM($C2033,$D2033,$E2033)</f>
        <v>#REF!</v>
      </c>
      <c r="C2033" s="37" t="e">
        <f>$AB2033</f>
        <v>#REF!</v>
      </c>
      <c r="D2033" s="37" t="e">
        <f>$AF2033</f>
        <v>#REF!</v>
      </c>
      <c r="E2033" s="37" t="e">
        <f>$AJ2033</f>
        <v>#REF!</v>
      </c>
      <c r="F2033" s="45" t="s">
        <v>6232</v>
      </c>
      <c r="K2033" s="3" t="s">
        <v>3281</v>
      </c>
      <c r="AA2033" s="40" t="s">
        <v>2660</v>
      </c>
      <c r="AB2033" s="8" t="e">
        <f>TRUNC(일위대가목록!#REF!/$AD2031,1)</f>
        <v>#REF!</v>
      </c>
      <c r="AC2033" s="40" t="s">
        <v>1650</v>
      </c>
      <c r="AD2033" s="7" t="e">
        <f>$AD2030+$AB2033</f>
        <v>#REF!</v>
      </c>
      <c r="AE2033" s="40" t="s">
        <v>5305</v>
      </c>
      <c r="AF2033" s="8" t="e">
        <f>TRUNC(일위대가목록!#REF!/$AD2031,1)</f>
        <v>#REF!</v>
      </c>
      <c r="AG2033" s="40" t="s">
        <v>5439</v>
      </c>
      <c r="AH2033" s="7" t="e">
        <f>$AH2030+$AF2033</f>
        <v>#REF!</v>
      </c>
      <c r="AI2033" s="40" t="s">
        <v>3519</v>
      </c>
      <c r="AJ2033" s="8" t="e">
        <f>TRUNC(일위대가목록!#REF!/$AD2031,1)</f>
        <v>#REF!</v>
      </c>
      <c r="AK2033" s="40" t="s">
        <v>4149</v>
      </c>
      <c r="AL2033" s="7" t="e">
        <f>$AL2030+$AJ2033</f>
        <v>#REF!</v>
      </c>
    </row>
    <row r="2034" spans="1:38" ht="18.399999999999999" customHeight="1">
      <c r="A2034" s="41" t="s">
        <v>6232</v>
      </c>
      <c r="B2034" s="37"/>
      <c r="C2034" s="37"/>
      <c r="D2034" s="37"/>
      <c r="E2034" s="37"/>
      <c r="F2034" s="45"/>
      <c r="K2034" s="3" t="s">
        <v>6232</v>
      </c>
    </row>
    <row r="2035" spans="1:38" ht="18.399999999999999" customHeight="1">
      <c r="A2035" s="41" t="s">
        <v>4035</v>
      </c>
      <c r="B2035" s="37" t="e">
        <f>SUM($C2035,$D2035,$E2035)</f>
        <v>#REF!</v>
      </c>
      <c r="C2035" s="37" t="e">
        <f>$AB2035</f>
        <v>#REF!</v>
      </c>
      <c r="D2035" s="37" t="e">
        <f>$AF2035</f>
        <v>#REF!</v>
      </c>
      <c r="E2035" s="37" t="e">
        <f>$AJ2035</f>
        <v>#REF!</v>
      </c>
      <c r="F2035" s="45"/>
      <c r="K2035" s="3" t="s">
        <v>6125</v>
      </c>
      <c r="AA2035" s="40" t="s">
        <v>4592</v>
      </c>
      <c r="AB2035" s="8" t="e">
        <f>TRUNC($AD2033,1)</f>
        <v>#REF!</v>
      </c>
      <c r="AC2035" s="40" t="s">
        <v>5149</v>
      </c>
      <c r="AD2035" s="7" t="e">
        <f>$AB2035</f>
        <v>#REF!</v>
      </c>
      <c r="AE2035" s="40" t="s">
        <v>666</v>
      </c>
      <c r="AF2035" s="8" t="e">
        <f>TRUNC($AH2033,1)</f>
        <v>#REF!</v>
      </c>
      <c r="AG2035" s="40" t="s">
        <v>2431</v>
      </c>
      <c r="AH2035" s="7" t="e">
        <f>$AF2035</f>
        <v>#REF!</v>
      </c>
      <c r="AI2035" s="40" t="s">
        <v>1930</v>
      </c>
      <c r="AJ2035" s="8" t="e">
        <f>TRUNC($AL2033,1)</f>
        <v>#REF!</v>
      </c>
      <c r="AK2035" s="40" t="s">
        <v>3349</v>
      </c>
      <c r="AL2035" s="7" t="e">
        <f>$AJ2035</f>
        <v>#REF!</v>
      </c>
    </row>
    <row r="2036" spans="1:38" ht="18.399999999999999" customHeight="1">
      <c r="A2036" s="41"/>
      <c r="B2036" s="3"/>
      <c r="C2036" s="3"/>
      <c r="D2036" s="3"/>
      <c r="E2036" s="3"/>
      <c r="F2036" s="44"/>
    </row>
    <row r="2037" spans="1:38" ht="18.399999999999999" customHeight="1">
      <c r="A2037" s="43" t="s">
        <v>3543</v>
      </c>
      <c r="B2037" s="38" t="e">
        <f>SUM($C2037,$D2037,$E2037)</f>
        <v>#REF!</v>
      </c>
      <c r="C2037" s="38" t="e">
        <f>TRUNC(SUM($AD2035),0)</f>
        <v>#REF!</v>
      </c>
      <c r="D2037" s="38" t="e">
        <f>TRUNC(SUM($AH2035),0)</f>
        <v>#REF!</v>
      </c>
      <c r="E2037" s="38" t="e">
        <f>TRUNC(SUM($AL2035),0)</f>
        <v>#REF!</v>
      </c>
      <c r="F2037" s="46"/>
    </row>
    <row r="2038" spans="1:38" ht="18.399999999999999" customHeight="1">
      <c r="A2038" s="41"/>
      <c r="B2038" s="3"/>
      <c r="C2038" s="3"/>
      <c r="D2038" s="3"/>
      <c r="E2038" s="3"/>
      <c r="F2038" s="44"/>
    </row>
    <row r="2039" spans="1:38" ht="18.399999999999999" customHeight="1">
      <c r="A2039" s="41" t="s">
        <v>927</v>
      </c>
      <c r="B2039" s="36" t="e">
        <f>$B2050</f>
        <v>#REF!</v>
      </c>
      <c r="C2039" s="36" t="e">
        <f>$C2050</f>
        <v>#REF!</v>
      </c>
      <c r="D2039" s="36" t="e">
        <f>$D2050</f>
        <v>#REF!</v>
      </c>
      <c r="E2039" s="36" t="e">
        <f>$E2050</f>
        <v>#REF!</v>
      </c>
      <c r="F2039" s="44" t="s">
        <v>4819</v>
      </c>
      <c r="G2039" t="s">
        <v>6232</v>
      </c>
      <c r="H2039" t="s">
        <v>2958</v>
      </c>
      <c r="K2039">
        <v>1</v>
      </c>
      <c r="Y2039" s="7" t="e">
        <f>EXACT($Z2039,$B2050)</f>
        <v>#REF!</v>
      </c>
      <c r="Z2039" s="38">
        <v>82200</v>
      </c>
    </row>
    <row r="2040" spans="1:38" ht="18.399999999999999" customHeight="1">
      <c r="A2040" s="41"/>
      <c r="B2040" s="3"/>
      <c r="C2040" s="3"/>
      <c r="D2040" s="3"/>
      <c r="E2040" s="3"/>
      <c r="F2040" s="44"/>
    </row>
    <row r="2041" spans="1:38" ht="18.399999999999999" customHeight="1">
      <c r="A2041" s="41" t="s">
        <v>6232</v>
      </c>
      <c r="B2041" s="3"/>
      <c r="C2041" s="3"/>
      <c r="D2041" s="3"/>
      <c r="E2041" s="3"/>
      <c r="F2041" s="44"/>
      <c r="G2041" t="s">
        <v>6232</v>
      </c>
      <c r="I2041" t="s">
        <v>742</v>
      </c>
      <c r="J2041" t="s">
        <v>6232</v>
      </c>
      <c r="K2041" t="s">
        <v>5235</v>
      </c>
    </row>
    <row r="2042" spans="1:38" ht="18.399999999999999" customHeight="1">
      <c r="A2042" s="41" t="s">
        <v>140</v>
      </c>
      <c r="B2042" s="37"/>
      <c r="C2042" s="37"/>
      <c r="D2042" s="37"/>
      <c r="E2042" s="37"/>
      <c r="F2042" s="45"/>
      <c r="K2042" s="3" t="s">
        <v>1335</v>
      </c>
    </row>
    <row r="2043" spans="1:38" ht="18.399999999999999" customHeight="1">
      <c r="A2043" s="41" t="s">
        <v>6232</v>
      </c>
      <c r="B2043" s="37">
        <f>SUM($C2043,$D2043,$E2043)</f>
        <v>0</v>
      </c>
      <c r="C2043" s="37">
        <f>$AB2043</f>
        <v>0</v>
      </c>
      <c r="D2043" s="37">
        <f>$AF2043</f>
        <v>0</v>
      </c>
      <c r="E2043" s="37">
        <f>$AJ2043</f>
        <v>0</v>
      </c>
      <c r="F2043" s="45"/>
      <c r="K2043" s="3" t="s">
        <v>295</v>
      </c>
      <c r="AA2043" s="40" t="s">
        <v>2660</v>
      </c>
      <c r="AB2043" s="8">
        <f>ROUND(0,2)</f>
        <v>0</v>
      </c>
      <c r="AC2043" s="40" t="s">
        <v>1650</v>
      </c>
      <c r="AD2043" s="7">
        <f>$AB2043</f>
        <v>0</v>
      </c>
      <c r="AE2043" s="40" t="s">
        <v>5305</v>
      </c>
      <c r="AF2043" s="8">
        <f>ROUND(0,2)</f>
        <v>0</v>
      </c>
      <c r="AG2043" s="40" t="s">
        <v>5439</v>
      </c>
      <c r="AH2043" s="7">
        <f>$AF2043</f>
        <v>0</v>
      </c>
      <c r="AI2043" s="40" t="s">
        <v>3519</v>
      </c>
      <c r="AJ2043" s="8">
        <f>ROUND(0,2)</f>
        <v>0</v>
      </c>
      <c r="AK2043" s="40" t="s">
        <v>4149</v>
      </c>
      <c r="AL2043" s="7">
        <f>$AJ2043</f>
        <v>0</v>
      </c>
    </row>
    <row r="2044" spans="1:38" ht="18.399999999999999" customHeight="1">
      <c r="A2044" s="42" t="str">
        <f>CONCATENATE("  PE용접 길이  L=",TEXT($AB2044,"#,##0.00")," m")</f>
        <v xml:space="preserve">  PE용접 길이  L=13.41 m</v>
      </c>
      <c r="B2044" s="37"/>
      <c r="C2044" s="37"/>
      <c r="D2044" s="37"/>
      <c r="E2044" s="37"/>
      <c r="F2044" s="45"/>
      <c r="K2044" s="10" t="str">
        <f>SUBSTITUTE(SUBSTITUTE(" _x001D_PE용접 길이_x001D_ L=13.41_x001D_m_x001D_","13.41",TEXT($AB2044,"#,##0.00"),1),"_x001D_","'")</f>
        <v xml:space="preserve"> 'PE용접 길이' L=13.41'm'</v>
      </c>
      <c r="AA2044" s="39" t="s">
        <v>5842</v>
      </c>
      <c r="AB2044" s="6">
        <v>13.41</v>
      </c>
      <c r="AC2044" s="39" t="s">
        <v>5842</v>
      </c>
      <c r="AD2044" s="7">
        <f>$AB2044</f>
        <v>13.41</v>
      </c>
    </row>
    <row r="2045" spans="1:38" ht="18.399999999999999" customHeight="1">
      <c r="A2045" s="41" t="s">
        <v>6232</v>
      </c>
      <c r="B2045" s="37"/>
      <c r="C2045" s="37"/>
      <c r="D2045" s="37"/>
      <c r="E2045" s="37"/>
      <c r="F2045" s="45"/>
      <c r="K2045" s="3" t="s">
        <v>6232</v>
      </c>
    </row>
    <row r="2046" spans="1:38" ht="18.399999999999999" customHeight="1">
      <c r="A2046" s="41" t="s">
        <v>4056</v>
      </c>
      <c r="B2046" s="37" t="e">
        <f>SUM($C2046,$D2046,$E2046)</f>
        <v>#REF!</v>
      </c>
      <c r="C2046" s="37" t="e">
        <f>$AB2046</f>
        <v>#REF!</v>
      </c>
      <c r="D2046" s="37" t="e">
        <f>$AF2046</f>
        <v>#REF!</v>
      </c>
      <c r="E2046" s="37" t="e">
        <f>$AJ2046</f>
        <v>#REF!</v>
      </c>
      <c r="F2046" s="45" t="s">
        <v>6232</v>
      </c>
      <c r="K2046" s="3" t="s">
        <v>2426</v>
      </c>
      <c r="AA2046" s="40" t="s">
        <v>2660</v>
      </c>
      <c r="AB2046" s="8" t="e">
        <f>TRUNC(일위대가목록!#REF!/$AD2044,1)</f>
        <v>#REF!</v>
      </c>
      <c r="AC2046" s="40" t="s">
        <v>1650</v>
      </c>
      <c r="AD2046" s="7" t="e">
        <f>$AD2043+$AB2046</f>
        <v>#REF!</v>
      </c>
      <c r="AE2046" s="40" t="s">
        <v>5305</v>
      </c>
      <c r="AF2046" s="8" t="e">
        <f>TRUNC(일위대가목록!#REF!/$AD2044,1)</f>
        <v>#REF!</v>
      </c>
      <c r="AG2046" s="40" t="s">
        <v>5439</v>
      </c>
      <c r="AH2046" s="7" t="e">
        <f>$AH2043+$AF2046</f>
        <v>#REF!</v>
      </c>
      <c r="AI2046" s="40" t="s">
        <v>3519</v>
      </c>
      <c r="AJ2046" s="8" t="e">
        <f>TRUNC(일위대가목록!#REF!/$AD2044,1)</f>
        <v>#REF!</v>
      </c>
      <c r="AK2046" s="40" t="s">
        <v>4149</v>
      </c>
      <c r="AL2046" s="7" t="e">
        <f>$AL2043+$AJ2046</f>
        <v>#REF!</v>
      </c>
    </row>
    <row r="2047" spans="1:38" ht="18.399999999999999" customHeight="1">
      <c r="A2047" s="41" t="s">
        <v>6232</v>
      </c>
      <c r="B2047" s="37"/>
      <c r="C2047" s="37"/>
      <c r="D2047" s="37"/>
      <c r="E2047" s="37"/>
      <c r="F2047" s="45"/>
      <c r="K2047" s="3" t="s">
        <v>6232</v>
      </c>
    </row>
    <row r="2048" spans="1:38" ht="18.399999999999999" customHeight="1">
      <c r="A2048" s="41" t="s">
        <v>4035</v>
      </c>
      <c r="B2048" s="37" t="e">
        <f>SUM($C2048,$D2048,$E2048)</f>
        <v>#REF!</v>
      </c>
      <c r="C2048" s="37" t="e">
        <f>$AB2048</f>
        <v>#REF!</v>
      </c>
      <c r="D2048" s="37" t="e">
        <f>$AF2048</f>
        <v>#REF!</v>
      </c>
      <c r="E2048" s="37" t="e">
        <f>$AJ2048</f>
        <v>#REF!</v>
      </c>
      <c r="F2048" s="45"/>
      <c r="K2048" s="3" t="s">
        <v>6125</v>
      </c>
      <c r="AA2048" s="40" t="s">
        <v>4592</v>
      </c>
      <c r="AB2048" s="8" t="e">
        <f>TRUNC($AD2046,1)</f>
        <v>#REF!</v>
      </c>
      <c r="AC2048" s="40" t="s">
        <v>5149</v>
      </c>
      <c r="AD2048" s="7" t="e">
        <f>$AB2048</f>
        <v>#REF!</v>
      </c>
      <c r="AE2048" s="40" t="s">
        <v>666</v>
      </c>
      <c r="AF2048" s="8" t="e">
        <f>TRUNC($AH2046,1)</f>
        <v>#REF!</v>
      </c>
      <c r="AG2048" s="40" t="s">
        <v>2431</v>
      </c>
      <c r="AH2048" s="7" t="e">
        <f>$AF2048</f>
        <v>#REF!</v>
      </c>
      <c r="AI2048" s="40" t="s">
        <v>1930</v>
      </c>
      <c r="AJ2048" s="8" t="e">
        <f>TRUNC($AL2046,1)</f>
        <v>#REF!</v>
      </c>
      <c r="AK2048" s="40" t="s">
        <v>3349</v>
      </c>
      <c r="AL2048" s="7" t="e">
        <f>$AJ2048</f>
        <v>#REF!</v>
      </c>
    </row>
    <row r="2049" spans="1:38" ht="18.399999999999999" customHeight="1">
      <c r="A2049" s="41"/>
      <c r="B2049" s="3"/>
      <c r="C2049" s="3"/>
      <c r="D2049" s="3"/>
      <c r="E2049" s="3"/>
      <c r="F2049" s="44"/>
    </row>
    <row r="2050" spans="1:38" ht="18.399999999999999" customHeight="1">
      <c r="A2050" s="43" t="s">
        <v>3543</v>
      </c>
      <c r="B2050" s="38" t="e">
        <f>SUM($C2050,$D2050,$E2050)</f>
        <v>#REF!</v>
      </c>
      <c r="C2050" s="38" t="e">
        <f>TRUNC(SUM($AD2048),0)</f>
        <v>#REF!</v>
      </c>
      <c r="D2050" s="38" t="e">
        <f>TRUNC(SUM($AH2048),0)</f>
        <v>#REF!</v>
      </c>
      <c r="E2050" s="38" t="e">
        <f>TRUNC(SUM($AL2048),0)</f>
        <v>#REF!</v>
      </c>
      <c r="F2050" s="46"/>
    </row>
    <row r="2051" spans="1:38" ht="18.399999999999999" customHeight="1">
      <c r="A2051" s="41"/>
      <c r="B2051" s="3"/>
      <c r="C2051" s="3"/>
      <c r="D2051" s="3"/>
      <c r="E2051" s="3"/>
      <c r="F2051" s="44"/>
    </row>
    <row r="2052" spans="1:38" ht="18.399999999999999" customHeight="1">
      <c r="A2052" s="41" t="s">
        <v>5264</v>
      </c>
      <c r="B2052" s="36" t="e">
        <f>$B2063</f>
        <v>#REF!</v>
      </c>
      <c r="C2052" s="36" t="e">
        <f>$C2063</f>
        <v>#REF!</v>
      </c>
      <c r="D2052" s="36" t="e">
        <f>$D2063</f>
        <v>#REF!</v>
      </c>
      <c r="E2052" s="36" t="e">
        <f>$E2063</f>
        <v>#REF!</v>
      </c>
      <c r="F2052" s="44" t="s">
        <v>4819</v>
      </c>
      <c r="G2052" t="s">
        <v>6232</v>
      </c>
      <c r="H2052" t="s">
        <v>1247</v>
      </c>
      <c r="K2052">
        <v>1</v>
      </c>
      <c r="Y2052" s="7" t="e">
        <f>EXACT($Z2052,$B2063)</f>
        <v>#REF!</v>
      </c>
      <c r="Z2052" s="38">
        <v>89604</v>
      </c>
    </row>
    <row r="2053" spans="1:38" ht="18.399999999999999" customHeight="1">
      <c r="A2053" s="41"/>
      <c r="B2053" s="3"/>
      <c r="C2053" s="3"/>
      <c r="D2053" s="3"/>
      <c r="E2053" s="3"/>
      <c r="F2053" s="44"/>
    </row>
    <row r="2054" spans="1:38" ht="18.399999999999999" customHeight="1">
      <c r="A2054" s="41" t="s">
        <v>6232</v>
      </c>
      <c r="B2054" s="3"/>
      <c r="C2054" s="3"/>
      <c r="D2054" s="3"/>
      <c r="E2054" s="3"/>
      <c r="F2054" s="44"/>
      <c r="G2054" t="s">
        <v>6232</v>
      </c>
      <c r="I2054" t="s">
        <v>742</v>
      </c>
      <c r="J2054" t="s">
        <v>6232</v>
      </c>
      <c r="K2054" t="s">
        <v>5235</v>
      </c>
    </row>
    <row r="2055" spans="1:38" ht="18.399999999999999" customHeight="1">
      <c r="A2055" s="41" t="s">
        <v>5206</v>
      </c>
      <c r="B2055" s="37"/>
      <c r="C2055" s="37"/>
      <c r="D2055" s="37"/>
      <c r="E2055" s="37"/>
      <c r="F2055" s="45"/>
      <c r="K2055" s="3" t="s">
        <v>769</v>
      </c>
    </row>
    <row r="2056" spans="1:38" ht="18.399999999999999" customHeight="1">
      <c r="A2056" s="41" t="s">
        <v>6232</v>
      </c>
      <c r="B2056" s="37">
        <f>SUM($C2056,$D2056,$E2056)</f>
        <v>0</v>
      </c>
      <c r="C2056" s="37">
        <f>$AB2056</f>
        <v>0</v>
      </c>
      <c r="D2056" s="37">
        <f>$AF2056</f>
        <v>0</v>
      </c>
      <c r="E2056" s="37">
        <f>$AJ2056</f>
        <v>0</v>
      </c>
      <c r="F2056" s="45"/>
      <c r="K2056" s="3" t="s">
        <v>295</v>
      </c>
      <c r="AA2056" s="40" t="s">
        <v>2660</v>
      </c>
      <c r="AB2056" s="8">
        <f>ROUND(0,2)</f>
        <v>0</v>
      </c>
      <c r="AC2056" s="40" t="s">
        <v>1650</v>
      </c>
      <c r="AD2056" s="7">
        <f>$AB2056</f>
        <v>0</v>
      </c>
      <c r="AE2056" s="40" t="s">
        <v>5305</v>
      </c>
      <c r="AF2056" s="8">
        <f>ROUND(0,2)</f>
        <v>0</v>
      </c>
      <c r="AG2056" s="40" t="s">
        <v>5439</v>
      </c>
      <c r="AH2056" s="7">
        <f>$AF2056</f>
        <v>0</v>
      </c>
      <c r="AI2056" s="40" t="s">
        <v>3519</v>
      </c>
      <c r="AJ2056" s="8">
        <f>ROUND(0,2)</f>
        <v>0</v>
      </c>
      <c r="AK2056" s="40" t="s">
        <v>4149</v>
      </c>
      <c r="AL2056" s="7">
        <f>$AJ2056</f>
        <v>0</v>
      </c>
    </row>
    <row r="2057" spans="1:38" ht="18.399999999999999" customHeight="1">
      <c r="A2057" s="42" t="str">
        <f>CONCATENATE("  PE용접 길이  L=",TEXT($AB2057,"#,##0.00")," m")</f>
        <v xml:space="preserve">  PE용접 길이  L=13.57 m</v>
      </c>
      <c r="B2057" s="37"/>
      <c r="C2057" s="37"/>
      <c r="D2057" s="37"/>
      <c r="E2057" s="37"/>
      <c r="F2057" s="45"/>
      <c r="K2057" s="10" t="str">
        <f>SUBSTITUTE(SUBSTITUTE(" _x001D_PE용접 길이_x001D_ L=13.57_x001D_m_x001D_","13.57",TEXT($AB2057,"#,##0.00"),1),"_x001D_","'")</f>
        <v xml:space="preserve"> 'PE용접 길이' L=13.57'm'</v>
      </c>
      <c r="AA2057" s="39" t="s">
        <v>5842</v>
      </c>
      <c r="AB2057" s="6">
        <v>13.57</v>
      </c>
      <c r="AC2057" s="39" t="s">
        <v>5842</v>
      </c>
      <c r="AD2057" s="7">
        <f>$AB2057</f>
        <v>13.57</v>
      </c>
    </row>
    <row r="2058" spans="1:38" ht="18.399999999999999" customHeight="1">
      <c r="A2058" s="41" t="s">
        <v>6232</v>
      </c>
      <c r="B2058" s="37"/>
      <c r="C2058" s="37"/>
      <c r="D2058" s="37"/>
      <c r="E2058" s="37"/>
      <c r="F2058" s="45"/>
      <c r="K2058" s="3" t="s">
        <v>6232</v>
      </c>
    </row>
    <row r="2059" spans="1:38" ht="18.399999999999999" customHeight="1">
      <c r="A2059" s="41" t="s">
        <v>5405</v>
      </c>
      <c r="B2059" s="37" t="e">
        <f>SUM($C2059,$D2059,$E2059)</f>
        <v>#REF!</v>
      </c>
      <c r="C2059" s="37" t="e">
        <f>$AB2059</f>
        <v>#REF!</v>
      </c>
      <c r="D2059" s="37" t="e">
        <f>$AF2059</f>
        <v>#REF!</v>
      </c>
      <c r="E2059" s="37" t="e">
        <f>$AJ2059</f>
        <v>#REF!</v>
      </c>
      <c r="F2059" s="45" t="s">
        <v>6232</v>
      </c>
      <c r="K2059" s="3" t="s">
        <v>2471</v>
      </c>
      <c r="AA2059" s="40" t="s">
        <v>2660</v>
      </c>
      <c r="AB2059" s="8" t="e">
        <f>TRUNC(일위대가목록!#REF!/$AD2057,1)</f>
        <v>#REF!</v>
      </c>
      <c r="AC2059" s="40" t="s">
        <v>1650</v>
      </c>
      <c r="AD2059" s="7" t="e">
        <f>$AD2056+$AB2059</f>
        <v>#REF!</v>
      </c>
      <c r="AE2059" s="40" t="s">
        <v>5305</v>
      </c>
      <c r="AF2059" s="8" t="e">
        <f>TRUNC(일위대가목록!#REF!/$AD2057,1)</f>
        <v>#REF!</v>
      </c>
      <c r="AG2059" s="40" t="s">
        <v>5439</v>
      </c>
      <c r="AH2059" s="7" t="e">
        <f>$AH2056+$AF2059</f>
        <v>#REF!</v>
      </c>
      <c r="AI2059" s="40" t="s">
        <v>3519</v>
      </c>
      <c r="AJ2059" s="8" t="e">
        <f>TRUNC(일위대가목록!#REF!/$AD2057,1)</f>
        <v>#REF!</v>
      </c>
      <c r="AK2059" s="40" t="s">
        <v>4149</v>
      </c>
      <c r="AL2059" s="7" t="e">
        <f>$AL2056+$AJ2059</f>
        <v>#REF!</v>
      </c>
    </row>
    <row r="2060" spans="1:38" ht="18.399999999999999" customHeight="1">
      <c r="A2060" s="41" t="s">
        <v>6232</v>
      </c>
      <c r="B2060" s="37"/>
      <c r="C2060" s="37"/>
      <c r="D2060" s="37"/>
      <c r="E2060" s="37"/>
      <c r="F2060" s="45"/>
      <c r="K2060" s="3" t="s">
        <v>6232</v>
      </c>
    </row>
    <row r="2061" spans="1:38" ht="18.399999999999999" customHeight="1">
      <c r="A2061" s="41" t="s">
        <v>4035</v>
      </c>
      <c r="B2061" s="37" t="e">
        <f>SUM($C2061,$D2061,$E2061)</f>
        <v>#REF!</v>
      </c>
      <c r="C2061" s="37" t="e">
        <f>$AB2061</f>
        <v>#REF!</v>
      </c>
      <c r="D2061" s="37" t="e">
        <f>$AF2061</f>
        <v>#REF!</v>
      </c>
      <c r="E2061" s="37" t="e">
        <f>$AJ2061</f>
        <v>#REF!</v>
      </c>
      <c r="F2061" s="45"/>
      <c r="K2061" s="3" t="s">
        <v>6125</v>
      </c>
      <c r="AA2061" s="40" t="s">
        <v>4592</v>
      </c>
      <c r="AB2061" s="8" t="e">
        <f>TRUNC($AD2059,1)</f>
        <v>#REF!</v>
      </c>
      <c r="AC2061" s="40" t="s">
        <v>5149</v>
      </c>
      <c r="AD2061" s="7" t="e">
        <f>$AB2061</f>
        <v>#REF!</v>
      </c>
      <c r="AE2061" s="40" t="s">
        <v>666</v>
      </c>
      <c r="AF2061" s="8" t="e">
        <f>TRUNC($AH2059,1)</f>
        <v>#REF!</v>
      </c>
      <c r="AG2061" s="40" t="s">
        <v>2431</v>
      </c>
      <c r="AH2061" s="7" t="e">
        <f>$AF2061</f>
        <v>#REF!</v>
      </c>
      <c r="AI2061" s="40" t="s">
        <v>1930</v>
      </c>
      <c r="AJ2061" s="8" t="e">
        <f>TRUNC($AL2059,1)</f>
        <v>#REF!</v>
      </c>
      <c r="AK2061" s="40" t="s">
        <v>3349</v>
      </c>
      <c r="AL2061" s="7" t="e">
        <f>$AJ2061</f>
        <v>#REF!</v>
      </c>
    </row>
    <row r="2062" spans="1:38" ht="18.399999999999999" customHeight="1">
      <c r="A2062" s="41"/>
      <c r="B2062" s="3"/>
      <c r="C2062" s="3"/>
      <c r="D2062" s="3"/>
      <c r="E2062" s="3"/>
      <c r="F2062" s="44"/>
    </row>
    <row r="2063" spans="1:38" ht="18.399999999999999" customHeight="1">
      <c r="A2063" s="43" t="s">
        <v>3543</v>
      </c>
      <c r="B2063" s="38" t="e">
        <f>SUM($C2063,$D2063,$E2063)</f>
        <v>#REF!</v>
      </c>
      <c r="C2063" s="38" t="e">
        <f>TRUNC(SUM($AD2061),0)</f>
        <v>#REF!</v>
      </c>
      <c r="D2063" s="38" t="e">
        <f>TRUNC(SUM($AH2061),0)</f>
        <v>#REF!</v>
      </c>
      <c r="E2063" s="38" t="e">
        <f>TRUNC(SUM($AL2061),0)</f>
        <v>#REF!</v>
      </c>
      <c r="F2063" s="46"/>
    </row>
    <row r="2064" spans="1:38" ht="18.399999999999999" customHeight="1">
      <c r="A2064" s="41"/>
      <c r="B2064" s="3"/>
      <c r="C2064" s="3"/>
      <c r="D2064" s="3"/>
      <c r="E2064" s="3"/>
      <c r="F2064" s="44"/>
    </row>
    <row r="2065" spans="1:38" ht="18.399999999999999" customHeight="1">
      <c r="A2065" s="41" t="s">
        <v>476</v>
      </c>
      <c r="B2065" s="36" t="e">
        <f>$B2100</f>
        <v>#REF!</v>
      </c>
      <c r="C2065" s="36" t="e">
        <f>$C2100</f>
        <v>#REF!</v>
      </c>
      <c r="D2065" s="36" t="e">
        <f>$D2100</f>
        <v>#REF!</v>
      </c>
      <c r="E2065" s="36" t="e">
        <f>$E2100</f>
        <v>#REF!</v>
      </c>
      <c r="F2065" s="44" t="s">
        <v>6232</v>
      </c>
      <c r="G2065" t="s">
        <v>6232</v>
      </c>
      <c r="H2065" t="s">
        <v>5940</v>
      </c>
      <c r="K2065">
        <v>1</v>
      </c>
      <c r="Y2065" s="7" t="e">
        <f>EXACT($Z2065,$B2100)</f>
        <v>#REF!</v>
      </c>
      <c r="Z2065" s="38">
        <v>18179</v>
      </c>
    </row>
    <row r="2066" spans="1:38" ht="18.399999999999999" customHeight="1">
      <c r="A2066" s="41"/>
      <c r="B2066" s="3"/>
      <c r="C2066" s="3"/>
      <c r="D2066" s="3"/>
      <c r="E2066" s="3"/>
      <c r="F2066" s="44"/>
    </row>
    <row r="2067" spans="1:38" ht="18.399999999999999" customHeight="1">
      <c r="A2067" s="41" t="s">
        <v>6232</v>
      </c>
      <c r="B2067" s="3"/>
      <c r="C2067" s="3"/>
      <c r="D2067" s="3"/>
      <c r="E2067" s="3"/>
      <c r="F2067" s="44"/>
      <c r="G2067" t="s">
        <v>6232</v>
      </c>
      <c r="I2067" t="s">
        <v>742</v>
      </c>
      <c r="J2067" t="s">
        <v>6232</v>
      </c>
      <c r="K2067" t="s">
        <v>5235</v>
      </c>
    </row>
    <row r="2068" spans="1:38" ht="18.399999999999999" customHeight="1">
      <c r="A2068" s="41" t="s">
        <v>3517</v>
      </c>
      <c r="B2068" s="37"/>
      <c r="C2068" s="37"/>
      <c r="D2068" s="37"/>
      <c r="E2068" s="37"/>
      <c r="F2068" s="45"/>
      <c r="K2068" s="3" t="s">
        <v>793</v>
      </c>
    </row>
    <row r="2069" spans="1:38" ht="18.399999999999999" customHeight="1">
      <c r="A2069" s="41" t="s">
        <v>6232</v>
      </c>
      <c r="B2069" s="37">
        <f>SUM($C2069,$D2069,$E2069)</f>
        <v>0</v>
      </c>
      <c r="C2069" s="37">
        <f>$AB2069</f>
        <v>0</v>
      </c>
      <c r="D2069" s="37">
        <f>$AF2069</f>
        <v>0</v>
      </c>
      <c r="E2069" s="37">
        <f>$AJ2069</f>
        <v>0</v>
      </c>
      <c r="F2069" s="45"/>
      <c r="K2069" s="3" t="s">
        <v>295</v>
      </c>
      <c r="AA2069" s="40" t="s">
        <v>2660</v>
      </c>
      <c r="AB2069" s="8">
        <f>ROUND(0,2)</f>
        <v>0</v>
      </c>
      <c r="AC2069" s="40" t="s">
        <v>1650</v>
      </c>
      <c r="AD2069" s="7">
        <f>$AB2069</f>
        <v>0</v>
      </c>
      <c r="AE2069" s="40" t="s">
        <v>5305</v>
      </c>
      <c r="AF2069" s="8">
        <f>ROUND(0,2)</f>
        <v>0</v>
      </c>
      <c r="AG2069" s="40" t="s">
        <v>5439</v>
      </c>
      <c r="AH2069" s="7">
        <f>$AF2069</f>
        <v>0</v>
      </c>
      <c r="AI2069" s="40" t="s">
        <v>3519</v>
      </c>
      <c r="AJ2069" s="8">
        <f>ROUND(0,2)</f>
        <v>0</v>
      </c>
      <c r="AK2069" s="40" t="s">
        <v>4149</v>
      </c>
      <c r="AL2069" s="7">
        <f>$AJ2069</f>
        <v>0</v>
      </c>
    </row>
    <row r="2070" spans="1:38" ht="18.399999999999999" customHeight="1">
      <c r="A2070" s="41" t="s">
        <v>3788</v>
      </c>
      <c r="B2070" s="37"/>
      <c r="C2070" s="37"/>
      <c r="D2070" s="37"/>
      <c r="E2070" s="37"/>
      <c r="F2070" s="45"/>
      <c r="K2070" s="3" t="s">
        <v>1214</v>
      </c>
    </row>
    <row r="2071" spans="1:38" ht="18.399999999999999" customHeight="1">
      <c r="A2071" s="41" t="s">
        <v>6232</v>
      </c>
      <c r="B2071" s="37"/>
      <c r="C2071" s="37"/>
      <c r="D2071" s="37"/>
      <c r="E2071" s="37"/>
      <c r="F2071" s="45"/>
      <c r="K2071" s="3" t="s">
        <v>6232</v>
      </c>
    </row>
    <row r="2072" spans="1:38" ht="18.399999999999999" customHeight="1">
      <c r="A2072" s="41" t="s">
        <v>1584</v>
      </c>
      <c r="B2072" s="37"/>
      <c r="C2072" s="37"/>
      <c r="D2072" s="37"/>
      <c r="E2072" s="37"/>
      <c r="F2072" s="45"/>
      <c r="K2072" s="3" t="s">
        <v>191</v>
      </c>
    </row>
    <row r="2073" spans="1:38" ht="18.399999999999999" customHeight="1">
      <c r="A2073" s="41" t="s">
        <v>6232</v>
      </c>
      <c r="B2073" s="37"/>
      <c r="C2073" s="37"/>
      <c r="D2073" s="37"/>
      <c r="E2073" s="37"/>
      <c r="F2073" s="45"/>
      <c r="K2073" s="3" t="s">
        <v>6232</v>
      </c>
    </row>
    <row r="2074" spans="1:38" ht="18.399999999999999" customHeight="1">
      <c r="A2074" s="42" t="str">
        <f>CONCATENATE("     2) 운반 거리 : ",TEXT($AB2074,"#,##0.00")," km")</f>
        <v xml:space="preserve">     2) 운반 거리 : 10.00 km</v>
      </c>
      <c r="B2074" s="37"/>
      <c r="C2074" s="37"/>
      <c r="D2074" s="37"/>
      <c r="E2074" s="37"/>
      <c r="F2074" s="45"/>
      <c r="K2074" s="3" t="s">
        <v>2357</v>
      </c>
      <c r="AA2074" s="39" t="s">
        <v>759</v>
      </c>
      <c r="AB2074" s="6">
        <v>10</v>
      </c>
      <c r="AC2074" s="39" t="s">
        <v>759</v>
      </c>
      <c r="AD2074" s="7">
        <f>$AB2074</f>
        <v>10</v>
      </c>
    </row>
    <row r="2075" spans="1:38" ht="18.399999999999999" customHeight="1">
      <c r="A2075" s="41" t="s">
        <v>6232</v>
      </c>
      <c r="B2075" s="37"/>
      <c r="C2075" s="37"/>
      <c r="D2075" s="37"/>
      <c r="E2075" s="37"/>
      <c r="F2075" s="45"/>
      <c r="K2075" s="3" t="s">
        <v>6232</v>
      </c>
    </row>
    <row r="2076" spans="1:38" ht="18.399999999999999" customHeight="1">
      <c r="A2076" s="42" t="str">
        <f>CONCATENATE("       _x001D_96,620_x001D_/12/1.1 = ",TEXT($AB2076,"#,##0.0")," 원/t ")</f>
        <v xml:space="preserve">       _x001D_96,620_x001D_/12/1.1 = 7,319.6 원/t </v>
      </c>
      <c r="B2076" s="37">
        <f>SUM($C2076,$D2076,$E2076)</f>
        <v>7319.6</v>
      </c>
      <c r="C2076" s="37"/>
      <c r="D2076" s="37"/>
      <c r="E2076" s="37">
        <f>$AB2076</f>
        <v>7319.6</v>
      </c>
      <c r="F2076" s="45" t="s">
        <v>6232</v>
      </c>
      <c r="K2076" s="3" t="s">
        <v>4845</v>
      </c>
      <c r="AA2076" s="40" t="s">
        <v>3519</v>
      </c>
      <c r="AB2076" s="8">
        <f>TRUNC((경비!D4+경비!E4+경비!F4)/12/1.1,1)</f>
        <v>7319.6</v>
      </c>
      <c r="AC2076" s="40" t="s">
        <v>4149</v>
      </c>
      <c r="AD2076" s="7">
        <f>$AL2069+$AB2076</f>
        <v>7319.6</v>
      </c>
    </row>
    <row r="2077" spans="1:38" ht="18.399999999999999" customHeight="1">
      <c r="A2077" s="41" t="s">
        <v>6232</v>
      </c>
      <c r="B2077" s="37"/>
      <c r="C2077" s="37"/>
      <c r="D2077" s="37"/>
      <c r="E2077" s="37"/>
      <c r="F2077" s="45"/>
      <c r="K2077" s="3" t="s">
        <v>6232</v>
      </c>
    </row>
    <row r="2078" spans="1:38" ht="18.399999999999999" customHeight="1">
      <c r="A2078" s="41" t="s">
        <v>3138</v>
      </c>
      <c r="B2078" s="37"/>
      <c r="C2078" s="37"/>
      <c r="D2078" s="37"/>
      <c r="E2078" s="37"/>
      <c r="F2078" s="45"/>
      <c r="K2078" s="3" t="s">
        <v>3284</v>
      </c>
    </row>
    <row r="2079" spans="1:38" ht="18.399999999999999" customHeight="1">
      <c r="A2079" s="41" t="s">
        <v>6232</v>
      </c>
      <c r="B2079" s="37"/>
      <c r="C2079" s="37"/>
      <c r="D2079" s="37"/>
      <c r="E2079" s="37"/>
      <c r="F2079" s="45"/>
      <c r="K2079" s="3" t="s">
        <v>6232</v>
      </c>
    </row>
    <row r="2080" spans="1:38" ht="18.399999999999999" customHeight="1">
      <c r="A2080" s="41" t="s">
        <v>4677</v>
      </c>
      <c r="B2080" s="37"/>
      <c r="C2080" s="37"/>
      <c r="D2080" s="37"/>
      <c r="E2080" s="37"/>
      <c r="F2080" s="45"/>
      <c r="K2080" s="3" t="s">
        <v>4494</v>
      </c>
    </row>
    <row r="2081" spans="1:34" ht="18.399999999999999" customHeight="1">
      <c r="A2081" s="41" t="s">
        <v>6232</v>
      </c>
      <c r="B2081" s="37"/>
      <c r="C2081" s="37"/>
      <c r="D2081" s="37"/>
      <c r="E2081" s="37"/>
      <c r="F2081" s="45"/>
      <c r="K2081" s="3" t="s">
        <v>6232</v>
      </c>
    </row>
    <row r="2082" spans="1:34" ht="18.399999999999999" customHeight="1">
      <c r="A2082" s="42" t="str">
        <f>CONCATENATE("       Q=",TEXT($AB2082,"#,##0.00")," (분/ton) , (묶기 : 2분, 선회 및 정위치 : 1.5분, 풀기 : 1.5분)")</f>
        <v xml:space="preserve">       Q=5.00 (분/ton) , (묶기 : 2분, 선회 및 정위치 : 1.5분, 풀기 : 1.5분)</v>
      </c>
      <c r="B2082" s="37"/>
      <c r="C2082" s="37"/>
      <c r="D2082" s="37"/>
      <c r="E2082" s="37"/>
      <c r="F2082" s="45"/>
      <c r="K2082" s="10" t="str">
        <f>SUBSTITUTE(SUBSTITUTE("       Q = 5_x001D_(분/ton) , (묶기 : 2분, 선회 및 정위치 : 1.5분, 풀기 : 1.5분)_x001D_","5",TEXT($AB2082,"#,##0"),1),"_x001D_","'")</f>
        <v xml:space="preserve">       Q = 5'(분/ton) , (묶기 : 2분, 선회 및 정위치 : 1.5분, 풀기 : 1.5분)'</v>
      </c>
      <c r="AA2082" s="39" t="s">
        <v>4337</v>
      </c>
      <c r="AB2082" s="6">
        <v>5</v>
      </c>
      <c r="AC2082" s="39" t="s">
        <v>4337</v>
      </c>
      <c r="AD2082" s="7">
        <f>$AB2082</f>
        <v>5</v>
      </c>
    </row>
    <row r="2083" spans="1:34" ht="18.399999999999999" customHeight="1">
      <c r="A2083" s="41" t="s">
        <v>6232</v>
      </c>
      <c r="B2083" s="37"/>
      <c r="C2083" s="37"/>
      <c r="D2083" s="37"/>
      <c r="E2083" s="37"/>
      <c r="F2083" s="45"/>
      <c r="K2083" s="3" t="s">
        <v>6232</v>
      </c>
    </row>
    <row r="2084" spans="1:34" ht="18.399999999999999" customHeight="1">
      <c r="A2084" s="42" t="str">
        <f>CONCATENATE("         1/",TEXT($AB2084,"#,##0.00"),"/60 = ","Q2 HR/TON")</f>
        <v xml:space="preserve">         1/5.00/60 = Q2 HR/TON</v>
      </c>
      <c r="B2084" s="37">
        <f>SUM($C2084,$D2084,$E2084)</f>
        <v>0</v>
      </c>
      <c r="C2084" s="37"/>
      <c r="D2084" s="37"/>
      <c r="E2084" s="37"/>
      <c r="F2084" s="45"/>
      <c r="K2084" s="3" t="s">
        <v>146</v>
      </c>
      <c r="AA2084" s="39" t="s">
        <v>1270</v>
      </c>
      <c r="AB2084" s="8">
        <f>$AD2082</f>
        <v>5</v>
      </c>
      <c r="AC2084" s="39" t="s">
        <v>4036</v>
      </c>
      <c r="AD2084" s="7">
        <f>$AB2084</f>
        <v>5</v>
      </c>
      <c r="AE2084" s="39" t="s">
        <v>1550</v>
      </c>
      <c r="AF2084" s="8">
        <f>TRUNC(1/$AD2084/60,4)</f>
        <v>3.3E-3</v>
      </c>
      <c r="AG2084" s="39" t="s">
        <v>906</v>
      </c>
      <c r="AH2084" s="7">
        <f>$AF2084</f>
        <v>3.3E-3</v>
      </c>
    </row>
    <row r="2085" spans="1:34" ht="18.399999999999999" customHeight="1">
      <c r="A2085" s="41" t="s">
        <v>6232</v>
      </c>
      <c r="B2085" s="37"/>
      <c r="C2085" s="37"/>
      <c r="D2085" s="37"/>
      <c r="E2085" s="37"/>
      <c r="F2085" s="45"/>
      <c r="K2085" s="3" t="s">
        <v>6232</v>
      </c>
    </row>
    <row r="2086" spans="1:34" ht="18.399999999999999" customHeight="1">
      <c r="A2086" s="42" t="e">
        <f>CONCATENATE("           재료비 :  _x001D_16,641_x001D_ * ",TEXT($AB2086,"#,##0.00")," hr/TON    = ",TEXT($AF2086,"#,##0.0")," 원/t ")</f>
        <v>#REF!</v>
      </c>
      <c r="B2086" s="37" t="e">
        <f>SUM($C2086,$D2086,$E2086)</f>
        <v>#REF!</v>
      </c>
      <c r="C2086" s="37" t="e">
        <f>$AF2086</f>
        <v>#REF!</v>
      </c>
      <c r="D2086" s="37"/>
      <c r="E2086" s="37"/>
      <c r="F2086" s="45" t="s">
        <v>6232</v>
      </c>
      <c r="K2086" s="3" t="s">
        <v>3496</v>
      </c>
      <c r="AA2086" s="39" t="s">
        <v>4345</v>
      </c>
      <c r="AB2086" s="8">
        <f>$AH2084</f>
        <v>3.3E-3</v>
      </c>
      <c r="AC2086" s="39" t="s">
        <v>5248</v>
      </c>
      <c r="AD2086" s="7">
        <f>$AB2086</f>
        <v>3.3E-3</v>
      </c>
      <c r="AE2086" s="40" t="s">
        <v>2660</v>
      </c>
      <c r="AF2086" s="8" t="e">
        <f>TRUNC(중기사용료목록!#REF!*$AD2086,1)</f>
        <v>#REF!</v>
      </c>
      <c r="AG2086" s="40" t="s">
        <v>1650</v>
      </c>
      <c r="AH2086" s="7" t="e">
        <f>$AD2069+$AF2086</f>
        <v>#REF!</v>
      </c>
    </row>
    <row r="2087" spans="1:34" ht="18.399999999999999" customHeight="1">
      <c r="A2087" s="41" t="s">
        <v>6232</v>
      </c>
      <c r="B2087" s="37"/>
      <c r="C2087" s="37"/>
      <c r="D2087" s="37"/>
      <c r="E2087" s="37"/>
      <c r="F2087" s="45"/>
      <c r="K2087" s="3" t="s">
        <v>6232</v>
      </c>
    </row>
    <row r="2088" spans="1:34" ht="18.399999999999999" customHeight="1">
      <c r="A2088" s="42" t="e">
        <f>CONCATENATE("           노무비 :  _x001D_49,479_x001D_ * ",TEXT($AB2088,"#,##0.00")," hr/TON    = ",TEXT($AF2088,"#,##0.0")," 원/t ")</f>
        <v>#REF!</v>
      </c>
      <c r="B2088" s="37" t="e">
        <f>SUM($C2088,$D2088,$E2088)</f>
        <v>#REF!</v>
      </c>
      <c r="C2088" s="37"/>
      <c r="D2088" s="37" t="e">
        <f>$AF2088</f>
        <v>#REF!</v>
      </c>
      <c r="E2088" s="37"/>
      <c r="F2088" s="45" t="s">
        <v>6232</v>
      </c>
      <c r="K2088" s="3" t="s">
        <v>5791</v>
      </c>
      <c r="AA2088" s="39" t="s">
        <v>765</v>
      </c>
      <c r="AB2088" s="8">
        <f>$AH2084</f>
        <v>3.3E-3</v>
      </c>
      <c r="AC2088" s="39" t="s">
        <v>5694</v>
      </c>
      <c r="AD2088" s="7">
        <f>$AB2088</f>
        <v>3.3E-3</v>
      </c>
      <c r="AE2088" s="40" t="s">
        <v>5305</v>
      </c>
      <c r="AF2088" s="8" t="e">
        <f>TRUNC(중기사용료목록!#REF!*$AD2088,1)</f>
        <v>#REF!</v>
      </c>
      <c r="AG2088" s="40" t="s">
        <v>5439</v>
      </c>
      <c r="AH2088" s="7" t="e">
        <f>$AH2069+$AF2088</f>
        <v>#REF!</v>
      </c>
    </row>
    <row r="2089" spans="1:34" ht="18.399999999999999" customHeight="1">
      <c r="A2089" s="41" t="s">
        <v>6232</v>
      </c>
      <c r="B2089" s="37"/>
      <c r="C2089" s="37"/>
      <c r="D2089" s="37"/>
      <c r="E2089" s="37"/>
      <c r="F2089" s="45"/>
      <c r="K2089" s="3" t="s">
        <v>6232</v>
      </c>
    </row>
    <row r="2090" spans="1:34" ht="18.399999999999999" customHeight="1">
      <c r="A2090" s="42" t="e">
        <f>CONCATENATE("           경  비 :  _x001D_22,539_x001D_ * ",TEXT($AB2090,"#,##0.00")," hr/TON    = ",TEXT($AF2090,"#,##0.0")," 원/t ")</f>
        <v>#REF!</v>
      </c>
      <c r="B2090" s="37" t="e">
        <f>SUM($C2090,$D2090,$E2090)</f>
        <v>#REF!</v>
      </c>
      <c r="C2090" s="37"/>
      <c r="D2090" s="37"/>
      <c r="E2090" s="37" t="e">
        <f>$AF2090</f>
        <v>#REF!</v>
      </c>
      <c r="F2090" s="45" t="s">
        <v>6232</v>
      </c>
      <c r="K2090" s="3" t="s">
        <v>1473</v>
      </c>
      <c r="AA2090" s="39" t="s">
        <v>152</v>
      </c>
      <c r="AB2090" s="8">
        <f>$AH2084</f>
        <v>3.3E-3</v>
      </c>
      <c r="AC2090" s="39" t="s">
        <v>686</v>
      </c>
      <c r="AD2090" s="7">
        <f>$AB2090</f>
        <v>3.3E-3</v>
      </c>
      <c r="AE2090" s="40" t="s">
        <v>3519</v>
      </c>
      <c r="AF2090" s="8" t="e">
        <f>TRUNC(중기사용료목록!#REF!*$AD2090,1)</f>
        <v>#REF!</v>
      </c>
      <c r="AG2090" s="40" t="s">
        <v>4149</v>
      </c>
      <c r="AH2090" s="7" t="e">
        <f>$AD2076+$AF2090</f>
        <v>#REF!</v>
      </c>
    </row>
    <row r="2091" spans="1:34" ht="18.399999999999999" customHeight="1">
      <c r="A2091" s="41" t="s">
        <v>6232</v>
      </c>
      <c r="B2091" s="37"/>
      <c r="C2091" s="37"/>
      <c r="D2091" s="37"/>
      <c r="E2091" s="37"/>
      <c r="F2091" s="45"/>
      <c r="K2091" s="3" t="s">
        <v>6232</v>
      </c>
    </row>
    <row r="2092" spans="1:34" ht="18.399999999999999" customHeight="1">
      <c r="A2092" s="41" t="s">
        <v>6154</v>
      </c>
      <c r="B2092" s="37"/>
      <c r="C2092" s="37"/>
      <c r="D2092" s="37"/>
      <c r="E2092" s="37"/>
      <c r="F2092" s="45"/>
      <c r="K2092" s="3" t="s">
        <v>888</v>
      </c>
    </row>
    <row r="2093" spans="1:34" ht="18.399999999999999" customHeight="1">
      <c r="A2093" s="41" t="s">
        <v>6232</v>
      </c>
      <c r="B2093" s="37"/>
      <c r="C2093" s="37"/>
      <c r="D2093" s="37"/>
      <c r="E2093" s="37"/>
      <c r="F2093" s="45"/>
      <c r="K2093" s="3" t="s">
        <v>6232</v>
      </c>
    </row>
    <row r="2094" spans="1:34" ht="18.399999999999999" customHeight="1">
      <c r="A2094" s="42" t="str">
        <f>CONCATENATE("        비 계 공 : _x001D_254,117_x001D_ * 5 / 450 * 2.0  인/TON = ",TEXT($AB2094,"#,##0.0")," 원/t ")</f>
        <v xml:space="preserve">        비 계 공 : _x001D_254,117_x001D_ * 5 / 450 * 2.0  인/TON = 6,265.3 원/t </v>
      </c>
      <c r="B2094" s="37">
        <f>SUM($C2094,$D2094,$E2094)</f>
        <v>6265.3</v>
      </c>
      <c r="C2094" s="37"/>
      <c r="D2094" s="37">
        <f>$AB2094</f>
        <v>6265.3</v>
      </c>
      <c r="E2094" s="37"/>
      <c r="F2094" s="45" t="s">
        <v>6232</v>
      </c>
      <c r="K2094" s="3" t="s">
        <v>3782</v>
      </c>
      <c r="AA2094" s="40" t="s">
        <v>5305</v>
      </c>
      <c r="AB2094" s="8">
        <f>TRUNC(노임!D5*5/450*2,1)</f>
        <v>6265.3</v>
      </c>
      <c r="AC2094" s="40" t="s">
        <v>5439</v>
      </c>
      <c r="AD2094" s="7" t="e">
        <f>$AH2088+$AB2094</f>
        <v>#REF!</v>
      </c>
    </row>
    <row r="2095" spans="1:34" ht="18.399999999999999" customHeight="1">
      <c r="A2095" s="41" t="s">
        <v>6232</v>
      </c>
      <c r="B2095" s="37"/>
      <c r="C2095" s="37"/>
      <c r="D2095" s="37"/>
      <c r="E2095" s="37"/>
      <c r="F2095" s="45"/>
      <c r="K2095" s="3" t="s">
        <v>6232</v>
      </c>
    </row>
    <row r="2096" spans="1:34" ht="18.399999999999999" customHeight="1">
      <c r="A2096" s="42" t="str">
        <f>CONCATENATE("        특별인부 : _x001D_221,506_x001D_ * 5 / 450 * 2.0  인/TON = ",TEXT($AB2096,"#,##0.0")," 원/t ")</f>
        <v xml:space="preserve">        특별인부 : _x001D_221,506_x001D_ * 5 / 450 * 2.0  인/TON = 5,024.9 원/t </v>
      </c>
      <c r="B2096" s="37">
        <f>SUM($C2096,$D2096,$E2096)</f>
        <v>5024.8999999999996</v>
      </c>
      <c r="C2096" s="37"/>
      <c r="D2096" s="37">
        <f>$AB2096</f>
        <v>5024.8999999999996</v>
      </c>
      <c r="E2096" s="37"/>
      <c r="F2096" s="45" t="s">
        <v>6232</v>
      </c>
      <c r="K2096" s="3" t="s">
        <v>5679</v>
      </c>
      <c r="AA2096" s="40" t="s">
        <v>5305</v>
      </c>
      <c r="AB2096" s="8">
        <f>TRUNC(노임!D4*5/450*2,1)</f>
        <v>5024.8999999999996</v>
      </c>
      <c r="AC2096" s="40" t="s">
        <v>5439</v>
      </c>
      <c r="AD2096" s="7" t="e">
        <f>$AD2094+$AB2096</f>
        <v>#REF!</v>
      </c>
    </row>
    <row r="2097" spans="1:38" ht="18.399999999999999" customHeight="1">
      <c r="A2097" s="41" t="s">
        <v>6232</v>
      </c>
      <c r="B2097" s="37"/>
      <c r="C2097" s="37"/>
      <c r="D2097" s="37"/>
      <c r="E2097" s="37"/>
      <c r="F2097" s="45"/>
      <c r="K2097" s="3" t="s">
        <v>6232</v>
      </c>
    </row>
    <row r="2098" spans="1:38" ht="18.399999999999999" customHeight="1">
      <c r="A2098" s="41" t="s">
        <v>3436</v>
      </c>
      <c r="B2098" s="37" t="e">
        <f>SUM($C2098,$D2098,$E2098)</f>
        <v>#REF!</v>
      </c>
      <c r="C2098" s="37" t="e">
        <f>$AB2098</f>
        <v>#REF!</v>
      </c>
      <c r="D2098" s="37" t="e">
        <f>$AF2098</f>
        <v>#REF!</v>
      </c>
      <c r="E2098" s="37" t="e">
        <f>$AJ2098</f>
        <v>#REF!</v>
      </c>
      <c r="F2098" s="45"/>
      <c r="K2098" s="3" t="s">
        <v>5884</v>
      </c>
      <c r="AA2098" s="40" t="s">
        <v>4592</v>
      </c>
      <c r="AB2098" s="8" t="e">
        <f>TRUNC($AH2086,1)</f>
        <v>#REF!</v>
      </c>
      <c r="AC2098" s="40" t="s">
        <v>5149</v>
      </c>
      <c r="AD2098" s="7" t="e">
        <f>$AB2098</f>
        <v>#REF!</v>
      </c>
      <c r="AE2098" s="40" t="s">
        <v>666</v>
      </c>
      <c r="AF2098" s="8" t="e">
        <f>TRUNC($AD2096,1)</f>
        <v>#REF!</v>
      </c>
      <c r="AG2098" s="40" t="s">
        <v>2431</v>
      </c>
      <c r="AH2098" s="7" t="e">
        <f>$AF2098</f>
        <v>#REF!</v>
      </c>
      <c r="AI2098" s="40" t="s">
        <v>1930</v>
      </c>
      <c r="AJ2098" s="8" t="e">
        <f>TRUNC($AH2090,1)</f>
        <v>#REF!</v>
      </c>
      <c r="AK2098" s="40" t="s">
        <v>3349</v>
      </c>
      <c r="AL2098" s="7" t="e">
        <f>$AJ2098</f>
        <v>#REF!</v>
      </c>
    </row>
    <row r="2099" spans="1:38" ht="18.399999999999999" customHeight="1">
      <c r="A2099" s="41"/>
      <c r="B2099" s="3"/>
      <c r="C2099" s="3"/>
      <c r="D2099" s="3"/>
      <c r="E2099" s="3"/>
      <c r="F2099" s="44"/>
    </row>
    <row r="2100" spans="1:38" ht="18.399999999999999" customHeight="1">
      <c r="A2100" s="43" t="s">
        <v>3543</v>
      </c>
      <c r="B2100" s="38" t="e">
        <f>SUM($C2100,$D2100,$E2100)</f>
        <v>#REF!</v>
      </c>
      <c r="C2100" s="38" t="e">
        <f>TRUNC(SUM($AD2098),0)</f>
        <v>#REF!</v>
      </c>
      <c r="D2100" s="38" t="e">
        <f>TRUNC(SUM($AH2098),0)</f>
        <v>#REF!</v>
      </c>
      <c r="E2100" s="38" t="e">
        <f>TRUNC(SUM($AL2098),0)</f>
        <v>#REF!</v>
      </c>
      <c r="F2100" s="46"/>
    </row>
    <row r="2101" spans="1:38" ht="18.399999999999999" customHeight="1">
      <c r="A2101" s="41"/>
      <c r="B2101" s="3"/>
      <c r="C2101" s="3"/>
      <c r="D2101" s="3"/>
      <c r="E2101" s="3"/>
      <c r="F2101" s="44"/>
    </row>
    <row r="2102" spans="1:38" ht="18.399999999999999" customHeight="1">
      <c r="A2102" s="41" t="s">
        <v>5222</v>
      </c>
      <c r="B2102" s="36" t="e">
        <f>$B2113</f>
        <v>#REF!</v>
      </c>
      <c r="C2102" s="36" t="e">
        <f>$C2113</f>
        <v>#REF!</v>
      </c>
      <c r="D2102" s="36" t="e">
        <f>$D2113</f>
        <v>#REF!</v>
      </c>
      <c r="E2102" s="36" t="e">
        <f>$E2113</f>
        <v>#REF!</v>
      </c>
      <c r="F2102" s="44" t="s">
        <v>4819</v>
      </c>
      <c r="G2102" t="s">
        <v>6232</v>
      </c>
      <c r="H2102" t="s">
        <v>1129</v>
      </c>
      <c r="K2102">
        <v>1</v>
      </c>
      <c r="Y2102" s="7" t="e">
        <f>EXACT($Z2102,$B2113)</f>
        <v>#REF!</v>
      </c>
      <c r="Z2102" s="38">
        <v>108323</v>
      </c>
    </row>
    <row r="2103" spans="1:38" ht="18.399999999999999" customHeight="1">
      <c r="A2103" s="41"/>
      <c r="B2103" s="3"/>
      <c r="C2103" s="3"/>
      <c r="D2103" s="3"/>
      <c r="E2103" s="3"/>
      <c r="F2103" s="44"/>
    </row>
    <row r="2104" spans="1:38" ht="18.399999999999999" customHeight="1">
      <c r="A2104" s="41" t="s">
        <v>6232</v>
      </c>
      <c r="B2104" s="3"/>
      <c r="C2104" s="3"/>
      <c r="D2104" s="3"/>
      <c r="E2104" s="3"/>
      <c r="F2104" s="44"/>
      <c r="G2104" t="s">
        <v>6232</v>
      </c>
      <c r="I2104" t="s">
        <v>742</v>
      </c>
      <c r="J2104" t="s">
        <v>6232</v>
      </c>
      <c r="K2104" t="s">
        <v>5235</v>
      </c>
    </row>
    <row r="2105" spans="1:38" ht="18.399999999999999" customHeight="1">
      <c r="A2105" s="41" t="s">
        <v>1746</v>
      </c>
      <c r="B2105" s="37"/>
      <c r="C2105" s="37"/>
      <c r="D2105" s="37"/>
      <c r="E2105" s="37"/>
      <c r="F2105" s="45"/>
      <c r="K2105" s="3" t="s">
        <v>2023</v>
      </c>
    </row>
    <row r="2106" spans="1:38" ht="18.399999999999999" customHeight="1">
      <c r="A2106" s="41" t="s">
        <v>6232</v>
      </c>
      <c r="B2106" s="37">
        <f>SUM($C2106,$D2106,$E2106)</f>
        <v>0</v>
      </c>
      <c r="C2106" s="37">
        <f>$AB2106</f>
        <v>0</v>
      </c>
      <c r="D2106" s="37">
        <f>$AF2106</f>
        <v>0</v>
      </c>
      <c r="E2106" s="37">
        <f>$AJ2106</f>
        <v>0</v>
      </c>
      <c r="F2106" s="45"/>
      <c r="K2106" s="3" t="s">
        <v>295</v>
      </c>
      <c r="AA2106" s="40" t="s">
        <v>2660</v>
      </c>
      <c r="AB2106" s="8">
        <f>ROUND(0,2)</f>
        <v>0</v>
      </c>
      <c r="AC2106" s="40" t="s">
        <v>1650</v>
      </c>
      <c r="AD2106" s="7">
        <f>$AB2106</f>
        <v>0</v>
      </c>
      <c r="AE2106" s="40" t="s">
        <v>5305</v>
      </c>
      <c r="AF2106" s="8">
        <f>ROUND(0,2)</f>
        <v>0</v>
      </c>
      <c r="AG2106" s="40" t="s">
        <v>5439</v>
      </c>
      <c r="AH2106" s="7">
        <f>$AF2106</f>
        <v>0</v>
      </c>
      <c r="AI2106" s="40" t="s">
        <v>3519</v>
      </c>
      <c r="AJ2106" s="8">
        <f>ROUND(0,2)</f>
        <v>0</v>
      </c>
      <c r="AK2106" s="40" t="s">
        <v>4149</v>
      </c>
      <c r="AL2106" s="7">
        <f>$AJ2106</f>
        <v>0</v>
      </c>
    </row>
    <row r="2107" spans="1:38" ht="18.399999999999999" customHeight="1">
      <c r="A2107" s="42" t="str">
        <f>CONCATENATE("  PE용접 길이  L=",TEXT($AB2107,"#,##0.00")," m")</f>
        <v xml:space="preserve">  PE용접 길이  L=13.98 m</v>
      </c>
      <c r="B2107" s="37"/>
      <c r="C2107" s="37"/>
      <c r="D2107" s="37"/>
      <c r="E2107" s="37"/>
      <c r="F2107" s="45"/>
      <c r="K2107" s="10" t="str">
        <f>SUBSTITUTE(SUBSTITUTE(" _x001D_PE용접 길이_x001D_ L=13.98_x001D_m_x001D_","13.98",TEXT($AB2107,"#,##0.00"),1),"_x001D_","'")</f>
        <v xml:space="preserve"> 'PE용접 길이' L=13.98'm'</v>
      </c>
      <c r="AA2107" s="39" t="s">
        <v>5842</v>
      </c>
      <c r="AB2107" s="6">
        <v>13.98</v>
      </c>
      <c r="AC2107" s="39" t="s">
        <v>5842</v>
      </c>
      <c r="AD2107" s="7">
        <f>$AB2107</f>
        <v>13.98</v>
      </c>
    </row>
    <row r="2108" spans="1:38" ht="18.399999999999999" customHeight="1">
      <c r="A2108" s="41" t="s">
        <v>6232</v>
      </c>
      <c r="B2108" s="37"/>
      <c r="C2108" s="37"/>
      <c r="D2108" s="37"/>
      <c r="E2108" s="37"/>
      <c r="F2108" s="45"/>
      <c r="K2108" s="3" t="s">
        <v>6232</v>
      </c>
    </row>
    <row r="2109" spans="1:38" ht="18.399999999999999" customHeight="1">
      <c r="A2109" s="41" t="s">
        <v>3342</v>
      </c>
      <c r="B2109" s="37" t="e">
        <f>SUM($C2109,$D2109,$E2109)</f>
        <v>#REF!</v>
      </c>
      <c r="C2109" s="37" t="e">
        <f>$AB2109</f>
        <v>#REF!</v>
      </c>
      <c r="D2109" s="37" t="e">
        <f>$AF2109</f>
        <v>#REF!</v>
      </c>
      <c r="E2109" s="37" t="e">
        <f>$AJ2109</f>
        <v>#REF!</v>
      </c>
      <c r="F2109" s="45" t="s">
        <v>6232</v>
      </c>
      <c r="K2109" s="3" t="s">
        <v>2839</v>
      </c>
      <c r="AA2109" s="40" t="s">
        <v>2660</v>
      </c>
      <c r="AB2109" s="8" t="e">
        <f>TRUNC(일위대가목록!#REF!/$AD2107,1)</f>
        <v>#REF!</v>
      </c>
      <c r="AC2109" s="40" t="s">
        <v>1650</v>
      </c>
      <c r="AD2109" s="7" t="e">
        <f>$AD2106+$AB2109</f>
        <v>#REF!</v>
      </c>
      <c r="AE2109" s="40" t="s">
        <v>5305</v>
      </c>
      <c r="AF2109" s="8" t="e">
        <f>TRUNC(일위대가목록!#REF!/$AD2107,1)</f>
        <v>#REF!</v>
      </c>
      <c r="AG2109" s="40" t="s">
        <v>5439</v>
      </c>
      <c r="AH2109" s="7" t="e">
        <f>$AH2106+$AF2109</f>
        <v>#REF!</v>
      </c>
      <c r="AI2109" s="40" t="s">
        <v>3519</v>
      </c>
      <c r="AJ2109" s="8" t="e">
        <f>TRUNC(일위대가목록!#REF!/$AD2107,1)</f>
        <v>#REF!</v>
      </c>
      <c r="AK2109" s="40" t="s">
        <v>4149</v>
      </c>
      <c r="AL2109" s="7" t="e">
        <f>$AL2106+$AJ2109</f>
        <v>#REF!</v>
      </c>
    </row>
    <row r="2110" spans="1:38" ht="18.399999999999999" customHeight="1">
      <c r="A2110" s="41" t="s">
        <v>6232</v>
      </c>
      <c r="B2110" s="37"/>
      <c r="C2110" s="37"/>
      <c r="D2110" s="37"/>
      <c r="E2110" s="37"/>
      <c r="F2110" s="45"/>
      <c r="K2110" s="3" t="s">
        <v>6232</v>
      </c>
    </row>
    <row r="2111" spans="1:38" ht="18.399999999999999" customHeight="1">
      <c r="A2111" s="41" t="s">
        <v>4035</v>
      </c>
      <c r="B2111" s="37" t="e">
        <f>SUM($C2111,$D2111,$E2111)</f>
        <v>#REF!</v>
      </c>
      <c r="C2111" s="37" t="e">
        <f>$AB2111</f>
        <v>#REF!</v>
      </c>
      <c r="D2111" s="37" t="e">
        <f>$AF2111</f>
        <v>#REF!</v>
      </c>
      <c r="E2111" s="37" t="e">
        <f>$AJ2111</f>
        <v>#REF!</v>
      </c>
      <c r="F2111" s="45"/>
      <c r="K2111" s="3" t="s">
        <v>6125</v>
      </c>
      <c r="AA2111" s="40" t="s">
        <v>4592</v>
      </c>
      <c r="AB2111" s="8" t="e">
        <f>TRUNC($AD2109,1)</f>
        <v>#REF!</v>
      </c>
      <c r="AC2111" s="40" t="s">
        <v>5149</v>
      </c>
      <c r="AD2111" s="7" t="e">
        <f>$AB2111</f>
        <v>#REF!</v>
      </c>
      <c r="AE2111" s="40" t="s">
        <v>666</v>
      </c>
      <c r="AF2111" s="8" t="e">
        <f>TRUNC($AH2109,1)</f>
        <v>#REF!</v>
      </c>
      <c r="AG2111" s="40" t="s">
        <v>2431</v>
      </c>
      <c r="AH2111" s="7" t="e">
        <f>$AF2111</f>
        <v>#REF!</v>
      </c>
      <c r="AI2111" s="40" t="s">
        <v>1930</v>
      </c>
      <c r="AJ2111" s="8" t="e">
        <f>TRUNC($AL2109,1)</f>
        <v>#REF!</v>
      </c>
      <c r="AK2111" s="40" t="s">
        <v>3349</v>
      </c>
      <c r="AL2111" s="7" t="e">
        <f>$AJ2111</f>
        <v>#REF!</v>
      </c>
    </row>
    <row r="2112" spans="1:38" ht="18.399999999999999" customHeight="1">
      <c r="A2112" s="41"/>
      <c r="B2112" s="3"/>
      <c r="C2112" s="3"/>
      <c r="D2112" s="3"/>
      <c r="E2112" s="3"/>
      <c r="F2112" s="44"/>
    </row>
    <row r="2113" spans="1:38" ht="18.399999999999999" customHeight="1">
      <c r="A2113" s="43" t="s">
        <v>3543</v>
      </c>
      <c r="B2113" s="38" t="e">
        <f>SUM($C2113,$D2113,$E2113)</f>
        <v>#REF!</v>
      </c>
      <c r="C2113" s="38" t="e">
        <f>TRUNC(SUM($AD2111),0)</f>
        <v>#REF!</v>
      </c>
      <c r="D2113" s="38" t="e">
        <f>TRUNC(SUM($AH2111),0)</f>
        <v>#REF!</v>
      </c>
      <c r="E2113" s="38" t="e">
        <f>TRUNC(SUM($AL2111),0)</f>
        <v>#REF!</v>
      </c>
      <c r="F2113" s="46"/>
    </row>
    <row r="2114" spans="1:38" ht="18.399999999999999" customHeight="1">
      <c r="A2114" s="41"/>
      <c r="B2114" s="3"/>
      <c r="C2114" s="3"/>
      <c r="D2114" s="3"/>
      <c r="E2114" s="3"/>
      <c r="F2114" s="44"/>
    </row>
    <row r="2115" spans="1:38" ht="18.399999999999999" customHeight="1">
      <c r="A2115" s="41" t="s">
        <v>2725</v>
      </c>
      <c r="B2115" s="36" t="e">
        <f>$B2126</f>
        <v>#REF!</v>
      </c>
      <c r="C2115" s="36" t="e">
        <f>$C2126</f>
        <v>#REF!</v>
      </c>
      <c r="D2115" s="36" t="e">
        <f>$D2126</f>
        <v>#REF!</v>
      </c>
      <c r="E2115" s="36" t="e">
        <f>$E2126</f>
        <v>#REF!</v>
      </c>
      <c r="F2115" s="44" t="s">
        <v>4819</v>
      </c>
      <c r="G2115" t="s">
        <v>6232</v>
      </c>
      <c r="H2115" t="s">
        <v>2563</v>
      </c>
      <c r="K2115">
        <v>1</v>
      </c>
      <c r="Y2115" s="7" t="e">
        <f>EXACT($Z2115,$B2126)</f>
        <v>#REF!</v>
      </c>
      <c r="Z2115" s="38">
        <v>140577</v>
      </c>
    </row>
    <row r="2116" spans="1:38" ht="18.399999999999999" customHeight="1">
      <c r="A2116" s="41"/>
      <c r="B2116" s="3"/>
      <c r="C2116" s="3"/>
      <c r="D2116" s="3"/>
      <c r="E2116" s="3"/>
      <c r="F2116" s="44"/>
    </row>
    <row r="2117" spans="1:38" ht="18.399999999999999" customHeight="1">
      <c r="A2117" s="41" t="s">
        <v>6232</v>
      </c>
      <c r="B2117" s="3"/>
      <c r="C2117" s="3"/>
      <c r="D2117" s="3"/>
      <c r="E2117" s="3"/>
      <c r="F2117" s="44"/>
      <c r="G2117" t="s">
        <v>6232</v>
      </c>
      <c r="I2117" t="s">
        <v>742</v>
      </c>
      <c r="J2117" t="s">
        <v>6232</v>
      </c>
      <c r="K2117" t="s">
        <v>5235</v>
      </c>
    </row>
    <row r="2118" spans="1:38" ht="18.399999999999999" customHeight="1">
      <c r="A2118" s="41" t="s">
        <v>875</v>
      </c>
      <c r="B2118" s="37"/>
      <c r="C2118" s="37"/>
      <c r="D2118" s="37"/>
      <c r="E2118" s="37"/>
      <c r="F2118" s="45"/>
      <c r="K2118" s="3" t="s">
        <v>1573</v>
      </c>
    </row>
    <row r="2119" spans="1:38" ht="18.399999999999999" customHeight="1">
      <c r="A2119" s="41" t="s">
        <v>6232</v>
      </c>
      <c r="B2119" s="37">
        <f>SUM($C2119,$D2119,$E2119)</f>
        <v>0</v>
      </c>
      <c r="C2119" s="37">
        <f>$AB2119</f>
        <v>0</v>
      </c>
      <c r="D2119" s="37">
        <f>$AF2119</f>
        <v>0</v>
      </c>
      <c r="E2119" s="37">
        <f>$AJ2119</f>
        <v>0</v>
      </c>
      <c r="F2119" s="45"/>
      <c r="K2119" s="3" t="s">
        <v>295</v>
      </c>
      <c r="AA2119" s="40" t="s">
        <v>2660</v>
      </c>
      <c r="AB2119" s="8">
        <f>ROUND(0,2)</f>
        <v>0</v>
      </c>
      <c r="AC2119" s="40" t="s">
        <v>1650</v>
      </c>
      <c r="AD2119" s="7">
        <f>$AB2119</f>
        <v>0</v>
      </c>
      <c r="AE2119" s="40" t="s">
        <v>5305</v>
      </c>
      <c r="AF2119" s="8">
        <f>ROUND(0,2)</f>
        <v>0</v>
      </c>
      <c r="AG2119" s="40" t="s">
        <v>5439</v>
      </c>
      <c r="AH2119" s="7">
        <f>$AF2119</f>
        <v>0</v>
      </c>
      <c r="AI2119" s="40" t="s">
        <v>3519</v>
      </c>
      <c r="AJ2119" s="8">
        <f>ROUND(0,2)</f>
        <v>0</v>
      </c>
      <c r="AK2119" s="40" t="s">
        <v>4149</v>
      </c>
      <c r="AL2119" s="7">
        <f>$AJ2119</f>
        <v>0</v>
      </c>
    </row>
    <row r="2120" spans="1:38" ht="18.399999999999999" customHeight="1">
      <c r="A2120" s="42" t="str">
        <f>CONCATENATE("  PE용접 길이  L=",TEXT($AB2120,"#,##0.00")," m")</f>
        <v xml:space="preserve">  PE용접 길이  L=14.51 m</v>
      </c>
      <c r="B2120" s="37"/>
      <c r="C2120" s="37"/>
      <c r="D2120" s="37"/>
      <c r="E2120" s="37"/>
      <c r="F2120" s="45"/>
      <c r="K2120" s="10" t="str">
        <f>SUBSTITUTE(SUBSTITUTE(" _x001D_PE용접 길이_x001D_ L=14.51_x001D_m_x001D_","14.51",TEXT($AB2120,"#,##0.00"),1),"_x001D_","'")</f>
        <v xml:space="preserve"> 'PE용접 길이' L=14.51'm'</v>
      </c>
      <c r="AA2120" s="39" t="s">
        <v>5842</v>
      </c>
      <c r="AB2120" s="6">
        <v>14.51</v>
      </c>
      <c r="AC2120" s="39" t="s">
        <v>5842</v>
      </c>
      <c r="AD2120" s="7">
        <f>$AB2120</f>
        <v>14.51</v>
      </c>
    </row>
    <row r="2121" spans="1:38" ht="18.399999999999999" customHeight="1">
      <c r="A2121" s="41" t="s">
        <v>6232</v>
      </c>
      <c r="B2121" s="37"/>
      <c r="C2121" s="37"/>
      <c r="D2121" s="37"/>
      <c r="E2121" s="37"/>
      <c r="F2121" s="45"/>
      <c r="K2121" s="3" t="s">
        <v>6232</v>
      </c>
    </row>
    <row r="2122" spans="1:38" ht="18.399999999999999" customHeight="1">
      <c r="A2122" s="41" t="s">
        <v>1106</v>
      </c>
      <c r="B2122" s="37" t="e">
        <f>SUM($C2122,$D2122,$E2122)</f>
        <v>#REF!</v>
      </c>
      <c r="C2122" s="37" t="e">
        <f>$AB2122</f>
        <v>#REF!</v>
      </c>
      <c r="D2122" s="37" t="e">
        <f>$AF2122</f>
        <v>#REF!</v>
      </c>
      <c r="E2122" s="37" t="e">
        <f>$AJ2122</f>
        <v>#REF!</v>
      </c>
      <c r="F2122" s="45" t="s">
        <v>6232</v>
      </c>
      <c r="K2122" s="3" t="s">
        <v>3705</v>
      </c>
      <c r="AA2122" s="40" t="s">
        <v>2660</v>
      </c>
      <c r="AB2122" s="8" t="e">
        <f>TRUNC(일위대가목록!#REF!/$AD2120,1)</f>
        <v>#REF!</v>
      </c>
      <c r="AC2122" s="40" t="s">
        <v>1650</v>
      </c>
      <c r="AD2122" s="7" t="e">
        <f>$AD2119+$AB2122</f>
        <v>#REF!</v>
      </c>
      <c r="AE2122" s="40" t="s">
        <v>5305</v>
      </c>
      <c r="AF2122" s="8" t="e">
        <f>TRUNC(일위대가목록!#REF!/$AD2120,1)</f>
        <v>#REF!</v>
      </c>
      <c r="AG2122" s="40" t="s">
        <v>5439</v>
      </c>
      <c r="AH2122" s="7" t="e">
        <f>$AH2119+$AF2122</f>
        <v>#REF!</v>
      </c>
      <c r="AI2122" s="40" t="s">
        <v>3519</v>
      </c>
      <c r="AJ2122" s="8" t="e">
        <f>TRUNC(일위대가목록!#REF!/$AD2120,1)</f>
        <v>#REF!</v>
      </c>
      <c r="AK2122" s="40" t="s">
        <v>4149</v>
      </c>
      <c r="AL2122" s="7" t="e">
        <f>$AL2119+$AJ2122</f>
        <v>#REF!</v>
      </c>
    </row>
    <row r="2123" spans="1:38" ht="18.399999999999999" customHeight="1">
      <c r="A2123" s="41" t="s">
        <v>6232</v>
      </c>
      <c r="B2123" s="37"/>
      <c r="C2123" s="37"/>
      <c r="D2123" s="37"/>
      <c r="E2123" s="37"/>
      <c r="F2123" s="45"/>
      <c r="K2123" s="3" t="s">
        <v>6232</v>
      </c>
    </row>
    <row r="2124" spans="1:38" ht="18.399999999999999" customHeight="1">
      <c r="A2124" s="41" t="s">
        <v>4035</v>
      </c>
      <c r="B2124" s="37" t="e">
        <f>SUM($C2124,$D2124,$E2124)</f>
        <v>#REF!</v>
      </c>
      <c r="C2124" s="37" t="e">
        <f>$AB2124</f>
        <v>#REF!</v>
      </c>
      <c r="D2124" s="37" t="e">
        <f>$AF2124</f>
        <v>#REF!</v>
      </c>
      <c r="E2124" s="37" t="e">
        <f>$AJ2124</f>
        <v>#REF!</v>
      </c>
      <c r="F2124" s="45"/>
      <c r="K2124" s="3" t="s">
        <v>6125</v>
      </c>
      <c r="AA2124" s="40" t="s">
        <v>4592</v>
      </c>
      <c r="AB2124" s="8" t="e">
        <f>TRUNC($AD2122,1)</f>
        <v>#REF!</v>
      </c>
      <c r="AC2124" s="40" t="s">
        <v>5149</v>
      </c>
      <c r="AD2124" s="7" t="e">
        <f>$AB2124</f>
        <v>#REF!</v>
      </c>
      <c r="AE2124" s="40" t="s">
        <v>666</v>
      </c>
      <c r="AF2124" s="8" t="e">
        <f>TRUNC($AH2122,1)</f>
        <v>#REF!</v>
      </c>
      <c r="AG2124" s="40" t="s">
        <v>2431</v>
      </c>
      <c r="AH2124" s="7" t="e">
        <f>$AF2124</f>
        <v>#REF!</v>
      </c>
      <c r="AI2124" s="40" t="s">
        <v>1930</v>
      </c>
      <c r="AJ2124" s="8" t="e">
        <f>TRUNC($AL2122,1)</f>
        <v>#REF!</v>
      </c>
      <c r="AK2124" s="40" t="s">
        <v>3349</v>
      </c>
      <c r="AL2124" s="7" t="e">
        <f>$AJ2124</f>
        <v>#REF!</v>
      </c>
    </row>
    <row r="2125" spans="1:38" ht="18.399999999999999" customHeight="1">
      <c r="A2125" s="41"/>
      <c r="B2125" s="3"/>
      <c r="C2125" s="3"/>
      <c r="D2125" s="3"/>
      <c r="E2125" s="3"/>
      <c r="F2125" s="44"/>
    </row>
    <row r="2126" spans="1:38" ht="18.399999999999999" customHeight="1">
      <c r="A2126" s="43" t="s">
        <v>3543</v>
      </c>
      <c r="B2126" s="38" t="e">
        <f>SUM($C2126,$D2126,$E2126)</f>
        <v>#REF!</v>
      </c>
      <c r="C2126" s="38" t="e">
        <f>TRUNC(SUM($AD2124),0)</f>
        <v>#REF!</v>
      </c>
      <c r="D2126" s="38" t="e">
        <f>TRUNC(SUM($AH2124),0)</f>
        <v>#REF!</v>
      </c>
      <c r="E2126" s="38" t="e">
        <f>TRUNC(SUM($AL2124),0)</f>
        <v>#REF!</v>
      </c>
      <c r="F2126" s="46"/>
    </row>
    <row r="2127" spans="1:38" ht="18.399999999999999" customHeight="1">
      <c r="A2127" s="41"/>
      <c r="B2127" s="3"/>
      <c r="C2127" s="3"/>
      <c r="D2127" s="3"/>
      <c r="E2127" s="3"/>
      <c r="F2127" s="44"/>
    </row>
    <row r="2128" spans="1:38" ht="18.399999999999999" customHeight="1">
      <c r="A2128" s="41" t="s">
        <v>2914</v>
      </c>
      <c r="B2128" s="36" t="e">
        <f>$B2139</f>
        <v>#REF!</v>
      </c>
      <c r="C2128" s="36" t="e">
        <f>$C2139</f>
        <v>#REF!</v>
      </c>
      <c r="D2128" s="36" t="e">
        <f>$D2139</f>
        <v>#REF!</v>
      </c>
      <c r="E2128" s="36" t="e">
        <f>$E2139</f>
        <v>#REF!</v>
      </c>
      <c r="F2128" s="44" t="s">
        <v>4819</v>
      </c>
      <c r="G2128" t="s">
        <v>6232</v>
      </c>
      <c r="H2128" t="s">
        <v>611</v>
      </c>
      <c r="K2128">
        <v>1</v>
      </c>
      <c r="Y2128" s="7" t="e">
        <f>EXACT($Z2128,$B2139)</f>
        <v>#REF!</v>
      </c>
      <c r="Z2128" s="38">
        <v>157945</v>
      </c>
    </row>
    <row r="2129" spans="1:38" ht="18.399999999999999" customHeight="1">
      <c r="A2129" s="41"/>
      <c r="B2129" s="3"/>
      <c r="C2129" s="3"/>
      <c r="D2129" s="3"/>
      <c r="E2129" s="3"/>
      <c r="F2129" s="44"/>
    </row>
    <row r="2130" spans="1:38" ht="18.399999999999999" customHeight="1">
      <c r="A2130" s="41" t="s">
        <v>6232</v>
      </c>
      <c r="B2130" s="3"/>
      <c r="C2130" s="3"/>
      <c r="D2130" s="3"/>
      <c r="E2130" s="3"/>
      <c r="F2130" s="44"/>
      <c r="G2130" t="s">
        <v>6232</v>
      </c>
      <c r="I2130" t="s">
        <v>742</v>
      </c>
      <c r="J2130" t="s">
        <v>6232</v>
      </c>
      <c r="K2130" t="s">
        <v>5235</v>
      </c>
    </row>
    <row r="2131" spans="1:38" ht="18.399999999999999" customHeight="1">
      <c r="A2131" s="41" t="s">
        <v>5249</v>
      </c>
      <c r="B2131" s="37"/>
      <c r="C2131" s="37"/>
      <c r="D2131" s="37"/>
      <c r="E2131" s="37"/>
      <c r="F2131" s="45"/>
      <c r="K2131" s="3" t="s">
        <v>4382</v>
      </c>
    </row>
    <row r="2132" spans="1:38" ht="18.399999999999999" customHeight="1">
      <c r="A2132" s="41" t="s">
        <v>6232</v>
      </c>
      <c r="B2132" s="37">
        <f>SUM($C2132,$D2132,$E2132)</f>
        <v>0</v>
      </c>
      <c r="C2132" s="37">
        <f>$AB2132</f>
        <v>0</v>
      </c>
      <c r="D2132" s="37">
        <f>$AF2132</f>
        <v>0</v>
      </c>
      <c r="E2132" s="37">
        <f>$AJ2132</f>
        <v>0</v>
      </c>
      <c r="F2132" s="45"/>
      <c r="K2132" s="3" t="s">
        <v>295</v>
      </c>
      <c r="AA2132" s="40" t="s">
        <v>2660</v>
      </c>
      <c r="AB2132" s="8">
        <f>ROUND(0,2)</f>
        <v>0</v>
      </c>
      <c r="AC2132" s="40" t="s">
        <v>1650</v>
      </c>
      <c r="AD2132" s="7">
        <f>$AB2132</f>
        <v>0</v>
      </c>
      <c r="AE2132" s="40" t="s">
        <v>5305</v>
      </c>
      <c r="AF2132" s="8">
        <f>ROUND(0,2)</f>
        <v>0</v>
      </c>
      <c r="AG2132" s="40" t="s">
        <v>5439</v>
      </c>
      <c r="AH2132" s="7">
        <f>$AF2132</f>
        <v>0</v>
      </c>
      <c r="AI2132" s="40" t="s">
        <v>3519</v>
      </c>
      <c r="AJ2132" s="8">
        <f>ROUND(0,2)</f>
        <v>0</v>
      </c>
      <c r="AK2132" s="40" t="s">
        <v>4149</v>
      </c>
      <c r="AL2132" s="7">
        <f>$AJ2132</f>
        <v>0</v>
      </c>
    </row>
    <row r="2133" spans="1:38" ht="18.399999999999999" customHeight="1">
      <c r="A2133" s="42" t="str">
        <f>CONCATENATE("  PE용접 길이  L=",TEXT($AB2133,"#,##0.00")," m")</f>
        <v xml:space="preserve">  PE용접 길이  L=14.83 m</v>
      </c>
      <c r="B2133" s="37"/>
      <c r="C2133" s="37"/>
      <c r="D2133" s="37"/>
      <c r="E2133" s="37"/>
      <c r="F2133" s="45"/>
      <c r="K2133" s="10" t="str">
        <f>SUBSTITUTE(SUBSTITUTE(" _x001D_PE용접 길이_x001D_ L=14.83_x001D_m_x001D_","14.83",TEXT($AB2133,"#,##0.00"),1),"_x001D_","'")</f>
        <v xml:space="preserve"> 'PE용접 길이' L=14.83'm'</v>
      </c>
      <c r="AA2133" s="39" t="s">
        <v>5842</v>
      </c>
      <c r="AB2133" s="6">
        <v>14.83</v>
      </c>
      <c r="AC2133" s="39" t="s">
        <v>5842</v>
      </c>
      <c r="AD2133" s="7">
        <f>$AB2133</f>
        <v>14.83</v>
      </c>
    </row>
    <row r="2134" spans="1:38" ht="18.399999999999999" customHeight="1">
      <c r="A2134" s="41" t="s">
        <v>6232</v>
      </c>
      <c r="B2134" s="37"/>
      <c r="C2134" s="37"/>
      <c r="D2134" s="37"/>
      <c r="E2134" s="37"/>
      <c r="F2134" s="45"/>
      <c r="K2134" s="3" t="s">
        <v>6232</v>
      </c>
    </row>
    <row r="2135" spans="1:38" ht="18.399999999999999" customHeight="1">
      <c r="A2135" s="41" t="s">
        <v>692</v>
      </c>
      <c r="B2135" s="37" t="e">
        <f>SUM($C2135,$D2135,$E2135)</f>
        <v>#REF!</v>
      </c>
      <c r="C2135" s="37" t="e">
        <f>$AB2135</f>
        <v>#REF!</v>
      </c>
      <c r="D2135" s="37" t="e">
        <f>$AF2135</f>
        <v>#REF!</v>
      </c>
      <c r="E2135" s="37" t="e">
        <f>$AJ2135</f>
        <v>#REF!</v>
      </c>
      <c r="F2135" s="45" t="s">
        <v>6232</v>
      </c>
      <c r="K2135" s="3" t="s">
        <v>5529</v>
      </c>
      <c r="AA2135" s="40" t="s">
        <v>2660</v>
      </c>
      <c r="AB2135" s="8" t="e">
        <f>TRUNC(일위대가목록!#REF!/$AD2133,1)</f>
        <v>#REF!</v>
      </c>
      <c r="AC2135" s="40" t="s">
        <v>1650</v>
      </c>
      <c r="AD2135" s="7" t="e">
        <f>$AD2132+$AB2135</f>
        <v>#REF!</v>
      </c>
      <c r="AE2135" s="40" t="s">
        <v>5305</v>
      </c>
      <c r="AF2135" s="8" t="e">
        <f>TRUNC(일위대가목록!#REF!/$AD2133,1)</f>
        <v>#REF!</v>
      </c>
      <c r="AG2135" s="40" t="s">
        <v>5439</v>
      </c>
      <c r="AH2135" s="7" t="e">
        <f>$AH2132+$AF2135</f>
        <v>#REF!</v>
      </c>
      <c r="AI2135" s="40" t="s">
        <v>3519</v>
      </c>
      <c r="AJ2135" s="8" t="e">
        <f>TRUNC(일위대가목록!#REF!/$AD2133,1)</f>
        <v>#REF!</v>
      </c>
      <c r="AK2135" s="40" t="s">
        <v>4149</v>
      </c>
      <c r="AL2135" s="7" t="e">
        <f>$AL2132+$AJ2135</f>
        <v>#REF!</v>
      </c>
    </row>
    <row r="2136" spans="1:38" ht="18.399999999999999" customHeight="1">
      <c r="A2136" s="41" t="s">
        <v>6232</v>
      </c>
      <c r="B2136" s="37"/>
      <c r="C2136" s="37"/>
      <c r="D2136" s="37"/>
      <c r="E2136" s="37"/>
      <c r="F2136" s="45"/>
      <c r="K2136" s="3" t="s">
        <v>6232</v>
      </c>
    </row>
    <row r="2137" spans="1:38" ht="18.399999999999999" customHeight="1">
      <c r="A2137" s="41" t="s">
        <v>4035</v>
      </c>
      <c r="B2137" s="37" t="e">
        <f>SUM($C2137,$D2137,$E2137)</f>
        <v>#REF!</v>
      </c>
      <c r="C2137" s="37" t="e">
        <f>$AB2137</f>
        <v>#REF!</v>
      </c>
      <c r="D2137" s="37" t="e">
        <f>$AF2137</f>
        <v>#REF!</v>
      </c>
      <c r="E2137" s="37" t="e">
        <f>$AJ2137</f>
        <v>#REF!</v>
      </c>
      <c r="F2137" s="45"/>
      <c r="K2137" s="3" t="s">
        <v>6125</v>
      </c>
      <c r="AA2137" s="40" t="s">
        <v>4592</v>
      </c>
      <c r="AB2137" s="8" t="e">
        <f>TRUNC($AD2135,1)</f>
        <v>#REF!</v>
      </c>
      <c r="AC2137" s="40" t="s">
        <v>5149</v>
      </c>
      <c r="AD2137" s="7" t="e">
        <f>$AB2137</f>
        <v>#REF!</v>
      </c>
      <c r="AE2137" s="40" t="s">
        <v>666</v>
      </c>
      <c r="AF2137" s="8" t="e">
        <f>TRUNC($AH2135,1)</f>
        <v>#REF!</v>
      </c>
      <c r="AG2137" s="40" t="s">
        <v>2431</v>
      </c>
      <c r="AH2137" s="7" t="e">
        <f>$AF2137</f>
        <v>#REF!</v>
      </c>
      <c r="AI2137" s="40" t="s">
        <v>1930</v>
      </c>
      <c r="AJ2137" s="8" t="e">
        <f>TRUNC($AL2135,1)</f>
        <v>#REF!</v>
      </c>
      <c r="AK2137" s="40" t="s">
        <v>3349</v>
      </c>
      <c r="AL2137" s="7" t="e">
        <f>$AJ2137</f>
        <v>#REF!</v>
      </c>
    </row>
    <row r="2138" spans="1:38" ht="18.399999999999999" customHeight="1">
      <c r="A2138" s="41"/>
      <c r="B2138" s="3"/>
      <c r="C2138" s="3"/>
      <c r="D2138" s="3"/>
      <c r="E2138" s="3"/>
      <c r="F2138" s="44"/>
    </row>
    <row r="2139" spans="1:38" ht="18.399999999999999" customHeight="1">
      <c r="A2139" s="43" t="s">
        <v>3543</v>
      </c>
      <c r="B2139" s="38" t="e">
        <f>SUM($C2139,$D2139,$E2139)</f>
        <v>#REF!</v>
      </c>
      <c r="C2139" s="38" t="e">
        <f>TRUNC(SUM($AD2137),0)</f>
        <v>#REF!</v>
      </c>
      <c r="D2139" s="38" t="e">
        <f>TRUNC(SUM($AH2137),0)</f>
        <v>#REF!</v>
      </c>
      <c r="E2139" s="38" t="e">
        <f>TRUNC(SUM($AL2137),0)</f>
        <v>#REF!</v>
      </c>
      <c r="F2139" s="46"/>
    </row>
    <row r="2140" spans="1:38" ht="18.399999999999999" customHeight="1">
      <c r="A2140" s="41"/>
      <c r="B2140" s="3"/>
      <c r="C2140" s="3"/>
      <c r="D2140" s="3"/>
      <c r="E2140" s="3"/>
      <c r="F2140" s="44"/>
    </row>
    <row r="2141" spans="1:38" ht="18.399999999999999" customHeight="1">
      <c r="A2141" s="41" t="s">
        <v>5411</v>
      </c>
      <c r="B2141" s="36" t="e">
        <f>$B2152</f>
        <v>#REF!</v>
      </c>
      <c r="C2141" s="36" t="e">
        <f>$C2152</f>
        <v>#REF!</v>
      </c>
      <c r="D2141" s="36" t="e">
        <f>$D2152</f>
        <v>#REF!</v>
      </c>
      <c r="E2141" s="36" t="e">
        <f>$E2152</f>
        <v>#REF!</v>
      </c>
      <c r="F2141" s="44" t="s">
        <v>4819</v>
      </c>
      <c r="G2141" t="s">
        <v>6232</v>
      </c>
      <c r="H2141" t="s">
        <v>2235</v>
      </c>
      <c r="K2141">
        <v>1</v>
      </c>
      <c r="Y2141" s="7" t="e">
        <f>EXACT($Z2141,$B2152)</f>
        <v>#REF!</v>
      </c>
      <c r="Z2141" s="38">
        <v>173976</v>
      </c>
    </row>
    <row r="2142" spans="1:38" ht="18.399999999999999" customHeight="1">
      <c r="A2142" s="41"/>
      <c r="B2142" s="3"/>
      <c r="C2142" s="3"/>
      <c r="D2142" s="3"/>
      <c r="E2142" s="3"/>
      <c r="F2142" s="44"/>
    </row>
    <row r="2143" spans="1:38" ht="18.399999999999999" customHeight="1">
      <c r="A2143" s="41" t="s">
        <v>6232</v>
      </c>
      <c r="B2143" s="3"/>
      <c r="C2143" s="3"/>
      <c r="D2143" s="3"/>
      <c r="E2143" s="3"/>
      <c r="F2143" s="44"/>
      <c r="G2143" t="s">
        <v>6232</v>
      </c>
      <c r="I2143" t="s">
        <v>742</v>
      </c>
      <c r="J2143" t="s">
        <v>6232</v>
      </c>
      <c r="K2143" t="s">
        <v>5235</v>
      </c>
    </row>
    <row r="2144" spans="1:38" ht="18.399999999999999" customHeight="1">
      <c r="A2144" s="41" t="s">
        <v>4394</v>
      </c>
      <c r="B2144" s="37"/>
      <c r="C2144" s="37"/>
      <c r="D2144" s="37"/>
      <c r="E2144" s="37"/>
      <c r="F2144" s="45"/>
      <c r="K2144" s="3" t="s">
        <v>3979</v>
      </c>
    </row>
    <row r="2145" spans="1:38" ht="18.399999999999999" customHeight="1">
      <c r="A2145" s="41" t="s">
        <v>6232</v>
      </c>
      <c r="B2145" s="37">
        <f>SUM($C2145,$D2145,$E2145)</f>
        <v>0</v>
      </c>
      <c r="C2145" s="37">
        <f>$AB2145</f>
        <v>0</v>
      </c>
      <c r="D2145" s="37">
        <f>$AF2145</f>
        <v>0</v>
      </c>
      <c r="E2145" s="37">
        <f>$AJ2145</f>
        <v>0</v>
      </c>
      <c r="F2145" s="45"/>
      <c r="K2145" s="3" t="s">
        <v>295</v>
      </c>
      <c r="AA2145" s="40" t="s">
        <v>2660</v>
      </c>
      <c r="AB2145" s="8">
        <f>ROUND(0,2)</f>
        <v>0</v>
      </c>
      <c r="AC2145" s="40" t="s">
        <v>1650</v>
      </c>
      <c r="AD2145" s="7">
        <f>$AB2145</f>
        <v>0</v>
      </c>
      <c r="AE2145" s="40" t="s">
        <v>5305</v>
      </c>
      <c r="AF2145" s="8">
        <f>ROUND(0,2)</f>
        <v>0</v>
      </c>
      <c r="AG2145" s="40" t="s">
        <v>5439</v>
      </c>
      <c r="AH2145" s="7">
        <f>$AF2145</f>
        <v>0</v>
      </c>
      <c r="AI2145" s="40" t="s">
        <v>3519</v>
      </c>
      <c r="AJ2145" s="8">
        <f>ROUND(0,2)</f>
        <v>0</v>
      </c>
      <c r="AK2145" s="40" t="s">
        <v>4149</v>
      </c>
      <c r="AL2145" s="7">
        <f>$AJ2145</f>
        <v>0</v>
      </c>
    </row>
    <row r="2146" spans="1:38" ht="18.399999999999999" customHeight="1">
      <c r="A2146" s="42" t="str">
        <f>CONCATENATE("  PE용접 길이  L=",TEXT($AB2146,"#,##0.00")," m")</f>
        <v xml:space="preserve">  PE용접 길이  L=15.14 m</v>
      </c>
      <c r="B2146" s="37"/>
      <c r="C2146" s="37"/>
      <c r="D2146" s="37"/>
      <c r="E2146" s="37"/>
      <c r="F2146" s="45"/>
      <c r="K2146" s="10" t="str">
        <f>SUBSTITUTE(SUBSTITUTE(" _x001D_PE용접 길이_x001D_ L=15.14_x001D_m_x001D_","15.14",TEXT($AB2146,"#,##0.00"),1),"_x001D_","'")</f>
        <v xml:space="preserve"> 'PE용접 길이' L=15.14'm'</v>
      </c>
      <c r="AA2146" s="39" t="s">
        <v>5842</v>
      </c>
      <c r="AB2146" s="6">
        <v>15.14</v>
      </c>
      <c r="AC2146" s="39" t="s">
        <v>5842</v>
      </c>
      <c r="AD2146" s="7">
        <f>$AB2146</f>
        <v>15.14</v>
      </c>
    </row>
    <row r="2147" spans="1:38" ht="18.399999999999999" customHeight="1">
      <c r="A2147" s="41" t="s">
        <v>6232</v>
      </c>
      <c r="B2147" s="37"/>
      <c r="C2147" s="37"/>
      <c r="D2147" s="37"/>
      <c r="E2147" s="37"/>
      <c r="F2147" s="45"/>
      <c r="K2147" s="3" t="s">
        <v>6232</v>
      </c>
    </row>
    <row r="2148" spans="1:38" ht="18.399999999999999" customHeight="1">
      <c r="A2148" s="41" t="s">
        <v>5078</v>
      </c>
      <c r="B2148" s="37" t="e">
        <f>SUM($C2148,$D2148,$E2148)</f>
        <v>#REF!</v>
      </c>
      <c r="C2148" s="37" t="e">
        <f>$AB2148</f>
        <v>#REF!</v>
      </c>
      <c r="D2148" s="37" t="e">
        <f>$AF2148</f>
        <v>#REF!</v>
      </c>
      <c r="E2148" s="37" t="e">
        <f>$AJ2148</f>
        <v>#REF!</v>
      </c>
      <c r="F2148" s="45" t="s">
        <v>6232</v>
      </c>
      <c r="K2148" s="3" t="s">
        <v>290</v>
      </c>
      <c r="AA2148" s="40" t="s">
        <v>2660</v>
      </c>
      <c r="AB2148" s="8" t="e">
        <f>TRUNC(일위대가목록!#REF!/$AD2146,1)</f>
        <v>#REF!</v>
      </c>
      <c r="AC2148" s="40" t="s">
        <v>1650</v>
      </c>
      <c r="AD2148" s="7" t="e">
        <f>$AD2145+$AB2148</f>
        <v>#REF!</v>
      </c>
      <c r="AE2148" s="40" t="s">
        <v>5305</v>
      </c>
      <c r="AF2148" s="8" t="e">
        <f>TRUNC(일위대가목록!#REF!/$AD2146,1)</f>
        <v>#REF!</v>
      </c>
      <c r="AG2148" s="40" t="s">
        <v>5439</v>
      </c>
      <c r="AH2148" s="7" t="e">
        <f>$AH2145+$AF2148</f>
        <v>#REF!</v>
      </c>
      <c r="AI2148" s="40" t="s">
        <v>3519</v>
      </c>
      <c r="AJ2148" s="8" t="e">
        <f>TRUNC(일위대가목록!#REF!/$AD2146,1)</f>
        <v>#REF!</v>
      </c>
      <c r="AK2148" s="40" t="s">
        <v>4149</v>
      </c>
      <c r="AL2148" s="7" t="e">
        <f>$AL2145+$AJ2148</f>
        <v>#REF!</v>
      </c>
    </row>
    <row r="2149" spans="1:38" ht="18.399999999999999" customHeight="1">
      <c r="A2149" s="41" t="s">
        <v>6232</v>
      </c>
      <c r="B2149" s="37"/>
      <c r="C2149" s="37"/>
      <c r="D2149" s="37"/>
      <c r="E2149" s="37"/>
      <c r="F2149" s="45"/>
      <c r="K2149" s="3" t="s">
        <v>6232</v>
      </c>
    </row>
    <row r="2150" spans="1:38" ht="18.399999999999999" customHeight="1">
      <c r="A2150" s="41" t="s">
        <v>4035</v>
      </c>
      <c r="B2150" s="37" t="e">
        <f>SUM($C2150,$D2150,$E2150)</f>
        <v>#REF!</v>
      </c>
      <c r="C2150" s="37" t="e">
        <f>$AB2150</f>
        <v>#REF!</v>
      </c>
      <c r="D2150" s="37" t="e">
        <f>$AF2150</f>
        <v>#REF!</v>
      </c>
      <c r="E2150" s="37" t="e">
        <f>$AJ2150</f>
        <v>#REF!</v>
      </c>
      <c r="F2150" s="45"/>
      <c r="K2150" s="3" t="s">
        <v>6125</v>
      </c>
      <c r="AA2150" s="40" t="s">
        <v>4592</v>
      </c>
      <c r="AB2150" s="8" t="e">
        <f>TRUNC($AD2148,1)</f>
        <v>#REF!</v>
      </c>
      <c r="AC2150" s="40" t="s">
        <v>5149</v>
      </c>
      <c r="AD2150" s="7" t="e">
        <f>$AB2150</f>
        <v>#REF!</v>
      </c>
      <c r="AE2150" s="40" t="s">
        <v>666</v>
      </c>
      <c r="AF2150" s="8" t="e">
        <f>TRUNC($AH2148,1)</f>
        <v>#REF!</v>
      </c>
      <c r="AG2150" s="40" t="s">
        <v>2431</v>
      </c>
      <c r="AH2150" s="7" t="e">
        <f>$AF2150</f>
        <v>#REF!</v>
      </c>
      <c r="AI2150" s="40" t="s">
        <v>1930</v>
      </c>
      <c r="AJ2150" s="8" t="e">
        <f>TRUNC($AL2148,1)</f>
        <v>#REF!</v>
      </c>
      <c r="AK2150" s="40" t="s">
        <v>3349</v>
      </c>
      <c r="AL2150" s="7" t="e">
        <f>$AJ2150</f>
        <v>#REF!</v>
      </c>
    </row>
    <row r="2151" spans="1:38" ht="18.399999999999999" customHeight="1">
      <c r="A2151" s="41"/>
      <c r="B2151" s="3"/>
      <c r="C2151" s="3"/>
      <c r="D2151" s="3"/>
      <c r="E2151" s="3"/>
      <c r="F2151" s="44"/>
    </row>
    <row r="2152" spans="1:38" ht="18.399999999999999" customHeight="1">
      <c r="A2152" s="43" t="s">
        <v>3543</v>
      </c>
      <c r="B2152" s="38" t="e">
        <f>SUM($C2152,$D2152,$E2152)</f>
        <v>#REF!</v>
      </c>
      <c r="C2152" s="38" t="e">
        <f>TRUNC(SUM($AD2150),0)</f>
        <v>#REF!</v>
      </c>
      <c r="D2152" s="38" t="e">
        <f>TRUNC(SUM($AH2150),0)</f>
        <v>#REF!</v>
      </c>
      <c r="E2152" s="38" t="e">
        <f>TRUNC(SUM($AL2150),0)</f>
        <v>#REF!</v>
      </c>
      <c r="F2152" s="46"/>
    </row>
    <row r="2153" spans="1:38" ht="18.399999999999999" customHeight="1">
      <c r="A2153" s="41"/>
      <c r="B2153" s="3"/>
      <c r="C2153" s="3"/>
      <c r="D2153" s="3"/>
      <c r="E2153" s="3"/>
      <c r="F2153" s="44"/>
    </row>
    <row r="2154" spans="1:38" ht="18.399999999999999" customHeight="1">
      <c r="A2154" s="41" t="s">
        <v>2759</v>
      </c>
      <c r="B2154" s="36" t="e">
        <f>$B2165</f>
        <v>#REF!</v>
      </c>
      <c r="C2154" s="36" t="e">
        <f>$C2165</f>
        <v>#REF!</v>
      </c>
      <c r="D2154" s="36" t="e">
        <f>$D2165</f>
        <v>#REF!</v>
      </c>
      <c r="E2154" s="36" t="e">
        <f>$E2165</f>
        <v>#REF!</v>
      </c>
      <c r="F2154" s="44" t="s">
        <v>4819</v>
      </c>
      <c r="G2154" t="s">
        <v>6232</v>
      </c>
      <c r="H2154" t="s">
        <v>3815</v>
      </c>
      <c r="K2154">
        <v>1</v>
      </c>
      <c r="Y2154" s="7" t="e">
        <f>EXACT($Z2154,$B2165)</f>
        <v>#REF!</v>
      </c>
      <c r="Z2154" s="38">
        <v>197885</v>
      </c>
    </row>
    <row r="2155" spans="1:38" ht="18.399999999999999" customHeight="1">
      <c r="A2155" s="41"/>
      <c r="B2155" s="3"/>
      <c r="C2155" s="3"/>
      <c r="D2155" s="3"/>
      <c r="E2155" s="3"/>
      <c r="F2155" s="44"/>
    </row>
    <row r="2156" spans="1:38" ht="18.399999999999999" customHeight="1">
      <c r="A2156" s="41" t="s">
        <v>6232</v>
      </c>
      <c r="B2156" s="3"/>
      <c r="C2156" s="3"/>
      <c r="D2156" s="3"/>
      <c r="E2156" s="3"/>
      <c r="F2156" s="44"/>
      <c r="G2156" t="s">
        <v>6232</v>
      </c>
      <c r="I2156" t="s">
        <v>742</v>
      </c>
      <c r="J2156" t="s">
        <v>6232</v>
      </c>
      <c r="K2156" t="s">
        <v>5235</v>
      </c>
    </row>
    <row r="2157" spans="1:38" ht="18.399999999999999" customHeight="1">
      <c r="A2157" s="41" t="s">
        <v>4207</v>
      </c>
      <c r="B2157" s="37"/>
      <c r="C2157" s="37"/>
      <c r="D2157" s="37"/>
      <c r="E2157" s="37"/>
      <c r="F2157" s="45"/>
      <c r="K2157" s="3" t="s">
        <v>5063</v>
      </c>
    </row>
    <row r="2158" spans="1:38" ht="18.399999999999999" customHeight="1">
      <c r="A2158" s="41" t="s">
        <v>6232</v>
      </c>
      <c r="B2158" s="37">
        <f>SUM($C2158,$D2158,$E2158)</f>
        <v>0</v>
      </c>
      <c r="C2158" s="37">
        <f>$AB2158</f>
        <v>0</v>
      </c>
      <c r="D2158" s="37">
        <f>$AF2158</f>
        <v>0</v>
      </c>
      <c r="E2158" s="37">
        <f>$AJ2158</f>
        <v>0</v>
      </c>
      <c r="F2158" s="45"/>
      <c r="K2158" s="3" t="s">
        <v>295</v>
      </c>
      <c r="AA2158" s="40" t="s">
        <v>2660</v>
      </c>
      <c r="AB2158" s="8">
        <f>ROUND(0,2)</f>
        <v>0</v>
      </c>
      <c r="AC2158" s="40" t="s">
        <v>1650</v>
      </c>
      <c r="AD2158" s="7">
        <f>$AB2158</f>
        <v>0</v>
      </c>
      <c r="AE2158" s="40" t="s">
        <v>5305</v>
      </c>
      <c r="AF2158" s="8">
        <f>ROUND(0,2)</f>
        <v>0</v>
      </c>
      <c r="AG2158" s="40" t="s">
        <v>5439</v>
      </c>
      <c r="AH2158" s="7">
        <f>$AF2158</f>
        <v>0</v>
      </c>
      <c r="AI2158" s="40" t="s">
        <v>3519</v>
      </c>
      <c r="AJ2158" s="8">
        <f>ROUND(0,2)</f>
        <v>0</v>
      </c>
      <c r="AK2158" s="40" t="s">
        <v>4149</v>
      </c>
      <c r="AL2158" s="7">
        <f>$AJ2158</f>
        <v>0</v>
      </c>
    </row>
    <row r="2159" spans="1:38" ht="18.399999999999999" customHeight="1">
      <c r="A2159" s="42" t="str">
        <f>CONCATENATE("  PE용접 길이  L=",TEXT($AB2159,"#,##0.00")," m")</f>
        <v xml:space="preserve">  PE용접 길이  L=15.52 m</v>
      </c>
      <c r="B2159" s="37"/>
      <c r="C2159" s="37"/>
      <c r="D2159" s="37"/>
      <c r="E2159" s="37"/>
      <c r="F2159" s="45"/>
      <c r="K2159" s="10" t="str">
        <f>SUBSTITUTE(SUBSTITUTE(" _x001D_PE용접 길이_x001D_ L=15.52_x001D_m_x001D_","15.52",TEXT($AB2159,"#,##0.00"),1),"_x001D_","'")</f>
        <v xml:space="preserve"> 'PE용접 길이' L=15.52'm'</v>
      </c>
      <c r="AA2159" s="39" t="s">
        <v>5842</v>
      </c>
      <c r="AB2159" s="6">
        <v>15.52</v>
      </c>
      <c r="AC2159" s="39" t="s">
        <v>5842</v>
      </c>
      <c r="AD2159" s="7">
        <f>$AB2159</f>
        <v>15.52</v>
      </c>
    </row>
    <row r="2160" spans="1:38" ht="18.399999999999999" customHeight="1">
      <c r="A2160" s="41" t="s">
        <v>6232</v>
      </c>
      <c r="B2160" s="37"/>
      <c r="C2160" s="37"/>
      <c r="D2160" s="37"/>
      <c r="E2160" s="37"/>
      <c r="F2160" s="45"/>
      <c r="K2160" s="3" t="s">
        <v>6232</v>
      </c>
    </row>
    <row r="2161" spans="1:38" ht="18.399999999999999" customHeight="1">
      <c r="A2161" s="41" t="s">
        <v>5615</v>
      </c>
      <c r="B2161" s="37" t="e">
        <f>SUM($C2161,$D2161,$E2161)</f>
        <v>#REF!</v>
      </c>
      <c r="C2161" s="37" t="e">
        <f>$AB2161</f>
        <v>#REF!</v>
      </c>
      <c r="D2161" s="37" t="e">
        <f>$AF2161</f>
        <v>#REF!</v>
      </c>
      <c r="E2161" s="37" t="e">
        <f>$AJ2161</f>
        <v>#REF!</v>
      </c>
      <c r="F2161" s="45" t="s">
        <v>6232</v>
      </c>
      <c r="K2161" s="3" t="s">
        <v>3355</v>
      </c>
      <c r="AA2161" s="40" t="s">
        <v>2660</v>
      </c>
      <c r="AB2161" s="8" t="e">
        <f>TRUNC(일위대가목록!#REF!/$AD2159,1)</f>
        <v>#REF!</v>
      </c>
      <c r="AC2161" s="40" t="s">
        <v>1650</v>
      </c>
      <c r="AD2161" s="7" t="e">
        <f>$AD2158+$AB2161</f>
        <v>#REF!</v>
      </c>
      <c r="AE2161" s="40" t="s">
        <v>5305</v>
      </c>
      <c r="AF2161" s="8" t="e">
        <f>TRUNC(일위대가목록!#REF!/$AD2159,1)</f>
        <v>#REF!</v>
      </c>
      <c r="AG2161" s="40" t="s">
        <v>5439</v>
      </c>
      <c r="AH2161" s="7" t="e">
        <f>$AH2158+$AF2161</f>
        <v>#REF!</v>
      </c>
      <c r="AI2161" s="40" t="s">
        <v>3519</v>
      </c>
      <c r="AJ2161" s="8" t="e">
        <f>TRUNC(일위대가목록!#REF!/$AD2159,1)</f>
        <v>#REF!</v>
      </c>
      <c r="AK2161" s="40" t="s">
        <v>4149</v>
      </c>
      <c r="AL2161" s="7" t="e">
        <f>$AL2158+$AJ2161</f>
        <v>#REF!</v>
      </c>
    </row>
    <row r="2162" spans="1:38" ht="18.399999999999999" customHeight="1">
      <c r="A2162" s="41" t="s">
        <v>6232</v>
      </c>
      <c r="B2162" s="37"/>
      <c r="C2162" s="37"/>
      <c r="D2162" s="37"/>
      <c r="E2162" s="37"/>
      <c r="F2162" s="45"/>
      <c r="K2162" s="3" t="s">
        <v>6232</v>
      </c>
    </row>
    <row r="2163" spans="1:38" ht="18.399999999999999" customHeight="1">
      <c r="A2163" s="41" t="s">
        <v>4035</v>
      </c>
      <c r="B2163" s="37" t="e">
        <f>SUM($C2163,$D2163,$E2163)</f>
        <v>#REF!</v>
      </c>
      <c r="C2163" s="37" t="e">
        <f>$AB2163</f>
        <v>#REF!</v>
      </c>
      <c r="D2163" s="37" t="e">
        <f>$AF2163</f>
        <v>#REF!</v>
      </c>
      <c r="E2163" s="37" t="e">
        <f>$AJ2163</f>
        <v>#REF!</v>
      </c>
      <c r="F2163" s="45"/>
      <c r="K2163" s="3" t="s">
        <v>6125</v>
      </c>
      <c r="AA2163" s="40" t="s">
        <v>4592</v>
      </c>
      <c r="AB2163" s="8" t="e">
        <f>TRUNC($AD2161,1)</f>
        <v>#REF!</v>
      </c>
      <c r="AC2163" s="40" t="s">
        <v>5149</v>
      </c>
      <c r="AD2163" s="7" t="e">
        <f>$AB2163</f>
        <v>#REF!</v>
      </c>
      <c r="AE2163" s="40" t="s">
        <v>666</v>
      </c>
      <c r="AF2163" s="8" t="e">
        <f>TRUNC($AH2161,1)</f>
        <v>#REF!</v>
      </c>
      <c r="AG2163" s="40" t="s">
        <v>2431</v>
      </c>
      <c r="AH2163" s="7" t="e">
        <f>$AF2163</f>
        <v>#REF!</v>
      </c>
      <c r="AI2163" s="40" t="s">
        <v>1930</v>
      </c>
      <c r="AJ2163" s="8" t="e">
        <f>TRUNC($AL2161,1)</f>
        <v>#REF!</v>
      </c>
      <c r="AK2163" s="40" t="s">
        <v>3349</v>
      </c>
      <c r="AL2163" s="7" t="e">
        <f>$AJ2163</f>
        <v>#REF!</v>
      </c>
    </row>
    <row r="2164" spans="1:38" ht="18.399999999999999" customHeight="1">
      <c r="A2164" s="41"/>
      <c r="B2164" s="3"/>
      <c r="C2164" s="3"/>
      <c r="D2164" s="3"/>
      <c r="E2164" s="3"/>
      <c r="F2164" s="44"/>
    </row>
    <row r="2165" spans="1:38" ht="18.399999999999999" customHeight="1">
      <c r="A2165" s="43" t="s">
        <v>3543</v>
      </c>
      <c r="B2165" s="38" t="e">
        <f>SUM($C2165,$D2165,$E2165)</f>
        <v>#REF!</v>
      </c>
      <c r="C2165" s="38" t="e">
        <f>TRUNC(SUM($AD2163),0)</f>
        <v>#REF!</v>
      </c>
      <c r="D2165" s="38" t="e">
        <f>TRUNC(SUM($AH2163),0)</f>
        <v>#REF!</v>
      </c>
      <c r="E2165" s="38" t="e">
        <f>TRUNC(SUM($AL2163),0)</f>
        <v>#REF!</v>
      </c>
      <c r="F2165" s="46"/>
    </row>
    <row r="2166" spans="1:38" ht="18.399999999999999" customHeight="1">
      <c r="A2166" s="41"/>
      <c r="B2166" s="3"/>
      <c r="C2166" s="3"/>
      <c r="D2166" s="3"/>
      <c r="E2166" s="3"/>
      <c r="F2166" s="44"/>
    </row>
    <row r="2167" spans="1:38" ht="18.399999999999999" customHeight="1">
      <c r="A2167" s="41" t="s">
        <v>5176</v>
      </c>
      <c r="B2167" s="36" t="e">
        <f>$B2178</f>
        <v>#REF!</v>
      </c>
      <c r="C2167" s="36" t="e">
        <f>$C2178</f>
        <v>#REF!</v>
      </c>
      <c r="D2167" s="36" t="e">
        <f>$D2178</f>
        <v>#REF!</v>
      </c>
      <c r="E2167" s="36" t="e">
        <f>$E2178</f>
        <v>#REF!</v>
      </c>
      <c r="F2167" s="44" t="s">
        <v>4819</v>
      </c>
      <c r="G2167" t="s">
        <v>6232</v>
      </c>
      <c r="H2167" t="s">
        <v>5240</v>
      </c>
      <c r="K2167">
        <v>1</v>
      </c>
      <c r="Y2167" s="7" t="e">
        <f>EXACT($Z2167,$B2178)</f>
        <v>#REF!</v>
      </c>
      <c r="Z2167" s="38">
        <v>220333</v>
      </c>
    </row>
    <row r="2168" spans="1:38" ht="18.399999999999999" customHeight="1">
      <c r="A2168" s="41"/>
      <c r="B2168" s="3"/>
      <c r="C2168" s="3"/>
      <c r="D2168" s="3"/>
      <c r="E2168" s="3"/>
      <c r="F2168" s="44"/>
    </row>
    <row r="2169" spans="1:38" ht="18.399999999999999" customHeight="1">
      <c r="A2169" s="41" t="s">
        <v>6232</v>
      </c>
      <c r="B2169" s="3"/>
      <c r="C2169" s="3"/>
      <c r="D2169" s="3"/>
      <c r="E2169" s="3"/>
      <c r="F2169" s="44"/>
      <c r="G2169" t="s">
        <v>6232</v>
      </c>
      <c r="I2169" t="s">
        <v>742</v>
      </c>
      <c r="J2169" t="s">
        <v>6232</v>
      </c>
      <c r="K2169" t="s">
        <v>5235</v>
      </c>
    </row>
    <row r="2170" spans="1:38" ht="18.399999999999999" customHeight="1">
      <c r="A2170" s="41" t="s">
        <v>4652</v>
      </c>
      <c r="B2170" s="37"/>
      <c r="C2170" s="37"/>
      <c r="D2170" s="37"/>
      <c r="E2170" s="37"/>
      <c r="F2170" s="45"/>
      <c r="K2170" s="3" t="s">
        <v>4841</v>
      </c>
    </row>
    <row r="2171" spans="1:38" ht="18.399999999999999" customHeight="1">
      <c r="A2171" s="41" t="s">
        <v>6232</v>
      </c>
      <c r="B2171" s="37">
        <f>SUM($C2171,$D2171,$E2171)</f>
        <v>0</v>
      </c>
      <c r="C2171" s="37">
        <f>$AB2171</f>
        <v>0</v>
      </c>
      <c r="D2171" s="37">
        <f>$AF2171</f>
        <v>0</v>
      </c>
      <c r="E2171" s="37">
        <f>$AJ2171</f>
        <v>0</v>
      </c>
      <c r="F2171" s="45"/>
      <c r="K2171" s="3" t="s">
        <v>295</v>
      </c>
      <c r="AA2171" s="40" t="s">
        <v>2660</v>
      </c>
      <c r="AB2171" s="8">
        <f>ROUND(0,2)</f>
        <v>0</v>
      </c>
      <c r="AC2171" s="40" t="s">
        <v>1650</v>
      </c>
      <c r="AD2171" s="7">
        <f>$AB2171</f>
        <v>0</v>
      </c>
      <c r="AE2171" s="40" t="s">
        <v>5305</v>
      </c>
      <c r="AF2171" s="8">
        <f>ROUND(0,2)</f>
        <v>0</v>
      </c>
      <c r="AG2171" s="40" t="s">
        <v>5439</v>
      </c>
      <c r="AH2171" s="7">
        <f>$AF2171</f>
        <v>0</v>
      </c>
      <c r="AI2171" s="40" t="s">
        <v>3519</v>
      </c>
      <c r="AJ2171" s="8">
        <f>ROUND(0,2)</f>
        <v>0</v>
      </c>
      <c r="AK2171" s="40" t="s">
        <v>4149</v>
      </c>
      <c r="AL2171" s="7">
        <f>$AJ2171</f>
        <v>0</v>
      </c>
    </row>
    <row r="2172" spans="1:38" ht="18.399999999999999" customHeight="1">
      <c r="A2172" s="42" t="str">
        <f>CONCATENATE("  PE용접 길이  L=",TEXT($AB2172,"#,##0.00")," m")</f>
        <v xml:space="preserve">  PE용접 길이  L=15.96 m</v>
      </c>
      <c r="B2172" s="37"/>
      <c r="C2172" s="37"/>
      <c r="D2172" s="37"/>
      <c r="E2172" s="37"/>
      <c r="F2172" s="45"/>
      <c r="K2172" s="10" t="str">
        <f>SUBSTITUTE(SUBSTITUTE(" _x001D_PE용접 길이_x001D_ L=15.96_x001D_m_x001D_","15.96",TEXT($AB2172,"#,##0.00"),1),"_x001D_","'")</f>
        <v xml:space="preserve"> 'PE용접 길이' L=15.96'm'</v>
      </c>
      <c r="AA2172" s="39" t="s">
        <v>5842</v>
      </c>
      <c r="AB2172" s="6">
        <v>15.96</v>
      </c>
      <c r="AC2172" s="39" t="s">
        <v>5842</v>
      </c>
      <c r="AD2172" s="7">
        <f>$AB2172</f>
        <v>15.96</v>
      </c>
    </row>
    <row r="2173" spans="1:38" ht="18.399999999999999" customHeight="1">
      <c r="A2173" s="41" t="s">
        <v>6232</v>
      </c>
      <c r="B2173" s="37"/>
      <c r="C2173" s="37"/>
      <c r="D2173" s="37"/>
      <c r="E2173" s="37"/>
      <c r="F2173" s="45"/>
      <c r="K2173" s="3" t="s">
        <v>6232</v>
      </c>
    </row>
    <row r="2174" spans="1:38" ht="18.399999999999999" customHeight="1">
      <c r="A2174" s="41" t="s">
        <v>3787</v>
      </c>
      <c r="B2174" s="37" t="e">
        <f>SUM($C2174,$D2174,$E2174)</f>
        <v>#REF!</v>
      </c>
      <c r="C2174" s="37" t="e">
        <f>$AB2174</f>
        <v>#REF!</v>
      </c>
      <c r="D2174" s="37" t="e">
        <f>$AF2174</f>
        <v>#REF!</v>
      </c>
      <c r="E2174" s="37" t="e">
        <f>$AJ2174</f>
        <v>#REF!</v>
      </c>
      <c r="F2174" s="45" t="s">
        <v>6232</v>
      </c>
      <c r="K2174" s="3" t="s">
        <v>2432</v>
      </c>
      <c r="AA2174" s="40" t="s">
        <v>2660</v>
      </c>
      <c r="AB2174" s="8" t="e">
        <f>TRUNC(일위대가목록!#REF!/$AD2172,1)</f>
        <v>#REF!</v>
      </c>
      <c r="AC2174" s="40" t="s">
        <v>1650</v>
      </c>
      <c r="AD2174" s="7" t="e">
        <f>$AD2171+$AB2174</f>
        <v>#REF!</v>
      </c>
      <c r="AE2174" s="40" t="s">
        <v>5305</v>
      </c>
      <c r="AF2174" s="8" t="e">
        <f>TRUNC(일위대가목록!#REF!/$AD2172,1)</f>
        <v>#REF!</v>
      </c>
      <c r="AG2174" s="40" t="s">
        <v>5439</v>
      </c>
      <c r="AH2174" s="7" t="e">
        <f>$AH2171+$AF2174</f>
        <v>#REF!</v>
      </c>
      <c r="AI2174" s="40" t="s">
        <v>3519</v>
      </c>
      <c r="AJ2174" s="8" t="e">
        <f>TRUNC(일위대가목록!#REF!/$AD2172,1)</f>
        <v>#REF!</v>
      </c>
      <c r="AK2174" s="40" t="s">
        <v>4149</v>
      </c>
      <c r="AL2174" s="7" t="e">
        <f>$AL2171+$AJ2174</f>
        <v>#REF!</v>
      </c>
    </row>
    <row r="2175" spans="1:38" ht="18.399999999999999" customHeight="1">
      <c r="A2175" s="41" t="s">
        <v>6232</v>
      </c>
      <c r="B2175" s="37"/>
      <c r="C2175" s="37"/>
      <c r="D2175" s="37"/>
      <c r="E2175" s="37"/>
      <c r="F2175" s="45"/>
      <c r="K2175" s="3" t="s">
        <v>6232</v>
      </c>
    </row>
    <row r="2176" spans="1:38" ht="18.399999999999999" customHeight="1">
      <c r="A2176" s="41" t="s">
        <v>4035</v>
      </c>
      <c r="B2176" s="37" t="e">
        <f>SUM($C2176,$D2176,$E2176)</f>
        <v>#REF!</v>
      </c>
      <c r="C2176" s="37" t="e">
        <f>$AB2176</f>
        <v>#REF!</v>
      </c>
      <c r="D2176" s="37" t="e">
        <f>$AF2176</f>
        <v>#REF!</v>
      </c>
      <c r="E2176" s="37" t="e">
        <f>$AJ2176</f>
        <v>#REF!</v>
      </c>
      <c r="F2176" s="45"/>
      <c r="K2176" s="3" t="s">
        <v>6125</v>
      </c>
      <c r="AA2176" s="40" t="s">
        <v>4592</v>
      </c>
      <c r="AB2176" s="8" t="e">
        <f>TRUNC($AD2174,1)</f>
        <v>#REF!</v>
      </c>
      <c r="AC2176" s="40" t="s">
        <v>5149</v>
      </c>
      <c r="AD2176" s="7" t="e">
        <f>$AB2176</f>
        <v>#REF!</v>
      </c>
      <c r="AE2176" s="40" t="s">
        <v>666</v>
      </c>
      <c r="AF2176" s="8" t="e">
        <f>TRUNC($AH2174,1)</f>
        <v>#REF!</v>
      </c>
      <c r="AG2176" s="40" t="s">
        <v>2431</v>
      </c>
      <c r="AH2176" s="7" t="e">
        <f>$AF2176</f>
        <v>#REF!</v>
      </c>
      <c r="AI2176" s="40" t="s">
        <v>1930</v>
      </c>
      <c r="AJ2176" s="8" t="e">
        <f>TRUNC($AL2174,1)</f>
        <v>#REF!</v>
      </c>
      <c r="AK2176" s="40" t="s">
        <v>3349</v>
      </c>
      <c r="AL2176" s="7" t="e">
        <f>$AJ2176</f>
        <v>#REF!</v>
      </c>
    </row>
    <row r="2177" spans="1:38" ht="18.399999999999999" customHeight="1">
      <c r="A2177" s="41"/>
      <c r="B2177" s="3"/>
      <c r="C2177" s="3"/>
      <c r="D2177" s="3"/>
      <c r="E2177" s="3"/>
      <c r="F2177" s="44"/>
    </row>
    <row r="2178" spans="1:38" ht="18.399999999999999" customHeight="1">
      <c r="A2178" s="43" t="s">
        <v>3543</v>
      </c>
      <c r="B2178" s="38" t="e">
        <f>SUM($C2178,$D2178,$E2178)</f>
        <v>#REF!</v>
      </c>
      <c r="C2178" s="38" t="e">
        <f>TRUNC(SUM($AD2176),0)</f>
        <v>#REF!</v>
      </c>
      <c r="D2178" s="38" t="e">
        <f>TRUNC(SUM($AH2176),0)</f>
        <v>#REF!</v>
      </c>
      <c r="E2178" s="38" t="e">
        <f>TRUNC(SUM($AL2176),0)</f>
        <v>#REF!</v>
      </c>
      <c r="F2178" s="46"/>
    </row>
    <row r="2179" spans="1:38" ht="18.399999999999999" customHeight="1">
      <c r="A2179" s="41"/>
      <c r="B2179" s="3"/>
      <c r="C2179" s="3"/>
      <c r="D2179" s="3"/>
      <c r="E2179" s="3"/>
      <c r="F2179" s="44"/>
    </row>
    <row r="2180" spans="1:38" ht="18.399999999999999" customHeight="1">
      <c r="A2180" s="41" t="s">
        <v>5090</v>
      </c>
      <c r="B2180" s="36" t="e">
        <f>$B2191</f>
        <v>#REF!</v>
      </c>
      <c r="C2180" s="36" t="e">
        <f>$C2191</f>
        <v>#REF!</v>
      </c>
      <c r="D2180" s="36" t="e">
        <f>$D2191</f>
        <v>#REF!</v>
      </c>
      <c r="E2180" s="36" t="e">
        <f>$E2191</f>
        <v>#REF!</v>
      </c>
      <c r="F2180" s="44" t="s">
        <v>4819</v>
      </c>
      <c r="G2180" t="s">
        <v>6232</v>
      </c>
      <c r="H2180" t="s">
        <v>4147</v>
      </c>
      <c r="K2180">
        <v>1</v>
      </c>
      <c r="Y2180" s="7" t="e">
        <f>EXACT($Z2180,$B2191)</f>
        <v>#REF!</v>
      </c>
      <c r="Z2180" s="38">
        <v>245042</v>
      </c>
    </row>
    <row r="2181" spans="1:38" ht="18.399999999999999" customHeight="1">
      <c r="A2181" s="41"/>
      <c r="B2181" s="3"/>
      <c r="C2181" s="3"/>
      <c r="D2181" s="3"/>
      <c r="E2181" s="3"/>
      <c r="F2181" s="44"/>
    </row>
    <row r="2182" spans="1:38" ht="18.399999999999999" customHeight="1">
      <c r="A2182" s="41" t="s">
        <v>6232</v>
      </c>
      <c r="B2182" s="3"/>
      <c r="C2182" s="3"/>
      <c r="D2182" s="3"/>
      <c r="E2182" s="3"/>
      <c r="F2182" s="44"/>
      <c r="G2182" t="s">
        <v>6232</v>
      </c>
      <c r="I2182" t="s">
        <v>742</v>
      </c>
      <c r="J2182" t="s">
        <v>6232</v>
      </c>
      <c r="K2182" t="s">
        <v>5235</v>
      </c>
    </row>
    <row r="2183" spans="1:38" ht="18.399999999999999" customHeight="1">
      <c r="A2183" s="41" t="s">
        <v>1449</v>
      </c>
      <c r="B2183" s="37"/>
      <c r="C2183" s="37"/>
      <c r="D2183" s="37"/>
      <c r="E2183" s="37"/>
      <c r="F2183" s="45"/>
      <c r="K2183" s="3" t="s">
        <v>1155</v>
      </c>
    </row>
    <row r="2184" spans="1:38" ht="18.399999999999999" customHeight="1">
      <c r="A2184" s="41" t="s">
        <v>6232</v>
      </c>
      <c r="B2184" s="37">
        <f>SUM($C2184,$D2184,$E2184)</f>
        <v>0</v>
      </c>
      <c r="C2184" s="37">
        <f>$AB2184</f>
        <v>0</v>
      </c>
      <c r="D2184" s="37">
        <f>$AF2184</f>
        <v>0</v>
      </c>
      <c r="E2184" s="37">
        <f>$AJ2184</f>
        <v>0</v>
      </c>
      <c r="F2184" s="45"/>
      <c r="K2184" s="3" t="s">
        <v>295</v>
      </c>
      <c r="AA2184" s="40" t="s">
        <v>2660</v>
      </c>
      <c r="AB2184" s="8">
        <f>ROUND(0,2)</f>
        <v>0</v>
      </c>
      <c r="AC2184" s="40" t="s">
        <v>1650</v>
      </c>
      <c r="AD2184" s="7">
        <f>$AB2184</f>
        <v>0</v>
      </c>
      <c r="AE2184" s="40" t="s">
        <v>5305</v>
      </c>
      <c r="AF2184" s="8">
        <f>ROUND(0,2)</f>
        <v>0</v>
      </c>
      <c r="AG2184" s="40" t="s">
        <v>5439</v>
      </c>
      <c r="AH2184" s="7">
        <f>$AF2184</f>
        <v>0</v>
      </c>
      <c r="AI2184" s="40" t="s">
        <v>3519</v>
      </c>
      <c r="AJ2184" s="8">
        <f>ROUND(0,2)</f>
        <v>0</v>
      </c>
      <c r="AK2184" s="40" t="s">
        <v>4149</v>
      </c>
      <c r="AL2184" s="7">
        <f>$AJ2184</f>
        <v>0</v>
      </c>
    </row>
    <row r="2185" spans="1:38" ht="18.399999999999999" customHeight="1">
      <c r="A2185" s="42" t="str">
        <f>CONCATENATE("  PE용접 길이  L=",TEXT($AB2185,"#,##0.00")," m")</f>
        <v xml:space="preserve">  PE용접 길이  L=16.46 m</v>
      </c>
      <c r="B2185" s="37"/>
      <c r="C2185" s="37"/>
      <c r="D2185" s="37"/>
      <c r="E2185" s="37"/>
      <c r="F2185" s="45"/>
      <c r="K2185" s="10" t="str">
        <f>SUBSTITUTE(SUBSTITUTE(" _x001D_PE용접 길이_x001D_ L=16.46_x001D_m_x001D_","16.46",TEXT($AB2185,"#,##0.00"),1),"_x001D_","'")</f>
        <v xml:space="preserve"> 'PE용접 길이' L=16.46'm'</v>
      </c>
      <c r="AA2185" s="39" t="s">
        <v>5842</v>
      </c>
      <c r="AB2185" s="6">
        <v>16.46</v>
      </c>
      <c r="AC2185" s="39" t="s">
        <v>5842</v>
      </c>
      <c r="AD2185" s="7">
        <f>$AB2185</f>
        <v>16.46</v>
      </c>
    </row>
    <row r="2186" spans="1:38" ht="18.399999999999999" customHeight="1">
      <c r="A2186" s="41" t="s">
        <v>6232</v>
      </c>
      <c r="B2186" s="37"/>
      <c r="C2186" s="37"/>
      <c r="D2186" s="37"/>
      <c r="E2186" s="37"/>
      <c r="F2186" s="45"/>
      <c r="K2186" s="3" t="s">
        <v>6232</v>
      </c>
    </row>
    <row r="2187" spans="1:38" ht="18.399999999999999" customHeight="1">
      <c r="A2187" s="41" t="s">
        <v>4623</v>
      </c>
      <c r="B2187" s="37" t="e">
        <f>SUM($C2187,$D2187,$E2187)</f>
        <v>#REF!</v>
      </c>
      <c r="C2187" s="37" t="e">
        <f>$AB2187</f>
        <v>#REF!</v>
      </c>
      <c r="D2187" s="37" t="e">
        <f>$AF2187</f>
        <v>#REF!</v>
      </c>
      <c r="E2187" s="37" t="e">
        <f>$AJ2187</f>
        <v>#REF!</v>
      </c>
      <c r="F2187" s="45" t="s">
        <v>6232</v>
      </c>
      <c r="K2187" s="3" t="s">
        <v>757</v>
      </c>
      <c r="AA2187" s="40" t="s">
        <v>2660</v>
      </c>
      <c r="AB2187" s="8" t="e">
        <f>TRUNC(일위대가목록!#REF!/$AD2185,1)</f>
        <v>#REF!</v>
      </c>
      <c r="AC2187" s="40" t="s">
        <v>1650</v>
      </c>
      <c r="AD2187" s="7" t="e">
        <f>$AD2184+$AB2187</f>
        <v>#REF!</v>
      </c>
      <c r="AE2187" s="40" t="s">
        <v>5305</v>
      </c>
      <c r="AF2187" s="8" t="e">
        <f>TRUNC(일위대가목록!#REF!/$AD2185,1)</f>
        <v>#REF!</v>
      </c>
      <c r="AG2187" s="40" t="s">
        <v>5439</v>
      </c>
      <c r="AH2187" s="7" t="e">
        <f>$AH2184+$AF2187</f>
        <v>#REF!</v>
      </c>
      <c r="AI2187" s="40" t="s">
        <v>3519</v>
      </c>
      <c r="AJ2187" s="8" t="e">
        <f>TRUNC(일위대가목록!#REF!/$AD2185,1)</f>
        <v>#REF!</v>
      </c>
      <c r="AK2187" s="40" t="s">
        <v>4149</v>
      </c>
      <c r="AL2187" s="7" t="e">
        <f>$AL2184+$AJ2187</f>
        <v>#REF!</v>
      </c>
    </row>
    <row r="2188" spans="1:38" ht="18.399999999999999" customHeight="1">
      <c r="A2188" s="41" t="s">
        <v>6232</v>
      </c>
      <c r="B2188" s="37"/>
      <c r="C2188" s="37"/>
      <c r="D2188" s="37"/>
      <c r="E2188" s="37"/>
      <c r="F2188" s="45"/>
      <c r="K2188" s="3" t="s">
        <v>6232</v>
      </c>
    </row>
    <row r="2189" spans="1:38" ht="18.399999999999999" customHeight="1">
      <c r="A2189" s="41" t="s">
        <v>4035</v>
      </c>
      <c r="B2189" s="37" t="e">
        <f>SUM($C2189,$D2189,$E2189)</f>
        <v>#REF!</v>
      </c>
      <c r="C2189" s="37" t="e">
        <f>$AB2189</f>
        <v>#REF!</v>
      </c>
      <c r="D2189" s="37" t="e">
        <f>$AF2189</f>
        <v>#REF!</v>
      </c>
      <c r="E2189" s="37" t="e">
        <f>$AJ2189</f>
        <v>#REF!</v>
      </c>
      <c r="F2189" s="45"/>
      <c r="K2189" s="3" t="s">
        <v>6125</v>
      </c>
      <c r="AA2189" s="40" t="s">
        <v>4592</v>
      </c>
      <c r="AB2189" s="8" t="e">
        <f>TRUNC($AD2187,1)</f>
        <v>#REF!</v>
      </c>
      <c r="AC2189" s="40" t="s">
        <v>5149</v>
      </c>
      <c r="AD2189" s="7" t="e">
        <f>$AB2189</f>
        <v>#REF!</v>
      </c>
      <c r="AE2189" s="40" t="s">
        <v>666</v>
      </c>
      <c r="AF2189" s="8" t="e">
        <f>TRUNC($AH2187,1)</f>
        <v>#REF!</v>
      </c>
      <c r="AG2189" s="40" t="s">
        <v>2431</v>
      </c>
      <c r="AH2189" s="7" t="e">
        <f>$AF2189</f>
        <v>#REF!</v>
      </c>
      <c r="AI2189" s="40" t="s">
        <v>1930</v>
      </c>
      <c r="AJ2189" s="8" t="e">
        <f>TRUNC($AL2187,1)</f>
        <v>#REF!</v>
      </c>
      <c r="AK2189" s="40" t="s">
        <v>3349</v>
      </c>
      <c r="AL2189" s="7" t="e">
        <f>$AJ2189</f>
        <v>#REF!</v>
      </c>
    </row>
    <row r="2190" spans="1:38" ht="18.399999999999999" customHeight="1">
      <c r="A2190" s="41"/>
      <c r="B2190" s="3"/>
      <c r="C2190" s="3"/>
      <c r="D2190" s="3"/>
      <c r="E2190" s="3"/>
      <c r="F2190" s="44"/>
    </row>
    <row r="2191" spans="1:38" ht="18.399999999999999" customHeight="1">
      <c r="A2191" s="43" t="s">
        <v>3543</v>
      </c>
      <c r="B2191" s="38" t="e">
        <f>SUM($C2191,$D2191,$E2191)</f>
        <v>#REF!</v>
      </c>
      <c r="C2191" s="38" t="e">
        <f>TRUNC(SUM($AD2189),0)</f>
        <v>#REF!</v>
      </c>
      <c r="D2191" s="38" t="e">
        <f>TRUNC(SUM($AH2189),0)</f>
        <v>#REF!</v>
      </c>
      <c r="E2191" s="38" t="e">
        <f>TRUNC(SUM($AL2189),0)</f>
        <v>#REF!</v>
      </c>
      <c r="F2191" s="46"/>
    </row>
    <row r="2192" spans="1:38" ht="18.399999999999999" customHeight="1">
      <c r="A2192" s="41"/>
      <c r="B2192" s="3"/>
      <c r="C2192" s="3"/>
      <c r="D2192" s="3"/>
      <c r="E2192" s="3"/>
      <c r="F2192" s="44"/>
    </row>
    <row r="2193" spans="1:38" ht="18.399999999999999" customHeight="1">
      <c r="A2193" s="41" t="s">
        <v>2796</v>
      </c>
      <c r="B2193" s="36" t="e">
        <f>$B2204</f>
        <v>#REF!</v>
      </c>
      <c r="C2193" s="36" t="e">
        <f>$C2204</f>
        <v>#REF!</v>
      </c>
      <c r="D2193" s="36" t="e">
        <f>$D2204</f>
        <v>#REF!</v>
      </c>
      <c r="E2193" s="36" t="e">
        <f>$E2204</f>
        <v>#REF!</v>
      </c>
      <c r="F2193" s="44" t="s">
        <v>4819</v>
      </c>
      <c r="G2193" t="s">
        <v>6232</v>
      </c>
      <c r="H2193" t="s">
        <v>5813</v>
      </c>
      <c r="K2193">
        <v>1</v>
      </c>
      <c r="Y2193" s="7" t="e">
        <f>EXACT($Z2193,$B2204)</f>
        <v>#REF!</v>
      </c>
      <c r="Z2193" s="38">
        <v>246941</v>
      </c>
    </row>
    <row r="2194" spans="1:38" ht="18.399999999999999" customHeight="1">
      <c r="A2194" s="41"/>
      <c r="B2194" s="3"/>
      <c r="C2194" s="3"/>
      <c r="D2194" s="3"/>
      <c r="E2194" s="3"/>
      <c r="F2194" s="44"/>
    </row>
    <row r="2195" spans="1:38" ht="18.399999999999999" customHeight="1">
      <c r="A2195" s="41" t="s">
        <v>6232</v>
      </c>
      <c r="B2195" s="3"/>
      <c r="C2195" s="3"/>
      <c r="D2195" s="3"/>
      <c r="E2195" s="3"/>
      <c r="F2195" s="44"/>
      <c r="G2195" t="s">
        <v>6232</v>
      </c>
      <c r="I2195" t="s">
        <v>5372</v>
      </c>
      <c r="J2195" t="s">
        <v>6232</v>
      </c>
      <c r="K2195" t="s">
        <v>5235</v>
      </c>
    </row>
    <row r="2196" spans="1:38" ht="18.399999999999999" customHeight="1">
      <c r="A2196" s="41" t="s">
        <v>1943</v>
      </c>
      <c r="B2196" s="37"/>
      <c r="C2196" s="37"/>
      <c r="D2196" s="37"/>
      <c r="E2196" s="37"/>
      <c r="F2196" s="45"/>
      <c r="K2196" s="3" t="s">
        <v>918</v>
      </c>
    </row>
    <row r="2197" spans="1:38" ht="18.399999999999999" customHeight="1">
      <c r="A2197" s="41" t="s">
        <v>6232</v>
      </c>
      <c r="B2197" s="37">
        <f>SUM($C2197,$D2197,$E2197)</f>
        <v>0</v>
      </c>
      <c r="C2197" s="37">
        <f>$AB2197</f>
        <v>0</v>
      </c>
      <c r="D2197" s="37">
        <f>$AF2197</f>
        <v>0</v>
      </c>
      <c r="E2197" s="37">
        <f>$AJ2197</f>
        <v>0</v>
      </c>
      <c r="F2197" s="45"/>
      <c r="K2197" s="3" t="s">
        <v>295</v>
      </c>
      <c r="AA2197" s="40" t="s">
        <v>2660</v>
      </c>
      <c r="AB2197" s="8">
        <f>ROUND(0,2)</f>
        <v>0</v>
      </c>
      <c r="AC2197" s="40" t="s">
        <v>1650</v>
      </c>
      <c r="AD2197" s="7">
        <f>$AB2197</f>
        <v>0</v>
      </c>
      <c r="AE2197" s="40" t="s">
        <v>5305</v>
      </c>
      <c r="AF2197" s="8">
        <f>ROUND(0,2)</f>
        <v>0</v>
      </c>
      <c r="AG2197" s="40" t="s">
        <v>5439</v>
      </c>
      <c r="AH2197" s="7">
        <f>$AF2197</f>
        <v>0</v>
      </c>
      <c r="AI2197" s="40" t="s">
        <v>3519</v>
      </c>
      <c r="AJ2197" s="8">
        <f>ROUND(0,2)</f>
        <v>0</v>
      </c>
      <c r="AK2197" s="40" t="s">
        <v>4149</v>
      </c>
      <c r="AL2197" s="7">
        <f>$AJ2197</f>
        <v>0</v>
      </c>
    </row>
    <row r="2198" spans="1:38" ht="18.399999999999999" customHeight="1">
      <c r="A2198" s="42" t="str">
        <f>CONCATENATE("  PE용접 길이  L=",TEXT($AB2198,"#,##0.00")," m")</f>
        <v xml:space="preserve">  PE용접 길이  L=16.46 m</v>
      </c>
      <c r="B2198" s="37"/>
      <c r="C2198" s="37"/>
      <c r="D2198" s="37"/>
      <c r="E2198" s="37"/>
      <c r="F2198" s="45"/>
      <c r="K2198" s="10" t="str">
        <f>SUBSTITUTE(SUBSTITUTE(" _x001D_PE용접 길이_x001D_ L=16.46_x001D_m_x001D_","16.46",TEXT($AB2198,"#,##0.00"),1),"_x001D_","'")</f>
        <v xml:space="preserve"> 'PE용접 길이' L=16.46'm'</v>
      </c>
      <c r="AA2198" s="39" t="s">
        <v>5842</v>
      </c>
      <c r="AB2198" s="6">
        <v>16.46</v>
      </c>
      <c r="AC2198" s="39" t="s">
        <v>5842</v>
      </c>
      <c r="AD2198" s="7">
        <f>$AB2198</f>
        <v>16.46</v>
      </c>
    </row>
    <row r="2199" spans="1:38" ht="18.399999999999999" customHeight="1">
      <c r="A2199" s="41" t="s">
        <v>6232</v>
      </c>
      <c r="B2199" s="37"/>
      <c r="C2199" s="37"/>
      <c r="D2199" s="37"/>
      <c r="E2199" s="37"/>
      <c r="F2199" s="45"/>
      <c r="K2199" s="3" t="s">
        <v>6232</v>
      </c>
    </row>
    <row r="2200" spans="1:38" ht="18.399999999999999" customHeight="1">
      <c r="A2200" s="41" t="s">
        <v>4723</v>
      </c>
      <c r="B2200" s="37" t="e">
        <f>SUM($C2200,$D2200,$E2200)</f>
        <v>#REF!</v>
      </c>
      <c r="C2200" s="37" t="e">
        <f>$AB2200</f>
        <v>#REF!</v>
      </c>
      <c r="D2200" s="37" t="e">
        <f>$AF2200</f>
        <v>#REF!</v>
      </c>
      <c r="E2200" s="37" t="e">
        <f>$AJ2200</f>
        <v>#REF!</v>
      </c>
      <c r="F2200" s="45" t="s">
        <v>6232</v>
      </c>
      <c r="K2200" s="3" t="s">
        <v>5856</v>
      </c>
      <c r="AA2200" s="40" t="s">
        <v>2660</v>
      </c>
      <c r="AB2200" s="8" t="e">
        <f>TRUNC(일위대가목록!#REF!/$AD2198,1)</f>
        <v>#REF!</v>
      </c>
      <c r="AC2200" s="40" t="s">
        <v>1650</v>
      </c>
      <c r="AD2200" s="7" t="e">
        <f>$AD2197+$AB2200</f>
        <v>#REF!</v>
      </c>
      <c r="AE2200" s="40" t="s">
        <v>5305</v>
      </c>
      <c r="AF2200" s="8" t="e">
        <f>TRUNC(일위대가목록!#REF!/$AD2198,1)</f>
        <v>#REF!</v>
      </c>
      <c r="AG2200" s="40" t="s">
        <v>5439</v>
      </c>
      <c r="AH2200" s="7" t="e">
        <f>$AH2197+$AF2200</f>
        <v>#REF!</v>
      </c>
      <c r="AI2200" s="40" t="s">
        <v>3519</v>
      </c>
      <c r="AJ2200" s="8" t="e">
        <f>TRUNC(일위대가목록!#REF!/$AD2198,1)</f>
        <v>#REF!</v>
      </c>
      <c r="AK2200" s="40" t="s">
        <v>4149</v>
      </c>
      <c r="AL2200" s="7" t="e">
        <f>$AL2197+$AJ2200</f>
        <v>#REF!</v>
      </c>
    </row>
    <row r="2201" spans="1:38" ht="18.399999999999999" customHeight="1">
      <c r="A2201" s="41" t="s">
        <v>6232</v>
      </c>
      <c r="B2201" s="37"/>
      <c r="C2201" s="37"/>
      <c r="D2201" s="37"/>
      <c r="E2201" s="37"/>
      <c r="F2201" s="45"/>
      <c r="K2201" s="3" t="s">
        <v>6232</v>
      </c>
    </row>
    <row r="2202" spans="1:38" ht="18.399999999999999" customHeight="1">
      <c r="A2202" s="41" t="s">
        <v>4035</v>
      </c>
      <c r="B2202" s="37" t="e">
        <f>SUM($C2202,$D2202,$E2202)</f>
        <v>#REF!</v>
      </c>
      <c r="C2202" s="37" t="e">
        <f>$AB2202</f>
        <v>#REF!</v>
      </c>
      <c r="D2202" s="37" t="e">
        <f>$AF2202</f>
        <v>#REF!</v>
      </c>
      <c r="E2202" s="37" t="e">
        <f>$AJ2202</f>
        <v>#REF!</v>
      </c>
      <c r="F2202" s="45"/>
      <c r="K2202" s="3" t="s">
        <v>6125</v>
      </c>
      <c r="AA2202" s="40" t="s">
        <v>4592</v>
      </c>
      <c r="AB2202" s="8" t="e">
        <f>TRUNC($AD2200,1)</f>
        <v>#REF!</v>
      </c>
      <c r="AC2202" s="40" t="s">
        <v>5149</v>
      </c>
      <c r="AD2202" s="7" t="e">
        <f>$AB2202</f>
        <v>#REF!</v>
      </c>
      <c r="AE2202" s="40" t="s">
        <v>666</v>
      </c>
      <c r="AF2202" s="8" t="e">
        <f>TRUNC($AH2200,1)</f>
        <v>#REF!</v>
      </c>
      <c r="AG2202" s="40" t="s">
        <v>2431</v>
      </c>
      <c r="AH2202" s="7" t="e">
        <f>$AF2202</f>
        <v>#REF!</v>
      </c>
      <c r="AI2202" s="40" t="s">
        <v>1930</v>
      </c>
      <c r="AJ2202" s="8" t="e">
        <f>TRUNC($AL2200,1)</f>
        <v>#REF!</v>
      </c>
      <c r="AK2202" s="40" t="s">
        <v>3349</v>
      </c>
      <c r="AL2202" s="7" t="e">
        <f>$AJ2202</f>
        <v>#REF!</v>
      </c>
    </row>
    <row r="2203" spans="1:38" ht="18.399999999999999" customHeight="1">
      <c r="A2203" s="41"/>
      <c r="B2203" s="3"/>
      <c r="C2203" s="3"/>
      <c r="D2203" s="3"/>
      <c r="E2203" s="3"/>
      <c r="F2203" s="44"/>
    </row>
    <row r="2204" spans="1:38" ht="18.399999999999999" customHeight="1">
      <c r="A2204" s="43" t="s">
        <v>3543</v>
      </c>
      <c r="B2204" s="38" t="e">
        <f>SUM($C2204,$D2204,$E2204)</f>
        <v>#REF!</v>
      </c>
      <c r="C2204" s="38" t="e">
        <f>TRUNC(SUM($AD2202),0)</f>
        <v>#REF!</v>
      </c>
      <c r="D2204" s="38" t="e">
        <f>TRUNC(SUM($AH2202),0)</f>
        <v>#REF!</v>
      </c>
      <c r="E2204" s="38" t="e">
        <f>TRUNC(SUM($AL2202),0)</f>
        <v>#REF!</v>
      </c>
      <c r="F2204" s="46"/>
    </row>
    <row r="2205" spans="1:38" ht="18.399999999999999" customHeight="1">
      <c r="A2205" s="41"/>
      <c r="B2205" s="3"/>
      <c r="C2205" s="3"/>
      <c r="D2205" s="3"/>
      <c r="E2205" s="3"/>
      <c r="F2205" s="44"/>
    </row>
    <row r="2206" spans="1:38" ht="18.399999999999999" customHeight="1">
      <c r="A2206" s="41" t="s">
        <v>4074</v>
      </c>
      <c r="B2206" s="36" t="e">
        <f>$B2217</f>
        <v>#REF!</v>
      </c>
      <c r="C2206" s="36" t="e">
        <f>$C2217</f>
        <v>#REF!</v>
      </c>
      <c r="D2206" s="36" t="e">
        <f>$D2217</f>
        <v>#REF!</v>
      </c>
      <c r="E2206" s="36" t="e">
        <f>$E2217</f>
        <v>#REF!</v>
      </c>
      <c r="F2206" s="44" t="s">
        <v>4819</v>
      </c>
      <c r="G2206" t="s">
        <v>6232</v>
      </c>
      <c r="H2206" t="s">
        <v>5903</v>
      </c>
      <c r="K2206">
        <v>1</v>
      </c>
      <c r="Y2206" s="7" t="e">
        <f>EXACT($Z2206,$B2217)</f>
        <v>#REF!</v>
      </c>
      <c r="Z2206" s="38">
        <v>269059</v>
      </c>
    </row>
    <row r="2207" spans="1:38" ht="18.399999999999999" customHeight="1">
      <c r="A2207" s="41"/>
      <c r="B2207" s="3"/>
      <c r="C2207" s="3"/>
      <c r="D2207" s="3"/>
      <c r="E2207" s="3"/>
      <c r="F2207" s="44"/>
    </row>
    <row r="2208" spans="1:38" ht="18.399999999999999" customHeight="1">
      <c r="A2208" s="41" t="s">
        <v>6232</v>
      </c>
      <c r="B2208" s="3"/>
      <c r="C2208" s="3"/>
      <c r="D2208" s="3"/>
      <c r="E2208" s="3"/>
      <c r="F2208" s="44"/>
      <c r="G2208" t="s">
        <v>6232</v>
      </c>
      <c r="I2208" t="s">
        <v>5372</v>
      </c>
      <c r="J2208" t="s">
        <v>6232</v>
      </c>
      <c r="K2208" t="s">
        <v>5235</v>
      </c>
    </row>
    <row r="2209" spans="1:38" ht="18.399999999999999" customHeight="1">
      <c r="A2209" s="41" t="s">
        <v>5001</v>
      </c>
      <c r="B2209" s="37"/>
      <c r="C2209" s="37"/>
      <c r="D2209" s="37"/>
      <c r="E2209" s="37"/>
      <c r="F2209" s="45"/>
      <c r="K2209" s="3" t="s">
        <v>1962</v>
      </c>
    </row>
    <row r="2210" spans="1:38" ht="18.399999999999999" customHeight="1">
      <c r="A2210" s="41" t="s">
        <v>6232</v>
      </c>
      <c r="B2210" s="37">
        <f>SUM($C2210,$D2210,$E2210)</f>
        <v>0</v>
      </c>
      <c r="C2210" s="37">
        <f>$AB2210</f>
        <v>0</v>
      </c>
      <c r="D2210" s="37">
        <f>$AF2210</f>
        <v>0</v>
      </c>
      <c r="E2210" s="37">
        <f>$AJ2210</f>
        <v>0</v>
      </c>
      <c r="F2210" s="45"/>
      <c r="K2210" s="3" t="s">
        <v>295</v>
      </c>
      <c r="AA2210" s="40" t="s">
        <v>2660</v>
      </c>
      <c r="AB2210" s="8">
        <f>ROUND(0,2)</f>
        <v>0</v>
      </c>
      <c r="AC2210" s="40" t="s">
        <v>1650</v>
      </c>
      <c r="AD2210" s="7">
        <f>$AB2210</f>
        <v>0</v>
      </c>
      <c r="AE2210" s="40" t="s">
        <v>5305</v>
      </c>
      <c r="AF2210" s="8">
        <f>ROUND(0,2)</f>
        <v>0</v>
      </c>
      <c r="AG2210" s="40" t="s">
        <v>5439</v>
      </c>
      <c r="AH2210" s="7">
        <f>$AF2210</f>
        <v>0</v>
      </c>
      <c r="AI2210" s="40" t="s">
        <v>3519</v>
      </c>
      <c r="AJ2210" s="8">
        <f>ROUND(0,2)</f>
        <v>0</v>
      </c>
      <c r="AK2210" s="40" t="s">
        <v>4149</v>
      </c>
      <c r="AL2210" s="7">
        <f>$AJ2210</f>
        <v>0</v>
      </c>
    </row>
    <row r="2211" spans="1:38" ht="18.399999999999999" customHeight="1">
      <c r="A2211" s="42" t="str">
        <f>CONCATENATE("  PE용접 길이  L=",TEXT($AB2211,"#,##0.00")," m")</f>
        <v xml:space="preserve">  PE용접 길이  L=17.02 m</v>
      </c>
      <c r="B2211" s="37"/>
      <c r="C2211" s="37"/>
      <c r="D2211" s="37"/>
      <c r="E2211" s="37"/>
      <c r="F2211" s="45"/>
      <c r="K2211" s="10" t="str">
        <f>SUBSTITUTE(SUBSTITUTE(" _x001D_PE용접 길이_x001D_ L=17.02_x001D_m_x001D_","17.02",TEXT($AB2211,"#,##0.00"),1),"_x001D_","'")</f>
        <v xml:space="preserve"> 'PE용접 길이' L=17.02'm'</v>
      </c>
      <c r="AA2211" s="39" t="s">
        <v>5842</v>
      </c>
      <c r="AB2211" s="6">
        <v>17.02</v>
      </c>
      <c r="AC2211" s="39" t="s">
        <v>5842</v>
      </c>
      <c r="AD2211" s="7">
        <f>$AB2211</f>
        <v>17.02</v>
      </c>
    </row>
    <row r="2212" spans="1:38" ht="18.399999999999999" customHeight="1">
      <c r="A2212" s="41" t="s">
        <v>6232</v>
      </c>
      <c r="B2212" s="37"/>
      <c r="C2212" s="37"/>
      <c r="D2212" s="37"/>
      <c r="E2212" s="37"/>
      <c r="F2212" s="45"/>
      <c r="K2212" s="3" t="s">
        <v>6232</v>
      </c>
    </row>
    <row r="2213" spans="1:38" ht="18.399999999999999" customHeight="1">
      <c r="A2213" s="41" t="s">
        <v>4579</v>
      </c>
      <c r="B2213" s="37" t="e">
        <f>SUM($C2213,$D2213,$E2213)</f>
        <v>#REF!</v>
      </c>
      <c r="C2213" s="37" t="e">
        <f>$AB2213</f>
        <v>#REF!</v>
      </c>
      <c r="D2213" s="37" t="e">
        <f>$AF2213</f>
        <v>#REF!</v>
      </c>
      <c r="E2213" s="37" t="e">
        <f>$AJ2213</f>
        <v>#REF!</v>
      </c>
      <c r="F2213" s="45" t="s">
        <v>6232</v>
      </c>
      <c r="K2213" s="3" t="s">
        <v>5452</v>
      </c>
      <c r="AA2213" s="40" t="s">
        <v>2660</v>
      </c>
      <c r="AB2213" s="8" t="e">
        <f>TRUNC(일위대가목록!#REF!/$AD2211,1)</f>
        <v>#REF!</v>
      </c>
      <c r="AC2213" s="40" t="s">
        <v>1650</v>
      </c>
      <c r="AD2213" s="7" t="e">
        <f>$AD2210+$AB2213</f>
        <v>#REF!</v>
      </c>
      <c r="AE2213" s="40" t="s">
        <v>5305</v>
      </c>
      <c r="AF2213" s="8" t="e">
        <f>TRUNC(일위대가목록!#REF!/$AD2211,1)</f>
        <v>#REF!</v>
      </c>
      <c r="AG2213" s="40" t="s">
        <v>5439</v>
      </c>
      <c r="AH2213" s="7" t="e">
        <f>$AH2210+$AF2213</f>
        <v>#REF!</v>
      </c>
      <c r="AI2213" s="40" t="s">
        <v>3519</v>
      </c>
      <c r="AJ2213" s="8" t="e">
        <f>TRUNC(일위대가목록!#REF!/$AD2211,1)</f>
        <v>#REF!</v>
      </c>
      <c r="AK2213" s="40" t="s">
        <v>4149</v>
      </c>
      <c r="AL2213" s="7" t="e">
        <f>$AL2210+$AJ2213</f>
        <v>#REF!</v>
      </c>
    </row>
    <row r="2214" spans="1:38" ht="18.399999999999999" customHeight="1">
      <c r="A2214" s="41" t="s">
        <v>6232</v>
      </c>
      <c r="B2214" s="37"/>
      <c r="C2214" s="37"/>
      <c r="D2214" s="37"/>
      <c r="E2214" s="37"/>
      <c r="F2214" s="45"/>
      <c r="K2214" s="3" t="s">
        <v>6232</v>
      </c>
    </row>
    <row r="2215" spans="1:38" ht="18.399999999999999" customHeight="1">
      <c r="A2215" s="41" t="s">
        <v>4035</v>
      </c>
      <c r="B2215" s="37" t="e">
        <f>SUM($C2215,$D2215,$E2215)</f>
        <v>#REF!</v>
      </c>
      <c r="C2215" s="37" t="e">
        <f>$AB2215</f>
        <v>#REF!</v>
      </c>
      <c r="D2215" s="37" t="e">
        <f>$AF2215</f>
        <v>#REF!</v>
      </c>
      <c r="E2215" s="37" t="e">
        <f>$AJ2215</f>
        <v>#REF!</v>
      </c>
      <c r="F2215" s="45"/>
      <c r="K2215" s="3" t="s">
        <v>6125</v>
      </c>
      <c r="AA2215" s="40" t="s">
        <v>4592</v>
      </c>
      <c r="AB2215" s="8" t="e">
        <f>TRUNC($AD2213,1)</f>
        <v>#REF!</v>
      </c>
      <c r="AC2215" s="40" t="s">
        <v>5149</v>
      </c>
      <c r="AD2215" s="7" t="e">
        <f>$AB2215</f>
        <v>#REF!</v>
      </c>
      <c r="AE2215" s="40" t="s">
        <v>666</v>
      </c>
      <c r="AF2215" s="8" t="e">
        <f>TRUNC($AH2213,1)</f>
        <v>#REF!</v>
      </c>
      <c r="AG2215" s="40" t="s">
        <v>2431</v>
      </c>
      <c r="AH2215" s="7" t="e">
        <f>$AF2215</f>
        <v>#REF!</v>
      </c>
      <c r="AI2215" s="40" t="s">
        <v>1930</v>
      </c>
      <c r="AJ2215" s="8" t="e">
        <f>TRUNC($AL2213,1)</f>
        <v>#REF!</v>
      </c>
      <c r="AK2215" s="40" t="s">
        <v>3349</v>
      </c>
      <c r="AL2215" s="7" t="e">
        <f>$AJ2215</f>
        <v>#REF!</v>
      </c>
    </row>
    <row r="2216" spans="1:38" ht="18.399999999999999" customHeight="1">
      <c r="A2216" s="41"/>
      <c r="B2216" s="3"/>
      <c r="C2216" s="3"/>
      <c r="D2216" s="3"/>
      <c r="E2216" s="3"/>
      <c r="F2216" s="44"/>
    </row>
    <row r="2217" spans="1:38" ht="18.399999999999999" customHeight="1">
      <c r="A2217" s="43" t="s">
        <v>3543</v>
      </c>
      <c r="B2217" s="38" t="e">
        <f>SUM($C2217,$D2217,$E2217)</f>
        <v>#REF!</v>
      </c>
      <c r="C2217" s="38" t="e">
        <f>TRUNC(SUM($AD2215),0)</f>
        <v>#REF!</v>
      </c>
      <c r="D2217" s="38" t="e">
        <f>TRUNC(SUM($AH2215),0)</f>
        <v>#REF!</v>
      </c>
      <c r="E2217" s="38" t="e">
        <f>TRUNC(SUM($AL2215),0)</f>
        <v>#REF!</v>
      </c>
      <c r="F2217" s="46"/>
    </row>
    <row r="2218" spans="1:38" ht="18.399999999999999" customHeight="1">
      <c r="A2218" s="41"/>
      <c r="B2218" s="3"/>
      <c r="C2218" s="3"/>
      <c r="D2218" s="3"/>
      <c r="E2218" s="3"/>
      <c r="F2218" s="44"/>
    </row>
    <row r="2219" spans="1:38" ht="18.399999999999999" customHeight="1">
      <c r="A2219" s="41" t="s">
        <v>30</v>
      </c>
      <c r="B2219" s="36" t="e">
        <f>$B2230</f>
        <v>#REF!</v>
      </c>
      <c r="C2219" s="36" t="e">
        <f>$C2230</f>
        <v>#REF!</v>
      </c>
      <c r="D2219" s="36" t="e">
        <f>$D2230</f>
        <v>#REF!</v>
      </c>
      <c r="E2219" s="36" t="e">
        <f>$E2230</f>
        <v>#REF!</v>
      </c>
      <c r="F2219" s="44" t="s">
        <v>4819</v>
      </c>
      <c r="G2219" t="s">
        <v>6232</v>
      </c>
      <c r="H2219" t="s">
        <v>4418</v>
      </c>
      <c r="K2219">
        <v>1</v>
      </c>
      <c r="Y2219" s="7" t="e">
        <f>EXACT($Z2219,$B2230)</f>
        <v>#REF!</v>
      </c>
      <c r="Z2219" s="38">
        <v>283006</v>
      </c>
    </row>
    <row r="2220" spans="1:38" ht="18.399999999999999" customHeight="1">
      <c r="A2220" s="41"/>
      <c r="B2220" s="3"/>
      <c r="C2220" s="3"/>
      <c r="D2220" s="3"/>
      <c r="E2220" s="3"/>
      <c r="F2220" s="44"/>
    </row>
    <row r="2221" spans="1:38" ht="18.399999999999999" customHeight="1">
      <c r="A2221" s="41" t="s">
        <v>6232</v>
      </c>
      <c r="B2221" s="3"/>
      <c r="C2221" s="3"/>
      <c r="D2221" s="3"/>
      <c r="E2221" s="3"/>
      <c r="F2221" s="44"/>
      <c r="G2221" t="s">
        <v>6232</v>
      </c>
      <c r="I2221" t="s">
        <v>5372</v>
      </c>
      <c r="J2221" t="s">
        <v>6232</v>
      </c>
      <c r="K2221" t="s">
        <v>5235</v>
      </c>
    </row>
    <row r="2222" spans="1:38" ht="18.399999999999999" customHeight="1">
      <c r="A2222" s="41" t="s">
        <v>3954</v>
      </c>
      <c r="B2222" s="37"/>
      <c r="C2222" s="37"/>
      <c r="D2222" s="37"/>
      <c r="E2222" s="37"/>
      <c r="F2222" s="45"/>
      <c r="K2222" s="3" t="s">
        <v>1627</v>
      </c>
    </row>
    <row r="2223" spans="1:38" ht="18.399999999999999" customHeight="1">
      <c r="A2223" s="41" t="s">
        <v>6232</v>
      </c>
      <c r="B2223" s="37">
        <f>SUM($C2223,$D2223,$E2223)</f>
        <v>0</v>
      </c>
      <c r="C2223" s="37">
        <f>$AB2223</f>
        <v>0</v>
      </c>
      <c r="D2223" s="37">
        <f>$AF2223</f>
        <v>0</v>
      </c>
      <c r="E2223" s="37">
        <f>$AJ2223</f>
        <v>0</v>
      </c>
      <c r="F2223" s="45"/>
      <c r="K2223" s="3" t="s">
        <v>295</v>
      </c>
      <c r="AA2223" s="40" t="s">
        <v>2660</v>
      </c>
      <c r="AB2223" s="8">
        <f>ROUND(0,2)</f>
        <v>0</v>
      </c>
      <c r="AC2223" s="40" t="s">
        <v>1650</v>
      </c>
      <c r="AD2223" s="7">
        <f>$AB2223</f>
        <v>0</v>
      </c>
      <c r="AE2223" s="40" t="s">
        <v>5305</v>
      </c>
      <c r="AF2223" s="8">
        <f>ROUND(0,2)</f>
        <v>0</v>
      </c>
      <c r="AG2223" s="40" t="s">
        <v>5439</v>
      </c>
      <c r="AH2223" s="7">
        <f>$AF2223</f>
        <v>0</v>
      </c>
      <c r="AI2223" s="40" t="s">
        <v>3519</v>
      </c>
      <c r="AJ2223" s="8">
        <f>ROUND(0,2)</f>
        <v>0</v>
      </c>
      <c r="AK2223" s="40" t="s">
        <v>4149</v>
      </c>
      <c r="AL2223" s="7">
        <f>$AJ2223</f>
        <v>0</v>
      </c>
    </row>
    <row r="2224" spans="1:38" ht="18.399999999999999" customHeight="1">
      <c r="A2224" s="42" t="str">
        <f>CONCATENATE("  PE용접 길이  L=",TEXT($AB2224,"#,##0.00")," m")</f>
        <v xml:space="preserve">  PE용접 길이  L=17.34 m</v>
      </c>
      <c r="B2224" s="37"/>
      <c r="C2224" s="37"/>
      <c r="D2224" s="37"/>
      <c r="E2224" s="37"/>
      <c r="F2224" s="45"/>
      <c r="K2224" s="10" t="str">
        <f>SUBSTITUTE(SUBSTITUTE(" _x001D_PE용접 길이_x001D_ L=17.34_x001D_m_x001D_","17.34",TEXT($AB2224,"#,##0.00"),1),"_x001D_","'")</f>
        <v xml:space="preserve"> 'PE용접 길이' L=17.34'm'</v>
      </c>
      <c r="AA2224" s="39" t="s">
        <v>5842</v>
      </c>
      <c r="AB2224" s="6">
        <v>17.34</v>
      </c>
      <c r="AC2224" s="39" t="s">
        <v>5842</v>
      </c>
      <c r="AD2224" s="7">
        <f>$AB2224</f>
        <v>17.34</v>
      </c>
    </row>
    <row r="2225" spans="1:38" ht="18.399999999999999" customHeight="1">
      <c r="A2225" s="41" t="s">
        <v>6232</v>
      </c>
      <c r="B2225" s="37"/>
      <c r="C2225" s="37"/>
      <c r="D2225" s="37"/>
      <c r="E2225" s="37"/>
      <c r="F2225" s="45"/>
      <c r="K2225" s="3" t="s">
        <v>6232</v>
      </c>
    </row>
    <row r="2226" spans="1:38" ht="18.399999999999999" customHeight="1">
      <c r="A2226" s="41" t="s">
        <v>3594</v>
      </c>
      <c r="B2226" s="37" t="e">
        <f>SUM($C2226,$D2226,$E2226)</f>
        <v>#REF!</v>
      </c>
      <c r="C2226" s="37" t="e">
        <f>$AB2226</f>
        <v>#REF!</v>
      </c>
      <c r="D2226" s="37" t="e">
        <f>$AF2226</f>
        <v>#REF!</v>
      </c>
      <c r="E2226" s="37" t="e">
        <f>$AJ2226</f>
        <v>#REF!</v>
      </c>
      <c r="F2226" s="45" t="s">
        <v>6232</v>
      </c>
      <c r="K2226" s="3" t="s">
        <v>336</v>
      </c>
      <c r="AA2226" s="40" t="s">
        <v>2660</v>
      </c>
      <c r="AB2226" s="8" t="e">
        <f>TRUNC(일위대가목록!#REF!/$AD2224,1)</f>
        <v>#REF!</v>
      </c>
      <c r="AC2226" s="40" t="s">
        <v>1650</v>
      </c>
      <c r="AD2226" s="7" t="e">
        <f>$AD2223+$AB2226</f>
        <v>#REF!</v>
      </c>
      <c r="AE2226" s="40" t="s">
        <v>5305</v>
      </c>
      <c r="AF2226" s="8" t="e">
        <f>TRUNC(일위대가목록!#REF!/$AD2224,1)</f>
        <v>#REF!</v>
      </c>
      <c r="AG2226" s="40" t="s">
        <v>5439</v>
      </c>
      <c r="AH2226" s="7" t="e">
        <f>$AH2223+$AF2226</f>
        <v>#REF!</v>
      </c>
      <c r="AI2226" s="40" t="s">
        <v>3519</v>
      </c>
      <c r="AJ2226" s="8" t="e">
        <f>TRUNC(일위대가목록!#REF!/$AD2224,1)</f>
        <v>#REF!</v>
      </c>
      <c r="AK2226" s="40" t="s">
        <v>4149</v>
      </c>
      <c r="AL2226" s="7" t="e">
        <f>$AL2223+$AJ2226</f>
        <v>#REF!</v>
      </c>
    </row>
    <row r="2227" spans="1:38" ht="18.399999999999999" customHeight="1">
      <c r="A2227" s="41" t="s">
        <v>6232</v>
      </c>
      <c r="B2227" s="37"/>
      <c r="C2227" s="37"/>
      <c r="D2227" s="37"/>
      <c r="E2227" s="37"/>
      <c r="F2227" s="45"/>
      <c r="K2227" s="3" t="s">
        <v>6232</v>
      </c>
    </row>
    <row r="2228" spans="1:38" ht="18.399999999999999" customHeight="1">
      <c r="A2228" s="41" t="s">
        <v>4035</v>
      </c>
      <c r="B2228" s="37" t="e">
        <f>SUM($C2228,$D2228,$E2228)</f>
        <v>#REF!</v>
      </c>
      <c r="C2228" s="37" t="e">
        <f>$AB2228</f>
        <v>#REF!</v>
      </c>
      <c r="D2228" s="37" t="e">
        <f>$AF2228</f>
        <v>#REF!</v>
      </c>
      <c r="E2228" s="37" t="e">
        <f>$AJ2228</f>
        <v>#REF!</v>
      </c>
      <c r="F2228" s="45"/>
      <c r="K2228" s="3" t="s">
        <v>6125</v>
      </c>
      <c r="AA2228" s="40" t="s">
        <v>4592</v>
      </c>
      <c r="AB2228" s="8" t="e">
        <f>TRUNC($AD2226,1)</f>
        <v>#REF!</v>
      </c>
      <c r="AC2228" s="40" t="s">
        <v>5149</v>
      </c>
      <c r="AD2228" s="7" t="e">
        <f>$AB2228</f>
        <v>#REF!</v>
      </c>
      <c r="AE2228" s="40" t="s">
        <v>666</v>
      </c>
      <c r="AF2228" s="8" t="e">
        <f>TRUNC($AH2226,1)</f>
        <v>#REF!</v>
      </c>
      <c r="AG2228" s="40" t="s">
        <v>2431</v>
      </c>
      <c r="AH2228" s="7" t="e">
        <f>$AF2228</f>
        <v>#REF!</v>
      </c>
      <c r="AI2228" s="40" t="s">
        <v>1930</v>
      </c>
      <c r="AJ2228" s="8" t="e">
        <f>TRUNC($AL2226,1)</f>
        <v>#REF!</v>
      </c>
      <c r="AK2228" s="40" t="s">
        <v>3349</v>
      </c>
      <c r="AL2228" s="7" t="e">
        <f>$AJ2228</f>
        <v>#REF!</v>
      </c>
    </row>
    <row r="2229" spans="1:38" ht="18.399999999999999" customHeight="1">
      <c r="A2229" s="41"/>
      <c r="B2229" s="3"/>
      <c r="C2229" s="3"/>
      <c r="D2229" s="3"/>
      <c r="E2229" s="3"/>
      <c r="F2229" s="44"/>
    </row>
    <row r="2230" spans="1:38" ht="18.399999999999999" customHeight="1">
      <c r="A2230" s="43" t="s">
        <v>3543</v>
      </c>
      <c r="B2230" s="38" t="e">
        <f>SUM($C2230,$D2230,$E2230)</f>
        <v>#REF!</v>
      </c>
      <c r="C2230" s="38" t="e">
        <f>TRUNC(SUM($AD2228),0)</f>
        <v>#REF!</v>
      </c>
      <c r="D2230" s="38" t="e">
        <f>TRUNC(SUM($AH2228),0)</f>
        <v>#REF!</v>
      </c>
      <c r="E2230" s="38" t="e">
        <f>TRUNC(SUM($AL2228),0)</f>
        <v>#REF!</v>
      </c>
      <c r="F2230" s="46"/>
    </row>
    <row r="2231" spans="1:38" ht="18.399999999999999" customHeight="1">
      <c r="A2231" s="41"/>
      <c r="B2231" s="3"/>
      <c r="C2231" s="3"/>
      <c r="D2231" s="3"/>
      <c r="E2231" s="3"/>
      <c r="F2231" s="44"/>
    </row>
    <row r="2232" spans="1:38" ht="18.399999999999999" customHeight="1">
      <c r="A2232" s="41" t="s">
        <v>3489</v>
      </c>
      <c r="B2232" s="36" t="e">
        <f>$B2243</f>
        <v>#REF!</v>
      </c>
      <c r="C2232" s="36" t="e">
        <f>$C2243</f>
        <v>#REF!</v>
      </c>
      <c r="D2232" s="36" t="e">
        <f>$D2243</f>
        <v>#REF!</v>
      </c>
      <c r="E2232" s="36" t="e">
        <f>$E2243</f>
        <v>#REF!</v>
      </c>
      <c r="F2232" s="44" t="s">
        <v>4819</v>
      </c>
      <c r="G2232" t="s">
        <v>6232</v>
      </c>
      <c r="H2232" t="s">
        <v>4757</v>
      </c>
      <c r="K2232">
        <v>1</v>
      </c>
      <c r="Y2232" s="7" t="e">
        <f>EXACT($Z2232,$B2243)</f>
        <v>#REF!</v>
      </c>
      <c r="Z2232" s="38">
        <v>298269</v>
      </c>
    </row>
    <row r="2233" spans="1:38" ht="18.399999999999999" customHeight="1">
      <c r="A2233" s="41"/>
      <c r="B2233" s="3"/>
      <c r="C2233" s="3"/>
      <c r="D2233" s="3"/>
      <c r="E2233" s="3"/>
      <c r="F2233" s="44"/>
    </row>
    <row r="2234" spans="1:38" ht="18.399999999999999" customHeight="1">
      <c r="A2234" s="41" t="s">
        <v>6232</v>
      </c>
      <c r="B2234" s="3"/>
      <c r="C2234" s="3"/>
      <c r="D2234" s="3"/>
      <c r="E2234" s="3"/>
      <c r="F2234" s="44"/>
      <c r="G2234" t="s">
        <v>6232</v>
      </c>
      <c r="I2234" t="s">
        <v>5372</v>
      </c>
      <c r="J2234" t="s">
        <v>6232</v>
      </c>
      <c r="K2234" t="s">
        <v>5235</v>
      </c>
    </row>
    <row r="2235" spans="1:38" ht="18.399999999999999" customHeight="1">
      <c r="A2235" s="41" t="s">
        <v>2306</v>
      </c>
      <c r="B2235" s="37"/>
      <c r="C2235" s="37"/>
      <c r="D2235" s="37"/>
      <c r="E2235" s="37"/>
      <c r="F2235" s="45"/>
      <c r="K2235" s="3" t="s">
        <v>4365</v>
      </c>
    </row>
    <row r="2236" spans="1:38" ht="18.399999999999999" customHeight="1">
      <c r="A2236" s="41" t="s">
        <v>6232</v>
      </c>
      <c r="B2236" s="37">
        <f>SUM($C2236,$D2236,$E2236)</f>
        <v>0</v>
      </c>
      <c r="C2236" s="37">
        <f>$AB2236</f>
        <v>0</v>
      </c>
      <c r="D2236" s="37">
        <f>$AF2236</f>
        <v>0</v>
      </c>
      <c r="E2236" s="37">
        <f>$AJ2236</f>
        <v>0</v>
      </c>
      <c r="F2236" s="45"/>
      <c r="K2236" s="3" t="s">
        <v>295</v>
      </c>
      <c r="AA2236" s="40" t="s">
        <v>2660</v>
      </c>
      <c r="AB2236" s="8">
        <f>ROUND(0,2)</f>
        <v>0</v>
      </c>
      <c r="AC2236" s="40" t="s">
        <v>1650</v>
      </c>
      <c r="AD2236" s="7">
        <f>$AB2236</f>
        <v>0</v>
      </c>
      <c r="AE2236" s="40" t="s">
        <v>5305</v>
      </c>
      <c r="AF2236" s="8">
        <f>ROUND(0,2)</f>
        <v>0</v>
      </c>
      <c r="AG2236" s="40" t="s">
        <v>5439</v>
      </c>
      <c r="AH2236" s="7">
        <f>$AF2236</f>
        <v>0</v>
      </c>
      <c r="AI2236" s="40" t="s">
        <v>3519</v>
      </c>
      <c r="AJ2236" s="8">
        <f>ROUND(0,2)</f>
        <v>0</v>
      </c>
      <c r="AK2236" s="40" t="s">
        <v>4149</v>
      </c>
      <c r="AL2236" s="7">
        <f>$AJ2236</f>
        <v>0</v>
      </c>
    </row>
    <row r="2237" spans="1:38" ht="18.399999999999999" customHeight="1">
      <c r="A2237" s="42" t="str">
        <f>CONCATENATE("  PE용접 길이  L=",TEXT($AB2237,"#,##0.00")," m")</f>
        <v xml:space="preserve">  PE용접 길이  L=17.65 m</v>
      </c>
      <c r="B2237" s="37"/>
      <c r="C2237" s="37"/>
      <c r="D2237" s="37"/>
      <c r="E2237" s="37"/>
      <c r="F2237" s="45"/>
      <c r="K2237" s="10" t="str">
        <f>SUBSTITUTE(SUBSTITUTE(" _x001D_PE용접 길이_x001D_ L=17.65_x001D_m_x001D_","17.65",TEXT($AB2237,"#,##0.00"),1),"_x001D_","'")</f>
        <v xml:space="preserve"> 'PE용접 길이' L=17.65'm'</v>
      </c>
      <c r="AA2237" s="39" t="s">
        <v>5842</v>
      </c>
      <c r="AB2237" s="6">
        <v>17.649999999999999</v>
      </c>
      <c r="AC2237" s="39" t="s">
        <v>5842</v>
      </c>
      <c r="AD2237" s="7">
        <f>$AB2237</f>
        <v>17.649999999999999</v>
      </c>
    </row>
    <row r="2238" spans="1:38" ht="18.399999999999999" customHeight="1">
      <c r="A2238" s="41" t="s">
        <v>6232</v>
      </c>
      <c r="B2238" s="37"/>
      <c r="C2238" s="37"/>
      <c r="D2238" s="37"/>
      <c r="E2238" s="37"/>
      <c r="F2238" s="45"/>
      <c r="K2238" s="3" t="s">
        <v>6232</v>
      </c>
    </row>
    <row r="2239" spans="1:38" ht="18.399999999999999" customHeight="1">
      <c r="A2239" s="41" t="s">
        <v>2321</v>
      </c>
      <c r="B2239" s="37" t="e">
        <f>SUM($C2239,$D2239,$E2239)</f>
        <v>#REF!</v>
      </c>
      <c r="C2239" s="37" t="e">
        <f>$AB2239</f>
        <v>#REF!</v>
      </c>
      <c r="D2239" s="37" t="e">
        <f>$AF2239</f>
        <v>#REF!</v>
      </c>
      <c r="E2239" s="37" t="e">
        <f>$AJ2239</f>
        <v>#REF!</v>
      </c>
      <c r="F2239" s="45" t="s">
        <v>6232</v>
      </c>
      <c r="K2239" s="3" t="s">
        <v>2804</v>
      </c>
      <c r="AA2239" s="40" t="s">
        <v>2660</v>
      </c>
      <c r="AB2239" s="8" t="e">
        <f>TRUNC(일위대가목록!#REF!/$AD2237,1)</f>
        <v>#REF!</v>
      </c>
      <c r="AC2239" s="40" t="s">
        <v>1650</v>
      </c>
      <c r="AD2239" s="7" t="e">
        <f>$AD2236+$AB2239</f>
        <v>#REF!</v>
      </c>
      <c r="AE2239" s="40" t="s">
        <v>5305</v>
      </c>
      <c r="AF2239" s="8" t="e">
        <f>TRUNC(일위대가목록!#REF!/$AD2237,1)</f>
        <v>#REF!</v>
      </c>
      <c r="AG2239" s="40" t="s">
        <v>5439</v>
      </c>
      <c r="AH2239" s="7" t="e">
        <f>$AH2236+$AF2239</f>
        <v>#REF!</v>
      </c>
      <c r="AI2239" s="40" t="s">
        <v>3519</v>
      </c>
      <c r="AJ2239" s="8" t="e">
        <f>TRUNC(일위대가목록!#REF!/$AD2237,1)</f>
        <v>#REF!</v>
      </c>
      <c r="AK2239" s="40" t="s">
        <v>4149</v>
      </c>
      <c r="AL2239" s="7" t="e">
        <f>$AL2236+$AJ2239</f>
        <v>#REF!</v>
      </c>
    </row>
    <row r="2240" spans="1:38" ht="18.399999999999999" customHeight="1">
      <c r="A2240" s="41" t="s">
        <v>6232</v>
      </c>
      <c r="B2240" s="37"/>
      <c r="C2240" s="37"/>
      <c r="D2240" s="37"/>
      <c r="E2240" s="37"/>
      <c r="F2240" s="45"/>
      <c r="K2240" s="3" t="s">
        <v>6232</v>
      </c>
    </row>
    <row r="2241" spans="1:38" ht="18.399999999999999" customHeight="1">
      <c r="A2241" s="41" t="s">
        <v>4035</v>
      </c>
      <c r="B2241" s="37" t="e">
        <f>SUM($C2241,$D2241,$E2241)</f>
        <v>#REF!</v>
      </c>
      <c r="C2241" s="37" t="e">
        <f>$AB2241</f>
        <v>#REF!</v>
      </c>
      <c r="D2241" s="37" t="e">
        <f>$AF2241</f>
        <v>#REF!</v>
      </c>
      <c r="E2241" s="37" t="e">
        <f>$AJ2241</f>
        <v>#REF!</v>
      </c>
      <c r="F2241" s="45"/>
      <c r="K2241" s="3" t="s">
        <v>6125</v>
      </c>
      <c r="AA2241" s="40" t="s">
        <v>4592</v>
      </c>
      <c r="AB2241" s="8" t="e">
        <f>TRUNC($AD2239,1)</f>
        <v>#REF!</v>
      </c>
      <c r="AC2241" s="40" t="s">
        <v>5149</v>
      </c>
      <c r="AD2241" s="7" t="e">
        <f>$AB2241</f>
        <v>#REF!</v>
      </c>
      <c r="AE2241" s="40" t="s">
        <v>666</v>
      </c>
      <c r="AF2241" s="8" t="e">
        <f>TRUNC($AH2239,1)</f>
        <v>#REF!</v>
      </c>
      <c r="AG2241" s="40" t="s">
        <v>2431</v>
      </c>
      <c r="AH2241" s="7" t="e">
        <f>$AF2241</f>
        <v>#REF!</v>
      </c>
      <c r="AI2241" s="40" t="s">
        <v>1930</v>
      </c>
      <c r="AJ2241" s="8" t="e">
        <f>TRUNC($AL2239,1)</f>
        <v>#REF!</v>
      </c>
      <c r="AK2241" s="40" t="s">
        <v>3349</v>
      </c>
      <c r="AL2241" s="7" t="e">
        <f>$AJ2241</f>
        <v>#REF!</v>
      </c>
    </row>
    <row r="2242" spans="1:38" ht="18.399999999999999" customHeight="1">
      <c r="A2242" s="41"/>
      <c r="B2242" s="3"/>
      <c r="C2242" s="3"/>
      <c r="D2242" s="3"/>
      <c r="E2242" s="3"/>
      <c r="F2242" s="44"/>
    </row>
    <row r="2243" spans="1:38" ht="18.399999999999999" customHeight="1">
      <c r="A2243" s="43" t="s">
        <v>3543</v>
      </c>
      <c r="B2243" s="38" t="e">
        <f>SUM($C2243,$D2243,$E2243)</f>
        <v>#REF!</v>
      </c>
      <c r="C2243" s="38" t="e">
        <f>TRUNC(SUM($AD2241),0)</f>
        <v>#REF!</v>
      </c>
      <c r="D2243" s="38" t="e">
        <f>TRUNC(SUM($AH2241),0)</f>
        <v>#REF!</v>
      </c>
      <c r="E2243" s="38" t="e">
        <f>TRUNC(SUM($AL2241),0)</f>
        <v>#REF!</v>
      </c>
      <c r="F2243" s="46"/>
    </row>
    <row r="2244" spans="1:38" ht="18.399999999999999" customHeight="1">
      <c r="A2244" s="41"/>
      <c r="B2244" s="3"/>
      <c r="C2244" s="3"/>
      <c r="D2244" s="3"/>
      <c r="E2244" s="3"/>
      <c r="F2244" s="44"/>
    </row>
    <row r="2245" spans="1:38" ht="18.399999999999999" customHeight="1">
      <c r="A2245" s="41" t="s">
        <v>1304</v>
      </c>
      <c r="B2245" s="36" t="e">
        <f>$B2256</f>
        <v>#REF!</v>
      </c>
      <c r="C2245" s="36" t="e">
        <f>$C2256</f>
        <v>#REF!</v>
      </c>
      <c r="D2245" s="36" t="e">
        <f>$D2256</f>
        <v>#REF!</v>
      </c>
      <c r="E2245" s="36" t="e">
        <f>$E2256</f>
        <v>#REF!</v>
      </c>
      <c r="F2245" s="44" t="s">
        <v>4819</v>
      </c>
      <c r="G2245" t="s">
        <v>6232</v>
      </c>
      <c r="H2245" t="s">
        <v>3114</v>
      </c>
      <c r="K2245">
        <v>1</v>
      </c>
      <c r="Y2245" s="7" t="e">
        <f>EXACT($Z2245,$B2256)</f>
        <v>#REF!</v>
      </c>
      <c r="Z2245" s="38">
        <v>308611</v>
      </c>
    </row>
    <row r="2246" spans="1:38" ht="18.399999999999999" customHeight="1">
      <c r="A2246" s="41"/>
      <c r="B2246" s="3"/>
      <c r="C2246" s="3"/>
      <c r="D2246" s="3"/>
      <c r="E2246" s="3"/>
      <c r="F2246" s="44"/>
    </row>
    <row r="2247" spans="1:38" ht="18.399999999999999" customHeight="1">
      <c r="A2247" s="41" t="s">
        <v>6232</v>
      </c>
      <c r="B2247" s="3"/>
      <c r="C2247" s="3"/>
      <c r="D2247" s="3"/>
      <c r="E2247" s="3"/>
      <c r="F2247" s="44"/>
      <c r="G2247" t="s">
        <v>6232</v>
      </c>
      <c r="I2247" t="s">
        <v>5372</v>
      </c>
      <c r="J2247" t="s">
        <v>6232</v>
      </c>
      <c r="K2247" t="s">
        <v>5235</v>
      </c>
    </row>
    <row r="2248" spans="1:38" ht="18.399999999999999" customHeight="1">
      <c r="A2248" s="41" t="s">
        <v>1210</v>
      </c>
      <c r="B2248" s="37"/>
      <c r="C2248" s="37"/>
      <c r="D2248" s="37"/>
      <c r="E2248" s="37"/>
      <c r="F2248" s="45"/>
      <c r="K2248" s="3" t="s">
        <v>4023</v>
      </c>
    </row>
    <row r="2249" spans="1:38" ht="18.399999999999999" customHeight="1">
      <c r="A2249" s="41" t="s">
        <v>6232</v>
      </c>
      <c r="B2249" s="37">
        <f>SUM($C2249,$D2249,$E2249)</f>
        <v>0</v>
      </c>
      <c r="C2249" s="37">
        <f>$AB2249</f>
        <v>0</v>
      </c>
      <c r="D2249" s="37">
        <f>$AF2249</f>
        <v>0</v>
      </c>
      <c r="E2249" s="37">
        <f>$AJ2249</f>
        <v>0</v>
      </c>
      <c r="F2249" s="45"/>
      <c r="K2249" s="3" t="s">
        <v>295</v>
      </c>
      <c r="AA2249" s="40" t="s">
        <v>2660</v>
      </c>
      <c r="AB2249" s="8">
        <f>ROUND(0,2)</f>
        <v>0</v>
      </c>
      <c r="AC2249" s="40" t="s">
        <v>1650</v>
      </c>
      <c r="AD2249" s="7">
        <f>$AB2249</f>
        <v>0</v>
      </c>
      <c r="AE2249" s="40" t="s">
        <v>5305</v>
      </c>
      <c r="AF2249" s="8">
        <f>ROUND(0,2)</f>
        <v>0</v>
      </c>
      <c r="AG2249" s="40" t="s">
        <v>5439</v>
      </c>
      <c r="AH2249" s="7">
        <f>$AF2249</f>
        <v>0</v>
      </c>
      <c r="AI2249" s="40" t="s">
        <v>3519</v>
      </c>
      <c r="AJ2249" s="8">
        <f>ROUND(0,2)</f>
        <v>0</v>
      </c>
      <c r="AK2249" s="40" t="s">
        <v>4149</v>
      </c>
      <c r="AL2249" s="7">
        <f>$AJ2249</f>
        <v>0</v>
      </c>
    </row>
    <row r="2250" spans="1:38" ht="18.399999999999999" customHeight="1">
      <c r="A2250" s="42" t="str">
        <f>CONCATENATE("  PE용접 길이  L=",TEXT($AB2250,"#,##0.00")," m")</f>
        <v xml:space="preserve">  PE용접 길이  L=17.97 m</v>
      </c>
      <c r="B2250" s="37"/>
      <c r="C2250" s="37"/>
      <c r="D2250" s="37"/>
      <c r="E2250" s="37"/>
      <c r="F2250" s="45"/>
      <c r="K2250" s="10" t="str">
        <f>SUBSTITUTE(SUBSTITUTE(" _x001D_PE용접 길이_x001D_ L=17.97_x001D_m_x001D_","17.97",TEXT($AB2250,"#,##0.00"),1),"_x001D_","'")</f>
        <v xml:space="preserve"> 'PE용접 길이' L=17.97'm'</v>
      </c>
      <c r="AA2250" s="39" t="s">
        <v>5842</v>
      </c>
      <c r="AB2250" s="6">
        <v>17.97</v>
      </c>
      <c r="AC2250" s="39" t="s">
        <v>5842</v>
      </c>
      <c r="AD2250" s="7">
        <f>$AB2250</f>
        <v>17.97</v>
      </c>
    </row>
    <row r="2251" spans="1:38" ht="18.399999999999999" customHeight="1">
      <c r="A2251" s="41" t="s">
        <v>6232</v>
      </c>
      <c r="B2251" s="37"/>
      <c r="C2251" s="37"/>
      <c r="D2251" s="37"/>
      <c r="E2251" s="37"/>
      <c r="F2251" s="45"/>
      <c r="K2251" s="3" t="s">
        <v>6232</v>
      </c>
    </row>
    <row r="2252" spans="1:38" ht="18.399999999999999" customHeight="1">
      <c r="A2252" s="41" t="s">
        <v>1196</v>
      </c>
      <c r="B2252" s="37" t="e">
        <f>SUM($C2252,$D2252,$E2252)</f>
        <v>#REF!</v>
      </c>
      <c r="C2252" s="37" t="e">
        <f>$AB2252</f>
        <v>#REF!</v>
      </c>
      <c r="D2252" s="37" t="e">
        <f>$AF2252</f>
        <v>#REF!</v>
      </c>
      <c r="E2252" s="37" t="e">
        <f>$AJ2252</f>
        <v>#REF!</v>
      </c>
      <c r="F2252" s="45" t="s">
        <v>6232</v>
      </c>
      <c r="K2252" s="3" t="s">
        <v>3752</v>
      </c>
      <c r="AA2252" s="40" t="s">
        <v>2660</v>
      </c>
      <c r="AB2252" s="8" t="e">
        <f>TRUNC(일위대가목록!#REF!/$AD2250,1)</f>
        <v>#REF!</v>
      </c>
      <c r="AC2252" s="40" t="s">
        <v>1650</v>
      </c>
      <c r="AD2252" s="7" t="e">
        <f>$AD2249+$AB2252</f>
        <v>#REF!</v>
      </c>
      <c r="AE2252" s="40" t="s">
        <v>5305</v>
      </c>
      <c r="AF2252" s="8" t="e">
        <f>TRUNC(일위대가목록!#REF!/$AD2250,1)</f>
        <v>#REF!</v>
      </c>
      <c r="AG2252" s="40" t="s">
        <v>5439</v>
      </c>
      <c r="AH2252" s="7" t="e">
        <f>$AH2249+$AF2252</f>
        <v>#REF!</v>
      </c>
      <c r="AI2252" s="40" t="s">
        <v>3519</v>
      </c>
      <c r="AJ2252" s="8" t="e">
        <f>TRUNC(일위대가목록!#REF!/$AD2250,1)</f>
        <v>#REF!</v>
      </c>
      <c r="AK2252" s="40" t="s">
        <v>4149</v>
      </c>
      <c r="AL2252" s="7" t="e">
        <f>$AL2249+$AJ2252</f>
        <v>#REF!</v>
      </c>
    </row>
    <row r="2253" spans="1:38" ht="18.399999999999999" customHeight="1">
      <c r="A2253" s="41" t="s">
        <v>6232</v>
      </c>
      <c r="B2253" s="37"/>
      <c r="C2253" s="37"/>
      <c r="D2253" s="37"/>
      <c r="E2253" s="37"/>
      <c r="F2253" s="45"/>
      <c r="K2253" s="3" t="s">
        <v>6232</v>
      </c>
    </row>
    <row r="2254" spans="1:38" ht="18.399999999999999" customHeight="1">
      <c r="A2254" s="41" t="s">
        <v>4035</v>
      </c>
      <c r="B2254" s="37" t="e">
        <f>SUM($C2254,$D2254,$E2254)</f>
        <v>#REF!</v>
      </c>
      <c r="C2254" s="37" t="e">
        <f>$AB2254</f>
        <v>#REF!</v>
      </c>
      <c r="D2254" s="37" t="e">
        <f>$AF2254</f>
        <v>#REF!</v>
      </c>
      <c r="E2254" s="37" t="e">
        <f>$AJ2254</f>
        <v>#REF!</v>
      </c>
      <c r="F2254" s="45"/>
      <c r="K2254" s="3" t="s">
        <v>6125</v>
      </c>
      <c r="AA2254" s="40" t="s">
        <v>4592</v>
      </c>
      <c r="AB2254" s="8" t="e">
        <f>TRUNC($AD2252,1)</f>
        <v>#REF!</v>
      </c>
      <c r="AC2254" s="40" t="s">
        <v>5149</v>
      </c>
      <c r="AD2254" s="7" t="e">
        <f>$AB2254</f>
        <v>#REF!</v>
      </c>
      <c r="AE2254" s="40" t="s">
        <v>666</v>
      </c>
      <c r="AF2254" s="8" t="e">
        <f>TRUNC($AH2252,1)</f>
        <v>#REF!</v>
      </c>
      <c r="AG2254" s="40" t="s">
        <v>2431</v>
      </c>
      <c r="AH2254" s="7" t="e">
        <f>$AF2254</f>
        <v>#REF!</v>
      </c>
      <c r="AI2254" s="40" t="s">
        <v>1930</v>
      </c>
      <c r="AJ2254" s="8" t="e">
        <f>TRUNC($AL2252,1)</f>
        <v>#REF!</v>
      </c>
      <c r="AK2254" s="40" t="s">
        <v>3349</v>
      </c>
      <c r="AL2254" s="7" t="e">
        <f>$AJ2254</f>
        <v>#REF!</v>
      </c>
    </row>
    <row r="2255" spans="1:38" ht="18.399999999999999" customHeight="1">
      <c r="A2255" s="41"/>
      <c r="B2255" s="3"/>
      <c r="C2255" s="3"/>
      <c r="D2255" s="3"/>
      <c r="E2255" s="3"/>
      <c r="F2255" s="44"/>
    </row>
    <row r="2256" spans="1:38" ht="18.399999999999999" customHeight="1">
      <c r="A2256" s="43" t="s">
        <v>3543</v>
      </c>
      <c r="B2256" s="38" t="e">
        <f>SUM($C2256,$D2256,$E2256)</f>
        <v>#REF!</v>
      </c>
      <c r="C2256" s="38" t="e">
        <f>TRUNC(SUM($AD2254),0)</f>
        <v>#REF!</v>
      </c>
      <c r="D2256" s="38" t="e">
        <f>TRUNC(SUM($AH2254),0)</f>
        <v>#REF!</v>
      </c>
      <c r="E2256" s="38" t="e">
        <f>TRUNC(SUM($AL2254),0)</f>
        <v>#REF!</v>
      </c>
      <c r="F2256" s="46"/>
    </row>
    <row r="2257" spans="1:38" ht="18.399999999999999" customHeight="1">
      <c r="A2257" s="41"/>
      <c r="B2257" s="3"/>
      <c r="C2257" s="3"/>
      <c r="D2257" s="3"/>
      <c r="E2257" s="3"/>
      <c r="F2257" s="44"/>
    </row>
    <row r="2258" spans="1:38" ht="18.399999999999999" customHeight="1">
      <c r="A2258" s="41" t="s">
        <v>3616</v>
      </c>
      <c r="B2258" s="36">
        <f>$B2310</f>
        <v>553272</v>
      </c>
      <c r="C2258" s="36">
        <f>$C2310</f>
        <v>113339</v>
      </c>
      <c r="D2258" s="36">
        <f>$D2310</f>
        <v>432413</v>
      </c>
      <c r="E2258" s="36">
        <f>$E2310</f>
        <v>7520</v>
      </c>
      <c r="F2258" s="44" t="s">
        <v>4819</v>
      </c>
      <c r="G2258" t="s">
        <v>6232</v>
      </c>
      <c r="H2258" t="s">
        <v>2948</v>
      </c>
      <c r="K2258">
        <v>1</v>
      </c>
      <c r="Y2258" s="7" t="b">
        <f>EXACT($Z2258,$B2310)</f>
        <v>0</v>
      </c>
      <c r="Z2258" s="38">
        <v>547217</v>
      </c>
    </row>
    <row r="2259" spans="1:38" ht="18.399999999999999" customHeight="1">
      <c r="A2259" s="41"/>
      <c r="B2259" s="3"/>
      <c r="C2259" s="3"/>
      <c r="D2259" s="3"/>
      <c r="E2259" s="3"/>
      <c r="F2259" s="44"/>
    </row>
    <row r="2260" spans="1:38" ht="18.399999999999999" customHeight="1">
      <c r="A2260" s="41" t="s">
        <v>6232</v>
      </c>
      <c r="B2260" s="3"/>
      <c r="C2260" s="3"/>
      <c r="D2260" s="3"/>
      <c r="E2260" s="3"/>
      <c r="F2260" s="44"/>
      <c r="G2260" t="s">
        <v>6232</v>
      </c>
      <c r="I2260" t="s">
        <v>742</v>
      </c>
      <c r="J2260" t="s">
        <v>6232</v>
      </c>
      <c r="K2260" t="s">
        <v>5235</v>
      </c>
    </row>
    <row r="2261" spans="1:38" ht="18.399999999999999" customHeight="1">
      <c r="A2261" s="41" t="s">
        <v>5077</v>
      </c>
      <c r="B2261" s="37"/>
      <c r="C2261" s="37"/>
      <c r="D2261" s="37"/>
      <c r="E2261" s="37"/>
      <c r="F2261" s="45"/>
      <c r="K2261" s="3" t="s">
        <v>2791</v>
      </c>
    </row>
    <row r="2262" spans="1:38" ht="18.399999999999999" customHeight="1">
      <c r="A2262" s="41" t="s">
        <v>6232</v>
      </c>
      <c r="B2262" s="37"/>
      <c r="C2262" s="37"/>
      <c r="D2262" s="37"/>
      <c r="E2262" s="37"/>
      <c r="F2262" s="45"/>
      <c r="K2262" s="3" t="s">
        <v>6232</v>
      </c>
    </row>
    <row r="2263" spans="1:38" ht="18.399999999999999" customHeight="1">
      <c r="A2263" s="41" t="s">
        <v>2476</v>
      </c>
      <c r="B2263" s="37"/>
      <c r="C2263" s="37"/>
      <c r="D2263" s="37"/>
      <c r="E2263" s="37"/>
      <c r="F2263" s="45"/>
      <c r="K2263" s="3" t="s">
        <v>5810</v>
      </c>
    </row>
    <row r="2264" spans="1:38" ht="18.399999999999999" customHeight="1">
      <c r="A2264" s="41" t="s">
        <v>774</v>
      </c>
      <c r="B2264" s="37"/>
      <c r="C2264" s="37"/>
      <c r="D2264" s="37"/>
      <c r="E2264" s="37"/>
      <c r="F2264" s="45"/>
      <c r="K2264" s="3" t="s">
        <v>3563</v>
      </c>
    </row>
    <row r="2265" spans="1:38" ht="18.399999999999999" customHeight="1">
      <c r="A2265" s="41" t="s">
        <v>1642</v>
      </c>
      <c r="B2265" s="37"/>
      <c r="C2265" s="37"/>
      <c r="D2265" s="37"/>
      <c r="E2265" s="37"/>
      <c r="F2265" s="45"/>
      <c r="K2265" s="3" t="s">
        <v>2758</v>
      </c>
    </row>
    <row r="2266" spans="1:38" ht="18.399999999999999" customHeight="1">
      <c r="A2266" s="42" t="str">
        <f>CONCATENATE("          Q=",TEXT($AB2266,"#,##0.00"))</f>
        <v xml:space="preserve">          Q=1.15</v>
      </c>
      <c r="B2266" s="37"/>
      <c r="C2266" s="37"/>
      <c r="D2266" s="37"/>
      <c r="E2266" s="37"/>
      <c r="F2266" s="45"/>
      <c r="K2266" s="10" t="str">
        <f>SUBSTITUTE(SUBSTITUTE("          Q=1.15","1.15",TEXT($AB2266,"#,##0.00"),1),"_x001D_","'")</f>
        <v xml:space="preserve">          Q=1.15</v>
      </c>
      <c r="AA2266" s="39" t="s">
        <v>4337</v>
      </c>
      <c r="AB2266" s="6">
        <v>1.1499999999999999</v>
      </c>
      <c r="AC2266" s="39" t="s">
        <v>4337</v>
      </c>
      <c r="AD2266" s="7">
        <f>$AB2266</f>
        <v>1.1499999999999999</v>
      </c>
    </row>
    <row r="2267" spans="1:38" ht="18.399999999999999" customHeight="1">
      <c r="A2267" s="41" t="s">
        <v>6232</v>
      </c>
      <c r="B2267" s="37">
        <f>SUM($C2267,$D2267,$E2267)</f>
        <v>0</v>
      </c>
      <c r="C2267" s="37">
        <f>$AB2267</f>
        <v>0</v>
      </c>
      <c r="D2267" s="37">
        <f>$AF2267</f>
        <v>0</v>
      </c>
      <c r="E2267" s="37">
        <f>$AJ2267</f>
        <v>0</v>
      </c>
      <c r="F2267" s="45"/>
      <c r="K2267" s="3" t="s">
        <v>295</v>
      </c>
      <c r="AA2267" s="40" t="s">
        <v>2660</v>
      </c>
      <c r="AB2267" s="8">
        <f>ROUND(0,2)</f>
        <v>0</v>
      </c>
      <c r="AC2267" s="40" t="s">
        <v>1650</v>
      </c>
      <c r="AD2267" s="7">
        <f>$AB2267</f>
        <v>0</v>
      </c>
      <c r="AE2267" s="40" t="s">
        <v>5305</v>
      </c>
      <c r="AF2267" s="8">
        <f>ROUND(0,2)</f>
        <v>0</v>
      </c>
      <c r="AG2267" s="40" t="s">
        <v>5439</v>
      </c>
      <c r="AH2267" s="7">
        <f>$AF2267</f>
        <v>0</v>
      </c>
      <c r="AI2267" s="40" t="s">
        <v>3519</v>
      </c>
      <c r="AJ2267" s="8">
        <f>ROUND(0,2)</f>
        <v>0</v>
      </c>
      <c r="AK2267" s="40" t="s">
        <v>4149</v>
      </c>
      <c r="AL2267" s="7">
        <f>$AJ2267</f>
        <v>0</v>
      </c>
    </row>
    <row r="2268" spans="1:38" ht="18.399999999999999" customHeight="1">
      <c r="A2268" s="41" t="s">
        <v>4464</v>
      </c>
      <c r="B2268" s="37"/>
      <c r="C2268" s="37"/>
      <c r="D2268" s="37"/>
      <c r="E2268" s="37"/>
      <c r="F2268" s="45"/>
      <c r="K2268" s="3" t="s">
        <v>311</v>
      </c>
    </row>
    <row r="2269" spans="1:38" ht="18.399999999999999" customHeight="1">
      <c r="A2269" s="41" t="s">
        <v>6232</v>
      </c>
      <c r="B2269" s="37"/>
      <c r="C2269" s="37"/>
      <c r="D2269" s="37"/>
      <c r="E2269" s="37"/>
      <c r="F2269" s="45"/>
      <c r="K2269" s="3" t="s">
        <v>6232</v>
      </c>
    </row>
    <row r="2270" spans="1:38" ht="18.399999999999999" customHeight="1">
      <c r="A2270" s="42" t="str">
        <f>CONCATENATE("  1) POLYOL :  0.84  kg  * _x001D_4,500_x001D_ = ",TEXT($AB2270,"#,##0.0"))</f>
        <v xml:space="preserve">  1) POLYOL :  0.84  kg  * _x001D_4,500_x001D_ = 3,780.0</v>
      </c>
      <c r="B2270" s="37">
        <f>SUM($C2270,$D2270,$E2270)</f>
        <v>3780</v>
      </c>
      <c r="C2270" s="37">
        <f>$AB2270</f>
        <v>3780</v>
      </c>
      <c r="D2270" s="37"/>
      <c r="E2270" s="37"/>
      <c r="F2270" s="45" t="s">
        <v>6232</v>
      </c>
      <c r="K2270" s="3" t="s">
        <v>5374</v>
      </c>
      <c r="AA2270" s="40" t="s">
        <v>2660</v>
      </c>
      <c r="AB2270" s="8">
        <f>TRUNC(0.84*자재조서!E46,1)</f>
        <v>3780</v>
      </c>
      <c r="AC2270" s="40" t="s">
        <v>1650</v>
      </c>
      <c r="AD2270" s="7">
        <f>$AD2267+$AB2270</f>
        <v>3780</v>
      </c>
    </row>
    <row r="2271" spans="1:38" ht="18.399999999999999" customHeight="1">
      <c r="A2271" s="41" t="s">
        <v>6232</v>
      </c>
      <c r="B2271" s="37"/>
      <c r="C2271" s="37"/>
      <c r="D2271" s="37"/>
      <c r="E2271" s="37"/>
      <c r="F2271" s="45"/>
      <c r="K2271" s="3" t="s">
        <v>6232</v>
      </c>
    </row>
    <row r="2272" spans="1:38" ht="18.399999999999999" customHeight="1">
      <c r="A2272" s="42" t="str">
        <f>CONCATENATE("  2) MDI :  1.20  kg  * _x001D_4,000_x001D_  = ",TEXT($AB2272,"#,##0.0"))</f>
        <v xml:space="preserve">  2) MDI :  1.20  kg  * _x001D_4,000_x001D_  = 4,800.0</v>
      </c>
      <c r="B2272" s="37">
        <f>SUM($C2272,$D2272,$E2272)</f>
        <v>4800</v>
      </c>
      <c r="C2272" s="37">
        <f>$AB2272</f>
        <v>4800</v>
      </c>
      <c r="D2272" s="37"/>
      <c r="E2272" s="37"/>
      <c r="F2272" s="45" t="s">
        <v>6232</v>
      </c>
      <c r="K2272" s="3" t="s">
        <v>1600</v>
      </c>
      <c r="AA2272" s="40" t="s">
        <v>2660</v>
      </c>
      <c r="AB2272" s="8">
        <f>TRUNC(1.2*자재조서!E47,1)</f>
        <v>4800</v>
      </c>
      <c r="AC2272" s="40" t="s">
        <v>1650</v>
      </c>
      <c r="AD2272" s="7">
        <f>$AD2270+$AB2272</f>
        <v>8580</v>
      </c>
    </row>
    <row r="2273" spans="1:38" ht="18.399999999999999" customHeight="1">
      <c r="A2273" s="41" t="s">
        <v>6232</v>
      </c>
      <c r="B2273" s="37"/>
      <c r="C2273" s="37"/>
      <c r="D2273" s="37"/>
      <c r="E2273" s="37"/>
      <c r="F2273" s="45"/>
      <c r="K2273" s="3" t="s">
        <v>6232</v>
      </c>
    </row>
    <row r="2274" spans="1:38" ht="18.399999999999999" customHeight="1">
      <c r="A2274" s="41" t="s">
        <v>337</v>
      </c>
      <c r="B2274" s="37"/>
      <c r="C2274" s="37"/>
      <c r="D2274" s="37"/>
      <c r="E2274" s="37"/>
      <c r="F2274" s="45"/>
      <c r="K2274" s="3" t="s">
        <v>3279</v>
      </c>
    </row>
    <row r="2275" spans="1:38" ht="18.399999999999999" customHeight="1">
      <c r="A2275" s="41" t="s">
        <v>6232</v>
      </c>
      <c r="B2275" s="37"/>
      <c r="C2275" s="37"/>
      <c r="D2275" s="37"/>
      <c r="E2275" s="37"/>
      <c r="F2275" s="45"/>
      <c r="K2275" s="3" t="s">
        <v>6232</v>
      </c>
    </row>
    <row r="2276" spans="1:38" ht="18.399999999999999" customHeight="1">
      <c r="A2276" s="42" t="str">
        <f>CONCATENATE("  4) PE 용접봉 :  0.19  kg  * _x001D_10,738_x001D_= ",TEXT($AB2276,"#,##0.0"))</f>
        <v xml:space="preserve">  4) PE 용접봉 :  0.19  kg  * _x001D_10,738_x001D_= 2,040.2</v>
      </c>
      <c r="B2276" s="37">
        <f>SUM($C2276,$D2276,$E2276)</f>
        <v>2040.2</v>
      </c>
      <c r="C2276" s="37">
        <f>$AB2276</f>
        <v>2040.2</v>
      </c>
      <c r="D2276" s="37"/>
      <c r="E2276" s="37"/>
      <c r="F2276" s="45" t="s">
        <v>6232</v>
      </c>
      <c r="K2276" s="3" t="s">
        <v>3775</v>
      </c>
      <c r="AA2276" s="40" t="s">
        <v>2660</v>
      </c>
      <c r="AB2276" s="8">
        <f>TRUNC(0.19*자재조서!E41,1)</f>
        <v>2040.2</v>
      </c>
      <c r="AC2276" s="40" t="s">
        <v>1650</v>
      </c>
      <c r="AD2276" s="7">
        <f>$AD2272+$AB2276</f>
        <v>10620.2</v>
      </c>
    </row>
    <row r="2277" spans="1:38" ht="18.399999999999999" customHeight="1">
      <c r="A2277" s="41" t="s">
        <v>6232</v>
      </c>
      <c r="B2277" s="37"/>
      <c r="C2277" s="37"/>
      <c r="D2277" s="37"/>
      <c r="E2277" s="37"/>
      <c r="F2277" s="45"/>
      <c r="K2277" s="3" t="s">
        <v>6232</v>
      </c>
    </row>
    <row r="2278" spans="1:38" ht="18.399999999999999" customHeight="1">
      <c r="A2278" s="42" t="str">
        <f>CONCATENATE("  5) HDPE 관 :  6.18  m  * _x001D_13,430_x001D_ = ",TEXT($AB2278,"#,##0.0"))</f>
        <v xml:space="preserve">  5) HDPE 관 :  6.18  m  * _x001D_13,430_x001D_ = 82,997.4</v>
      </c>
      <c r="B2278" s="37">
        <f>SUM($C2278,$D2278,$E2278)</f>
        <v>82997.399999999994</v>
      </c>
      <c r="C2278" s="37">
        <f>$AB2278</f>
        <v>82997.399999999994</v>
      </c>
      <c r="D2278" s="37"/>
      <c r="E2278" s="37"/>
      <c r="F2278" s="45" t="s">
        <v>6232</v>
      </c>
      <c r="K2278" s="3" t="s">
        <v>121</v>
      </c>
      <c r="AA2278" s="40" t="s">
        <v>2660</v>
      </c>
      <c r="AB2278" s="8">
        <f>TRUNC(6.18*자재조서!E34,1)</f>
        <v>82997.399999999994</v>
      </c>
      <c r="AC2278" s="40" t="s">
        <v>1650</v>
      </c>
      <c r="AD2278" s="7">
        <f>$AD2276+$AB2278</f>
        <v>93617.599999999991</v>
      </c>
    </row>
    <row r="2279" spans="1:38" ht="18.399999999999999" customHeight="1">
      <c r="A2279" s="41" t="s">
        <v>6232</v>
      </c>
      <c r="B2279" s="37"/>
      <c r="C2279" s="37"/>
      <c r="D2279" s="37"/>
      <c r="E2279" s="37"/>
      <c r="F2279" s="45"/>
      <c r="K2279" s="3" t="s">
        <v>6232</v>
      </c>
    </row>
    <row r="2280" spans="1:38" ht="18.399999999999999" customHeight="1">
      <c r="A2280" s="42" t="str">
        <f>CONCATENATE("  6) 공장보온재 :  2.992  m  * _x001D_6,520_x001D_ = ",TEXT($AB2280,"#,##0.0"))</f>
        <v xml:space="preserve">  6) 공장보온재 :  2.992  m  * _x001D_6,520_x001D_ = 19,507.8</v>
      </c>
      <c r="B2280" s="37">
        <f>SUM($C2280,$D2280,$E2280)</f>
        <v>19507.8</v>
      </c>
      <c r="C2280" s="37">
        <f>$AB2280</f>
        <v>19507.8</v>
      </c>
      <c r="D2280" s="37"/>
      <c r="E2280" s="37"/>
      <c r="F2280" s="45" t="s">
        <v>6232</v>
      </c>
      <c r="K2280" s="3" t="s">
        <v>5293</v>
      </c>
      <c r="AA2280" s="40" t="s">
        <v>2660</v>
      </c>
      <c r="AB2280" s="8">
        <f>TRUNC(2.992*자재조서!E63,1)</f>
        <v>19507.8</v>
      </c>
      <c r="AC2280" s="40" t="s">
        <v>1650</v>
      </c>
      <c r="AD2280" s="7">
        <f>$AD2278+$AB2280</f>
        <v>113125.4</v>
      </c>
    </row>
    <row r="2281" spans="1:38" ht="18.399999999999999" customHeight="1">
      <c r="A2281" s="41" t="s">
        <v>6232</v>
      </c>
      <c r="B2281" s="37"/>
      <c r="C2281" s="37"/>
      <c r="D2281" s="37"/>
      <c r="E2281" s="37"/>
      <c r="F2281" s="45"/>
      <c r="K2281" s="3" t="s">
        <v>6232</v>
      </c>
    </row>
    <row r="2282" spans="1:38" ht="18.399999999999999" customHeight="1">
      <c r="A2282" s="42" t="str">
        <f>CONCATENATE("  7) 석동선 :  12.95  m  * _x001D_16.5_x001D_ = ",TEXT($AB2282,"#,##0.0"))</f>
        <v xml:space="preserve">  7) 석동선 :  12.95  m  * _x001D_16.5_x001D_ = 213.6</v>
      </c>
      <c r="B2282" s="37">
        <f>SUM($C2282,$D2282,$E2282)</f>
        <v>213.6</v>
      </c>
      <c r="C2282" s="37">
        <f>$AB2282</f>
        <v>213.6</v>
      </c>
      <c r="D2282" s="37"/>
      <c r="E2282" s="37"/>
      <c r="F2282" s="45" t="s">
        <v>6232</v>
      </c>
      <c r="K2282" s="3" t="s">
        <v>4850</v>
      </c>
      <c r="AA2282" s="40" t="s">
        <v>2660</v>
      </c>
      <c r="AB2282" s="8">
        <f>TRUNC(12.95*자재조서!E85,1)</f>
        <v>213.6</v>
      </c>
      <c r="AC2282" s="40" t="s">
        <v>1650</v>
      </c>
      <c r="AD2282" s="7">
        <f>$AD2280+$AB2282</f>
        <v>113339</v>
      </c>
    </row>
    <row r="2283" spans="1:38" ht="18.399999999999999" customHeight="1">
      <c r="A2283" s="41" t="s">
        <v>6232</v>
      </c>
      <c r="B2283" s="37"/>
      <c r="C2283" s="37"/>
      <c r="D2283" s="37"/>
      <c r="E2283" s="37"/>
      <c r="F2283" s="45"/>
      <c r="K2283" s="3" t="s">
        <v>6232</v>
      </c>
    </row>
    <row r="2284" spans="1:38" ht="18.399999999999999" customHeight="1">
      <c r="A2284" s="41" t="s">
        <v>4035</v>
      </c>
      <c r="B2284" s="37">
        <f>SUM($C2284,$D2284,$E2284)</f>
        <v>113339</v>
      </c>
      <c r="C2284" s="37">
        <f>$AB2284</f>
        <v>113339</v>
      </c>
      <c r="D2284" s="37">
        <f>$AF2284</f>
        <v>0</v>
      </c>
      <c r="E2284" s="37">
        <f>$AJ2284</f>
        <v>0</v>
      </c>
      <c r="F2284" s="45"/>
      <c r="K2284" s="3" t="s">
        <v>6125</v>
      </c>
      <c r="AA2284" s="40" t="s">
        <v>4592</v>
      </c>
      <c r="AB2284" s="8">
        <f>TRUNC($AD2282,1)</f>
        <v>113339</v>
      </c>
      <c r="AC2284" s="40" t="s">
        <v>5149</v>
      </c>
      <c r="AD2284" s="7">
        <f>$AB2284</f>
        <v>113339</v>
      </c>
      <c r="AE2284" s="40" t="s">
        <v>666</v>
      </c>
      <c r="AF2284" s="8">
        <f>TRUNC($AH2267,1)</f>
        <v>0</v>
      </c>
      <c r="AG2284" s="40" t="s">
        <v>2431</v>
      </c>
      <c r="AH2284" s="7">
        <f>$AF2284</f>
        <v>0</v>
      </c>
      <c r="AI2284" s="40" t="s">
        <v>1930</v>
      </c>
      <c r="AJ2284" s="8">
        <f>TRUNC($AL2267,1)</f>
        <v>0</v>
      </c>
      <c r="AK2284" s="40" t="s">
        <v>3349</v>
      </c>
      <c r="AL2284" s="7">
        <f>$AJ2284</f>
        <v>0</v>
      </c>
    </row>
    <row r="2285" spans="1:38" ht="18.399999999999999" customHeight="1">
      <c r="A2285" s="41" t="s">
        <v>6232</v>
      </c>
      <c r="B2285" s="37">
        <f>SUM($C2285,$D2285,$E2285)</f>
        <v>0</v>
      </c>
      <c r="C2285" s="37">
        <f>$AB2285</f>
        <v>0</v>
      </c>
      <c r="D2285" s="37">
        <f>$AF2285</f>
        <v>0</v>
      </c>
      <c r="E2285" s="37">
        <f>$AJ2285</f>
        <v>0</v>
      </c>
      <c r="F2285" s="45"/>
      <c r="K2285" s="3" t="s">
        <v>5506</v>
      </c>
      <c r="AA2285" s="40" t="s">
        <v>4586</v>
      </c>
      <c r="AB2285" s="8">
        <f>ROUND(0,2)</f>
        <v>0</v>
      </c>
      <c r="AC2285" s="40" t="s">
        <v>4161</v>
      </c>
      <c r="AD2285" s="7">
        <f>$AB2285</f>
        <v>0</v>
      </c>
      <c r="AE2285" s="40" t="s">
        <v>222</v>
      </c>
      <c r="AF2285" s="8">
        <f>ROUND(0,2)</f>
        <v>0</v>
      </c>
      <c r="AG2285" s="40" t="s">
        <v>334</v>
      </c>
      <c r="AH2285" s="7">
        <f>$AF2285</f>
        <v>0</v>
      </c>
      <c r="AI2285" s="40" t="s">
        <v>1574</v>
      </c>
      <c r="AJ2285" s="8">
        <f>ROUND(0,2)</f>
        <v>0</v>
      </c>
      <c r="AK2285" s="40" t="s">
        <v>1622</v>
      </c>
      <c r="AL2285" s="7">
        <f>$AJ2285</f>
        <v>0</v>
      </c>
    </row>
    <row r="2286" spans="1:38" ht="18.399999999999999" customHeight="1">
      <c r="A2286" s="41" t="s">
        <v>231</v>
      </c>
      <c r="B2286" s="37"/>
      <c r="C2286" s="37"/>
      <c r="D2286" s="37"/>
      <c r="E2286" s="37"/>
      <c r="F2286" s="45"/>
      <c r="K2286" s="3" t="s">
        <v>268</v>
      </c>
    </row>
    <row r="2287" spans="1:38" ht="18.399999999999999" customHeight="1">
      <c r="A2287" s="41" t="s">
        <v>6232</v>
      </c>
      <c r="B2287" s="37"/>
      <c r="C2287" s="37"/>
      <c r="D2287" s="37"/>
      <c r="E2287" s="37"/>
      <c r="F2287" s="45"/>
      <c r="K2287" s="3" t="s">
        <v>6232</v>
      </c>
    </row>
    <row r="2288" spans="1:38" ht="18.399999999999999" customHeight="1">
      <c r="A2288" s="41" t="s">
        <v>5533</v>
      </c>
      <c r="B2288" s="37"/>
      <c r="C2288" s="37"/>
      <c r="D2288" s="37"/>
      <c r="E2288" s="37"/>
      <c r="F2288" s="45"/>
      <c r="K2288" s="3" t="s">
        <v>3259</v>
      </c>
    </row>
    <row r="2289" spans="1:38" ht="18.399999999999999" customHeight="1">
      <c r="A2289" s="42" t="str">
        <f>CONCATENATE("    0.885  인  * Q * _x001D_213,722_x001D_ = ",TEXT($AB2289,"#,##0.0"))</f>
        <v xml:space="preserve">    0.885  인  * Q * _x001D_213,722_x001D_ = 220,863.9</v>
      </c>
      <c r="B2289" s="37">
        <f>SUM($C2289,$D2289,$E2289)</f>
        <v>220863.9</v>
      </c>
      <c r="C2289" s="37"/>
      <c r="D2289" s="37">
        <f>$AB2289</f>
        <v>220863.9</v>
      </c>
      <c r="E2289" s="37"/>
      <c r="F2289" s="45" t="s">
        <v>6232</v>
      </c>
      <c r="K2289" s="3" t="s">
        <v>4749</v>
      </c>
      <c r="AA2289" s="40" t="s">
        <v>222</v>
      </c>
      <c r="AB2289" s="8">
        <f>TRUNC(0.885*$AD2266*노임!D10,1)</f>
        <v>220863.9</v>
      </c>
      <c r="AC2289" s="40" t="s">
        <v>334</v>
      </c>
      <c r="AD2289" s="7">
        <f>$AH2285+$AB2289</f>
        <v>220863.9</v>
      </c>
    </row>
    <row r="2290" spans="1:38" ht="18.399999999999999" customHeight="1">
      <c r="A2290" s="41" t="s">
        <v>6232</v>
      </c>
      <c r="B2290" s="37"/>
      <c r="C2290" s="37"/>
      <c r="D2290" s="37"/>
      <c r="E2290" s="37"/>
      <c r="F2290" s="45"/>
      <c r="K2290" s="3" t="s">
        <v>6232</v>
      </c>
    </row>
    <row r="2291" spans="1:38" ht="18.399999999999999" customHeight="1">
      <c r="A2291" s="41" t="s">
        <v>585</v>
      </c>
      <c r="B2291" s="37"/>
      <c r="C2291" s="37"/>
      <c r="D2291" s="37"/>
      <c r="E2291" s="37"/>
      <c r="F2291" s="45"/>
      <c r="K2291" s="3" t="s">
        <v>5657</v>
      </c>
    </row>
    <row r="2292" spans="1:38" ht="18.399999999999999" customHeight="1">
      <c r="A2292" s="42" t="str">
        <f>CONCATENATE("    0.288  인  * Q * _x001D_201,482_x001D_ = ",TEXT($AB2292,"#,##0.0"))</f>
        <v xml:space="preserve">    0.288  인  * Q * _x001D_201,482_x001D_ = 67,058.7</v>
      </c>
      <c r="B2292" s="37">
        <f>SUM($C2292,$D2292,$E2292)</f>
        <v>67058.7</v>
      </c>
      <c r="C2292" s="37"/>
      <c r="D2292" s="37">
        <f>$AB2292</f>
        <v>67058.7</v>
      </c>
      <c r="E2292" s="37"/>
      <c r="F2292" s="45" t="s">
        <v>6232</v>
      </c>
      <c r="K2292" s="3" t="s">
        <v>4057</v>
      </c>
      <c r="AA2292" s="40" t="s">
        <v>222</v>
      </c>
      <c r="AB2292" s="8">
        <f>TRUNC(0.288*$AD2266*노임!D9,1)</f>
        <v>67058.7</v>
      </c>
      <c r="AC2292" s="40" t="s">
        <v>334</v>
      </c>
      <c r="AD2292" s="7">
        <f>$AD2289+$AB2292</f>
        <v>287922.59999999998</v>
      </c>
    </row>
    <row r="2293" spans="1:38" ht="18.399999999999999" customHeight="1">
      <c r="A2293" s="41" t="s">
        <v>6232</v>
      </c>
      <c r="B2293" s="37"/>
      <c r="C2293" s="37"/>
      <c r="D2293" s="37"/>
      <c r="E2293" s="37"/>
      <c r="F2293" s="45"/>
      <c r="K2293" s="3" t="s">
        <v>6232</v>
      </c>
    </row>
    <row r="2294" spans="1:38" ht="18.399999999999999" customHeight="1">
      <c r="A2294" s="41" t="s">
        <v>3917</v>
      </c>
      <c r="B2294" s="37"/>
      <c r="C2294" s="37"/>
      <c r="D2294" s="37"/>
      <c r="E2294" s="37"/>
      <c r="F2294" s="45"/>
      <c r="K2294" s="3" t="s">
        <v>4355</v>
      </c>
    </row>
    <row r="2295" spans="1:38" ht="18.399999999999999" customHeight="1">
      <c r="A2295" s="42" t="str">
        <f>CONCATENATE("    0.198  인  * Q * _x001D_221,506_x001D_ = ",TEXT($AB2295,"#,##0.0"))</f>
        <v xml:space="preserve">    0.198  인  * Q * _x001D_221,506_x001D_ = 51,487.9</v>
      </c>
      <c r="B2295" s="37">
        <f>SUM($C2295,$D2295,$E2295)</f>
        <v>51487.9</v>
      </c>
      <c r="C2295" s="37"/>
      <c r="D2295" s="37">
        <f>$AB2295</f>
        <v>51487.9</v>
      </c>
      <c r="E2295" s="37"/>
      <c r="F2295" s="45" t="s">
        <v>6232</v>
      </c>
      <c r="K2295" s="3" t="s">
        <v>4560</v>
      </c>
      <c r="AA2295" s="40" t="s">
        <v>222</v>
      </c>
      <c r="AB2295" s="8">
        <f>TRUNC(0.198*$AD2266*노임!D4,1)</f>
        <v>51487.9</v>
      </c>
      <c r="AC2295" s="40" t="s">
        <v>334</v>
      </c>
      <c r="AD2295" s="7">
        <f>$AD2292+$AB2295</f>
        <v>339410.5</v>
      </c>
    </row>
    <row r="2296" spans="1:38" ht="18.399999999999999" customHeight="1">
      <c r="A2296" s="41" t="s">
        <v>6232</v>
      </c>
      <c r="B2296" s="37"/>
      <c r="C2296" s="37"/>
      <c r="D2296" s="37"/>
      <c r="E2296" s="37"/>
      <c r="F2296" s="45"/>
      <c r="K2296" s="3" t="s">
        <v>6232</v>
      </c>
    </row>
    <row r="2297" spans="1:38" ht="18.399999999999999" customHeight="1">
      <c r="A2297" s="41" t="s">
        <v>4277</v>
      </c>
      <c r="B2297" s="37"/>
      <c r="C2297" s="37"/>
      <c r="D2297" s="37"/>
      <c r="E2297" s="37"/>
      <c r="F2297" s="45"/>
      <c r="K2297" s="3" t="s">
        <v>4663</v>
      </c>
    </row>
    <row r="2298" spans="1:38" ht="18.399999999999999" customHeight="1">
      <c r="A2298" s="42" t="str">
        <f>CONCATENATE("    0.470  인  * Q * _x001D_169,804_x001D_ = ",TEXT($AB2298,"#,##0.0"))</f>
        <v xml:space="preserve">    0.470  인  * Q * _x001D_169,804_x001D_ = 93,002.7</v>
      </c>
      <c r="B2298" s="37">
        <f>SUM($C2298,$D2298,$E2298)</f>
        <v>93002.7</v>
      </c>
      <c r="C2298" s="37"/>
      <c r="D2298" s="37">
        <f>$AB2298</f>
        <v>93002.7</v>
      </c>
      <c r="E2298" s="37"/>
      <c r="F2298" s="45" t="s">
        <v>6232</v>
      </c>
      <c r="K2298" s="3" t="s">
        <v>6137</v>
      </c>
      <c r="AA2298" s="40" t="s">
        <v>222</v>
      </c>
      <c r="AB2298" s="8">
        <f>TRUNC(0.47*$AD2266*노임!D3,1)</f>
        <v>93002.7</v>
      </c>
      <c r="AC2298" s="40" t="s">
        <v>334</v>
      </c>
      <c r="AD2298" s="7">
        <f>$AD2295+$AB2298</f>
        <v>432413.2</v>
      </c>
    </row>
    <row r="2299" spans="1:38" ht="18.399999999999999" customHeight="1">
      <c r="A2299" s="41" t="s">
        <v>6232</v>
      </c>
      <c r="B2299" s="37"/>
      <c r="C2299" s="37"/>
      <c r="D2299" s="37"/>
      <c r="E2299" s="37"/>
      <c r="F2299" s="45"/>
      <c r="K2299" s="3" t="s">
        <v>6232</v>
      </c>
    </row>
    <row r="2300" spans="1:38" ht="18.399999999999999" customHeight="1">
      <c r="A2300" s="41" t="s">
        <v>4035</v>
      </c>
      <c r="B2300" s="37">
        <f>SUM($C2300,$D2300,$E2300)</f>
        <v>432413.2</v>
      </c>
      <c r="C2300" s="37">
        <f>$AB2300</f>
        <v>0</v>
      </c>
      <c r="D2300" s="37">
        <f>$AF2300</f>
        <v>432413.2</v>
      </c>
      <c r="E2300" s="37">
        <f>$AJ2300</f>
        <v>0</v>
      </c>
      <c r="F2300" s="45"/>
      <c r="K2300" s="3" t="s">
        <v>134</v>
      </c>
      <c r="AA2300" s="40" t="s">
        <v>4592</v>
      </c>
      <c r="AB2300" s="8">
        <f>TRUNC($AD2285,1)</f>
        <v>0</v>
      </c>
      <c r="AC2300" s="40" t="s">
        <v>5149</v>
      </c>
      <c r="AD2300" s="7">
        <f>$AD2284+$AB2300</f>
        <v>113339</v>
      </c>
      <c r="AE2300" s="40" t="s">
        <v>666</v>
      </c>
      <c r="AF2300" s="8">
        <f>TRUNC($AD2298,1)</f>
        <v>432413.2</v>
      </c>
      <c r="AG2300" s="40" t="s">
        <v>2431</v>
      </c>
      <c r="AH2300" s="7">
        <f>$AH2284+$AF2300</f>
        <v>432413.2</v>
      </c>
      <c r="AI2300" s="40" t="s">
        <v>1930</v>
      </c>
      <c r="AJ2300" s="8">
        <f>TRUNC($AL2285,1)</f>
        <v>0</v>
      </c>
      <c r="AK2300" s="40" t="s">
        <v>3349</v>
      </c>
      <c r="AL2300" s="7">
        <f>$AL2284+$AJ2300</f>
        <v>0</v>
      </c>
    </row>
    <row r="2301" spans="1:38" ht="18.399999999999999" customHeight="1">
      <c r="A2301" s="41" t="s">
        <v>6232</v>
      </c>
      <c r="B2301" s="37">
        <f>SUM($C2301,$D2301,$E2301)</f>
        <v>0</v>
      </c>
      <c r="C2301" s="37">
        <f>$AB2301</f>
        <v>0</v>
      </c>
      <c r="D2301" s="37">
        <f>$AF2301</f>
        <v>0</v>
      </c>
      <c r="E2301" s="37">
        <f>$AJ2301</f>
        <v>0</v>
      </c>
      <c r="F2301" s="45"/>
      <c r="K2301" s="3" t="s">
        <v>3238</v>
      </c>
      <c r="AA2301" s="40" t="s">
        <v>308</v>
      </c>
      <c r="AB2301" s="8">
        <f>ROUND(0,2)</f>
        <v>0</v>
      </c>
      <c r="AC2301" s="40" t="s">
        <v>5000</v>
      </c>
      <c r="AD2301" s="7">
        <f>$AB2301</f>
        <v>0</v>
      </c>
      <c r="AE2301" s="40" t="s">
        <v>4500</v>
      </c>
      <c r="AF2301" s="8">
        <f>ROUND(0,2)</f>
        <v>0</v>
      </c>
      <c r="AG2301" s="40" t="s">
        <v>2603</v>
      </c>
      <c r="AH2301" s="7">
        <f>$AF2301</f>
        <v>0</v>
      </c>
      <c r="AI2301" s="40" t="s">
        <v>5878</v>
      </c>
      <c r="AJ2301" s="8">
        <f>ROUND(0,2)</f>
        <v>0</v>
      </c>
      <c r="AK2301" s="40" t="s">
        <v>787</v>
      </c>
      <c r="AL2301" s="7">
        <f>$AJ2301</f>
        <v>0</v>
      </c>
    </row>
    <row r="2302" spans="1:38" ht="18.399999999999999" customHeight="1">
      <c r="A2302" s="41" t="s">
        <v>760</v>
      </c>
      <c r="B2302" s="37"/>
      <c r="C2302" s="37"/>
      <c r="D2302" s="37"/>
      <c r="E2302" s="37"/>
      <c r="F2302" s="45"/>
      <c r="K2302" s="3" t="s">
        <v>5465</v>
      </c>
    </row>
    <row r="2303" spans="1:38" ht="18.399999999999999" customHeight="1">
      <c r="A2303" s="41" t="s">
        <v>6232</v>
      </c>
      <c r="B2303" s="37"/>
      <c r="C2303" s="37"/>
      <c r="D2303" s="37"/>
      <c r="E2303" s="37"/>
      <c r="F2303" s="45"/>
      <c r="K2303" s="3" t="s">
        <v>6232</v>
      </c>
    </row>
    <row r="2304" spans="1:38" ht="18.399999999999999" customHeight="1">
      <c r="A2304" s="42" t="str">
        <f>CONCATENATE("    LA2 / Q * 0.02 = ",TEXT($AB2304,"#,##0.0"))</f>
        <v xml:space="preserve">    LA2 / Q * 0.02 = 7,520.2</v>
      </c>
      <c r="B2304" s="37">
        <f>SUM($C2304,$D2304,$E2304)</f>
        <v>7520.2</v>
      </c>
      <c r="C2304" s="37"/>
      <c r="D2304" s="37"/>
      <c r="E2304" s="37">
        <f>$AB2304</f>
        <v>7520.2</v>
      </c>
      <c r="F2304" s="45"/>
      <c r="K2304" s="3" t="s">
        <v>4829</v>
      </c>
      <c r="AA2304" s="40" t="s">
        <v>5878</v>
      </c>
      <c r="AB2304" s="8">
        <f>TRUNC($AD2298/$AD2266*0.02,1)</f>
        <v>7520.2</v>
      </c>
      <c r="AC2304" s="40" t="s">
        <v>787</v>
      </c>
      <c r="AD2304" s="7">
        <f>$AL2301+$AB2304</f>
        <v>7520.2</v>
      </c>
    </row>
    <row r="2305" spans="1:38" ht="18.399999999999999" customHeight="1">
      <c r="A2305" s="41" t="s">
        <v>6232</v>
      </c>
      <c r="B2305" s="37"/>
      <c r="C2305" s="37"/>
      <c r="D2305" s="37"/>
      <c r="E2305" s="37"/>
      <c r="F2305" s="45"/>
      <c r="K2305" s="3" t="s">
        <v>6232</v>
      </c>
    </row>
    <row r="2306" spans="1:38" ht="18.399999999999999" customHeight="1">
      <c r="A2306" s="41" t="s">
        <v>4035</v>
      </c>
      <c r="B2306" s="37">
        <f>SUM($C2306,$D2306,$E2306)</f>
        <v>7520.2</v>
      </c>
      <c r="C2306" s="37">
        <f>$AB2306</f>
        <v>0</v>
      </c>
      <c r="D2306" s="37">
        <f>$AF2306</f>
        <v>0</v>
      </c>
      <c r="E2306" s="37">
        <f>$AJ2306</f>
        <v>7520.2</v>
      </c>
      <c r="F2306" s="45"/>
      <c r="K2306" s="3" t="s">
        <v>4813</v>
      </c>
      <c r="AA2306" s="40" t="s">
        <v>4592</v>
      </c>
      <c r="AB2306" s="8">
        <f>TRUNC($AD2301,1)</f>
        <v>0</v>
      </c>
      <c r="AC2306" s="40" t="s">
        <v>5149</v>
      </c>
      <c r="AD2306" s="7">
        <f>$AD2300+$AB2306</f>
        <v>113339</v>
      </c>
      <c r="AE2306" s="40" t="s">
        <v>666</v>
      </c>
      <c r="AF2306" s="8">
        <f>TRUNC($AH2301,1)</f>
        <v>0</v>
      </c>
      <c r="AG2306" s="40" t="s">
        <v>2431</v>
      </c>
      <c r="AH2306" s="7">
        <f>$AH2300+$AF2306</f>
        <v>432413.2</v>
      </c>
      <c r="AI2306" s="40" t="s">
        <v>1930</v>
      </c>
      <c r="AJ2306" s="8">
        <f>TRUNC($AD2304,1)</f>
        <v>7520.2</v>
      </c>
      <c r="AK2306" s="40" t="s">
        <v>3349</v>
      </c>
      <c r="AL2306" s="7">
        <f>$AL2300+$AJ2306</f>
        <v>7520.2</v>
      </c>
    </row>
    <row r="2307" spans="1:38" ht="18.399999999999999" customHeight="1">
      <c r="A2307" s="41" t="s">
        <v>6232</v>
      </c>
      <c r="B2307" s="37"/>
      <c r="C2307" s="37"/>
      <c r="D2307" s="37"/>
      <c r="E2307" s="37"/>
      <c r="F2307" s="45"/>
      <c r="K2307" s="3" t="s">
        <v>6232</v>
      </c>
    </row>
    <row r="2308" spans="1:38" ht="18.399999999999999" customHeight="1">
      <c r="A2308" s="41" t="s">
        <v>4002</v>
      </c>
      <c r="B2308" s="37">
        <v>547217.89999999991</v>
      </c>
      <c r="C2308" s="37">
        <v>113339</v>
      </c>
      <c r="D2308" s="37">
        <v>426462.2</v>
      </c>
      <c r="E2308" s="37">
        <v>7416.7</v>
      </c>
      <c r="F2308" s="45"/>
      <c r="K2308" s="3" t="s">
        <v>916</v>
      </c>
    </row>
    <row r="2309" spans="1:38" ht="18.399999999999999" customHeight="1">
      <c r="A2309" s="41"/>
      <c r="B2309" s="3"/>
      <c r="C2309" s="3"/>
      <c r="D2309" s="3"/>
      <c r="E2309" s="3"/>
      <c r="F2309" s="44"/>
    </row>
    <row r="2310" spans="1:38" ht="18.399999999999999" customHeight="1">
      <c r="A2310" s="43" t="s">
        <v>3543</v>
      </c>
      <c r="B2310" s="38">
        <f>SUM($C2310,$D2310,$E2310)</f>
        <v>553272</v>
      </c>
      <c r="C2310" s="38">
        <f>TRUNC(SUM($AD2306),0)</f>
        <v>113339</v>
      </c>
      <c r="D2310" s="38">
        <f>TRUNC(SUM($AH2306),0)</f>
        <v>432413</v>
      </c>
      <c r="E2310" s="38">
        <f>TRUNC(SUM($AL2306),0)</f>
        <v>7520</v>
      </c>
      <c r="F2310" s="46"/>
    </row>
    <row r="2311" spans="1:38" ht="18.399999999999999" customHeight="1">
      <c r="A2311" s="41"/>
      <c r="B2311" s="3"/>
      <c r="C2311" s="3"/>
      <c r="D2311" s="3"/>
      <c r="E2311" s="3"/>
      <c r="F2311" s="44"/>
    </row>
    <row r="2312" spans="1:38" ht="18.399999999999999" customHeight="1">
      <c r="A2312" s="41" t="s">
        <v>5257</v>
      </c>
      <c r="B2312" s="36">
        <f>$B2364</f>
        <v>566998</v>
      </c>
      <c r="C2312" s="36">
        <f>$C2364</f>
        <v>115132</v>
      </c>
      <c r="D2312" s="36">
        <f>$D2364</f>
        <v>444142</v>
      </c>
      <c r="E2312" s="36">
        <f>$E2364</f>
        <v>7724</v>
      </c>
      <c r="F2312" s="44" t="s">
        <v>4819</v>
      </c>
      <c r="G2312" t="s">
        <v>6232</v>
      </c>
      <c r="H2312" t="s">
        <v>5946</v>
      </c>
      <c r="K2312">
        <v>1</v>
      </c>
      <c r="Y2312" s="7" t="b">
        <f>EXACT($Z2312,$B2364)</f>
        <v>0</v>
      </c>
      <c r="Z2312" s="38">
        <v>560762</v>
      </c>
    </row>
    <row r="2313" spans="1:38" ht="18.399999999999999" customHeight="1">
      <c r="A2313" s="41"/>
      <c r="B2313" s="3"/>
      <c r="C2313" s="3"/>
      <c r="D2313" s="3"/>
      <c r="E2313" s="3"/>
      <c r="F2313" s="44"/>
    </row>
    <row r="2314" spans="1:38" ht="18.399999999999999" customHeight="1">
      <c r="A2314" s="41" t="s">
        <v>6232</v>
      </c>
      <c r="B2314" s="3"/>
      <c r="C2314" s="3"/>
      <c r="D2314" s="3"/>
      <c r="E2314" s="3"/>
      <c r="F2314" s="44"/>
      <c r="G2314" t="s">
        <v>6232</v>
      </c>
      <c r="I2314" t="s">
        <v>742</v>
      </c>
      <c r="J2314" t="s">
        <v>6232</v>
      </c>
      <c r="K2314" t="s">
        <v>5235</v>
      </c>
    </row>
    <row r="2315" spans="1:38" ht="18.399999999999999" customHeight="1">
      <c r="A2315" s="41" t="s">
        <v>4557</v>
      </c>
      <c r="B2315" s="37"/>
      <c r="C2315" s="37"/>
      <c r="D2315" s="37"/>
      <c r="E2315" s="37"/>
      <c r="F2315" s="45"/>
      <c r="K2315" s="3" t="s">
        <v>2377</v>
      </c>
    </row>
    <row r="2316" spans="1:38" ht="18.399999999999999" customHeight="1">
      <c r="A2316" s="41" t="s">
        <v>6232</v>
      </c>
      <c r="B2316" s="37"/>
      <c r="C2316" s="37"/>
      <c r="D2316" s="37"/>
      <c r="E2316" s="37"/>
      <c r="F2316" s="45"/>
      <c r="K2316" s="3" t="s">
        <v>6232</v>
      </c>
    </row>
    <row r="2317" spans="1:38" ht="18.399999999999999" customHeight="1">
      <c r="A2317" s="41" t="s">
        <v>2476</v>
      </c>
      <c r="B2317" s="37"/>
      <c r="C2317" s="37"/>
      <c r="D2317" s="37"/>
      <c r="E2317" s="37"/>
      <c r="F2317" s="45"/>
      <c r="K2317" s="3" t="s">
        <v>5810</v>
      </c>
    </row>
    <row r="2318" spans="1:38" ht="18.399999999999999" customHeight="1">
      <c r="A2318" s="41" t="s">
        <v>774</v>
      </c>
      <c r="B2318" s="37"/>
      <c r="C2318" s="37"/>
      <c r="D2318" s="37"/>
      <c r="E2318" s="37"/>
      <c r="F2318" s="45"/>
      <c r="K2318" s="3" t="s">
        <v>3563</v>
      </c>
    </row>
    <row r="2319" spans="1:38" ht="18.399999999999999" customHeight="1">
      <c r="A2319" s="41" t="s">
        <v>1642</v>
      </c>
      <c r="B2319" s="37"/>
      <c r="C2319" s="37"/>
      <c r="D2319" s="37"/>
      <c r="E2319" s="37"/>
      <c r="F2319" s="45"/>
      <c r="K2319" s="3" t="s">
        <v>2758</v>
      </c>
    </row>
    <row r="2320" spans="1:38" ht="18.399999999999999" customHeight="1">
      <c r="A2320" s="42" t="str">
        <f>CONCATENATE("          Q=",TEXT($AB2320,"#,##0.00"))</f>
        <v xml:space="preserve">          Q=1.15</v>
      </c>
      <c r="B2320" s="37"/>
      <c r="C2320" s="37"/>
      <c r="D2320" s="37"/>
      <c r="E2320" s="37"/>
      <c r="F2320" s="45"/>
      <c r="K2320" s="10" t="str">
        <f>SUBSTITUTE(SUBSTITUTE("          Q=1.15","1.15",TEXT($AB2320,"#,##0.00"),1),"_x001D_","'")</f>
        <v xml:space="preserve">          Q=1.15</v>
      </c>
      <c r="AA2320" s="39" t="s">
        <v>4337</v>
      </c>
      <c r="AB2320" s="6">
        <v>1.1499999999999999</v>
      </c>
      <c r="AC2320" s="39" t="s">
        <v>4337</v>
      </c>
      <c r="AD2320" s="7">
        <f>$AB2320</f>
        <v>1.1499999999999999</v>
      </c>
    </row>
    <row r="2321" spans="1:38" ht="18.399999999999999" customHeight="1">
      <c r="A2321" s="41" t="s">
        <v>6232</v>
      </c>
      <c r="B2321" s="37">
        <f>SUM($C2321,$D2321,$E2321)</f>
        <v>0</v>
      </c>
      <c r="C2321" s="37">
        <f>$AB2321</f>
        <v>0</v>
      </c>
      <c r="D2321" s="37">
        <f>$AF2321</f>
        <v>0</v>
      </c>
      <c r="E2321" s="37">
        <f>$AJ2321</f>
        <v>0</v>
      </c>
      <c r="F2321" s="45"/>
      <c r="K2321" s="3" t="s">
        <v>295</v>
      </c>
      <c r="AA2321" s="40" t="s">
        <v>2660</v>
      </c>
      <c r="AB2321" s="8">
        <f>ROUND(0,2)</f>
        <v>0</v>
      </c>
      <c r="AC2321" s="40" t="s">
        <v>1650</v>
      </c>
      <c r="AD2321" s="7">
        <f>$AB2321</f>
        <v>0</v>
      </c>
      <c r="AE2321" s="40" t="s">
        <v>5305</v>
      </c>
      <c r="AF2321" s="8">
        <f>ROUND(0,2)</f>
        <v>0</v>
      </c>
      <c r="AG2321" s="40" t="s">
        <v>5439</v>
      </c>
      <c r="AH2321" s="7">
        <f>$AF2321</f>
        <v>0</v>
      </c>
      <c r="AI2321" s="40" t="s">
        <v>3519</v>
      </c>
      <c r="AJ2321" s="8">
        <f>ROUND(0,2)</f>
        <v>0</v>
      </c>
      <c r="AK2321" s="40" t="s">
        <v>4149</v>
      </c>
      <c r="AL2321" s="7">
        <f>$AJ2321</f>
        <v>0</v>
      </c>
    </row>
    <row r="2322" spans="1:38" ht="18.399999999999999" customHeight="1">
      <c r="A2322" s="41" t="s">
        <v>4464</v>
      </c>
      <c r="B2322" s="37"/>
      <c r="C2322" s="37"/>
      <c r="D2322" s="37"/>
      <c r="E2322" s="37"/>
      <c r="F2322" s="45"/>
      <c r="K2322" s="3" t="s">
        <v>311</v>
      </c>
    </row>
    <row r="2323" spans="1:38" ht="18.399999999999999" customHeight="1">
      <c r="A2323" s="41" t="s">
        <v>6232</v>
      </c>
      <c r="B2323" s="37"/>
      <c r="C2323" s="37"/>
      <c r="D2323" s="37"/>
      <c r="E2323" s="37"/>
      <c r="F2323" s="45"/>
      <c r="K2323" s="3" t="s">
        <v>6232</v>
      </c>
    </row>
    <row r="2324" spans="1:38" ht="18.399999999999999" customHeight="1">
      <c r="A2324" s="42" t="str">
        <f>CONCATENATE("  1) POLYOL :  0.84  kg  * _x001D_4,500_x001D_ = ",TEXT($AB2324,"#,##0.0"))</f>
        <v xml:space="preserve">  1) POLYOL :  0.84  kg  * _x001D_4,500_x001D_ = 3,780.0</v>
      </c>
      <c r="B2324" s="37">
        <f>SUM($C2324,$D2324,$E2324)</f>
        <v>3780</v>
      </c>
      <c r="C2324" s="37">
        <f>$AB2324</f>
        <v>3780</v>
      </c>
      <c r="D2324" s="37"/>
      <c r="E2324" s="37"/>
      <c r="F2324" s="45" t="s">
        <v>6232</v>
      </c>
      <c r="K2324" s="3" t="s">
        <v>5374</v>
      </c>
      <c r="AA2324" s="40" t="s">
        <v>2660</v>
      </c>
      <c r="AB2324" s="8">
        <f>TRUNC(0.84*자재조서!E46,1)</f>
        <v>3780</v>
      </c>
      <c r="AC2324" s="40" t="s">
        <v>1650</v>
      </c>
      <c r="AD2324" s="7">
        <f>$AD2321+$AB2324</f>
        <v>3780</v>
      </c>
    </row>
    <row r="2325" spans="1:38" ht="18.399999999999999" customHeight="1">
      <c r="A2325" s="41" t="s">
        <v>6232</v>
      </c>
      <c r="B2325" s="37"/>
      <c r="C2325" s="37"/>
      <c r="D2325" s="37"/>
      <c r="E2325" s="37"/>
      <c r="F2325" s="45"/>
      <c r="K2325" s="3" t="s">
        <v>6232</v>
      </c>
    </row>
    <row r="2326" spans="1:38" ht="18.399999999999999" customHeight="1">
      <c r="A2326" s="42" t="str">
        <f>CONCATENATE("  2) MDI :  1.08  kg  * _x001D_4,000_x001D_  = ",TEXT($AB2326,"#,##0.0"))</f>
        <v xml:space="preserve">  2) MDI :  1.08  kg  * _x001D_4,000_x001D_  = 4,320.0</v>
      </c>
      <c r="B2326" s="37">
        <f>SUM($C2326,$D2326,$E2326)</f>
        <v>4320</v>
      </c>
      <c r="C2326" s="37">
        <f>$AB2326</f>
        <v>4320</v>
      </c>
      <c r="D2326" s="37"/>
      <c r="E2326" s="37"/>
      <c r="F2326" s="45" t="s">
        <v>6232</v>
      </c>
      <c r="K2326" s="3" t="s">
        <v>2993</v>
      </c>
      <c r="AA2326" s="40" t="s">
        <v>2660</v>
      </c>
      <c r="AB2326" s="8">
        <f>TRUNC(1.08*자재조서!E47,1)</f>
        <v>4320</v>
      </c>
      <c r="AC2326" s="40" t="s">
        <v>1650</v>
      </c>
      <c r="AD2326" s="7">
        <f>$AD2324+$AB2326</f>
        <v>8100</v>
      </c>
    </row>
    <row r="2327" spans="1:38" ht="18.399999999999999" customHeight="1">
      <c r="A2327" s="41" t="s">
        <v>6232</v>
      </c>
      <c r="B2327" s="37"/>
      <c r="C2327" s="37"/>
      <c r="D2327" s="37"/>
      <c r="E2327" s="37"/>
      <c r="F2327" s="45"/>
      <c r="K2327" s="3" t="s">
        <v>6232</v>
      </c>
    </row>
    <row r="2328" spans="1:38" ht="18.399999999999999" customHeight="1">
      <c r="A2328" s="41" t="s">
        <v>337</v>
      </c>
      <c r="B2328" s="37"/>
      <c r="C2328" s="37"/>
      <c r="D2328" s="37"/>
      <c r="E2328" s="37"/>
      <c r="F2328" s="45"/>
      <c r="K2328" s="3" t="s">
        <v>3279</v>
      </c>
    </row>
    <row r="2329" spans="1:38" ht="18.399999999999999" customHeight="1">
      <c r="A2329" s="41" t="s">
        <v>6232</v>
      </c>
      <c r="B2329" s="37"/>
      <c r="C2329" s="37"/>
      <c r="D2329" s="37"/>
      <c r="E2329" s="37"/>
      <c r="F2329" s="45"/>
      <c r="K2329" s="3" t="s">
        <v>6232</v>
      </c>
    </row>
    <row r="2330" spans="1:38" ht="18.399999999999999" customHeight="1">
      <c r="A2330" s="42" t="str">
        <f>CONCATENATE("  4) PE 용접봉 :  0.19  kg  * _x001D_10,738_x001D_= ",TEXT($AB2330,"#,##0.0"))</f>
        <v xml:space="preserve">  4) PE 용접봉 :  0.19  kg  * _x001D_10,738_x001D_= 2,040.2</v>
      </c>
      <c r="B2330" s="37">
        <f>SUM($C2330,$D2330,$E2330)</f>
        <v>2040.2</v>
      </c>
      <c r="C2330" s="37">
        <f>$AB2330</f>
        <v>2040.2</v>
      </c>
      <c r="D2330" s="37"/>
      <c r="E2330" s="37"/>
      <c r="F2330" s="45" t="s">
        <v>6232</v>
      </c>
      <c r="K2330" s="3" t="s">
        <v>3775</v>
      </c>
      <c r="AA2330" s="40" t="s">
        <v>2660</v>
      </c>
      <c r="AB2330" s="8">
        <f>TRUNC(0.19*자재조서!E41,1)</f>
        <v>2040.2</v>
      </c>
      <c r="AC2330" s="40" t="s">
        <v>1650</v>
      </c>
      <c r="AD2330" s="7">
        <f>$AD2326+$AB2330</f>
        <v>10140.200000000001</v>
      </c>
    </row>
    <row r="2331" spans="1:38" ht="18.399999999999999" customHeight="1">
      <c r="A2331" s="41" t="s">
        <v>6232</v>
      </c>
      <c r="B2331" s="37"/>
      <c r="C2331" s="37"/>
      <c r="D2331" s="37"/>
      <c r="E2331" s="37"/>
      <c r="F2331" s="45"/>
      <c r="K2331" s="3" t="s">
        <v>6232</v>
      </c>
    </row>
    <row r="2332" spans="1:38" ht="18.399999999999999" customHeight="1">
      <c r="A2332" s="42" t="str">
        <f>CONCATENATE("  5) HDPE 관 :  6.18  m  * _x001D_13,430_x001D_ = ",TEXT($AB2332,"#,##0.0"))</f>
        <v xml:space="preserve">  5) HDPE 관 :  6.18  m  * _x001D_13,430_x001D_ = 82,997.4</v>
      </c>
      <c r="B2332" s="37">
        <f>SUM($C2332,$D2332,$E2332)</f>
        <v>82997.399999999994</v>
      </c>
      <c r="C2332" s="37">
        <f>$AB2332</f>
        <v>82997.399999999994</v>
      </c>
      <c r="D2332" s="37"/>
      <c r="E2332" s="37"/>
      <c r="F2332" s="45" t="s">
        <v>6232</v>
      </c>
      <c r="K2332" s="3" t="s">
        <v>121</v>
      </c>
      <c r="AA2332" s="40" t="s">
        <v>2660</v>
      </c>
      <c r="AB2332" s="8">
        <f>TRUNC(6.18*자재조서!E34,1)</f>
        <v>82997.399999999994</v>
      </c>
      <c r="AC2332" s="40" t="s">
        <v>1650</v>
      </c>
      <c r="AD2332" s="7">
        <f>$AD2330+$AB2332</f>
        <v>93137.599999999991</v>
      </c>
    </row>
    <row r="2333" spans="1:38" ht="18.399999999999999" customHeight="1">
      <c r="A2333" s="41" t="s">
        <v>6232</v>
      </c>
      <c r="B2333" s="37"/>
      <c r="C2333" s="37"/>
      <c r="D2333" s="37"/>
      <c r="E2333" s="37"/>
      <c r="F2333" s="45"/>
      <c r="K2333" s="3" t="s">
        <v>6232</v>
      </c>
    </row>
    <row r="2334" spans="1:38" ht="18.399999999999999" customHeight="1">
      <c r="A2334" s="42" t="str">
        <f>CONCATENATE("  6) 공장보온재 :  2.992  m  * _x001D_7,280_x001D_ = ",TEXT($AB2334,"#,##0.0"))</f>
        <v xml:space="preserve">  6) 공장보온재 :  2.992  m  * _x001D_7,280_x001D_ = 21,781.7</v>
      </c>
      <c r="B2334" s="37">
        <f>SUM($C2334,$D2334,$E2334)</f>
        <v>21781.7</v>
      </c>
      <c r="C2334" s="37">
        <f>$AB2334</f>
        <v>21781.7</v>
      </c>
      <c r="D2334" s="37"/>
      <c r="E2334" s="37"/>
      <c r="F2334" s="45" t="s">
        <v>6232</v>
      </c>
      <c r="K2334" s="3" t="s">
        <v>614</v>
      </c>
      <c r="AA2334" s="40" t="s">
        <v>2660</v>
      </c>
      <c r="AB2334" s="8">
        <f>TRUNC(2.992*자재조서!E64,1)</f>
        <v>21781.7</v>
      </c>
      <c r="AC2334" s="40" t="s">
        <v>1650</v>
      </c>
      <c r="AD2334" s="7">
        <f>$AD2332+$AB2334</f>
        <v>114919.29999999999</v>
      </c>
    </row>
    <row r="2335" spans="1:38" ht="18.399999999999999" customHeight="1">
      <c r="A2335" s="41" t="s">
        <v>6232</v>
      </c>
      <c r="B2335" s="37"/>
      <c r="C2335" s="37"/>
      <c r="D2335" s="37"/>
      <c r="E2335" s="37"/>
      <c r="F2335" s="45"/>
      <c r="K2335" s="3" t="s">
        <v>6232</v>
      </c>
    </row>
    <row r="2336" spans="1:38" ht="18.399999999999999" customHeight="1">
      <c r="A2336" s="42" t="str">
        <f>CONCATENATE("  7) 석동선 :  12.95  m  * _x001D_16.5_x001D_ = ",TEXT($AB2336,"#,##0.0"))</f>
        <v xml:space="preserve">  7) 석동선 :  12.95  m  * _x001D_16.5_x001D_ = 213.6</v>
      </c>
      <c r="B2336" s="37">
        <f>SUM($C2336,$D2336,$E2336)</f>
        <v>213.6</v>
      </c>
      <c r="C2336" s="37">
        <f>$AB2336</f>
        <v>213.6</v>
      </c>
      <c r="D2336" s="37"/>
      <c r="E2336" s="37"/>
      <c r="F2336" s="45" t="s">
        <v>6232</v>
      </c>
      <c r="K2336" s="3" t="s">
        <v>4850</v>
      </c>
      <c r="AA2336" s="40" t="s">
        <v>2660</v>
      </c>
      <c r="AB2336" s="8">
        <f>TRUNC(12.95*자재조서!E85,1)</f>
        <v>213.6</v>
      </c>
      <c r="AC2336" s="40" t="s">
        <v>1650</v>
      </c>
      <c r="AD2336" s="7">
        <f>$AD2334+$AB2336</f>
        <v>115132.9</v>
      </c>
    </row>
    <row r="2337" spans="1:38" ht="18.399999999999999" customHeight="1">
      <c r="A2337" s="41" t="s">
        <v>6232</v>
      </c>
      <c r="B2337" s="37"/>
      <c r="C2337" s="37"/>
      <c r="D2337" s="37"/>
      <c r="E2337" s="37"/>
      <c r="F2337" s="45"/>
      <c r="K2337" s="3" t="s">
        <v>6232</v>
      </c>
    </row>
    <row r="2338" spans="1:38" ht="18.399999999999999" customHeight="1">
      <c r="A2338" s="41" t="s">
        <v>4035</v>
      </c>
      <c r="B2338" s="37">
        <f>SUM($C2338,$D2338,$E2338)</f>
        <v>115132.9</v>
      </c>
      <c r="C2338" s="37">
        <f>$AB2338</f>
        <v>115132.9</v>
      </c>
      <c r="D2338" s="37">
        <f>$AF2338</f>
        <v>0</v>
      </c>
      <c r="E2338" s="37">
        <f>$AJ2338</f>
        <v>0</v>
      </c>
      <c r="F2338" s="45"/>
      <c r="K2338" s="3" t="s">
        <v>6125</v>
      </c>
      <c r="AA2338" s="40" t="s">
        <v>4592</v>
      </c>
      <c r="AB2338" s="8">
        <f>TRUNC($AD2336,1)</f>
        <v>115132.9</v>
      </c>
      <c r="AC2338" s="40" t="s">
        <v>5149</v>
      </c>
      <c r="AD2338" s="7">
        <f>$AB2338</f>
        <v>115132.9</v>
      </c>
      <c r="AE2338" s="40" t="s">
        <v>666</v>
      </c>
      <c r="AF2338" s="8">
        <f>TRUNC($AH2321,1)</f>
        <v>0</v>
      </c>
      <c r="AG2338" s="40" t="s">
        <v>2431</v>
      </c>
      <c r="AH2338" s="7">
        <f>$AF2338</f>
        <v>0</v>
      </c>
      <c r="AI2338" s="40" t="s">
        <v>1930</v>
      </c>
      <c r="AJ2338" s="8">
        <f>TRUNC($AL2321,1)</f>
        <v>0</v>
      </c>
      <c r="AK2338" s="40" t="s">
        <v>3349</v>
      </c>
      <c r="AL2338" s="7">
        <f>$AJ2338</f>
        <v>0</v>
      </c>
    </row>
    <row r="2339" spans="1:38" ht="18.399999999999999" customHeight="1">
      <c r="A2339" s="41" t="s">
        <v>6232</v>
      </c>
      <c r="B2339" s="37">
        <f>SUM($C2339,$D2339,$E2339)</f>
        <v>0</v>
      </c>
      <c r="C2339" s="37">
        <f>$AB2339</f>
        <v>0</v>
      </c>
      <c r="D2339" s="37">
        <f>$AF2339</f>
        <v>0</v>
      </c>
      <c r="E2339" s="37">
        <f>$AJ2339</f>
        <v>0</v>
      </c>
      <c r="F2339" s="45"/>
      <c r="K2339" s="3" t="s">
        <v>5506</v>
      </c>
      <c r="AA2339" s="40" t="s">
        <v>4586</v>
      </c>
      <c r="AB2339" s="8">
        <f>ROUND(0,2)</f>
        <v>0</v>
      </c>
      <c r="AC2339" s="40" t="s">
        <v>4161</v>
      </c>
      <c r="AD2339" s="7">
        <f>$AB2339</f>
        <v>0</v>
      </c>
      <c r="AE2339" s="40" t="s">
        <v>222</v>
      </c>
      <c r="AF2339" s="8">
        <f>ROUND(0,2)</f>
        <v>0</v>
      </c>
      <c r="AG2339" s="40" t="s">
        <v>334</v>
      </c>
      <c r="AH2339" s="7">
        <f>$AF2339</f>
        <v>0</v>
      </c>
      <c r="AI2339" s="40" t="s">
        <v>1574</v>
      </c>
      <c r="AJ2339" s="8">
        <f>ROUND(0,2)</f>
        <v>0</v>
      </c>
      <c r="AK2339" s="40" t="s">
        <v>1622</v>
      </c>
      <c r="AL2339" s="7">
        <f>$AJ2339</f>
        <v>0</v>
      </c>
    </row>
    <row r="2340" spans="1:38" ht="18.399999999999999" customHeight="1">
      <c r="A2340" s="41" t="s">
        <v>231</v>
      </c>
      <c r="B2340" s="37"/>
      <c r="C2340" s="37"/>
      <c r="D2340" s="37"/>
      <c r="E2340" s="37"/>
      <c r="F2340" s="45"/>
      <c r="K2340" s="3" t="s">
        <v>268</v>
      </c>
    </row>
    <row r="2341" spans="1:38" ht="18.399999999999999" customHeight="1">
      <c r="A2341" s="41" t="s">
        <v>6232</v>
      </c>
      <c r="B2341" s="37"/>
      <c r="C2341" s="37"/>
      <c r="D2341" s="37"/>
      <c r="E2341" s="37"/>
      <c r="F2341" s="45"/>
      <c r="K2341" s="3" t="s">
        <v>6232</v>
      </c>
    </row>
    <row r="2342" spans="1:38" ht="18.399999999999999" customHeight="1">
      <c r="A2342" s="41" t="s">
        <v>5533</v>
      </c>
      <c r="B2342" s="37"/>
      <c r="C2342" s="37"/>
      <c r="D2342" s="37"/>
      <c r="E2342" s="37"/>
      <c r="F2342" s="45"/>
      <c r="K2342" s="3" t="s">
        <v>3259</v>
      </c>
    </row>
    <row r="2343" spans="1:38" ht="18.399999999999999" customHeight="1">
      <c r="A2343" s="42" t="str">
        <f>CONCATENATE("    0.932  인  * Q * _x001D_213,722_x001D_ = ",TEXT($AB2343,"#,##0.0"))</f>
        <v xml:space="preserve">    0.932  인  * Q * _x001D_213,722_x001D_ = 232,593.4</v>
      </c>
      <c r="B2343" s="37">
        <f>SUM($C2343,$D2343,$E2343)</f>
        <v>232593.4</v>
      </c>
      <c r="C2343" s="37"/>
      <c r="D2343" s="37">
        <f>$AB2343</f>
        <v>232593.4</v>
      </c>
      <c r="E2343" s="37"/>
      <c r="F2343" s="45" t="s">
        <v>6232</v>
      </c>
      <c r="K2343" s="3" t="s">
        <v>5710</v>
      </c>
      <c r="AA2343" s="40" t="s">
        <v>222</v>
      </c>
      <c r="AB2343" s="8">
        <f>TRUNC(0.932*$AD2320*노임!D10,1)</f>
        <v>232593.4</v>
      </c>
      <c r="AC2343" s="40" t="s">
        <v>334</v>
      </c>
      <c r="AD2343" s="7">
        <f>$AH2339+$AB2343</f>
        <v>232593.4</v>
      </c>
    </row>
    <row r="2344" spans="1:38" ht="18.399999999999999" customHeight="1">
      <c r="A2344" s="41" t="s">
        <v>6232</v>
      </c>
      <c r="B2344" s="37"/>
      <c r="C2344" s="37"/>
      <c r="D2344" s="37"/>
      <c r="E2344" s="37"/>
      <c r="F2344" s="45"/>
      <c r="K2344" s="3" t="s">
        <v>6232</v>
      </c>
    </row>
    <row r="2345" spans="1:38" ht="18.399999999999999" customHeight="1">
      <c r="A2345" s="41" t="s">
        <v>585</v>
      </c>
      <c r="B2345" s="37"/>
      <c r="C2345" s="37"/>
      <c r="D2345" s="37"/>
      <c r="E2345" s="37"/>
      <c r="F2345" s="45"/>
      <c r="K2345" s="3" t="s">
        <v>5657</v>
      </c>
    </row>
    <row r="2346" spans="1:38" ht="18.399999999999999" customHeight="1">
      <c r="A2346" s="42" t="str">
        <f>CONCATENATE("    0.288  인  * Q * _x001D_201,482_x001D_ = ",TEXT($AB2346,"#,##0.0"))</f>
        <v xml:space="preserve">    0.288  인  * Q * _x001D_201,482_x001D_ = 67,058.7</v>
      </c>
      <c r="B2346" s="37">
        <f>SUM($C2346,$D2346,$E2346)</f>
        <v>67058.7</v>
      </c>
      <c r="C2346" s="37"/>
      <c r="D2346" s="37">
        <f>$AB2346</f>
        <v>67058.7</v>
      </c>
      <c r="E2346" s="37"/>
      <c r="F2346" s="45" t="s">
        <v>6232</v>
      </c>
      <c r="K2346" s="3" t="s">
        <v>4057</v>
      </c>
      <c r="AA2346" s="40" t="s">
        <v>222</v>
      </c>
      <c r="AB2346" s="8">
        <f>TRUNC(0.288*$AD2320*노임!D9,1)</f>
        <v>67058.7</v>
      </c>
      <c r="AC2346" s="40" t="s">
        <v>334</v>
      </c>
      <c r="AD2346" s="7">
        <f>$AD2343+$AB2346</f>
        <v>299652.09999999998</v>
      </c>
    </row>
    <row r="2347" spans="1:38" ht="18.399999999999999" customHeight="1">
      <c r="A2347" s="41" t="s">
        <v>6232</v>
      </c>
      <c r="B2347" s="37"/>
      <c r="C2347" s="37"/>
      <c r="D2347" s="37"/>
      <c r="E2347" s="37"/>
      <c r="F2347" s="45"/>
      <c r="K2347" s="3" t="s">
        <v>6232</v>
      </c>
    </row>
    <row r="2348" spans="1:38" ht="18.399999999999999" customHeight="1">
      <c r="A2348" s="41" t="s">
        <v>3917</v>
      </c>
      <c r="B2348" s="37"/>
      <c r="C2348" s="37"/>
      <c r="D2348" s="37"/>
      <c r="E2348" s="37"/>
      <c r="F2348" s="45"/>
      <c r="K2348" s="3" t="s">
        <v>4355</v>
      </c>
    </row>
    <row r="2349" spans="1:38" ht="18.399999999999999" customHeight="1">
      <c r="A2349" s="42" t="str">
        <f>CONCATENATE("    0.198  인  * Q * _x001D_221,506_x001D_ = ",TEXT($AB2349,"#,##0.0"))</f>
        <v xml:space="preserve">    0.198  인  * Q * _x001D_221,506_x001D_ = 51,487.9</v>
      </c>
      <c r="B2349" s="37">
        <f>SUM($C2349,$D2349,$E2349)</f>
        <v>51487.9</v>
      </c>
      <c r="C2349" s="37"/>
      <c r="D2349" s="37">
        <f>$AB2349</f>
        <v>51487.9</v>
      </c>
      <c r="E2349" s="37"/>
      <c r="F2349" s="45" t="s">
        <v>6232</v>
      </c>
      <c r="K2349" s="3" t="s">
        <v>4560</v>
      </c>
      <c r="AA2349" s="40" t="s">
        <v>222</v>
      </c>
      <c r="AB2349" s="8">
        <f>TRUNC(0.198*$AD2320*노임!D4,1)</f>
        <v>51487.9</v>
      </c>
      <c r="AC2349" s="40" t="s">
        <v>334</v>
      </c>
      <c r="AD2349" s="7">
        <f>$AD2346+$AB2349</f>
        <v>351140</v>
      </c>
    </row>
    <row r="2350" spans="1:38" ht="18.399999999999999" customHeight="1">
      <c r="A2350" s="41" t="s">
        <v>6232</v>
      </c>
      <c r="B2350" s="37"/>
      <c r="C2350" s="37"/>
      <c r="D2350" s="37"/>
      <c r="E2350" s="37"/>
      <c r="F2350" s="45"/>
      <c r="K2350" s="3" t="s">
        <v>6232</v>
      </c>
    </row>
    <row r="2351" spans="1:38" ht="18.399999999999999" customHeight="1">
      <c r="A2351" s="41" t="s">
        <v>4277</v>
      </c>
      <c r="B2351" s="37"/>
      <c r="C2351" s="37"/>
      <c r="D2351" s="37"/>
      <c r="E2351" s="37"/>
      <c r="F2351" s="45"/>
      <c r="K2351" s="3" t="s">
        <v>4663</v>
      </c>
    </row>
    <row r="2352" spans="1:38" ht="18.399999999999999" customHeight="1">
      <c r="A2352" s="42" t="str">
        <f>CONCATENATE("    0.470  인  * Q * _x001D_169,804_x001D_ = ",TEXT($AB2352,"#,##0.0"))</f>
        <v xml:space="preserve">    0.470  인  * Q * _x001D_169,804_x001D_ = 93,002.7</v>
      </c>
      <c r="B2352" s="37">
        <f>SUM($C2352,$D2352,$E2352)</f>
        <v>93002.7</v>
      </c>
      <c r="C2352" s="37"/>
      <c r="D2352" s="37">
        <f>$AB2352</f>
        <v>93002.7</v>
      </c>
      <c r="E2352" s="37"/>
      <c r="F2352" s="45" t="s">
        <v>6232</v>
      </c>
      <c r="K2352" s="3" t="s">
        <v>6137</v>
      </c>
      <c r="AA2352" s="40" t="s">
        <v>222</v>
      </c>
      <c r="AB2352" s="8">
        <f>TRUNC(0.47*$AD2320*노임!D3,1)</f>
        <v>93002.7</v>
      </c>
      <c r="AC2352" s="40" t="s">
        <v>334</v>
      </c>
      <c r="AD2352" s="7">
        <f>$AD2349+$AB2352</f>
        <v>444142.7</v>
      </c>
    </row>
    <row r="2353" spans="1:38" ht="18.399999999999999" customHeight="1">
      <c r="A2353" s="41" t="s">
        <v>6232</v>
      </c>
      <c r="B2353" s="37"/>
      <c r="C2353" s="37"/>
      <c r="D2353" s="37"/>
      <c r="E2353" s="37"/>
      <c r="F2353" s="45"/>
      <c r="K2353" s="3" t="s">
        <v>6232</v>
      </c>
    </row>
    <row r="2354" spans="1:38" ht="18.399999999999999" customHeight="1">
      <c r="A2354" s="41" t="s">
        <v>4035</v>
      </c>
      <c r="B2354" s="37">
        <f>SUM($C2354,$D2354,$E2354)</f>
        <v>444142.7</v>
      </c>
      <c r="C2354" s="37">
        <f>$AB2354</f>
        <v>0</v>
      </c>
      <c r="D2354" s="37">
        <f>$AF2354</f>
        <v>444142.7</v>
      </c>
      <c r="E2354" s="37">
        <f>$AJ2354</f>
        <v>0</v>
      </c>
      <c r="F2354" s="45"/>
      <c r="K2354" s="3" t="s">
        <v>134</v>
      </c>
      <c r="AA2354" s="40" t="s">
        <v>4592</v>
      </c>
      <c r="AB2354" s="8">
        <f>TRUNC($AD2339,1)</f>
        <v>0</v>
      </c>
      <c r="AC2354" s="40" t="s">
        <v>5149</v>
      </c>
      <c r="AD2354" s="7">
        <f>$AD2338+$AB2354</f>
        <v>115132.9</v>
      </c>
      <c r="AE2354" s="40" t="s">
        <v>666</v>
      </c>
      <c r="AF2354" s="8">
        <f>TRUNC($AD2352,1)</f>
        <v>444142.7</v>
      </c>
      <c r="AG2354" s="40" t="s">
        <v>2431</v>
      </c>
      <c r="AH2354" s="7">
        <f>$AH2338+$AF2354</f>
        <v>444142.7</v>
      </c>
      <c r="AI2354" s="40" t="s">
        <v>1930</v>
      </c>
      <c r="AJ2354" s="8">
        <f>TRUNC($AL2339,1)</f>
        <v>0</v>
      </c>
      <c r="AK2354" s="40" t="s">
        <v>3349</v>
      </c>
      <c r="AL2354" s="7">
        <f>$AL2338+$AJ2354</f>
        <v>0</v>
      </c>
    </row>
    <row r="2355" spans="1:38" ht="18.399999999999999" customHeight="1">
      <c r="A2355" s="41" t="s">
        <v>6232</v>
      </c>
      <c r="B2355" s="37">
        <f>SUM($C2355,$D2355,$E2355)</f>
        <v>0</v>
      </c>
      <c r="C2355" s="37">
        <f>$AB2355</f>
        <v>0</v>
      </c>
      <c r="D2355" s="37">
        <f>$AF2355</f>
        <v>0</v>
      </c>
      <c r="E2355" s="37">
        <f>$AJ2355</f>
        <v>0</v>
      </c>
      <c r="F2355" s="45"/>
      <c r="K2355" s="3" t="s">
        <v>3238</v>
      </c>
      <c r="AA2355" s="40" t="s">
        <v>308</v>
      </c>
      <c r="AB2355" s="8">
        <f>ROUND(0,2)</f>
        <v>0</v>
      </c>
      <c r="AC2355" s="40" t="s">
        <v>5000</v>
      </c>
      <c r="AD2355" s="7">
        <f>$AB2355</f>
        <v>0</v>
      </c>
      <c r="AE2355" s="40" t="s">
        <v>4500</v>
      </c>
      <c r="AF2355" s="8">
        <f>ROUND(0,2)</f>
        <v>0</v>
      </c>
      <c r="AG2355" s="40" t="s">
        <v>2603</v>
      </c>
      <c r="AH2355" s="7">
        <f>$AF2355</f>
        <v>0</v>
      </c>
      <c r="AI2355" s="40" t="s">
        <v>5878</v>
      </c>
      <c r="AJ2355" s="8">
        <f>ROUND(0,2)</f>
        <v>0</v>
      </c>
      <c r="AK2355" s="40" t="s">
        <v>787</v>
      </c>
      <c r="AL2355" s="7">
        <f>$AJ2355</f>
        <v>0</v>
      </c>
    </row>
    <row r="2356" spans="1:38" ht="18.399999999999999" customHeight="1">
      <c r="A2356" s="41" t="s">
        <v>760</v>
      </c>
      <c r="B2356" s="37"/>
      <c r="C2356" s="37"/>
      <c r="D2356" s="37"/>
      <c r="E2356" s="37"/>
      <c r="F2356" s="45"/>
      <c r="K2356" s="3" t="s">
        <v>5465</v>
      </c>
    </row>
    <row r="2357" spans="1:38" ht="18.399999999999999" customHeight="1">
      <c r="A2357" s="41" t="s">
        <v>6232</v>
      </c>
      <c r="B2357" s="37"/>
      <c r="C2357" s="37"/>
      <c r="D2357" s="37"/>
      <c r="E2357" s="37"/>
      <c r="F2357" s="45"/>
      <c r="K2357" s="3" t="s">
        <v>6232</v>
      </c>
    </row>
    <row r="2358" spans="1:38" ht="18.399999999999999" customHeight="1">
      <c r="A2358" s="42" t="str">
        <f>CONCATENATE("    LA2 / Q * 0.02 = ",TEXT($AB2358,"#,##0.0"))</f>
        <v xml:space="preserve">    LA2 / Q * 0.02 = 7,724.2</v>
      </c>
      <c r="B2358" s="37">
        <f>SUM($C2358,$D2358,$E2358)</f>
        <v>7724.2</v>
      </c>
      <c r="C2358" s="37"/>
      <c r="D2358" s="37"/>
      <c r="E2358" s="37">
        <f>$AB2358</f>
        <v>7724.2</v>
      </c>
      <c r="F2358" s="45"/>
      <c r="K2358" s="3" t="s">
        <v>4829</v>
      </c>
      <c r="AA2358" s="40" t="s">
        <v>5878</v>
      </c>
      <c r="AB2358" s="8">
        <f>TRUNC($AD2352/$AD2320*0.02,1)</f>
        <v>7724.2</v>
      </c>
      <c r="AC2358" s="40" t="s">
        <v>787</v>
      </c>
      <c r="AD2358" s="7">
        <f>$AL2355+$AB2358</f>
        <v>7724.2</v>
      </c>
    </row>
    <row r="2359" spans="1:38" ht="18.399999999999999" customHeight="1">
      <c r="A2359" s="41" t="s">
        <v>6232</v>
      </c>
      <c r="B2359" s="37"/>
      <c r="C2359" s="37"/>
      <c r="D2359" s="37"/>
      <c r="E2359" s="37"/>
      <c r="F2359" s="45"/>
      <c r="K2359" s="3" t="s">
        <v>6232</v>
      </c>
    </row>
    <row r="2360" spans="1:38" ht="18.399999999999999" customHeight="1">
      <c r="A2360" s="41" t="s">
        <v>4035</v>
      </c>
      <c r="B2360" s="37">
        <f>SUM($C2360,$D2360,$E2360)</f>
        <v>7724.2</v>
      </c>
      <c r="C2360" s="37">
        <f>$AB2360</f>
        <v>0</v>
      </c>
      <c r="D2360" s="37">
        <f>$AF2360</f>
        <v>0</v>
      </c>
      <c r="E2360" s="37">
        <f>$AJ2360</f>
        <v>7724.2</v>
      </c>
      <c r="F2360" s="45"/>
      <c r="K2360" s="3" t="s">
        <v>4813</v>
      </c>
      <c r="AA2360" s="40" t="s">
        <v>4592</v>
      </c>
      <c r="AB2360" s="8">
        <f>TRUNC($AD2355,1)</f>
        <v>0</v>
      </c>
      <c r="AC2360" s="40" t="s">
        <v>5149</v>
      </c>
      <c r="AD2360" s="7">
        <f>$AD2354+$AB2360</f>
        <v>115132.9</v>
      </c>
      <c r="AE2360" s="40" t="s">
        <v>666</v>
      </c>
      <c r="AF2360" s="8">
        <f>TRUNC($AH2355,1)</f>
        <v>0</v>
      </c>
      <c r="AG2360" s="40" t="s">
        <v>2431</v>
      </c>
      <c r="AH2360" s="7">
        <f>$AH2354+$AF2360</f>
        <v>444142.7</v>
      </c>
      <c r="AI2360" s="40" t="s">
        <v>1930</v>
      </c>
      <c r="AJ2360" s="8">
        <f>TRUNC($AD2358,1)</f>
        <v>7724.2</v>
      </c>
      <c r="AK2360" s="40" t="s">
        <v>3349</v>
      </c>
      <c r="AL2360" s="7">
        <f>$AL2354+$AJ2360</f>
        <v>7724.2</v>
      </c>
    </row>
    <row r="2361" spans="1:38" ht="18.399999999999999" customHeight="1">
      <c r="A2361" s="41" t="s">
        <v>6232</v>
      </c>
      <c r="B2361" s="37"/>
      <c r="C2361" s="37"/>
      <c r="D2361" s="37"/>
      <c r="E2361" s="37"/>
      <c r="F2361" s="45"/>
      <c r="K2361" s="3" t="s">
        <v>6232</v>
      </c>
    </row>
    <row r="2362" spans="1:38" ht="18.399999999999999" customHeight="1">
      <c r="A2362" s="41" t="s">
        <v>4002</v>
      </c>
      <c r="B2362" s="37">
        <v>560764.4</v>
      </c>
      <c r="C2362" s="37">
        <v>115132.9</v>
      </c>
      <c r="D2362" s="37">
        <v>438013.9</v>
      </c>
      <c r="E2362" s="37">
        <v>7617.6</v>
      </c>
      <c r="F2362" s="45"/>
      <c r="K2362" s="3" t="s">
        <v>916</v>
      </c>
    </row>
    <row r="2363" spans="1:38" ht="18.399999999999999" customHeight="1">
      <c r="A2363" s="41"/>
      <c r="B2363" s="3"/>
      <c r="C2363" s="3"/>
      <c r="D2363" s="3"/>
      <c r="E2363" s="3"/>
      <c r="F2363" s="44"/>
    </row>
    <row r="2364" spans="1:38" ht="18.399999999999999" customHeight="1">
      <c r="A2364" s="43" t="s">
        <v>3543</v>
      </c>
      <c r="B2364" s="38">
        <f>SUM($C2364,$D2364,$E2364)</f>
        <v>566998</v>
      </c>
      <c r="C2364" s="38">
        <f>TRUNC(SUM($AD2360),0)</f>
        <v>115132</v>
      </c>
      <c r="D2364" s="38">
        <f>TRUNC(SUM($AH2360),0)</f>
        <v>444142</v>
      </c>
      <c r="E2364" s="38">
        <f>TRUNC(SUM($AL2360),0)</f>
        <v>7724</v>
      </c>
      <c r="F2364" s="46"/>
    </row>
    <row r="2365" spans="1:38" ht="18.399999999999999" customHeight="1">
      <c r="A2365" s="41"/>
      <c r="B2365" s="3"/>
      <c r="C2365" s="3"/>
      <c r="D2365" s="3"/>
      <c r="E2365" s="3"/>
      <c r="F2365" s="44"/>
    </row>
    <row r="2366" spans="1:38" ht="18.399999999999999" customHeight="1">
      <c r="A2366" s="41" t="s">
        <v>5223</v>
      </c>
      <c r="B2366" s="36">
        <f>$B2418</f>
        <v>631591</v>
      </c>
      <c r="C2366" s="36">
        <f>$C2418</f>
        <v>123005</v>
      </c>
      <c r="D2366" s="36">
        <f>$D2418</f>
        <v>499893</v>
      </c>
      <c r="E2366" s="36">
        <f>$E2418</f>
        <v>8693</v>
      </c>
      <c r="F2366" s="44" t="s">
        <v>4819</v>
      </c>
      <c r="G2366" t="s">
        <v>6232</v>
      </c>
      <c r="H2366" t="s">
        <v>548</v>
      </c>
      <c r="K2366">
        <v>1</v>
      </c>
      <c r="Y2366" s="7" t="b">
        <f>EXACT($Z2366,$B2418)</f>
        <v>0</v>
      </c>
      <c r="Z2366" s="38">
        <v>624670</v>
      </c>
    </row>
    <row r="2367" spans="1:38" ht="18.399999999999999" customHeight="1">
      <c r="A2367" s="41"/>
      <c r="B2367" s="3"/>
      <c r="C2367" s="3"/>
      <c r="D2367" s="3"/>
      <c r="E2367" s="3"/>
      <c r="F2367" s="44"/>
    </row>
    <row r="2368" spans="1:38" ht="18.399999999999999" customHeight="1">
      <c r="A2368" s="41" t="s">
        <v>6232</v>
      </c>
      <c r="B2368" s="3"/>
      <c r="C2368" s="3"/>
      <c r="D2368" s="3"/>
      <c r="E2368" s="3"/>
      <c r="F2368" s="44"/>
      <c r="G2368" t="s">
        <v>6232</v>
      </c>
      <c r="I2368" t="s">
        <v>742</v>
      </c>
      <c r="J2368" t="s">
        <v>6232</v>
      </c>
      <c r="K2368" t="s">
        <v>5235</v>
      </c>
    </row>
    <row r="2369" spans="1:38" ht="18.399999999999999" customHeight="1">
      <c r="A2369" s="41" t="s">
        <v>5771</v>
      </c>
      <c r="B2369" s="37"/>
      <c r="C2369" s="37"/>
      <c r="D2369" s="37"/>
      <c r="E2369" s="37"/>
      <c r="F2369" s="45"/>
      <c r="K2369" s="3" t="s">
        <v>6000</v>
      </c>
    </row>
    <row r="2370" spans="1:38" ht="18.399999999999999" customHeight="1">
      <c r="A2370" s="41" t="s">
        <v>6232</v>
      </c>
      <c r="B2370" s="37"/>
      <c r="C2370" s="37"/>
      <c r="D2370" s="37"/>
      <c r="E2370" s="37"/>
      <c r="F2370" s="45"/>
      <c r="K2370" s="3" t="s">
        <v>6232</v>
      </c>
    </row>
    <row r="2371" spans="1:38" ht="18.399999999999999" customHeight="1">
      <c r="A2371" s="41" t="s">
        <v>2476</v>
      </c>
      <c r="B2371" s="37"/>
      <c r="C2371" s="37"/>
      <c r="D2371" s="37"/>
      <c r="E2371" s="37"/>
      <c r="F2371" s="45"/>
      <c r="K2371" s="3" t="s">
        <v>5810</v>
      </c>
    </row>
    <row r="2372" spans="1:38" ht="18.399999999999999" customHeight="1">
      <c r="A2372" s="41" t="s">
        <v>774</v>
      </c>
      <c r="B2372" s="37"/>
      <c r="C2372" s="37"/>
      <c r="D2372" s="37"/>
      <c r="E2372" s="37"/>
      <c r="F2372" s="45"/>
      <c r="K2372" s="3" t="s">
        <v>3563</v>
      </c>
    </row>
    <row r="2373" spans="1:38" ht="18.399999999999999" customHeight="1">
      <c r="A2373" s="41" t="s">
        <v>1642</v>
      </c>
      <c r="B2373" s="37"/>
      <c r="C2373" s="37"/>
      <c r="D2373" s="37"/>
      <c r="E2373" s="37"/>
      <c r="F2373" s="45"/>
      <c r="K2373" s="3" t="s">
        <v>2758</v>
      </c>
    </row>
    <row r="2374" spans="1:38" ht="18.399999999999999" customHeight="1">
      <c r="A2374" s="42" t="str">
        <f>CONCATENATE("          Q=",TEXT($AB2374,"#,##0.00"))</f>
        <v xml:space="preserve">          Q=1.15</v>
      </c>
      <c r="B2374" s="37"/>
      <c r="C2374" s="37"/>
      <c r="D2374" s="37"/>
      <c r="E2374" s="37"/>
      <c r="F2374" s="45"/>
      <c r="K2374" s="10" t="str">
        <f>SUBSTITUTE(SUBSTITUTE("          Q=1.15","1.15",TEXT($AB2374,"#,##0.00"),1),"_x001D_","'")</f>
        <v xml:space="preserve">          Q=1.15</v>
      </c>
      <c r="AA2374" s="39" t="s">
        <v>4337</v>
      </c>
      <c r="AB2374" s="6">
        <v>1.1499999999999999</v>
      </c>
      <c r="AC2374" s="39" t="s">
        <v>4337</v>
      </c>
      <c r="AD2374" s="7">
        <f>$AB2374</f>
        <v>1.1499999999999999</v>
      </c>
    </row>
    <row r="2375" spans="1:38" ht="18.399999999999999" customHeight="1">
      <c r="A2375" s="41" t="s">
        <v>6232</v>
      </c>
      <c r="B2375" s="37">
        <f>SUM($C2375,$D2375,$E2375)</f>
        <v>0</v>
      </c>
      <c r="C2375" s="37">
        <f>$AB2375</f>
        <v>0</v>
      </c>
      <c r="D2375" s="37">
        <f>$AF2375</f>
        <v>0</v>
      </c>
      <c r="E2375" s="37">
        <f>$AJ2375</f>
        <v>0</v>
      </c>
      <c r="F2375" s="45"/>
      <c r="K2375" s="3" t="s">
        <v>295</v>
      </c>
      <c r="AA2375" s="40" t="s">
        <v>2660</v>
      </c>
      <c r="AB2375" s="8">
        <f>ROUND(0,2)</f>
        <v>0</v>
      </c>
      <c r="AC2375" s="40" t="s">
        <v>1650</v>
      </c>
      <c r="AD2375" s="7">
        <f>$AB2375</f>
        <v>0</v>
      </c>
      <c r="AE2375" s="40" t="s">
        <v>5305</v>
      </c>
      <c r="AF2375" s="8">
        <f>ROUND(0,2)</f>
        <v>0</v>
      </c>
      <c r="AG2375" s="40" t="s">
        <v>5439</v>
      </c>
      <c r="AH2375" s="7">
        <f>$AF2375</f>
        <v>0</v>
      </c>
      <c r="AI2375" s="40" t="s">
        <v>3519</v>
      </c>
      <c r="AJ2375" s="8">
        <f>ROUND(0,2)</f>
        <v>0</v>
      </c>
      <c r="AK2375" s="40" t="s">
        <v>4149</v>
      </c>
      <c r="AL2375" s="7">
        <f>$AJ2375</f>
        <v>0</v>
      </c>
    </row>
    <row r="2376" spans="1:38" ht="18.399999999999999" customHeight="1">
      <c r="A2376" s="41" t="s">
        <v>4464</v>
      </c>
      <c r="B2376" s="37"/>
      <c r="C2376" s="37"/>
      <c r="D2376" s="37"/>
      <c r="E2376" s="37"/>
      <c r="F2376" s="45"/>
      <c r="K2376" s="3" t="s">
        <v>311</v>
      </c>
    </row>
    <row r="2377" spans="1:38" ht="18.399999999999999" customHeight="1">
      <c r="A2377" s="41" t="s">
        <v>6232</v>
      </c>
      <c r="B2377" s="37"/>
      <c r="C2377" s="37"/>
      <c r="D2377" s="37"/>
      <c r="E2377" s="37"/>
      <c r="F2377" s="45"/>
      <c r="K2377" s="3" t="s">
        <v>6232</v>
      </c>
    </row>
    <row r="2378" spans="1:38" ht="18.399999999999999" customHeight="1">
      <c r="A2378" s="42" t="str">
        <f>CONCATENATE("  1) POLYOL :  1.20  kg  * _x001D_4,500_x001D_ = ",TEXT($AB2378,"#,##0.0"))</f>
        <v xml:space="preserve">  1) POLYOL :  1.20  kg  * _x001D_4,500_x001D_ = 5,400.0</v>
      </c>
      <c r="B2378" s="37">
        <f>SUM($C2378,$D2378,$E2378)</f>
        <v>5400</v>
      </c>
      <c r="C2378" s="37">
        <f>$AB2378</f>
        <v>5400</v>
      </c>
      <c r="D2378" s="37"/>
      <c r="E2378" s="37"/>
      <c r="F2378" s="45" t="s">
        <v>6232</v>
      </c>
      <c r="K2378" s="3" t="s">
        <v>5651</v>
      </c>
      <c r="AA2378" s="40" t="s">
        <v>2660</v>
      </c>
      <c r="AB2378" s="8">
        <f>TRUNC(1.2*자재조서!E46,1)</f>
        <v>5400</v>
      </c>
      <c r="AC2378" s="40" t="s">
        <v>1650</v>
      </c>
      <c r="AD2378" s="7">
        <f>$AD2375+$AB2378</f>
        <v>5400</v>
      </c>
    </row>
    <row r="2379" spans="1:38" ht="18.399999999999999" customHeight="1">
      <c r="A2379" s="41" t="s">
        <v>6232</v>
      </c>
      <c r="B2379" s="37"/>
      <c r="C2379" s="37"/>
      <c r="D2379" s="37"/>
      <c r="E2379" s="37"/>
      <c r="F2379" s="45"/>
      <c r="K2379" s="3" t="s">
        <v>6232</v>
      </c>
    </row>
    <row r="2380" spans="1:38" ht="18.399999999999999" customHeight="1">
      <c r="A2380" s="42" t="str">
        <f>CONCATENATE("  2) MDI :  1.68  kg  * _x001D_4,000_x001D_  = ",TEXT($AB2380,"#,##0.0"))</f>
        <v xml:space="preserve">  2) MDI :  1.68  kg  * _x001D_4,000_x001D_  = 6,720.0</v>
      </c>
      <c r="B2380" s="37">
        <f>SUM($C2380,$D2380,$E2380)</f>
        <v>6720</v>
      </c>
      <c r="C2380" s="37">
        <f>$AB2380</f>
        <v>6720</v>
      </c>
      <c r="D2380" s="37"/>
      <c r="E2380" s="37"/>
      <c r="F2380" s="45" t="s">
        <v>6232</v>
      </c>
      <c r="K2380" s="3" t="s">
        <v>4523</v>
      </c>
      <c r="AA2380" s="40" t="s">
        <v>2660</v>
      </c>
      <c r="AB2380" s="8">
        <f>TRUNC(1.68*자재조서!E47,1)</f>
        <v>6720</v>
      </c>
      <c r="AC2380" s="40" t="s">
        <v>1650</v>
      </c>
      <c r="AD2380" s="7">
        <f>$AD2378+$AB2380</f>
        <v>12120</v>
      </c>
    </row>
    <row r="2381" spans="1:38" ht="18.399999999999999" customHeight="1">
      <c r="A2381" s="41" t="s">
        <v>6232</v>
      </c>
      <c r="B2381" s="37"/>
      <c r="C2381" s="37"/>
      <c r="D2381" s="37"/>
      <c r="E2381" s="37"/>
      <c r="F2381" s="45"/>
      <c r="K2381" s="3" t="s">
        <v>6232</v>
      </c>
    </row>
    <row r="2382" spans="1:38" ht="18.399999999999999" customHeight="1">
      <c r="A2382" s="41" t="s">
        <v>337</v>
      </c>
      <c r="B2382" s="37"/>
      <c r="C2382" s="37"/>
      <c r="D2382" s="37"/>
      <c r="E2382" s="37"/>
      <c r="F2382" s="45"/>
      <c r="K2382" s="3" t="s">
        <v>3279</v>
      </c>
    </row>
    <row r="2383" spans="1:38" ht="18.399999999999999" customHeight="1">
      <c r="A2383" s="41" t="s">
        <v>6232</v>
      </c>
      <c r="B2383" s="37"/>
      <c r="C2383" s="37"/>
      <c r="D2383" s="37"/>
      <c r="E2383" s="37"/>
      <c r="F2383" s="45"/>
      <c r="K2383" s="3" t="s">
        <v>6232</v>
      </c>
    </row>
    <row r="2384" spans="1:38" ht="18.399999999999999" customHeight="1">
      <c r="A2384" s="42" t="str">
        <f>CONCATENATE("  4) PE 용접봉 :  0.27  kg  * _x001D_10,738_x001D_= ",TEXT($AB2384,"#,##0.0"))</f>
        <v xml:space="preserve">  4) PE 용접봉 :  0.27  kg  * _x001D_10,738_x001D_= 2,899.2</v>
      </c>
      <c r="B2384" s="37">
        <f>SUM($C2384,$D2384,$E2384)</f>
        <v>2899.2</v>
      </c>
      <c r="C2384" s="37">
        <f>$AB2384</f>
        <v>2899.2</v>
      </c>
      <c r="D2384" s="37"/>
      <c r="E2384" s="37"/>
      <c r="F2384" s="45" t="s">
        <v>6232</v>
      </c>
      <c r="K2384" s="3" t="s">
        <v>4769</v>
      </c>
      <c r="AA2384" s="40" t="s">
        <v>2660</v>
      </c>
      <c r="AB2384" s="8">
        <f>TRUNC(0.27*자재조서!E41,1)</f>
        <v>2899.2</v>
      </c>
      <c r="AC2384" s="40" t="s">
        <v>1650</v>
      </c>
      <c r="AD2384" s="7">
        <f>$AD2380+$AB2384</f>
        <v>15019.2</v>
      </c>
    </row>
    <row r="2385" spans="1:38" ht="18.399999999999999" customHeight="1">
      <c r="A2385" s="41" t="s">
        <v>6232</v>
      </c>
      <c r="B2385" s="37"/>
      <c r="C2385" s="37"/>
      <c r="D2385" s="37"/>
      <c r="E2385" s="37"/>
      <c r="F2385" s="45"/>
      <c r="K2385" s="3" t="s">
        <v>6232</v>
      </c>
    </row>
    <row r="2386" spans="1:38" ht="18.399999999999999" customHeight="1">
      <c r="A2386" s="42" t="str">
        <f>CONCATENATE("  5) HDPE 관 :  6.18  m  * _x001D_13,430_x001D_ = ",TEXT($AB2386,"#,##0.0"))</f>
        <v xml:space="preserve">  5) HDPE 관 :  6.18  m  * _x001D_13,430_x001D_ = 82,997.4</v>
      </c>
      <c r="B2386" s="37">
        <f>SUM($C2386,$D2386,$E2386)</f>
        <v>82997.399999999994</v>
      </c>
      <c r="C2386" s="37">
        <f>$AB2386</f>
        <v>82997.399999999994</v>
      </c>
      <c r="D2386" s="37"/>
      <c r="E2386" s="37"/>
      <c r="F2386" s="45" t="s">
        <v>6232</v>
      </c>
      <c r="K2386" s="3" t="s">
        <v>121</v>
      </c>
      <c r="AA2386" s="40" t="s">
        <v>2660</v>
      </c>
      <c r="AB2386" s="8">
        <f>TRUNC(6.18*자재조서!E34,1)</f>
        <v>82997.399999999994</v>
      </c>
      <c r="AC2386" s="40" t="s">
        <v>1650</v>
      </c>
      <c r="AD2386" s="7">
        <f>$AD2384+$AB2386</f>
        <v>98016.599999999991</v>
      </c>
    </row>
    <row r="2387" spans="1:38" ht="18.399999999999999" customHeight="1">
      <c r="A2387" s="41" t="s">
        <v>6232</v>
      </c>
      <c r="B2387" s="37"/>
      <c r="C2387" s="37"/>
      <c r="D2387" s="37"/>
      <c r="E2387" s="37"/>
      <c r="F2387" s="45"/>
      <c r="K2387" s="3" t="s">
        <v>6232</v>
      </c>
    </row>
    <row r="2388" spans="1:38" ht="18.399999999999999" customHeight="1">
      <c r="A2388" s="42" t="str">
        <f>CONCATENATE("  6) 공장보온재 :  2.992  m  * _x001D_8,280_x001D_ = ",TEXT($AB2388,"#,##0.0"))</f>
        <v xml:space="preserve">  6) 공장보온재 :  2.992  m  * _x001D_8,280_x001D_ = 24,773.7</v>
      </c>
      <c r="B2388" s="37">
        <f>SUM($C2388,$D2388,$E2388)</f>
        <v>24773.7</v>
      </c>
      <c r="C2388" s="37">
        <f>$AB2388</f>
        <v>24773.7</v>
      </c>
      <c r="D2388" s="37"/>
      <c r="E2388" s="37"/>
      <c r="F2388" s="45" t="s">
        <v>6232</v>
      </c>
      <c r="K2388" s="3" t="s">
        <v>3039</v>
      </c>
      <c r="AA2388" s="40" t="s">
        <v>2660</v>
      </c>
      <c r="AB2388" s="8">
        <f>TRUNC(2.992*자재조서!E65,1)</f>
        <v>24773.7</v>
      </c>
      <c r="AC2388" s="40" t="s">
        <v>1650</v>
      </c>
      <c r="AD2388" s="7">
        <f>$AD2386+$AB2388</f>
        <v>122790.29999999999</v>
      </c>
    </row>
    <row r="2389" spans="1:38" ht="18.399999999999999" customHeight="1">
      <c r="A2389" s="41" t="s">
        <v>6232</v>
      </c>
      <c r="B2389" s="37"/>
      <c r="C2389" s="37"/>
      <c r="D2389" s="37"/>
      <c r="E2389" s="37"/>
      <c r="F2389" s="45"/>
      <c r="K2389" s="3" t="s">
        <v>6232</v>
      </c>
    </row>
    <row r="2390" spans="1:38" ht="18.399999999999999" customHeight="1">
      <c r="A2390" s="42" t="str">
        <f>CONCATENATE("  7) 석동선 :  13.07  m  * _x001D_16.5_x001D_ = ",TEXT($AB2390,"#,##0.0"))</f>
        <v xml:space="preserve">  7) 석동선 :  13.07  m  * _x001D_16.5_x001D_ = 215.6</v>
      </c>
      <c r="B2390" s="37">
        <f>SUM($C2390,$D2390,$E2390)</f>
        <v>215.6</v>
      </c>
      <c r="C2390" s="37">
        <f>$AB2390</f>
        <v>215.6</v>
      </c>
      <c r="D2390" s="37"/>
      <c r="E2390" s="37"/>
      <c r="F2390" s="45" t="s">
        <v>6232</v>
      </c>
      <c r="K2390" s="3" t="s">
        <v>2181</v>
      </c>
      <c r="AA2390" s="40" t="s">
        <v>2660</v>
      </c>
      <c r="AB2390" s="8">
        <f>TRUNC(13.07*자재조서!E85,1)</f>
        <v>215.6</v>
      </c>
      <c r="AC2390" s="40" t="s">
        <v>1650</v>
      </c>
      <c r="AD2390" s="7">
        <f>$AD2388+$AB2390</f>
        <v>123005.9</v>
      </c>
    </row>
    <row r="2391" spans="1:38" ht="18.399999999999999" customHeight="1">
      <c r="A2391" s="41" t="s">
        <v>6232</v>
      </c>
      <c r="B2391" s="37"/>
      <c r="C2391" s="37"/>
      <c r="D2391" s="37"/>
      <c r="E2391" s="37"/>
      <c r="F2391" s="45"/>
      <c r="K2391" s="3" t="s">
        <v>6232</v>
      </c>
    </row>
    <row r="2392" spans="1:38" ht="18.399999999999999" customHeight="1">
      <c r="A2392" s="41" t="s">
        <v>4035</v>
      </c>
      <c r="B2392" s="37">
        <f>SUM($C2392,$D2392,$E2392)</f>
        <v>123005.9</v>
      </c>
      <c r="C2392" s="37">
        <f>$AB2392</f>
        <v>123005.9</v>
      </c>
      <c r="D2392" s="37">
        <f>$AF2392</f>
        <v>0</v>
      </c>
      <c r="E2392" s="37">
        <f>$AJ2392</f>
        <v>0</v>
      </c>
      <c r="F2392" s="45"/>
      <c r="K2392" s="3" t="s">
        <v>6125</v>
      </c>
      <c r="AA2392" s="40" t="s">
        <v>4592</v>
      </c>
      <c r="AB2392" s="8">
        <f>TRUNC($AD2390,1)</f>
        <v>123005.9</v>
      </c>
      <c r="AC2392" s="40" t="s">
        <v>5149</v>
      </c>
      <c r="AD2392" s="7">
        <f>$AB2392</f>
        <v>123005.9</v>
      </c>
      <c r="AE2392" s="40" t="s">
        <v>666</v>
      </c>
      <c r="AF2392" s="8">
        <f>TRUNC($AH2375,1)</f>
        <v>0</v>
      </c>
      <c r="AG2392" s="40" t="s">
        <v>2431</v>
      </c>
      <c r="AH2392" s="7">
        <f>$AF2392</f>
        <v>0</v>
      </c>
      <c r="AI2392" s="40" t="s">
        <v>1930</v>
      </c>
      <c r="AJ2392" s="8">
        <f>TRUNC($AL2375,1)</f>
        <v>0</v>
      </c>
      <c r="AK2392" s="40" t="s">
        <v>3349</v>
      </c>
      <c r="AL2392" s="7">
        <f>$AJ2392</f>
        <v>0</v>
      </c>
    </row>
    <row r="2393" spans="1:38" ht="18.399999999999999" customHeight="1">
      <c r="A2393" s="41" t="s">
        <v>6232</v>
      </c>
      <c r="B2393" s="37">
        <f>SUM($C2393,$D2393,$E2393)</f>
        <v>0</v>
      </c>
      <c r="C2393" s="37">
        <f>$AB2393</f>
        <v>0</v>
      </c>
      <c r="D2393" s="37">
        <f>$AF2393</f>
        <v>0</v>
      </c>
      <c r="E2393" s="37">
        <f>$AJ2393</f>
        <v>0</v>
      </c>
      <c r="F2393" s="45"/>
      <c r="K2393" s="3" t="s">
        <v>5506</v>
      </c>
      <c r="AA2393" s="40" t="s">
        <v>4586</v>
      </c>
      <c r="AB2393" s="8">
        <f>ROUND(0,2)</f>
        <v>0</v>
      </c>
      <c r="AC2393" s="40" t="s">
        <v>4161</v>
      </c>
      <c r="AD2393" s="7">
        <f>$AB2393</f>
        <v>0</v>
      </c>
      <c r="AE2393" s="40" t="s">
        <v>222</v>
      </c>
      <c r="AF2393" s="8">
        <f>ROUND(0,2)</f>
        <v>0</v>
      </c>
      <c r="AG2393" s="40" t="s">
        <v>334</v>
      </c>
      <c r="AH2393" s="7">
        <f>$AF2393</f>
        <v>0</v>
      </c>
      <c r="AI2393" s="40" t="s">
        <v>1574</v>
      </c>
      <c r="AJ2393" s="8">
        <f>ROUND(0,2)</f>
        <v>0</v>
      </c>
      <c r="AK2393" s="40" t="s">
        <v>1622</v>
      </c>
      <c r="AL2393" s="7">
        <f>$AJ2393</f>
        <v>0</v>
      </c>
    </row>
    <row r="2394" spans="1:38" ht="18.399999999999999" customHeight="1">
      <c r="A2394" s="41" t="s">
        <v>231</v>
      </c>
      <c r="B2394" s="37"/>
      <c r="C2394" s="37"/>
      <c r="D2394" s="37"/>
      <c r="E2394" s="37"/>
      <c r="F2394" s="45"/>
      <c r="K2394" s="3" t="s">
        <v>268</v>
      </c>
    </row>
    <row r="2395" spans="1:38" ht="18.399999999999999" customHeight="1">
      <c r="A2395" s="41" t="s">
        <v>6232</v>
      </c>
      <c r="B2395" s="37"/>
      <c r="C2395" s="37"/>
      <c r="D2395" s="37"/>
      <c r="E2395" s="37"/>
      <c r="F2395" s="45"/>
      <c r="K2395" s="3" t="s">
        <v>6232</v>
      </c>
    </row>
    <row r="2396" spans="1:38" ht="18.399999999999999" customHeight="1">
      <c r="A2396" s="41" t="s">
        <v>5533</v>
      </c>
      <c r="B2396" s="37"/>
      <c r="C2396" s="37"/>
      <c r="D2396" s="37"/>
      <c r="E2396" s="37"/>
      <c r="F2396" s="45"/>
      <c r="K2396" s="3" t="s">
        <v>3259</v>
      </c>
    </row>
    <row r="2397" spans="1:38" ht="18.399999999999999" customHeight="1">
      <c r="A2397" s="42" t="str">
        <f>CONCATENATE("    1.060  인  * Q * _x001D_213,722_x001D_ = ",TEXT($AB2397,"#,##0.0"))</f>
        <v xml:space="preserve">    1.060  인  * Q * _x001D_213,722_x001D_ = 264,537.6</v>
      </c>
      <c r="B2397" s="37">
        <f>SUM($C2397,$D2397,$E2397)</f>
        <v>264537.59999999998</v>
      </c>
      <c r="C2397" s="37"/>
      <c r="D2397" s="37">
        <f>$AB2397</f>
        <v>264537.59999999998</v>
      </c>
      <c r="E2397" s="37"/>
      <c r="F2397" s="45" t="s">
        <v>6232</v>
      </c>
      <c r="K2397" s="3" t="s">
        <v>3693</v>
      </c>
      <c r="AA2397" s="40" t="s">
        <v>222</v>
      </c>
      <c r="AB2397" s="8">
        <f>TRUNC(1.06*$AD2374*노임!D10,1)</f>
        <v>264537.59999999998</v>
      </c>
      <c r="AC2397" s="40" t="s">
        <v>334</v>
      </c>
      <c r="AD2397" s="7">
        <f>$AH2393+$AB2397</f>
        <v>264537.59999999998</v>
      </c>
    </row>
    <row r="2398" spans="1:38" ht="18.399999999999999" customHeight="1">
      <c r="A2398" s="41" t="s">
        <v>6232</v>
      </c>
      <c r="B2398" s="37"/>
      <c r="C2398" s="37"/>
      <c r="D2398" s="37"/>
      <c r="E2398" s="37"/>
      <c r="F2398" s="45"/>
      <c r="K2398" s="3" t="s">
        <v>6232</v>
      </c>
    </row>
    <row r="2399" spans="1:38" ht="18.399999999999999" customHeight="1">
      <c r="A2399" s="41" t="s">
        <v>585</v>
      </c>
      <c r="B2399" s="37"/>
      <c r="C2399" s="37"/>
      <c r="D2399" s="37"/>
      <c r="E2399" s="37"/>
      <c r="F2399" s="45"/>
      <c r="K2399" s="3" t="s">
        <v>5657</v>
      </c>
    </row>
    <row r="2400" spans="1:38" ht="18.399999999999999" customHeight="1">
      <c r="A2400" s="42" t="str">
        <f>CONCATENATE("    0.352  인  * Q * _x001D_201,482_x001D_ = ",TEXT($AB2400,"#,##0.0"))</f>
        <v xml:space="preserve">    0.352  인  * Q * _x001D_201,482_x001D_ = 81,960.6</v>
      </c>
      <c r="B2400" s="37">
        <f>SUM($C2400,$D2400,$E2400)</f>
        <v>81960.600000000006</v>
      </c>
      <c r="C2400" s="37"/>
      <c r="D2400" s="37">
        <f>$AB2400</f>
        <v>81960.600000000006</v>
      </c>
      <c r="E2400" s="37"/>
      <c r="F2400" s="45" t="s">
        <v>6232</v>
      </c>
      <c r="K2400" s="3" t="s">
        <v>5619</v>
      </c>
      <c r="AA2400" s="40" t="s">
        <v>222</v>
      </c>
      <c r="AB2400" s="8">
        <f>TRUNC(0.352*$AD2374*노임!D9,1)</f>
        <v>81960.600000000006</v>
      </c>
      <c r="AC2400" s="40" t="s">
        <v>334</v>
      </c>
      <c r="AD2400" s="7">
        <f>$AD2397+$AB2400</f>
        <v>346498.19999999995</v>
      </c>
    </row>
    <row r="2401" spans="1:38" ht="18.399999999999999" customHeight="1">
      <c r="A2401" s="41" t="s">
        <v>6232</v>
      </c>
      <c r="B2401" s="37"/>
      <c r="C2401" s="37"/>
      <c r="D2401" s="37"/>
      <c r="E2401" s="37"/>
      <c r="F2401" s="45"/>
      <c r="K2401" s="3" t="s">
        <v>6232</v>
      </c>
    </row>
    <row r="2402" spans="1:38" ht="18.399999999999999" customHeight="1">
      <c r="A2402" s="41" t="s">
        <v>3917</v>
      </c>
      <c r="B2402" s="37"/>
      <c r="C2402" s="37"/>
      <c r="D2402" s="37"/>
      <c r="E2402" s="37"/>
      <c r="F2402" s="45"/>
      <c r="K2402" s="3" t="s">
        <v>4355</v>
      </c>
    </row>
    <row r="2403" spans="1:38" ht="18.399999999999999" customHeight="1">
      <c r="A2403" s="42" t="str">
        <f>CONCATENATE("    0.198  인  * Q * _x001D_221,506_x001D_ = ",TEXT($AB2403,"#,##0.0"))</f>
        <v xml:space="preserve">    0.198  인  * Q * _x001D_221,506_x001D_ = 51,487.9</v>
      </c>
      <c r="B2403" s="37">
        <f>SUM($C2403,$D2403,$E2403)</f>
        <v>51487.9</v>
      </c>
      <c r="C2403" s="37"/>
      <c r="D2403" s="37">
        <f>$AB2403</f>
        <v>51487.9</v>
      </c>
      <c r="E2403" s="37"/>
      <c r="F2403" s="45" t="s">
        <v>6232</v>
      </c>
      <c r="K2403" s="3" t="s">
        <v>4560</v>
      </c>
      <c r="AA2403" s="40" t="s">
        <v>222</v>
      </c>
      <c r="AB2403" s="8">
        <f>TRUNC(0.198*$AD2374*노임!D4,1)</f>
        <v>51487.9</v>
      </c>
      <c r="AC2403" s="40" t="s">
        <v>334</v>
      </c>
      <c r="AD2403" s="7">
        <f>$AD2400+$AB2403</f>
        <v>397986.1</v>
      </c>
    </row>
    <row r="2404" spans="1:38" ht="18.399999999999999" customHeight="1">
      <c r="A2404" s="41" t="s">
        <v>6232</v>
      </c>
      <c r="B2404" s="37"/>
      <c r="C2404" s="37"/>
      <c r="D2404" s="37"/>
      <c r="E2404" s="37"/>
      <c r="F2404" s="45"/>
      <c r="K2404" s="3" t="s">
        <v>6232</v>
      </c>
    </row>
    <row r="2405" spans="1:38" ht="18.399999999999999" customHeight="1">
      <c r="A2405" s="41" t="s">
        <v>4277</v>
      </c>
      <c r="B2405" s="37"/>
      <c r="C2405" s="37"/>
      <c r="D2405" s="37"/>
      <c r="E2405" s="37"/>
      <c r="F2405" s="45"/>
      <c r="K2405" s="3" t="s">
        <v>4663</v>
      </c>
    </row>
    <row r="2406" spans="1:38" ht="18.399999999999999" customHeight="1">
      <c r="A2406" s="42" t="str">
        <f>CONCATENATE("    0.515  인  * Q * _x001D_169,804_x001D_ = ",TEXT($AB2406,"#,##0.0"))</f>
        <v xml:space="preserve">    0.515  인  * Q * _x001D_169,804_x001D_ = 101,907.2</v>
      </c>
      <c r="B2406" s="37">
        <f>SUM($C2406,$D2406,$E2406)</f>
        <v>101907.2</v>
      </c>
      <c r="C2406" s="37"/>
      <c r="D2406" s="37">
        <f>$AB2406</f>
        <v>101907.2</v>
      </c>
      <c r="E2406" s="37"/>
      <c r="F2406" s="45" t="s">
        <v>6232</v>
      </c>
      <c r="K2406" s="3" t="s">
        <v>5859</v>
      </c>
      <c r="AA2406" s="40" t="s">
        <v>222</v>
      </c>
      <c r="AB2406" s="8">
        <f>TRUNC(0.515*$AD2374*노임!D3,1)</f>
        <v>101907.2</v>
      </c>
      <c r="AC2406" s="40" t="s">
        <v>334</v>
      </c>
      <c r="AD2406" s="7">
        <f>$AD2403+$AB2406</f>
        <v>499893.3</v>
      </c>
    </row>
    <row r="2407" spans="1:38" ht="18.399999999999999" customHeight="1">
      <c r="A2407" s="41" t="s">
        <v>6232</v>
      </c>
      <c r="B2407" s="37"/>
      <c r="C2407" s="37"/>
      <c r="D2407" s="37"/>
      <c r="E2407" s="37"/>
      <c r="F2407" s="45"/>
      <c r="K2407" s="3" t="s">
        <v>6232</v>
      </c>
    </row>
    <row r="2408" spans="1:38" ht="18.399999999999999" customHeight="1">
      <c r="A2408" s="41" t="s">
        <v>4035</v>
      </c>
      <c r="B2408" s="37">
        <f>SUM($C2408,$D2408,$E2408)</f>
        <v>499893.3</v>
      </c>
      <c r="C2408" s="37">
        <f>$AB2408</f>
        <v>0</v>
      </c>
      <c r="D2408" s="37">
        <f>$AF2408</f>
        <v>499893.3</v>
      </c>
      <c r="E2408" s="37">
        <f>$AJ2408</f>
        <v>0</v>
      </c>
      <c r="F2408" s="45"/>
      <c r="K2408" s="3" t="s">
        <v>134</v>
      </c>
      <c r="AA2408" s="40" t="s">
        <v>4592</v>
      </c>
      <c r="AB2408" s="8">
        <f>TRUNC($AD2393,1)</f>
        <v>0</v>
      </c>
      <c r="AC2408" s="40" t="s">
        <v>5149</v>
      </c>
      <c r="AD2408" s="7">
        <f>$AD2392+$AB2408</f>
        <v>123005.9</v>
      </c>
      <c r="AE2408" s="40" t="s">
        <v>666</v>
      </c>
      <c r="AF2408" s="8">
        <f>TRUNC($AD2406,1)</f>
        <v>499893.3</v>
      </c>
      <c r="AG2408" s="40" t="s">
        <v>2431</v>
      </c>
      <c r="AH2408" s="7">
        <f>$AH2392+$AF2408</f>
        <v>499893.3</v>
      </c>
      <c r="AI2408" s="40" t="s">
        <v>1930</v>
      </c>
      <c r="AJ2408" s="8">
        <f>TRUNC($AL2393,1)</f>
        <v>0</v>
      </c>
      <c r="AK2408" s="40" t="s">
        <v>3349</v>
      </c>
      <c r="AL2408" s="7">
        <f>$AL2392+$AJ2408</f>
        <v>0</v>
      </c>
    </row>
    <row r="2409" spans="1:38" ht="18.399999999999999" customHeight="1">
      <c r="A2409" s="41" t="s">
        <v>6232</v>
      </c>
      <c r="B2409" s="37">
        <f>SUM($C2409,$D2409,$E2409)</f>
        <v>0</v>
      </c>
      <c r="C2409" s="37">
        <f>$AB2409</f>
        <v>0</v>
      </c>
      <c r="D2409" s="37">
        <f>$AF2409</f>
        <v>0</v>
      </c>
      <c r="E2409" s="37">
        <f>$AJ2409</f>
        <v>0</v>
      </c>
      <c r="F2409" s="45"/>
      <c r="K2409" s="3" t="s">
        <v>3238</v>
      </c>
      <c r="AA2409" s="40" t="s">
        <v>308</v>
      </c>
      <c r="AB2409" s="8">
        <f>ROUND(0,2)</f>
        <v>0</v>
      </c>
      <c r="AC2409" s="40" t="s">
        <v>5000</v>
      </c>
      <c r="AD2409" s="7">
        <f>$AB2409</f>
        <v>0</v>
      </c>
      <c r="AE2409" s="40" t="s">
        <v>4500</v>
      </c>
      <c r="AF2409" s="8">
        <f>ROUND(0,2)</f>
        <v>0</v>
      </c>
      <c r="AG2409" s="40" t="s">
        <v>2603</v>
      </c>
      <c r="AH2409" s="7">
        <f>$AF2409</f>
        <v>0</v>
      </c>
      <c r="AI2409" s="40" t="s">
        <v>5878</v>
      </c>
      <c r="AJ2409" s="8">
        <f>ROUND(0,2)</f>
        <v>0</v>
      </c>
      <c r="AK2409" s="40" t="s">
        <v>787</v>
      </c>
      <c r="AL2409" s="7">
        <f>$AJ2409</f>
        <v>0</v>
      </c>
    </row>
    <row r="2410" spans="1:38" ht="18.399999999999999" customHeight="1">
      <c r="A2410" s="41" t="s">
        <v>760</v>
      </c>
      <c r="B2410" s="37"/>
      <c r="C2410" s="37"/>
      <c r="D2410" s="37"/>
      <c r="E2410" s="37"/>
      <c r="F2410" s="45"/>
      <c r="K2410" s="3" t="s">
        <v>5465</v>
      </c>
    </row>
    <row r="2411" spans="1:38" ht="18.399999999999999" customHeight="1">
      <c r="A2411" s="41" t="s">
        <v>6232</v>
      </c>
      <c r="B2411" s="37"/>
      <c r="C2411" s="37"/>
      <c r="D2411" s="37"/>
      <c r="E2411" s="37"/>
      <c r="F2411" s="45"/>
      <c r="K2411" s="3" t="s">
        <v>6232</v>
      </c>
    </row>
    <row r="2412" spans="1:38" ht="18.399999999999999" customHeight="1">
      <c r="A2412" s="42" t="str">
        <f>CONCATENATE("    LA2 / Q * 0.02 = ",TEXT($AB2412,"#,##0.0"))</f>
        <v xml:space="preserve">    LA2 / Q * 0.02 = 8,693.7</v>
      </c>
      <c r="B2412" s="37">
        <f>SUM($C2412,$D2412,$E2412)</f>
        <v>8693.7000000000007</v>
      </c>
      <c r="C2412" s="37"/>
      <c r="D2412" s="37"/>
      <c r="E2412" s="37">
        <f>$AB2412</f>
        <v>8693.7000000000007</v>
      </c>
      <c r="F2412" s="45"/>
      <c r="K2412" s="3" t="s">
        <v>4829</v>
      </c>
      <c r="AA2412" s="40" t="s">
        <v>5878</v>
      </c>
      <c r="AB2412" s="8">
        <f>TRUNC($AD2406/$AD2374*0.02,1)</f>
        <v>8693.7000000000007</v>
      </c>
      <c r="AC2412" s="40" t="s">
        <v>787</v>
      </c>
      <c r="AD2412" s="7">
        <f>$AL2409+$AB2412</f>
        <v>8693.7000000000007</v>
      </c>
    </row>
    <row r="2413" spans="1:38" ht="18.399999999999999" customHeight="1">
      <c r="A2413" s="41" t="s">
        <v>6232</v>
      </c>
      <c r="B2413" s="37"/>
      <c r="C2413" s="37"/>
      <c r="D2413" s="37"/>
      <c r="E2413" s="37"/>
      <c r="F2413" s="45"/>
      <c r="K2413" s="3" t="s">
        <v>6232</v>
      </c>
    </row>
    <row r="2414" spans="1:38" ht="18.399999999999999" customHeight="1">
      <c r="A2414" s="41" t="s">
        <v>4035</v>
      </c>
      <c r="B2414" s="37">
        <f>SUM($C2414,$D2414,$E2414)</f>
        <v>8693.7000000000007</v>
      </c>
      <c r="C2414" s="37">
        <f>$AB2414</f>
        <v>0</v>
      </c>
      <c r="D2414" s="37">
        <f>$AF2414</f>
        <v>0</v>
      </c>
      <c r="E2414" s="37">
        <f>$AJ2414</f>
        <v>8693.7000000000007</v>
      </c>
      <c r="F2414" s="45"/>
      <c r="K2414" s="3" t="s">
        <v>4813</v>
      </c>
      <c r="AA2414" s="40" t="s">
        <v>4592</v>
      </c>
      <c r="AB2414" s="8">
        <f>TRUNC($AD2409,1)</f>
        <v>0</v>
      </c>
      <c r="AC2414" s="40" t="s">
        <v>5149</v>
      </c>
      <c r="AD2414" s="7">
        <f>$AD2408+$AB2414</f>
        <v>123005.9</v>
      </c>
      <c r="AE2414" s="40" t="s">
        <v>666</v>
      </c>
      <c r="AF2414" s="8">
        <f>TRUNC($AH2409,1)</f>
        <v>0</v>
      </c>
      <c r="AG2414" s="40" t="s">
        <v>2431</v>
      </c>
      <c r="AH2414" s="7">
        <f>$AH2408+$AF2414</f>
        <v>499893.3</v>
      </c>
      <c r="AI2414" s="40" t="s">
        <v>1930</v>
      </c>
      <c r="AJ2414" s="8">
        <f>TRUNC($AD2412,1)</f>
        <v>8693.7000000000007</v>
      </c>
      <c r="AK2414" s="40" t="s">
        <v>3349</v>
      </c>
      <c r="AL2414" s="7">
        <f>$AL2408+$AJ2414</f>
        <v>8693.7000000000007</v>
      </c>
    </row>
    <row r="2415" spans="1:38" ht="18.399999999999999" customHeight="1">
      <c r="A2415" s="41" t="s">
        <v>6232</v>
      </c>
      <c r="B2415" s="37"/>
      <c r="C2415" s="37"/>
      <c r="D2415" s="37"/>
      <c r="E2415" s="37"/>
      <c r="F2415" s="45"/>
      <c r="K2415" s="3" t="s">
        <v>6232</v>
      </c>
    </row>
    <row r="2416" spans="1:38" ht="18.399999999999999" customHeight="1">
      <c r="A2416" s="41" t="s">
        <v>4002</v>
      </c>
      <c r="B2416" s="37">
        <v>624671.6</v>
      </c>
      <c r="C2416" s="37">
        <v>123005.9</v>
      </c>
      <c r="D2416" s="37">
        <v>493090.3</v>
      </c>
      <c r="E2416" s="37">
        <v>8575.4</v>
      </c>
      <c r="F2416" s="45"/>
      <c r="K2416" s="3" t="s">
        <v>916</v>
      </c>
    </row>
    <row r="2417" spans="1:38" ht="18.399999999999999" customHeight="1">
      <c r="A2417" s="41"/>
      <c r="B2417" s="3"/>
      <c r="C2417" s="3"/>
      <c r="D2417" s="3"/>
      <c r="E2417" s="3"/>
      <c r="F2417" s="44"/>
    </row>
    <row r="2418" spans="1:38" ht="18.399999999999999" customHeight="1">
      <c r="A2418" s="43" t="s">
        <v>3543</v>
      </c>
      <c r="B2418" s="38">
        <f>SUM($C2418,$D2418,$E2418)</f>
        <v>631591</v>
      </c>
      <c r="C2418" s="38">
        <f>TRUNC(SUM($AD2414),0)</f>
        <v>123005</v>
      </c>
      <c r="D2418" s="38">
        <f>TRUNC(SUM($AH2414),0)</f>
        <v>499893</v>
      </c>
      <c r="E2418" s="38">
        <f>TRUNC(SUM($AL2414),0)</f>
        <v>8693</v>
      </c>
      <c r="F2418" s="46"/>
    </row>
    <row r="2419" spans="1:38" ht="18.399999999999999" customHeight="1">
      <c r="A2419" s="41"/>
      <c r="B2419" s="3"/>
      <c r="C2419" s="3"/>
      <c r="D2419" s="3"/>
      <c r="E2419" s="3"/>
      <c r="F2419" s="44"/>
    </row>
    <row r="2420" spans="1:38" ht="18.399999999999999" customHeight="1">
      <c r="A2420" s="41" t="s">
        <v>2647</v>
      </c>
      <c r="B2420" s="36">
        <f>$B2472</f>
        <v>644959</v>
      </c>
      <c r="C2420" s="36">
        <f>$C2472</f>
        <v>124440</v>
      </c>
      <c r="D2420" s="36">
        <f>$D2472</f>
        <v>511622</v>
      </c>
      <c r="E2420" s="36">
        <f>$E2472</f>
        <v>8897</v>
      </c>
      <c r="F2420" s="44" t="s">
        <v>4819</v>
      </c>
      <c r="G2420" t="s">
        <v>6232</v>
      </c>
      <c r="H2420" t="s">
        <v>6170</v>
      </c>
      <c r="K2420">
        <v>1</v>
      </c>
      <c r="Y2420" s="7" t="b">
        <f>EXACT($Z2420,$B2472)</f>
        <v>0</v>
      </c>
      <c r="Z2420" s="38">
        <v>637857</v>
      </c>
    </row>
    <row r="2421" spans="1:38" ht="18.399999999999999" customHeight="1">
      <c r="A2421" s="41"/>
      <c r="B2421" s="3"/>
      <c r="C2421" s="3"/>
      <c r="D2421" s="3"/>
      <c r="E2421" s="3"/>
      <c r="F2421" s="44"/>
    </row>
    <row r="2422" spans="1:38" ht="18.399999999999999" customHeight="1">
      <c r="A2422" s="41" t="s">
        <v>6232</v>
      </c>
      <c r="B2422" s="3"/>
      <c r="C2422" s="3"/>
      <c r="D2422" s="3"/>
      <c r="E2422" s="3"/>
      <c r="F2422" s="44"/>
      <c r="G2422" t="s">
        <v>6232</v>
      </c>
      <c r="I2422" t="s">
        <v>742</v>
      </c>
      <c r="J2422" t="s">
        <v>6232</v>
      </c>
      <c r="K2422" t="s">
        <v>5235</v>
      </c>
    </row>
    <row r="2423" spans="1:38" ht="18.399999999999999" customHeight="1">
      <c r="A2423" s="41" t="s">
        <v>1279</v>
      </c>
      <c r="B2423" s="37"/>
      <c r="C2423" s="37"/>
      <c r="D2423" s="37"/>
      <c r="E2423" s="37"/>
      <c r="F2423" s="45"/>
      <c r="K2423" s="3" t="s">
        <v>5865</v>
      </c>
    </row>
    <row r="2424" spans="1:38" ht="18.399999999999999" customHeight="1">
      <c r="A2424" s="41" t="s">
        <v>6232</v>
      </c>
      <c r="B2424" s="37"/>
      <c r="C2424" s="37"/>
      <c r="D2424" s="37"/>
      <c r="E2424" s="37"/>
      <c r="F2424" s="45"/>
      <c r="K2424" s="3" t="s">
        <v>6232</v>
      </c>
    </row>
    <row r="2425" spans="1:38" ht="18.399999999999999" customHeight="1">
      <c r="A2425" s="41" t="s">
        <v>2476</v>
      </c>
      <c r="B2425" s="37"/>
      <c r="C2425" s="37"/>
      <c r="D2425" s="37"/>
      <c r="E2425" s="37"/>
      <c r="F2425" s="45"/>
      <c r="K2425" s="3" t="s">
        <v>5810</v>
      </c>
    </row>
    <row r="2426" spans="1:38" ht="18.399999999999999" customHeight="1">
      <c r="A2426" s="41" t="s">
        <v>774</v>
      </c>
      <c r="B2426" s="37"/>
      <c r="C2426" s="37"/>
      <c r="D2426" s="37"/>
      <c r="E2426" s="37"/>
      <c r="F2426" s="45"/>
      <c r="K2426" s="3" t="s">
        <v>3563</v>
      </c>
    </row>
    <row r="2427" spans="1:38" ht="18.399999999999999" customHeight="1">
      <c r="A2427" s="41" t="s">
        <v>1642</v>
      </c>
      <c r="B2427" s="37"/>
      <c r="C2427" s="37"/>
      <c r="D2427" s="37"/>
      <c r="E2427" s="37"/>
      <c r="F2427" s="45"/>
      <c r="K2427" s="3" t="s">
        <v>2758</v>
      </c>
    </row>
    <row r="2428" spans="1:38" ht="18.399999999999999" customHeight="1">
      <c r="A2428" s="42" t="str">
        <f>CONCATENATE("          Q=",TEXT($AB2428,"#,##0.00"))</f>
        <v xml:space="preserve">          Q=1.15</v>
      </c>
      <c r="B2428" s="37"/>
      <c r="C2428" s="37"/>
      <c r="D2428" s="37"/>
      <c r="E2428" s="37"/>
      <c r="F2428" s="45"/>
      <c r="K2428" s="10" t="str">
        <f>SUBSTITUTE(SUBSTITUTE("          Q=1.15","1.15",TEXT($AB2428,"#,##0.00"),1),"_x001D_","'")</f>
        <v xml:space="preserve">          Q=1.15</v>
      </c>
      <c r="AA2428" s="39" t="s">
        <v>4337</v>
      </c>
      <c r="AB2428" s="6">
        <v>1.1499999999999999</v>
      </c>
      <c r="AC2428" s="39" t="s">
        <v>4337</v>
      </c>
      <c r="AD2428" s="7">
        <f>$AB2428</f>
        <v>1.1499999999999999</v>
      </c>
    </row>
    <row r="2429" spans="1:38" ht="18.399999999999999" customHeight="1">
      <c r="A2429" s="41" t="s">
        <v>6232</v>
      </c>
      <c r="B2429" s="37">
        <f>SUM($C2429,$D2429,$E2429)</f>
        <v>0</v>
      </c>
      <c r="C2429" s="37">
        <f>$AB2429</f>
        <v>0</v>
      </c>
      <c r="D2429" s="37">
        <f>$AF2429</f>
        <v>0</v>
      </c>
      <c r="E2429" s="37">
        <f>$AJ2429</f>
        <v>0</v>
      </c>
      <c r="F2429" s="45"/>
      <c r="K2429" s="3" t="s">
        <v>295</v>
      </c>
      <c r="AA2429" s="40" t="s">
        <v>2660</v>
      </c>
      <c r="AB2429" s="8">
        <f>ROUND(0,2)</f>
        <v>0</v>
      </c>
      <c r="AC2429" s="40" t="s">
        <v>1650</v>
      </c>
      <c r="AD2429" s="7">
        <f>$AB2429</f>
        <v>0</v>
      </c>
      <c r="AE2429" s="40" t="s">
        <v>5305</v>
      </c>
      <c r="AF2429" s="8">
        <f>ROUND(0,2)</f>
        <v>0</v>
      </c>
      <c r="AG2429" s="40" t="s">
        <v>5439</v>
      </c>
      <c r="AH2429" s="7">
        <f>$AF2429</f>
        <v>0</v>
      </c>
      <c r="AI2429" s="40" t="s">
        <v>3519</v>
      </c>
      <c r="AJ2429" s="8">
        <f>ROUND(0,2)</f>
        <v>0</v>
      </c>
      <c r="AK2429" s="40" t="s">
        <v>4149</v>
      </c>
      <c r="AL2429" s="7">
        <f>$AJ2429</f>
        <v>0</v>
      </c>
    </row>
    <row r="2430" spans="1:38" ht="18.399999999999999" customHeight="1">
      <c r="A2430" s="41" t="s">
        <v>4464</v>
      </c>
      <c r="B2430" s="37"/>
      <c r="C2430" s="37"/>
      <c r="D2430" s="37"/>
      <c r="E2430" s="37"/>
      <c r="F2430" s="45"/>
      <c r="K2430" s="3" t="s">
        <v>311</v>
      </c>
    </row>
    <row r="2431" spans="1:38" ht="18.399999999999999" customHeight="1">
      <c r="A2431" s="41" t="s">
        <v>6232</v>
      </c>
      <c r="B2431" s="37"/>
      <c r="C2431" s="37"/>
      <c r="D2431" s="37"/>
      <c r="E2431" s="37"/>
      <c r="F2431" s="45"/>
      <c r="K2431" s="3" t="s">
        <v>6232</v>
      </c>
    </row>
    <row r="2432" spans="1:38" ht="18.399999999999999" customHeight="1">
      <c r="A2432" s="42" t="str">
        <f>CONCATENATE("  1) POLYOL :  1.20  kg  * _x001D_4,500_x001D_ = ",TEXT($AB2432,"#,##0.0"))</f>
        <v xml:space="preserve">  1) POLYOL :  1.20  kg  * _x001D_4,500_x001D_ = 5,400.0</v>
      </c>
      <c r="B2432" s="37">
        <f>SUM($C2432,$D2432,$E2432)</f>
        <v>5400</v>
      </c>
      <c r="C2432" s="37">
        <f>$AB2432</f>
        <v>5400</v>
      </c>
      <c r="D2432" s="37"/>
      <c r="E2432" s="37"/>
      <c r="F2432" s="45" t="s">
        <v>6232</v>
      </c>
      <c r="K2432" s="3" t="s">
        <v>5651</v>
      </c>
      <c r="AA2432" s="40" t="s">
        <v>2660</v>
      </c>
      <c r="AB2432" s="8">
        <f>TRUNC(1.2*자재조서!E46,1)</f>
        <v>5400</v>
      </c>
      <c r="AC2432" s="40" t="s">
        <v>1650</v>
      </c>
      <c r="AD2432" s="7">
        <f>$AD2429+$AB2432</f>
        <v>5400</v>
      </c>
    </row>
    <row r="2433" spans="1:38" ht="18.399999999999999" customHeight="1">
      <c r="A2433" s="41" t="s">
        <v>6232</v>
      </c>
      <c r="B2433" s="37"/>
      <c r="C2433" s="37"/>
      <c r="D2433" s="37"/>
      <c r="E2433" s="37"/>
      <c r="F2433" s="45"/>
      <c r="K2433" s="3" t="s">
        <v>6232</v>
      </c>
    </row>
    <row r="2434" spans="1:38" ht="18.399999999999999" customHeight="1">
      <c r="A2434" s="42" t="str">
        <f>CONCATENATE("  2) MDI :  1.56  kg  * _x001D_4,000_x001D_  = ",TEXT($AB2434,"#,##0.0"))</f>
        <v xml:space="preserve">  2) MDI :  1.56  kg  * _x001D_4,000_x001D_  = 6,240.0</v>
      </c>
      <c r="B2434" s="37">
        <f>SUM($C2434,$D2434,$E2434)</f>
        <v>6240</v>
      </c>
      <c r="C2434" s="37">
        <f>$AB2434</f>
        <v>6240</v>
      </c>
      <c r="D2434" s="37"/>
      <c r="E2434" s="37"/>
      <c r="F2434" s="45" t="s">
        <v>6232</v>
      </c>
      <c r="K2434" s="3" t="s">
        <v>2818</v>
      </c>
      <c r="AA2434" s="40" t="s">
        <v>2660</v>
      </c>
      <c r="AB2434" s="8">
        <f>TRUNC(1.56*자재조서!E47,1)</f>
        <v>6240</v>
      </c>
      <c r="AC2434" s="40" t="s">
        <v>1650</v>
      </c>
      <c r="AD2434" s="7">
        <f>$AD2432+$AB2434</f>
        <v>11640</v>
      </c>
    </row>
    <row r="2435" spans="1:38" ht="18.399999999999999" customHeight="1">
      <c r="A2435" s="41" t="s">
        <v>6232</v>
      </c>
      <c r="B2435" s="37"/>
      <c r="C2435" s="37"/>
      <c r="D2435" s="37"/>
      <c r="E2435" s="37"/>
      <c r="F2435" s="45"/>
      <c r="K2435" s="3" t="s">
        <v>6232</v>
      </c>
    </row>
    <row r="2436" spans="1:38" ht="18.399999999999999" customHeight="1">
      <c r="A2436" s="41" t="s">
        <v>337</v>
      </c>
      <c r="B2436" s="37"/>
      <c r="C2436" s="37"/>
      <c r="D2436" s="37"/>
      <c r="E2436" s="37"/>
      <c r="F2436" s="45"/>
      <c r="K2436" s="3" t="s">
        <v>3279</v>
      </c>
    </row>
    <row r="2437" spans="1:38" ht="18.399999999999999" customHeight="1">
      <c r="A2437" s="41" t="s">
        <v>6232</v>
      </c>
      <c r="B2437" s="37"/>
      <c r="C2437" s="37"/>
      <c r="D2437" s="37"/>
      <c r="E2437" s="37"/>
      <c r="F2437" s="45"/>
      <c r="K2437" s="3" t="s">
        <v>6232</v>
      </c>
    </row>
    <row r="2438" spans="1:38" ht="18.399999999999999" customHeight="1">
      <c r="A2438" s="42" t="str">
        <f>CONCATENATE("  4) PE 용접봉 :  0.27  kg  * _x001D_10,738_x001D_= ",TEXT($AB2438,"#,##0.0"))</f>
        <v xml:space="preserve">  4) PE 용접봉 :  0.27  kg  * _x001D_10,738_x001D_= 2,899.2</v>
      </c>
      <c r="B2438" s="37">
        <f>SUM($C2438,$D2438,$E2438)</f>
        <v>2899.2</v>
      </c>
      <c r="C2438" s="37">
        <f>$AB2438</f>
        <v>2899.2</v>
      </c>
      <c r="D2438" s="37"/>
      <c r="E2438" s="37"/>
      <c r="F2438" s="45" t="s">
        <v>6232</v>
      </c>
      <c r="K2438" s="3" t="s">
        <v>4769</v>
      </c>
      <c r="AA2438" s="40" t="s">
        <v>2660</v>
      </c>
      <c r="AB2438" s="8">
        <f>TRUNC(0.27*자재조서!E41,1)</f>
        <v>2899.2</v>
      </c>
      <c r="AC2438" s="40" t="s">
        <v>1650</v>
      </c>
      <c r="AD2438" s="7">
        <f>$AD2434+$AB2438</f>
        <v>14539.2</v>
      </c>
    </row>
    <row r="2439" spans="1:38" ht="18.399999999999999" customHeight="1">
      <c r="A2439" s="41" t="s">
        <v>6232</v>
      </c>
      <c r="B2439" s="37"/>
      <c r="C2439" s="37"/>
      <c r="D2439" s="37"/>
      <c r="E2439" s="37"/>
      <c r="F2439" s="45"/>
      <c r="K2439" s="3" t="s">
        <v>6232</v>
      </c>
    </row>
    <row r="2440" spans="1:38" ht="18.399999999999999" customHeight="1">
      <c r="A2440" s="42" t="str">
        <f>CONCATENATE("  5) HDPE 관 :  6.18  m  * _x001D_13,430_x001D_ = ",TEXT($AB2440,"#,##0.0"))</f>
        <v xml:space="preserve">  5) HDPE 관 :  6.18  m  * _x001D_13,430_x001D_ = 82,997.4</v>
      </c>
      <c r="B2440" s="37">
        <f>SUM($C2440,$D2440,$E2440)</f>
        <v>82997.399999999994</v>
      </c>
      <c r="C2440" s="37">
        <f>$AB2440</f>
        <v>82997.399999999994</v>
      </c>
      <c r="D2440" s="37"/>
      <c r="E2440" s="37"/>
      <c r="F2440" s="45" t="s">
        <v>6232</v>
      </c>
      <c r="K2440" s="3" t="s">
        <v>121</v>
      </c>
      <c r="AA2440" s="40" t="s">
        <v>2660</v>
      </c>
      <c r="AB2440" s="8">
        <f>TRUNC(6.18*자재조서!E34,1)</f>
        <v>82997.399999999994</v>
      </c>
      <c r="AC2440" s="40" t="s">
        <v>1650</v>
      </c>
      <c r="AD2440" s="7">
        <f>$AD2438+$AB2440</f>
        <v>97536.599999999991</v>
      </c>
    </row>
    <row r="2441" spans="1:38" ht="18.399999999999999" customHeight="1">
      <c r="A2441" s="41" t="s">
        <v>6232</v>
      </c>
      <c r="B2441" s="37"/>
      <c r="C2441" s="37"/>
      <c r="D2441" s="37"/>
      <c r="E2441" s="37"/>
      <c r="F2441" s="45"/>
      <c r="K2441" s="3" t="s">
        <v>6232</v>
      </c>
    </row>
    <row r="2442" spans="1:38" ht="18.399999999999999" customHeight="1">
      <c r="A2442" s="42" t="str">
        <f>CONCATENATE("  6) 공장보온재 :  2.992  m  * _x001D_8,920_x001D_ = ",TEXT($AB2442,"#,##0.0"))</f>
        <v xml:space="preserve">  6) 공장보온재 :  2.992  m  * _x001D_8,920_x001D_ = 26,688.6</v>
      </c>
      <c r="B2442" s="37">
        <f>SUM($C2442,$D2442,$E2442)</f>
        <v>26688.6</v>
      </c>
      <c r="C2442" s="37">
        <f>$AB2442</f>
        <v>26688.6</v>
      </c>
      <c r="D2442" s="37"/>
      <c r="E2442" s="37"/>
      <c r="F2442" s="45" t="s">
        <v>6232</v>
      </c>
      <c r="K2442" s="3" t="s">
        <v>3321</v>
      </c>
      <c r="AA2442" s="40" t="s">
        <v>2660</v>
      </c>
      <c r="AB2442" s="8">
        <f>TRUNC(2.992*자재조서!E66,1)</f>
        <v>26688.6</v>
      </c>
      <c r="AC2442" s="40" t="s">
        <v>1650</v>
      </c>
      <c r="AD2442" s="7">
        <f>$AD2440+$AB2442</f>
        <v>124225.19999999998</v>
      </c>
    </row>
    <row r="2443" spans="1:38" ht="18.399999999999999" customHeight="1">
      <c r="A2443" s="41" t="s">
        <v>6232</v>
      </c>
      <c r="B2443" s="37"/>
      <c r="C2443" s="37"/>
      <c r="D2443" s="37"/>
      <c r="E2443" s="37"/>
      <c r="F2443" s="45"/>
      <c r="K2443" s="3" t="s">
        <v>6232</v>
      </c>
    </row>
    <row r="2444" spans="1:38" ht="18.399999999999999" customHeight="1">
      <c r="A2444" s="42" t="str">
        <f>CONCATENATE("  7) 석동선 :  13.07  m  * _x001D_16.5_x001D_ = ",TEXT($AB2444,"#,##0.0"))</f>
        <v xml:space="preserve">  7) 석동선 :  13.07  m  * _x001D_16.5_x001D_ = 215.6</v>
      </c>
      <c r="B2444" s="37">
        <f>SUM($C2444,$D2444,$E2444)</f>
        <v>215.6</v>
      </c>
      <c r="C2444" s="37">
        <f>$AB2444</f>
        <v>215.6</v>
      </c>
      <c r="D2444" s="37"/>
      <c r="E2444" s="37"/>
      <c r="F2444" s="45" t="s">
        <v>6232</v>
      </c>
      <c r="K2444" s="3" t="s">
        <v>2181</v>
      </c>
      <c r="AA2444" s="40" t="s">
        <v>2660</v>
      </c>
      <c r="AB2444" s="8">
        <f>TRUNC(13.07*자재조서!E85,1)</f>
        <v>215.6</v>
      </c>
      <c r="AC2444" s="40" t="s">
        <v>1650</v>
      </c>
      <c r="AD2444" s="7">
        <f>$AD2442+$AB2444</f>
        <v>124440.79999999999</v>
      </c>
    </row>
    <row r="2445" spans="1:38" ht="18.399999999999999" customHeight="1">
      <c r="A2445" s="41" t="s">
        <v>6232</v>
      </c>
      <c r="B2445" s="37"/>
      <c r="C2445" s="37"/>
      <c r="D2445" s="37"/>
      <c r="E2445" s="37"/>
      <c r="F2445" s="45"/>
      <c r="K2445" s="3" t="s">
        <v>6232</v>
      </c>
    </row>
    <row r="2446" spans="1:38" ht="18.399999999999999" customHeight="1">
      <c r="A2446" s="41" t="s">
        <v>4035</v>
      </c>
      <c r="B2446" s="37">
        <f>SUM($C2446,$D2446,$E2446)</f>
        <v>124440.8</v>
      </c>
      <c r="C2446" s="37">
        <f>$AB2446</f>
        <v>124440.8</v>
      </c>
      <c r="D2446" s="37">
        <f>$AF2446</f>
        <v>0</v>
      </c>
      <c r="E2446" s="37">
        <f>$AJ2446</f>
        <v>0</v>
      </c>
      <c r="F2446" s="45"/>
      <c r="K2446" s="3" t="s">
        <v>6125</v>
      </c>
      <c r="AA2446" s="40" t="s">
        <v>4592</v>
      </c>
      <c r="AB2446" s="8">
        <f>TRUNC($AD2444,1)</f>
        <v>124440.8</v>
      </c>
      <c r="AC2446" s="40" t="s">
        <v>5149</v>
      </c>
      <c r="AD2446" s="7">
        <f>$AB2446</f>
        <v>124440.8</v>
      </c>
      <c r="AE2446" s="40" t="s">
        <v>666</v>
      </c>
      <c r="AF2446" s="8">
        <f>TRUNC($AH2429,1)</f>
        <v>0</v>
      </c>
      <c r="AG2446" s="40" t="s">
        <v>2431</v>
      </c>
      <c r="AH2446" s="7">
        <f>$AF2446</f>
        <v>0</v>
      </c>
      <c r="AI2446" s="40" t="s">
        <v>1930</v>
      </c>
      <c r="AJ2446" s="8">
        <f>TRUNC($AL2429,1)</f>
        <v>0</v>
      </c>
      <c r="AK2446" s="40" t="s">
        <v>3349</v>
      </c>
      <c r="AL2446" s="7">
        <f>$AJ2446</f>
        <v>0</v>
      </c>
    </row>
    <row r="2447" spans="1:38" ht="18.399999999999999" customHeight="1">
      <c r="A2447" s="41" t="s">
        <v>6232</v>
      </c>
      <c r="B2447" s="37">
        <f>SUM($C2447,$D2447,$E2447)</f>
        <v>0</v>
      </c>
      <c r="C2447" s="37">
        <f>$AB2447</f>
        <v>0</v>
      </c>
      <c r="D2447" s="37">
        <f>$AF2447</f>
        <v>0</v>
      </c>
      <c r="E2447" s="37">
        <f>$AJ2447</f>
        <v>0</v>
      </c>
      <c r="F2447" s="45"/>
      <c r="K2447" s="3" t="s">
        <v>5506</v>
      </c>
      <c r="AA2447" s="40" t="s">
        <v>4586</v>
      </c>
      <c r="AB2447" s="8">
        <f>ROUND(0,2)</f>
        <v>0</v>
      </c>
      <c r="AC2447" s="40" t="s">
        <v>4161</v>
      </c>
      <c r="AD2447" s="7">
        <f>$AB2447</f>
        <v>0</v>
      </c>
      <c r="AE2447" s="40" t="s">
        <v>222</v>
      </c>
      <c r="AF2447" s="8">
        <f>ROUND(0,2)</f>
        <v>0</v>
      </c>
      <c r="AG2447" s="40" t="s">
        <v>334</v>
      </c>
      <c r="AH2447" s="7">
        <f>$AF2447</f>
        <v>0</v>
      </c>
      <c r="AI2447" s="40" t="s">
        <v>1574</v>
      </c>
      <c r="AJ2447" s="8">
        <f>ROUND(0,2)</f>
        <v>0</v>
      </c>
      <c r="AK2447" s="40" t="s">
        <v>1622</v>
      </c>
      <c r="AL2447" s="7">
        <f>$AJ2447</f>
        <v>0</v>
      </c>
    </row>
    <row r="2448" spans="1:38" ht="18.399999999999999" customHeight="1">
      <c r="A2448" s="41" t="s">
        <v>231</v>
      </c>
      <c r="B2448" s="37"/>
      <c r="C2448" s="37"/>
      <c r="D2448" s="37"/>
      <c r="E2448" s="37"/>
      <c r="F2448" s="45"/>
      <c r="K2448" s="3" t="s">
        <v>268</v>
      </c>
    </row>
    <row r="2449" spans="1:38" ht="18.399999999999999" customHeight="1">
      <c r="A2449" s="41" t="s">
        <v>6232</v>
      </c>
      <c r="B2449" s="37"/>
      <c r="C2449" s="37"/>
      <c r="D2449" s="37"/>
      <c r="E2449" s="37"/>
      <c r="F2449" s="45"/>
      <c r="K2449" s="3" t="s">
        <v>6232</v>
      </c>
    </row>
    <row r="2450" spans="1:38" ht="18.399999999999999" customHeight="1">
      <c r="A2450" s="41" t="s">
        <v>5533</v>
      </c>
      <c r="B2450" s="37"/>
      <c r="C2450" s="37"/>
      <c r="D2450" s="37"/>
      <c r="E2450" s="37"/>
      <c r="F2450" s="45"/>
      <c r="K2450" s="3" t="s">
        <v>3259</v>
      </c>
    </row>
    <row r="2451" spans="1:38" ht="18.399999999999999" customHeight="1">
      <c r="A2451" s="42" t="str">
        <f>CONCATENATE("    1.107  인  * Q * _x001D_213,722_x001D_ = ",TEXT($AB2451,"#,##0.0"))</f>
        <v xml:space="preserve">    1.107  인  * Q * _x001D_213,722_x001D_ = 276,267.1</v>
      </c>
      <c r="B2451" s="37">
        <f>SUM($C2451,$D2451,$E2451)</f>
        <v>276267.09999999998</v>
      </c>
      <c r="C2451" s="37"/>
      <c r="D2451" s="37">
        <f>$AB2451</f>
        <v>276267.09999999998</v>
      </c>
      <c r="E2451" s="37"/>
      <c r="F2451" s="45" t="s">
        <v>6232</v>
      </c>
      <c r="K2451" s="3" t="s">
        <v>4069</v>
      </c>
      <c r="AA2451" s="40" t="s">
        <v>222</v>
      </c>
      <c r="AB2451" s="8">
        <f>TRUNC(1.107*$AD2428*노임!D10,1)</f>
        <v>276267.09999999998</v>
      </c>
      <c r="AC2451" s="40" t="s">
        <v>334</v>
      </c>
      <c r="AD2451" s="7">
        <f>$AH2447+$AB2451</f>
        <v>276267.09999999998</v>
      </c>
    </row>
    <row r="2452" spans="1:38" ht="18.399999999999999" customHeight="1">
      <c r="A2452" s="41" t="s">
        <v>6232</v>
      </c>
      <c r="B2452" s="37"/>
      <c r="C2452" s="37"/>
      <c r="D2452" s="37"/>
      <c r="E2452" s="37"/>
      <c r="F2452" s="45"/>
      <c r="K2452" s="3" t="s">
        <v>6232</v>
      </c>
    </row>
    <row r="2453" spans="1:38" ht="18.399999999999999" customHeight="1">
      <c r="A2453" s="41" t="s">
        <v>585</v>
      </c>
      <c r="B2453" s="37"/>
      <c r="C2453" s="37"/>
      <c r="D2453" s="37"/>
      <c r="E2453" s="37"/>
      <c r="F2453" s="45"/>
      <c r="K2453" s="3" t="s">
        <v>5657</v>
      </c>
    </row>
    <row r="2454" spans="1:38" ht="18.399999999999999" customHeight="1">
      <c r="A2454" s="42" t="str">
        <f>CONCATENATE("    0.352  인  * Q * _x001D_201,482_x001D_ = ",TEXT($AB2454,"#,##0.0"))</f>
        <v xml:space="preserve">    0.352  인  * Q * _x001D_201,482_x001D_ = 81,960.6</v>
      </c>
      <c r="B2454" s="37">
        <f>SUM($C2454,$D2454,$E2454)</f>
        <v>81960.600000000006</v>
      </c>
      <c r="C2454" s="37"/>
      <c r="D2454" s="37">
        <f>$AB2454</f>
        <v>81960.600000000006</v>
      </c>
      <c r="E2454" s="37"/>
      <c r="F2454" s="45" t="s">
        <v>6232</v>
      </c>
      <c r="K2454" s="3" t="s">
        <v>5619</v>
      </c>
      <c r="AA2454" s="40" t="s">
        <v>222</v>
      </c>
      <c r="AB2454" s="8">
        <f>TRUNC(0.352*$AD2428*노임!D9,1)</f>
        <v>81960.600000000006</v>
      </c>
      <c r="AC2454" s="40" t="s">
        <v>334</v>
      </c>
      <c r="AD2454" s="7">
        <f>$AD2451+$AB2454</f>
        <v>358227.69999999995</v>
      </c>
    </row>
    <row r="2455" spans="1:38" ht="18.399999999999999" customHeight="1">
      <c r="A2455" s="41" t="s">
        <v>6232</v>
      </c>
      <c r="B2455" s="37"/>
      <c r="C2455" s="37"/>
      <c r="D2455" s="37"/>
      <c r="E2455" s="37"/>
      <c r="F2455" s="45"/>
      <c r="K2455" s="3" t="s">
        <v>6232</v>
      </c>
    </row>
    <row r="2456" spans="1:38" ht="18.399999999999999" customHeight="1">
      <c r="A2456" s="41" t="s">
        <v>3917</v>
      </c>
      <c r="B2456" s="37"/>
      <c r="C2456" s="37"/>
      <c r="D2456" s="37"/>
      <c r="E2456" s="37"/>
      <c r="F2456" s="45"/>
      <c r="K2456" s="3" t="s">
        <v>4355</v>
      </c>
    </row>
    <row r="2457" spans="1:38" ht="18.399999999999999" customHeight="1">
      <c r="A2457" s="42" t="str">
        <f>CONCATENATE("    0.198  인  * Q * _x001D_221,506_x001D_ = ",TEXT($AB2457,"#,##0.0"))</f>
        <v xml:space="preserve">    0.198  인  * Q * _x001D_221,506_x001D_ = 51,487.9</v>
      </c>
      <c r="B2457" s="37">
        <f>SUM($C2457,$D2457,$E2457)</f>
        <v>51487.9</v>
      </c>
      <c r="C2457" s="37"/>
      <c r="D2457" s="37">
        <f>$AB2457</f>
        <v>51487.9</v>
      </c>
      <c r="E2457" s="37"/>
      <c r="F2457" s="45" t="s">
        <v>6232</v>
      </c>
      <c r="K2457" s="3" t="s">
        <v>4560</v>
      </c>
      <c r="AA2457" s="40" t="s">
        <v>222</v>
      </c>
      <c r="AB2457" s="8">
        <f>TRUNC(0.198*$AD2428*노임!D4,1)</f>
        <v>51487.9</v>
      </c>
      <c r="AC2457" s="40" t="s">
        <v>334</v>
      </c>
      <c r="AD2457" s="7">
        <f>$AD2454+$AB2457</f>
        <v>409715.6</v>
      </c>
    </row>
    <row r="2458" spans="1:38" ht="18.399999999999999" customHeight="1">
      <c r="A2458" s="41" t="s">
        <v>6232</v>
      </c>
      <c r="B2458" s="37"/>
      <c r="C2458" s="37"/>
      <c r="D2458" s="37"/>
      <c r="E2458" s="37"/>
      <c r="F2458" s="45"/>
      <c r="K2458" s="3" t="s">
        <v>6232</v>
      </c>
    </row>
    <row r="2459" spans="1:38" ht="18.399999999999999" customHeight="1">
      <c r="A2459" s="41" t="s">
        <v>4277</v>
      </c>
      <c r="B2459" s="37"/>
      <c r="C2459" s="37"/>
      <c r="D2459" s="37"/>
      <c r="E2459" s="37"/>
      <c r="F2459" s="45"/>
      <c r="K2459" s="3" t="s">
        <v>4663</v>
      </c>
    </row>
    <row r="2460" spans="1:38" ht="18.399999999999999" customHeight="1">
      <c r="A2460" s="42" t="str">
        <f>CONCATENATE("    0.515  인  * Q * _x001D_169,804_x001D_ = ",TEXT($AB2460,"#,##0.0"))</f>
        <v xml:space="preserve">    0.515  인  * Q * _x001D_169,804_x001D_ = 101,907.2</v>
      </c>
      <c r="B2460" s="37">
        <f>SUM($C2460,$D2460,$E2460)</f>
        <v>101907.2</v>
      </c>
      <c r="C2460" s="37"/>
      <c r="D2460" s="37">
        <f>$AB2460</f>
        <v>101907.2</v>
      </c>
      <c r="E2460" s="37"/>
      <c r="F2460" s="45" t="s">
        <v>6232</v>
      </c>
      <c r="K2460" s="3" t="s">
        <v>5859</v>
      </c>
      <c r="AA2460" s="40" t="s">
        <v>222</v>
      </c>
      <c r="AB2460" s="8">
        <f>TRUNC(0.515*$AD2428*노임!D3,1)</f>
        <v>101907.2</v>
      </c>
      <c r="AC2460" s="40" t="s">
        <v>334</v>
      </c>
      <c r="AD2460" s="7">
        <f>$AD2457+$AB2460</f>
        <v>511622.8</v>
      </c>
    </row>
    <row r="2461" spans="1:38" ht="18.399999999999999" customHeight="1">
      <c r="A2461" s="41" t="s">
        <v>6232</v>
      </c>
      <c r="B2461" s="37"/>
      <c r="C2461" s="37"/>
      <c r="D2461" s="37"/>
      <c r="E2461" s="37"/>
      <c r="F2461" s="45"/>
      <c r="K2461" s="3" t="s">
        <v>6232</v>
      </c>
    </row>
    <row r="2462" spans="1:38" ht="18.399999999999999" customHeight="1">
      <c r="A2462" s="41" t="s">
        <v>4035</v>
      </c>
      <c r="B2462" s="37">
        <f>SUM($C2462,$D2462,$E2462)</f>
        <v>511622.8</v>
      </c>
      <c r="C2462" s="37">
        <f>$AB2462</f>
        <v>0</v>
      </c>
      <c r="D2462" s="37">
        <f>$AF2462</f>
        <v>511622.8</v>
      </c>
      <c r="E2462" s="37">
        <f>$AJ2462</f>
        <v>0</v>
      </c>
      <c r="F2462" s="45"/>
      <c r="K2462" s="3" t="s">
        <v>134</v>
      </c>
      <c r="AA2462" s="40" t="s">
        <v>4592</v>
      </c>
      <c r="AB2462" s="8">
        <f>TRUNC($AD2447,1)</f>
        <v>0</v>
      </c>
      <c r="AC2462" s="40" t="s">
        <v>5149</v>
      </c>
      <c r="AD2462" s="7">
        <f>$AD2446+$AB2462</f>
        <v>124440.8</v>
      </c>
      <c r="AE2462" s="40" t="s">
        <v>666</v>
      </c>
      <c r="AF2462" s="8">
        <f>TRUNC($AD2460,1)</f>
        <v>511622.8</v>
      </c>
      <c r="AG2462" s="40" t="s">
        <v>2431</v>
      </c>
      <c r="AH2462" s="7">
        <f>$AH2446+$AF2462</f>
        <v>511622.8</v>
      </c>
      <c r="AI2462" s="40" t="s">
        <v>1930</v>
      </c>
      <c r="AJ2462" s="8">
        <f>TRUNC($AL2447,1)</f>
        <v>0</v>
      </c>
      <c r="AK2462" s="40" t="s">
        <v>3349</v>
      </c>
      <c r="AL2462" s="7">
        <f>$AL2446+$AJ2462</f>
        <v>0</v>
      </c>
    </row>
    <row r="2463" spans="1:38" ht="18.399999999999999" customHeight="1">
      <c r="A2463" s="41" t="s">
        <v>6232</v>
      </c>
      <c r="B2463" s="37">
        <f>SUM($C2463,$D2463,$E2463)</f>
        <v>0</v>
      </c>
      <c r="C2463" s="37">
        <f>$AB2463</f>
        <v>0</v>
      </c>
      <c r="D2463" s="37">
        <f>$AF2463</f>
        <v>0</v>
      </c>
      <c r="E2463" s="37">
        <f>$AJ2463</f>
        <v>0</v>
      </c>
      <c r="F2463" s="45"/>
      <c r="K2463" s="3" t="s">
        <v>3238</v>
      </c>
      <c r="AA2463" s="40" t="s">
        <v>308</v>
      </c>
      <c r="AB2463" s="8">
        <f>ROUND(0,2)</f>
        <v>0</v>
      </c>
      <c r="AC2463" s="40" t="s">
        <v>5000</v>
      </c>
      <c r="AD2463" s="7">
        <f>$AB2463</f>
        <v>0</v>
      </c>
      <c r="AE2463" s="40" t="s">
        <v>4500</v>
      </c>
      <c r="AF2463" s="8">
        <f>ROUND(0,2)</f>
        <v>0</v>
      </c>
      <c r="AG2463" s="40" t="s">
        <v>2603</v>
      </c>
      <c r="AH2463" s="7">
        <f>$AF2463</f>
        <v>0</v>
      </c>
      <c r="AI2463" s="40" t="s">
        <v>5878</v>
      </c>
      <c r="AJ2463" s="8">
        <f>ROUND(0,2)</f>
        <v>0</v>
      </c>
      <c r="AK2463" s="40" t="s">
        <v>787</v>
      </c>
      <c r="AL2463" s="7">
        <f>$AJ2463</f>
        <v>0</v>
      </c>
    </row>
    <row r="2464" spans="1:38" ht="18.399999999999999" customHeight="1">
      <c r="A2464" s="41" t="s">
        <v>760</v>
      </c>
      <c r="B2464" s="37"/>
      <c r="C2464" s="37"/>
      <c r="D2464" s="37"/>
      <c r="E2464" s="37"/>
      <c r="F2464" s="45"/>
      <c r="K2464" s="3" t="s">
        <v>5465</v>
      </c>
    </row>
    <row r="2465" spans="1:38" ht="18.399999999999999" customHeight="1">
      <c r="A2465" s="41" t="s">
        <v>6232</v>
      </c>
      <c r="B2465" s="37"/>
      <c r="C2465" s="37"/>
      <c r="D2465" s="37"/>
      <c r="E2465" s="37"/>
      <c r="F2465" s="45"/>
      <c r="K2465" s="3" t="s">
        <v>6232</v>
      </c>
    </row>
    <row r="2466" spans="1:38" ht="18.399999999999999" customHeight="1">
      <c r="A2466" s="42" t="str">
        <f>CONCATENATE("    LA2 / Q * 0.02 = ",TEXT($AB2466,"#,##0.0"))</f>
        <v xml:space="preserve">    LA2 / Q * 0.02 = 8,897.7</v>
      </c>
      <c r="B2466" s="37">
        <f>SUM($C2466,$D2466,$E2466)</f>
        <v>8897.7000000000007</v>
      </c>
      <c r="C2466" s="37"/>
      <c r="D2466" s="37"/>
      <c r="E2466" s="37">
        <f>$AB2466</f>
        <v>8897.7000000000007</v>
      </c>
      <c r="F2466" s="45"/>
      <c r="K2466" s="3" t="s">
        <v>4829</v>
      </c>
      <c r="AA2466" s="40" t="s">
        <v>5878</v>
      </c>
      <c r="AB2466" s="8">
        <f>TRUNC($AD2460/$AD2428*0.02,1)</f>
        <v>8897.7000000000007</v>
      </c>
      <c r="AC2466" s="40" t="s">
        <v>787</v>
      </c>
      <c r="AD2466" s="7">
        <f>$AL2463+$AB2466</f>
        <v>8897.7000000000007</v>
      </c>
    </row>
    <row r="2467" spans="1:38" ht="18.399999999999999" customHeight="1">
      <c r="A2467" s="41" t="s">
        <v>6232</v>
      </c>
      <c r="B2467" s="37"/>
      <c r="C2467" s="37"/>
      <c r="D2467" s="37"/>
      <c r="E2467" s="37"/>
      <c r="F2467" s="45"/>
      <c r="K2467" s="3" t="s">
        <v>6232</v>
      </c>
    </row>
    <row r="2468" spans="1:38" ht="18.399999999999999" customHeight="1">
      <c r="A2468" s="41" t="s">
        <v>4035</v>
      </c>
      <c r="B2468" s="37">
        <f>SUM($C2468,$D2468,$E2468)</f>
        <v>8897.7000000000007</v>
      </c>
      <c r="C2468" s="37">
        <f>$AB2468</f>
        <v>0</v>
      </c>
      <c r="D2468" s="37">
        <f>$AF2468</f>
        <v>0</v>
      </c>
      <c r="E2468" s="37">
        <f>$AJ2468</f>
        <v>8897.7000000000007</v>
      </c>
      <c r="F2468" s="45"/>
      <c r="K2468" s="3" t="s">
        <v>4813</v>
      </c>
      <c r="AA2468" s="40" t="s">
        <v>4592</v>
      </c>
      <c r="AB2468" s="8">
        <f>TRUNC($AD2463,1)</f>
        <v>0</v>
      </c>
      <c r="AC2468" s="40" t="s">
        <v>5149</v>
      </c>
      <c r="AD2468" s="7">
        <f>$AD2462+$AB2468</f>
        <v>124440.8</v>
      </c>
      <c r="AE2468" s="40" t="s">
        <v>666</v>
      </c>
      <c r="AF2468" s="8">
        <f>TRUNC($AH2463,1)</f>
        <v>0</v>
      </c>
      <c r="AG2468" s="40" t="s">
        <v>2431</v>
      </c>
      <c r="AH2468" s="7">
        <f>$AH2462+$AF2468</f>
        <v>511622.8</v>
      </c>
      <c r="AI2468" s="40" t="s">
        <v>1930</v>
      </c>
      <c r="AJ2468" s="8">
        <f>TRUNC($AD2466,1)</f>
        <v>8897.7000000000007</v>
      </c>
      <c r="AK2468" s="40" t="s">
        <v>3349</v>
      </c>
      <c r="AL2468" s="7">
        <f>$AL2462+$AJ2468</f>
        <v>8897.7000000000007</v>
      </c>
    </row>
    <row r="2469" spans="1:38" ht="18.399999999999999" customHeight="1">
      <c r="A2469" s="41" t="s">
        <v>6232</v>
      </c>
      <c r="B2469" s="37"/>
      <c r="C2469" s="37"/>
      <c r="D2469" s="37"/>
      <c r="E2469" s="37"/>
      <c r="F2469" s="45"/>
      <c r="K2469" s="3" t="s">
        <v>6232</v>
      </c>
    </row>
    <row r="2470" spans="1:38" ht="18.399999999999999" customHeight="1">
      <c r="A2470" s="41" t="s">
        <v>4002</v>
      </c>
      <c r="B2470" s="37">
        <v>637859</v>
      </c>
      <c r="C2470" s="37">
        <v>124440.8</v>
      </c>
      <c r="D2470" s="37">
        <v>504641.9</v>
      </c>
      <c r="E2470" s="37">
        <v>8776.2999999999993</v>
      </c>
      <c r="F2470" s="45"/>
      <c r="K2470" s="3" t="s">
        <v>916</v>
      </c>
    </row>
    <row r="2471" spans="1:38" ht="18.399999999999999" customHeight="1">
      <c r="A2471" s="41"/>
      <c r="B2471" s="3"/>
      <c r="C2471" s="3"/>
      <c r="D2471" s="3"/>
      <c r="E2471" s="3"/>
      <c r="F2471" s="44"/>
    </row>
    <row r="2472" spans="1:38" ht="18.399999999999999" customHeight="1">
      <c r="A2472" s="43" t="s">
        <v>3543</v>
      </c>
      <c r="B2472" s="38">
        <f>SUM($C2472,$D2472,$E2472)</f>
        <v>644959</v>
      </c>
      <c r="C2472" s="38">
        <f>TRUNC(SUM($AD2468),0)</f>
        <v>124440</v>
      </c>
      <c r="D2472" s="38">
        <f>TRUNC(SUM($AH2468),0)</f>
        <v>511622</v>
      </c>
      <c r="E2472" s="38">
        <f>TRUNC(SUM($AL2468),0)</f>
        <v>8897</v>
      </c>
      <c r="F2472" s="46"/>
    </row>
    <row r="2473" spans="1:38" ht="18.399999999999999" customHeight="1">
      <c r="A2473" s="41"/>
      <c r="B2473" s="3"/>
      <c r="C2473" s="3"/>
      <c r="D2473" s="3"/>
      <c r="E2473" s="3"/>
      <c r="F2473" s="44"/>
    </row>
    <row r="2474" spans="1:38" ht="18.399999999999999" customHeight="1">
      <c r="A2474" s="41" t="s">
        <v>1397</v>
      </c>
      <c r="B2474" s="36">
        <f>$B2526</f>
        <v>703611</v>
      </c>
      <c r="C2474" s="36">
        <f>$C2526</f>
        <v>131431</v>
      </c>
      <c r="D2474" s="36">
        <f>$D2526</f>
        <v>562400</v>
      </c>
      <c r="E2474" s="36">
        <f>$E2526</f>
        <v>9780</v>
      </c>
      <c r="F2474" s="44" t="s">
        <v>4819</v>
      </c>
      <c r="G2474" t="s">
        <v>6232</v>
      </c>
      <c r="H2474" t="s">
        <v>4554</v>
      </c>
      <c r="K2474">
        <v>1</v>
      </c>
      <c r="Y2474" s="7" t="b">
        <f>EXACT($Z2474,$B2526)</f>
        <v>0</v>
      </c>
      <c r="Z2474" s="38">
        <v>695841</v>
      </c>
    </row>
    <row r="2475" spans="1:38" ht="18.399999999999999" customHeight="1">
      <c r="A2475" s="41"/>
      <c r="B2475" s="3"/>
      <c r="C2475" s="3"/>
      <c r="D2475" s="3"/>
      <c r="E2475" s="3"/>
      <c r="F2475" s="44"/>
    </row>
    <row r="2476" spans="1:38" ht="18.399999999999999" customHeight="1">
      <c r="A2476" s="41" t="s">
        <v>6232</v>
      </c>
      <c r="B2476" s="3"/>
      <c r="C2476" s="3"/>
      <c r="D2476" s="3"/>
      <c r="E2476" s="3"/>
      <c r="F2476" s="44"/>
      <c r="G2476" t="s">
        <v>6232</v>
      </c>
      <c r="I2476" t="s">
        <v>742</v>
      </c>
      <c r="J2476" t="s">
        <v>6232</v>
      </c>
      <c r="K2476" t="s">
        <v>5235</v>
      </c>
    </row>
    <row r="2477" spans="1:38" ht="18.399999999999999" customHeight="1">
      <c r="A2477" s="41" t="s">
        <v>3990</v>
      </c>
      <c r="B2477" s="37"/>
      <c r="C2477" s="37"/>
      <c r="D2477" s="37"/>
      <c r="E2477" s="37"/>
      <c r="F2477" s="45"/>
      <c r="K2477" s="3" t="s">
        <v>380</v>
      </c>
    </row>
    <row r="2478" spans="1:38" ht="18.399999999999999" customHeight="1">
      <c r="A2478" s="41" t="s">
        <v>6232</v>
      </c>
      <c r="B2478" s="37"/>
      <c r="C2478" s="37"/>
      <c r="D2478" s="37"/>
      <c r="E2478" s="37"/>
      <c r="F2478" s="45"/>
      <c r="K2478" s="3" t="s">
        <v>6232</v>
      </c>
    </row>
    <row r="2479" spans="1:38" ht="18.399999999999999" customHeight="1">
      <c r="A2479" s="41" t="s">
        <v>2476</v>
      </c>
      <c r="B2479" s="37"/>
      <c r="C2479" s="37"/>
      <c r="D2479" s="37"/>
      <c r="E2479" s="37"/>
      <c r="F2479" s="45"/>
      <c r="K2479" s="3" t="s">
        <v>5810</v>
      </c>
    </row>
    <row r="2480" spans="1:38" ht="18.399999999999999" customHeight="1">
      <c r="A2480" s="41" t="s">
        <v>774</v>
      </c>
      <c r="B2480" s="37"/>
      <c r="C2480" s="37"/>
      <c r="D2480" s="37"/>
      <c r="E2480" s="37"/>
      <c r="F2480" s="45"/>
      <c r="K2480" s="3" t="s">
        <v>3563</v>
      </c>
    </row>
    <row r="2481" spans="1:38" ht="18.399999999999999" customHeight="1">
      <c r="A2481" s="41" t="s">
        <v>1642</v>
      </c>
      <c r="B2481" s="37"/>
      <c r="C2481" s="37"/>
      <c r="D2481" s="37"/>
      <c r="E2481" s="37"/>
      <c r="F2481" s="45"/>
      <c r="K2481" s="3" t="s">
        <v>2758</v>
      </c>
    </row>
    <row r="2482" spans="1:38" ht="18.399999999999999" customHeight="1">
      <c r="A2482" s="42" t="str">
        <f>CONCATENATE("          Q=",TEXT($AB2482,"#,##0.00"))</f>
        <v xml:space="preserve">          Q=1.15</v>
      </c>
      <c r="B2482" s="37"/>
      <c r="C2482" s="37"/>
      <c r="D2482" s="37"/>
      <c r="E2482" s="37"/>
      <c r="F2482" s="45"/>
      <c r="K2482" s="10" t="str">
        <f>SUBSTITUTE(SUBSTITUTE("          Q=1.15","1.15",TEXT($AB2482,"#,##0.00"),1),"_x001D_","'")</f>
        <v xml:space="preserve">          Q=1.15</v>
      </c>
      <c r="AA2482" s="39" t="s">
        <v>4337</v>
      </c>
      <c r="AB2482" s="6">
        <v>1.1499999999999999</v>
      </c>
      <c r="AC2482" s="39" t="s">
        <v>4337</v>
      </c>
      <c r="AD2482" s="7">
        <f>$AB2482</f>
        <v>1.1499999999999999</v>
      </c>
    </row>
    <row r="2483" spans="1:38" ht="18.399999999999999" customHeight="1">
      <c r="A2483" s="41" t="s">
        <v>6232</v>
      </c>
      <c r="B2483" s="37">
        <f>SUM($C2483,$D2483,$E2483)</f>
        <v>0</v>
      </c>
      <c r="C2483" s="37">
        <f>$AB2483</f>
        <v>0</v>
      </c>
      <c r="D2483" s="37">
        <f>$AF2483</f>
        <v>0</v>
      </c>
      <c r="E2483" s="37">
        <f>$AJ2483</f>
        <v>0</v>
      </c>
      <c r="F2483" s="45"/>
      <c r="K2483" s="3" t="s">
        <v>295</v>
      </c>
      <c r="AA2483" s="40" t="s">
        <v>2660</v>
      </c>
      <c r="AB2483" s="8">
        <f>ROUND(0,2)</f>
        <v>0</v>
      </c>
      <c r="AC2483" s="40" t="s">
        <v>1650</v>
      </c>
      <c r="AD2483" s="7">
        <f>$AB2483</f>
        <v>0</v>
      </c>
      <c r="AE2483" s="40" t="s">
        <v>5305</v>
      </c>
      <c r="AF2483" s="8">
        <f>ROUND(0,2)</f>
        <v>0</v>
      </c>
      <c r="AG2483" s="40" t="s">
        <v>5439</v>
      </c>
      <c r="AH2483" s="7">
        <f>$AF2483</f>
        <v>0</v>
      </c>
      <c r="AI2483" s="40" t="s">
        <v>3519</v>
      </c>
      <c r="AJ2483" s="8">
        <f>ROUND(0,2)</f>
        <v>0</v>
      </c>
      <c r="AK2483" s="40" t="s">
        <v>4149</v>
      </c>
      <c r="AL2483" s="7">
        <f>$AJ2483</f>
        <v>0</v>
      </c>
    </row>
    <row r="2484" spans="1:38" ht="18.399999999999999" customHeight="1">
      <c r="A2484" s="41" t="s">
        <v>4464</v>
      </c>
      <c r="B2484" s="37"/>
      <c r="C2484" s="37"/>
      <c r="D2484" s="37"/>
      <c r="E2484" s="37"/>
      <c r="F2484" s="45"/>
      <c r="K2484" s="3" t="s">
        <v>311</v>
      </c>
    </row>
    <row r="2485" spans="1:38" ht="18.399999999999999" customHeight="1">
      <c r="A2485" s="41" t="s">
        <v>6232</v>
      </c>
      <c r="B2485" s="37"/>
      <c r="C2485" s="37"/>
      <c r="D2485" s="37"/>
      <c r="E2485" s="37"/>
      <c r="F2485" s="45"/>
      <c r="K2485" s="3" t="s">
        <v>6232</v>
      </c>
    </row>
    <row r="2486" spans="1:38" ht="18.399999999999999" customHeight="1">
      <c r="A2486" s="42" t="str">
        <f>CONCATENATE("  1) POLYOL :  1.44  kg  * _x001D_4,500_x001D_ = ",TEXT($AB2486,"#,##0.0"))</f>
        <v xml:space="preserve">  1) POLYOL :  1.44  kg  * _x001D_4,500_x001D_ = 6,480.0</v>
      </c>
      <c r="B2486" s="37">
        <f>SUM($C2486,$D2486,$E2486)</f>
        <v>6480</v>
      </c>
      <c r="C2486" s="37">
        <f>$AB2486</f>
        <v>6480</v>
      </c>
      <c r="D2486" s="37"/>
      <c r="E2486" s="37"/>
      <c r="F2486" s="45" t="s">
        <v>6232</v>
      </c>
      <c r="K2486" s="3" t="s">
        <v>3941</v>
      </c>
      <c r="AA2486" s="40" t="s">
        <v>2660</v>
      </c>
      <c r="AB2486" s="8">
        <f>TRUNC(1.44*자재조서!E46,1)</f>
        <v>6480</v>
      </c>
      <c r="AC2486" s="40" t="s">
        <v>1650</v>
      </c>
      <c r="AD2486" s="7">
        <f>$AD2483+$AB2486</f>
        <v>6480</v>
      </c>
    </row>
    <row r="2487" spans="1:38" ht="18.399999999999999" customHeight="1">
      <c r="A2487" s="41" t="s">
        <v>6232</v>
      </c>
      <c r="B2487" s="37"/>
      <c r="C2487" s="37"/>
      <c r="D2487" s="37"/>
      <c r="E2487" s="37"/>
      <c r="F2487" s="45"/>
      <c r="K2487" s="3" t="s">
        <v>6232</v>
      </c>
    </row>
    <row r="2488" spans="1:38" ht="18.399999999999999" customHeight="1">
      <c r="A2488" s="42" t="str">
        <f>CONCATENATE("  2) MDI :  1.92  kg  * _x001D_4,000_x001D_  = ",TEXT($AB2488,"#,##0.0"))</f>
        <v xml:space="preserve">  2) MDI :  1.92  kg  * _x001D_4,000_x001D_  = 7,680.0</v>
      </c>
      <c r="B2488" s="37">
        <f>SUM($C2488,$D2488,$E2488)</f>
        <v>7680</v>
      </c>
      <c r="C2488" s="37">
        <f>$AB2488</f>
        <v>7680</v>
      </c>
      <c r="D2488" s="37"/>
      <c r="E2488" s="37"/>
      <c r="F2488" s="45" t="s">
        <v>6232</v>
      </c>
      <c r="K2488" s="3" t="s">
        <v>2422</v>
      </c>
      <c r="AA2488" s="40" t="s">
        <v>2660</v>
      </c>
      <c r="AB2488" s="8">
        <f>TRUNC(1.92*자재조서!E47,1)</f>
        <v>7680</v>
      </c>
      <c r="AC2488" s="40" t="s">
        <v>1650</v>
      </c>
      <c r="AD2488" s="7">
        <f>$AD2486+$AB2488</f>
        <v>14160</v>
      </c>
    </row>
    <row r="2489" spans="1:38" ht="18.399999999999999" customHeight="1">
      <c r="A2489" s="41" t="s">
        <v>6232</v>
      </c>
      <c r="B2489" s="37"/>
      <c r="C2489" s="37"/>
      <c r="D2489" s="37"/>
      <c r="E2489" s="37"/>
      <c r="F2489" s="45"/>
      <c r="K2489" s="3" t="s">
        <v>6232</v>
      </c>
    </row>
    <row r="2490" spans="1:38" ht="18.399999999999999" customHeight="1">
      <c r="A2490" s="41" t="s">
        <v>337</v>
      </c>
      <c r="B2490" s="37"/>
      <c r="C2490" s="37"/>
      <c r="D2490" s="37"/>
      <c r="E2490" s="37"/>
      <c r="F2490" s="45"/>
      <c r="K2490" s="3" t="s">
        <v>3279</v>
      </c>
    </row>
    <row r="2491" spans="1:38" ht="18.399999999999999" customHeight="1">
      <c r="A2491" s="41" t="s">
        <v>6232</v>
      </c>
      <c r="B2491" s="37"/>
      <c r="C2491" s="37"/>
      <c r="D2491" s="37"/>
      <c r="E2491" s="37"/>
      <c r="F2491" s="45"/>
      <c r="K2491" s="3" t="s">
        <v>6232</v>
      </c>
    </row>
    <row r="2492" spans="1:38" ht="18.399999999999999" customHeight="1">
      <c r="A2492" s="42" t="str">
        <f>CONCATENATE("  4) PE 용접봉 :  0.31  kg  * _x001D_10,738_x001D_= ",TEXT($AB2492,"#,##0.0"))</f>
        <v xml:space="preserve">  4) PE 용접봉 :  0.31  kg  * _x001D_10,738_x001D_= 3,328.7</v>
      </c>
      <c r="B2492" s="37">
        <f>SUM($C2492,$D2492,$E2492)</f>
        <v>3328.7</v>
      </c>
      <c r="C2492" s="37">
        <f>$AB2492</f>
        <v>3328.7</v>
      </c>
      <c r="D2492" s="37"/>
      <c r="E2492" s="37"/>
      <c r="F2492" s="45" t="s">
        <v>6232</v>
      </c>
      <c r="K2492" s="3" t="s">
        <v>699</v>
      </c>
      <c r="AA2492" s="40" t="s">
        <v>2660</v>
      </c>
      <c r="AB2492" s="8">
        <f>TRUNC(0.31*자재조서!E41,1)</f>
        <v>3328.7</v>
      </c>
      <c r="AC2492" s="40" t="s">
        <v>1650</v>
      </c>
      <c r="AD2492" s="7">
        <f>$AD2488+$AB2492</f>
        <v>17488.7</v>
      </c>
    </row>
    <row r="2493" spans="1:38" ht="18.399999999999999" customHeight="1">
      <c r="A2493" s="41" t="s">
        <v>6232</v>
      </c>
      <c r="B2493" s="37"/>
      <c r="C2493" s="37"/>
      <c r="D2493" s="37"/>
      <c r="E2493" s="37"/>
      <c r="F2493" s="45"/>
      <c r="K2493" s="3" t="s">
        <v>6232</v>
      </c>
    </row>
    <row r="2494" spans="1:38" ht="18.399999999999999" customHeight="1">
      <c r="A2494" s="42" t="str">
        <f>CONCATENATE("  5) HDPE 관 :  6.18  m  * _x001D_13,430_x001D_ = ",TEXT($AB2494,"#,##0.0"))</f>
        <v xml:space="preserve">  5) HDPE 관 :  6.18  m  * _x001D_13,430_x001D_ = 82,997.4</v>
      </c>
      <c r="B2494" s="37">
        <f>SUM($C2494,$D2494,$E2494)</f>
        <v>82997.399999999994</v>
      </c>
      <c r="C2494" s="37">
        <f>$AB2494</f>
        <v>82997.399999999994</v>
      </c>
      <c r="D2494" s="37"/>
      <c r="E2494" s="37"/>
      <c r="F2494" s="45" t="s">
        <v>6232</v>
      </c>
      <c r="K2494" s="3" t="s">
        <v>121</v>
      </c>
      <c r="AA2494" s="40" t="s">
        <v>2660</v>
      </c>
      <c r="AB2494" s="8">
        <f>TRUNC(6.18*자재조서!E34,1)</f>
        <v>82997.399999999994</v>
      </c>
      <c r="AC2494" s="40" t="s">
        <v>1650</v>
      </c>
      <c r="AD2494" s="7">
        <f>$AD2492+$AB2494</f>
        <v>100486.09999999999</v>
      </c>
    </row>
    <row r="2495" spans="1:38" ht="18.399999999999999" customHeight="1">
      <c r="A2495" s="41" t="s">
        <v>6232</v>
      </c>
      <c r="B2495" s="37"/>
      <c r="C2495" s="37"/>
      <c r="D2495" s="37"/>
      <c r="E2495" s="37"/>
      <c r="F2495" s="45"/>
      <c r="K2495" s="3" t="s">
        <v>6232</v>
      </c>
    </row>
    <row r="2496" spans="1:38" ht="18.399999999999999" customHeight="1">
      <c r="A2496" s="42" t="str">
        <f>CONCATENATE("  6) 공장보온재 :  2.992  m  * _x001D_10,270_x001D_ = ",TEXT($AB2496,"#,##0.0"))</f>
        <v xml:space="preserve">  6) 공장보온재 :  2.992  m  * _x001D_10,270_x001D_ = 30,727.8</v>
      </c>
      <c r="B2496" s="37">
        <f>SUM($C2496,$D2496,$E2496)</f>
        <v>30727.8</v>
      </c>
      <c r="C2496" s="37">
        <f>$AB2496</f>
        <v>30727.8</v>
      </c>
      <c r="D2496" s="37"/>
      <c r="E2496" s="37"/>
      <c r="F2496" s="45" t="s">
        <v>6232</v>
      </c>
      <c r="K2496" s="3" t="s">
        <v>4236</v>
      </c>
      <c r="AA2496" s="40" t="s">
        <v>2660</v>
      </c>
      <c r="AB2496" s="8">
        <f>TRUNC(2.992*자재조서!E67,1)</f>
        <v>30727.8</v>
      </c>
      <c r="AC2496" s="40" t="s">
        <v>1650</v>
      </c>
      <c r="AD2496" s="7">
        <f>$AD2494+$AB2496</f>
        <v>131213.9</v>
      </c>
    </row>
    <row r="2497" spans="1:38" ht="18.399999999999999" customHeight="1">
      <c r="A2497" s="41" t="s">
        <v>6232</v>
      </c>
      <c r="B2497" s="37"/>
      <c r="C2497" s="37"/>
      <c r="D2497" s="37"/>
      <c r="E2497" s="37"/>
      <c r="F2497" s="45"/>
      <c r="K2497" s="3" t="s">
        <v>6232</v>
      </c>
    </row>
    <row r="2498" spans="1:38" ht="18.399999999999999" customHeight="1">
      <c r="A2498" s="42" t="str">
        <f>CONCATENATE("  7) 석동선 :  13.17  m  * _x001D_16.5_x001D_ = ",TEXT($AB2498,"#,##0.0"))</f>
        <v xml:space="preserve">  7) 석동선 :  13.17  m  * _x001D_16.5_x001D_ = 217.3</v>
      </c>
      <c r="B2498" s="37">
        <f>SUM($C2498,$D2498,$E2498)</f>
        <v>217.3</v>
      </c>
      <c r="C2498" s="37">
        <f>$AB2498</f>
        <v>217.3</v>
      </c>
      <c r="D2498" s="37"/>
      <c r="E2498" s="37"/>
      <c r="F2498" s="45" t="s">
        <v>6232</v>
      </c>
      <c r="K2498" s="3" t="s">
        <v>2088</v>
      </c>
      <c r="AA2498" s="40" t="s">
        <v>2660</v>
      </c>
      <c r="AB2498" s="8">
        <f>TRUNC(13.17*자재조서!E85,1)</f>
        <v>217.3</v>
      </c>
      <c r="AC2498" s="40" t="s">
        <v>1650</v>
      </c>
      <c r="AD2498" s="7">
        <f>$AD2496+$AB2498</f>
        <v>131431.19999999998</v>
      </c>
    </row>
    <row r="2499" spans="1:38" ht="18.399999999999999" customHeight="1">
      <c r="A2499" s="41" t="s">
        <v>6232</v>
      </c>
      <c r="B2499" s="37"/>
      <c r="C2499" s="37"/>
      <c r="D2499" s="37"/>
      <c r="E2499" s="37"/>
      <c r="F2499" s="45"/>
      <c r="K2499" s="3" t="s">
        <v>6232</v>
      </c>
    </row>
    <row r="2500" spans="1:38" ht="18.399999999999999" customHeight="1">
      <c r="A2500" s="41" t="s">
        <v>4035</v>
      </c>
      <c r="B2500" s="37">
        <f>SUM($C2500,$D2500,$E2500)</f>
        <v>131431.20000000001</v>
      </c>
      <c r="C2500" s="37">
        <f>$AB2500</f>
        <v>131431.20000000001</v>
      </c>
      <c r="D2500" s="37">
        <f>$AF2500</f>
        <v>0</v>
      </c>
      <c r="E2500" s="37">
        <f>$AJ2500</f>
        <v>0</v>
      </c>
      <c r="F2500" s="45"/>
      <c r="K2500" s="3" t="s">
        <v>6125</v>
      </c>
      <c r="AA2500" s="40" t="s">
        <v>4592</v>
      </c>
      <c r="AB2500" s="8">
        <f>TRUNC($AD2498,1)</f>
        <v>131431.20000000001</v>
      </c>
      <c r="AC2500" s="40" t="s">
        <v>5149</v>
      </c>
      <c r="AD2500" s="7">
        <f>$AB2500</f>
        <v>131431.20000000001</v>
      </c>
      <c r="AE2500" s="40" t="s">
        <v>666</v>
      </c>
      <c r="AF2500" s="8">
        <f>TRUNC($AH2483,1)</f>
        <v>0</v>
      </c>
      <c r="AG2500" s="40" t="s">
        <v>2431</v>
      </c>
      <c r="AH2500" s="7">
        <f>$AF2500</f>
        <v>0</v>
      </c>
      <c r="AI2500" s="40" t="s">
        <v>1930</v>
      </c>
      <c r="AJ2500" s="8">
        <f>TRUNC($AL2483,1)</f>
        <v>0</v>
      </c>
      <c r="AK2500" s="40" t="s">
        <v>3349</v>
      </c>
      <c r="AL2500" s="7">
        <f>$AJ2500</f>
        <v>0</v>
      </c>
    </row>
    <row r="2501" spans="1:38" ht="18.399999999999999" customHeight="1">
      <c r="A2501" s="41" t="s">
        <v>6232</v>
      </c>
      <c r="B2501" s="37">
        <f>SUM($C2501,$D2501,$E2501)</f>
        <v>0</v>
      </c>
      <c r="C2501" s="37">
        <f>$AB2501</f>
        <v>0</v>
      </c>
      <c r="D2501" s="37">
        <f>$AF2501</f>
        <v>0</v>
      </c>
      <c r="E2501" s="37">
        <f>$AJ2501</f>
        <v>0</v>
      </c>
      <c r="F2501" s="45"/>
      <c r="K2501" s="3" t="s">
        <v>5506</v>
      </c>
      <c r="AA2501" s="40" t="s">
        <v>4586</v>
      </c>
      <c r="AB2501" s="8">
        <f>ROUND(0,2)</f>
        <v>0</v>
      </c>
      <c r="AC2501" s="40" t="s">
        <v>4161</v>
      </c>
      <c r="AD2501" s="7">
        <f>$AB2501</f>
        <v>0</v>
      </c>
      <c r="AE2501" s="40" t="s">
        <v>222</v>
      </c>
      <c r="AF2501" s="8">
        <f>ROUND(0,2)</f>
        <v>0</v>
      </c>
      <c r="AG2501" s="40" t="s">
        <v>334</v>
      </c>
      <c r="AH2501" s="7">
        <f>$AF2501</f>
        <v>0</v>
      </c>
      <c r="AI2501" s="40" t="s">
        <v>1574</v>
      </c>
      <c r="AJ2501" s="8">
        <f>ROUND(0,2)</f>
        <v>0</v>
      </c>
      <c r="AK2501" s="40" t="s">
        <v>1622</v>
      </c>
      <c r="AL2501" s="7">
        <f>$AJ2501</f>
        <v>0</v>
      </c>
    </row>
    <row r="2502" spans="1:38" ht="18.399999999999999" customHeight="1">
      <c r="A2502" s="41" t="s">
        <v>231</v>
      </c>
      <c r="B2502" s="37"/>
      <c r="C2502" s="37"/>
      <c r="D2502" s="37"/>
      <c r="E2502" s="37"/>
      <c r="F2502" s="45"/>
      <c r="K2502" s="3" t="s">
        <v>268</v>
      </c>
    </row>
    <row r="2503" spans="1:38" ht="18.399999999999999" customHeight="1">
      <c r="A2503" s="41" t="s">
        <v>6232</v>
      </c>
      <c r="B2503" s="37"/>
      <c r="C2503" s="37"/>
      <c r="D2503" s="37"/>
      <c r="E2503" s="37"/>
      <c r="F2503" s="45"/>
      <c r="K2503" s="3" t="s">
        <v>6232</v>
      </c>
    </row>
    <row r="2504" spans="1:38" ht="18.399999999999999" customHeight="1">
      <c r="A2504" s="41" t="s">
        <v>5533</v>
      </c>
      <c r="B2504" s="37"/>
      <c r="C2504" s="37"/>
      <c r="D2504" s="37"/>
      <c r="E2504" s="37"/>
      <c r="F2504" s="45"/>
      <c r="K2504" s="3" t="s">
        <v>3259</v>
      </c>
    </row>
    <row r="2505" spans="1:38" ht="18.399999999999999" customHeight="1">
      <c r="A2505" s="42" t="str">
        <f>CONCATENATE("    1.217  인  * Q * _x001D_213,722_x001D_ = ",TEXT($AB2505,"#,##0.0"))</f>
        <v xml:space="preserve">    1.217  인  * Q * _x001D_213,722_x001D_ = 303,719.1</v>
      </c>
      <c r="B2505" s="37">
        <f>SUM($C2505,$D2505,$E2505)</f>
        <v>303719.09999999998</v>
      </c>
      <c r="C2505" s="37"/>
      <c r="D2505" s="37">
        <f>$AB2505</f>
        <v>303719.09999999998</v>
      </c>
      <c r="E2505" s="37"/>
      <c r="F2505" s="45" t="s">
        <v>6232</v>
      </c>
      <c r="K2505" s="3" t="s">
        <v>4576</v>
      </c>
      <c r="AA2505" s="40" t="s">
        <v>222</v>
      </c>
      <c r="AB2505" s="8">
        <f>TRUNC(1.217*$AD2482*노임!D10,1)</f>
        <v>303719.09999999998</v>
      </c>
      <c r="AC2505" s="40" t="s">
        <v>334</v>
      </c>
      <c r="AD2505" s="7">
        <f>$AH2501+$AB2505</f>
        <v>303719.09999999998</v>
      </c>
    </row>
    <row r="2506" spans="1:38" ht="18.399999999999999" customHeight="1">
      <c r="A2506" s="41" t="s">
        <v>6232</v>
      </c>
      <c r="B2506" s="37"/>
      <c r="C2506" s="37"/>
      <c r="D2506" s="37"/>
      <c r="E2506" s="37"/>
      <c r="F2506" s="45"/>
      <c r="K2506" s="3" t="s">
        <v>6232</v>
      </c>
    </row>
    <row r="2507" spans="1:38" ht="18.399999999999999" customHeight="1">
      <c r="A2507" s="41" t="s">
        <v>585</v>
      </c>
      <c r="B2507" s="37"/>
      <c r="C2507" s="37"/>
      <c r="D2507" s="37"/>
      <c r="E2507" s="37"/>
      <c r="F2507" s="45"/>
      <c r="K2507" s="3" t="s">
        <v>5657</v>
      </c>
    </row>
    <row r="2508" spans="1:38" ht="18.399999999999999" customHeight="1">
      <c r="A2508" s="42" t="str">
        <f>CONCATENATE("    0.400  인  * Q * _x001D_201,482_x001D_ = ",TEXT($AB2508,"#,##0.0"))</f>
        <v xml:space="preserve">    0.400  인  * Q * _x001D_201,482_x001D_ = 93,137.1</v>
      </c>
      <c r="B2508" s="37">
        <f>SUM($C2508,$D2508,$E2508)</f>
        <v>93137.1</v>
      </c>
      <c r="C2508" s="37"/>
      <c r="D2508" s="37">
        <f>$AB2508</f>
        <v>93137.1</v>
      </c>
      <c r="E2508" s="37"/>
      <c r="F2508" s="45" t="s">
        <v>6232</v>
      </c>
      <c r="K2508" s="3" t="s">
        <v>3148</v>
      </c>
      <c r="AA2508" s="40" t="s">
        <v>222</v>
      </c>
      <c r="AB2508" s="8">
        <f>TRUNC(0.4*$AD2482*노임!D9,1)</f>
        <v>93137.1</v>
      </c>
      <c r="AC2508" s="40" t="s">
        <v>334</v>
      </c>
      <c r="AD2508" s="7">
        <f>$AD2505+$AB2508</f>
        <v>396856.19999999995</v>
      </c>
    </row>
    <row r="2509" spans="1:38" ht="18.399999999999999" customHeight="1">
      <c r="A2509" s="41" t="s">
        <v>6232</v>
      </c>
      <c r="B2509" s="37"/>
      <c r="C2509" s="37"/>
      <c r="D2509" s="37"/>
      <c r="E2509" s="37"/>
      <c r="F2509" s="45"/>
      <c r="K2509" s="3" t="s">
        <v>6232</v>
      </c>
    </row>
    <row r="2510" spans="1:38" ht="18.399999999999999" customHeight="1">
      <c r="A2510" s="41" t="s">
        <v>3917</v>
      </c>
      <c r="B2510" s="37"/>
      <c r="C2510" s="37"/>
      <c r="D2510" s="37"/>
      <c r="E2510" s="37"/>
      <c r="F2510" s="45"/>
      <c r="K2510" s="3" t="s">
        <v>4355</v>
      </c>
    </row>
    <row r="2511" spans="1:38" ht="18.399999999999999" customHeight="1">
      <c r="A2511" s="42" t="str">
        <f>CONCATENATE("    0.212  인  * Q * _x001D_221,506_x001D_ = ",TEXT($AB2511,"#,##0.0"))</f>
        <v xml:space="preserve">    0.212  인  * Q * _x001D_221,506_x001D_ = 55,128.5</v>
      </c>
      <c r="B2511" s="37">
        <f>SUM($C2511,$D2511,$E2511)</f>
        <v>55128.5</v>
      </c>
      <c r="C2511" s="37"/>
      <c r="D2511" s="37">
        <f>$AB2511</f>
        <v>55128.5</v>
      </c>
      <c r="E2511" s="37"/>
      <c r="F2511" s="45" t="s">
        <v>6232</v>
      </c>
      <c r="K2511" s="3" t="s">
        <v>5545</v>
      </c>
      <c r="AA2511" s="40" t="s">
        <v>222</v>
      </c>
      <c r="AB2511" s="8">
        <f>TRUNC(0.212*$AD2482*노임!D4,1)</f>
        <v>55128.5</v>
      </c>
      <c r="AC2511" s="40" t="s">
        <v>334</v>
      </c>
      <c r="AD2511" s="7">
        <f>$AD2508+$AB2511</f>
        <v>451984.69999999995</v>
      </c>
    </row>
    <row r="2512" spans="1:38" ht="18.399999999999999" customHeight="1">
      <c r="A2512" s="41" t="s">
        <v>6232</v>
      </c>
      <c r="B2512" s="37"/>
      <c r="C2512" s="37"/>
      <c r="D2512" s="37"/>
      <c r="E2512" s="37"/>
      <c r="F2512" s="45"/>
      <c r="K2512" s="3" t="s">
        <v>6232</v>
      </c>
    </row>
    <row r="2513" spans="1:38" ht="18.399999999999999" customHeight="1">
      <c r="A2513" s="41" t="s">
        <v>4277</v>
      </c>
      <c r="B2513" s="37"/>
      <c r="C2513" s="37"/>
      <c r="D2513" s="37"/>
      <c r="E2513" s="37"/>
      <c r="F2513" s="45"/>
      <c r="K2513" s="3" t="s">
        <v>4663</v>
      </c>
    </row>
    <row r="2514" spans="1:38" ht="18.399999999999999" customHeight="1">
      <c r="A2514" s="42" t="str">
        <f>CONCATENATE("    0.558  인  * Q * _x001D_169,804_x001D_ = ",TEXT($AB2514,"#,##0.0"))</f>
        <v xml:space="preserve">    0.558  인  * Q * _x001D_169,804_x001D_ = 110,416.0</v>
      </c>
      <c r="B2514" s="37">
        <f>SUM($C2514,$D2514,$E2514)</f>
        <v>110416</v>
      </c>
      <c r="C2514" s="37"/>
      <c r="D2514" s="37">
        <f>$AB2514</f>
        <v>110416</v>
      </c>
      <c r="E2514" s="37"/>
      <c r="F2514" s="45" t="s">
        <v>6232</v>
      </c>
      <c r="K2514" s="3" t="s">
        <v>3586</v>
      </c>
      <c r="AA2514" s="40" t="s">
        <v>222</v>
      </c>
      <c r="AB2514" s="8">
        <f>TRUNC(0.558*$AD2482*노임!D3,1)</f>
        <v>110416</v>
      </c>
      <c r="AC2514" s="40" t="s">
        <v>334</v>
      </c>
      <c r="AD2514" s="7">
        <f>$AD2511+$AB2514</f>
        <v>562400.69999999995</v>
      </c>
    </row>
    <row r="2515" spans="1:38" ht="18.399999999999999" customHeight="1">
      <c r="A2515" s="41" t="s">
        <v>6232</v>
      </c>
      <c r="B2515" s="37"/>
      <c r="C2515" s="37"/>
      <c r="D2515" s="37"/>
      <c r="E2515" s="37"/>
      <c r="F2515" s="45"/>
      <c r="K2515" s="3" t="s">
        <v>6232</v>
      </c>
    </row>
    <row r="2516" spans="1:38" ht="18.399999999999999" customHeight="1">
      <c r="A2516" s="41" t="s">
        <v>4035</v>
      </c>
      <c r="B2516" s="37">
        <f>SUM($C2516,$D2516,$E2516)</f>
        <v>562400.69999999995</v>
      </c>
      <c r="C2516" s="37">
        <f>$AB2516</f>
        <v>0</v>
      </c>
      <c r="D2516" s="37">
        <f>$AF2516</f>
        <v>562400.69999999995</v>
      </c>
      <c r="E2516" s="37">
        <f>$AJ2516</f>
        <v>0</v>
      </c>
      <c r="F2516" s="45"/>
      <c r="K2516" s="3" t="s">
        <v>134</v>
      </c>
      <c r="AA2516" s="40" t="s">
        <v>4592</v>
      </c>
      <c r="AB2516" s="8">
        <f>TRUNC($AD2501,1)</f>
        <v>0</v>
      </c>
      <c r="AC2516" s="40" t="s">
        <v>5149</v>
      </c>
      <c r="AD2516" s="7">
        <f>$AD2500+$AB2516</f>
        <v>131431.20000000001</v>
      </c>
      <c r="AE2516" s="40" t="s">
        <v>666</v>
      </c>
      <c r="AF2516" s="8">
        <f>TRUNC($AD2514,1)</f>
        <v>562400.69999999995</v>
      </c>
      <c r="AG2516" s="40" t="s">
        <v>2431</v>
      </c>
      <c r="AH2516" s="7">
        <f>$AH2500+$AF2516</f>
        <v>562400.69999999995</v>
      </c>
      <c r="AI2516" s="40" t="s">
        <v>1930</v>
      </c>
      <c r="AJ2516" s="8">
        <f>TRUNC($AL2501,1)</f>
        <v>0</v>
      </c>
      <c r="AK2516" s="40" t="s">
        <v>3349</v>
      </c>
      <c r="AL2516" s="7">
        <f>$AL2500+$AJ2516</f>
        <v>0</v>
      </c>
    </row>
    <row r="2517" spans="1:38" ht="18.399999999999999" customHeight="1">
      <c r="A2517" s="41" t="s">
        <v>6232</v>
      </c>
      <c r="B2517" s="37">
        <f>SUM($C2517,$D2517,$E2517)</f>
        <v>0</v>
      </c>
      <c r="C2517" s="37">
        <f>$AB2517</f>
        <v>0</v>
      </c>
      <c r="D2517" s="37">
        <f>$AF2517</f>
        <v>0</v>
      </c>
      <c r="E2517" s="37">
        <f>$AJ2517</f>
        <v>0</v>
      </c>
      <c r="F2517" s="45"/>
      <c r="K2517" s="3" t="s">
        <v>3238</v>
      </c>
      <c r="AA2517" s="40" t="s">
        <v>308</v>
      </c>
      <c r="AB2517" s="8">
        <f>ROUND(0,2)</f>
        <v>0</v>
      </c>
      <c r="AC2517" s="40" t="s">
        <v>5000</v>
      </c>
      <c r="AD2517" s="7">
        <f>$AB2517</f>
        <v>0</v>
      </c>
      <c r="AE2517" s="40" t="s">
        <v>4500</v>
      </c>
      <c r="AF2517" s="8">
        <f>ROUND(0,2)</f>
        <v>0</v>
      </c>
      <c r="AG2517" s="40" t="s">
        <v>2603</v>
      </c>
      <c r="AH2517" s="7">
        <f>$AF2517</f>
        <v>0</v>
      </c>
      <c r="AI2517" s="40" t="s">
        <v>5878</v>
      </c>
      <c r="AJ2517" s="8">
        <f>ROUND(0,2)</f>
        <v>0</v>
      </c>
      <c r="AK2517" s="40" t="s">
        <v>787</v>
      </c>
      <c r="AL2517" s="7">
        <f>$AJ2517</f>
        <v>0</v>
      </c>
    </row>
    <row r="2518" spans="1:38" ht="18.399999999999999" customHeight="1">
      <c r="A2518" s="41" t="s">
        <v>760</v>
      </c>
      <c r="B2518" s="37"/>
      <c r="C2518" s="37"/>
      <c r="D2518" s="37"/>
      <c r="E2518" s="37"/>
      <c r="F2518" s="45"/>
      <c r="K2518" s="3" t="s">
        <v>5465</v>
      </c>
    </row>
    <row r="2519" spans="1:38" ht="18.399999999999999" customHeight="1">
      <c r="A2519" s="41" t="s">
        <v>6232</v>
      </c>
      <c r="B2519" s="37"/>
      <c r="C2519" s="37"/>
      <c r="D2519" s="37"/>
      <c r="E2519" s="37"/>
      <c r="F2519" s="45"/>
      <c r="K2519" s="3" t="s">
        <v>6232</v>
      </c>
    </row>
    <row r="2520" spans="1:38" ht="18.399999999999999" customHeight="1">
      <c r="A2520" s="42" t="str">
        <f>CONCATENATE("    LA2 / Q * 0.02 = ",TEXT($AB2520,"#,##0.0"))</f>
        <v xml:space="preserve">    LA2 / Q * 0.02 = 9,780.8</v>
      </c>
      <c r="B2520" s="37">
        <f>SUM($C2520,$D2520,$E2520)</f>
        <v>9780.7999999999993</v>
      </c>
      <c r="C2520" s="37"/>
      <c r="D2520" s="37"/>
      <c r="E2520" s="37">
        <f>$AB2520</f>
        <v>9780.7999999999993</v>
      </c>
      <c r="F2520" s="45"/>
      <c r="K2520" s="3" t="s">
        <v>4829</v>
      </c>
      <c r="AA2520" s="40" t="s">
        <v>5878</v>
      </c>
      <c r="AB2520" s="8">
        <f>TRUNC($AD2514/$AD2482*0.02,1)</f>
        <v>9780.7999999999993</v>
      </c>
      <c r="AC2520" s="40" t="s">
        <v>787</v>
      </c>
      <c r="AD2520" s="7">
        <f>$AL2517+$AB2520</f>
        <v>9780.7999999999993</v>
      </c>
    </row>
    <row r="2521" spans="1:38" ht="18.399999999999999" customHeight="1">
      <c r="A2521" s="41" t="s">
        <v>6232</v>
      </c>
      <c r="B2521" s="37"/>
      <c r="C2521" s="37"/>
      <c r="D2521" s="37"/>
      <c r="E2521" s="37"/>
      <c r="F2521" s="45"/>
      <c r="K2521" s="3" t="s">
        <v>6232</v>
      </c>
    </row>
    <row r="2522" spans="1:38" ht="18.399999999999999" customHeight="1">
      <c r="A2522" s="41" t="s">
        <v>4035</v>
      </c>
      <c r="B2522" s="37">
        <f>SUM($C2522,$D2522,$E2522)</f>
        <v>9780.7999999999993</v>
      </c>
      <c r="C2522" s="37">
        <f>$AB2522</f>
        <v>0</v>
      </c>
      <c r="D2522" s="37">
        <f>$AF2522</f>
        <v>0</v>
      </c>
      <c r="E2522" s="37">
        <f>$AJ2522</f>
        <v>9780.7999999999993</v>
      </c>
      <c r="F2522" s="45"/>
      <c r="K2522" s="3" t="s">
        <v>4813</v>
      </c>
      <c r="AA2522" s="40" t="s">
        <v>4592</v>
      </c>
      <c r="AB2522" s="8">
        <f>TRUNC($AD2517,1)</f>
        <v>0</v>
      </c>
      <c r="AC2522" s="40" t="s">
        <v>5149</v>
      </c>
      <c r="AD2522" s="7">
        <f>$AD2516+$AB2522</f>
        <v>131431.20000000001</v>
      </c>
      <c r="AE2522" s="40" t="s">
        <v>666</v>
      </c>
      <c r="AF2522" s="8">
        <f>TRUNC($AH2517,1)</f>
        <v>0</v>
      </c>
      <c r="AG2522" s="40" t="s">
        <v>2431</v>
      </c>
      <c r="AH2522" s="7">
        <f>$AH2516+$AF2522</f>
        <v>562400.69999999995</v>
      </c>
      <c r="AI2522" s="40" t="s">
        <v>1930</v>
      </c>
      <c r="AJ2522" s="8">
        <f>TRUNC($AD2520,1)</f>
        <v>9780.7999999999993</v>
      </c>
      <c r="AK2522" s="40" t="s">
        <v>3349</v>
      </c>
      <c r="AL2522" s="7">
        <f>$AL2516+$AJ2522</f>
        <v>9780.7999999999993</v>
      </c>
    </row>
    <row r="2523" spans="1:38" ht="18.399999999999999" customHeight="1">
      <c r="A2523" s="41" t="s">
        <v>6232</v>
      </c>
      <c r="B2523" s="37"/>
      <c r="C2523" s="37"/>
      <c r="D2523" s="37"/>
      <c r="E2523" s="37"/>
      <c r="F2523" s="45"/>
      <c r="K2523" s="3" t="s">
        <v>6232</v>
      </c>
    </row>
    <row r="2524" spans="1:38" ht="18.399999999999999" customHeight="1">
      <c r="A2524" s="41" t="s">
        <v>4002</v>
      </c>
      <c r="B2524" s="37">
        <v>695841.8</v>
      </c>
      <c r="C2524" s="37">
        <v>131431.20000000001</v>
      </c>
      <c r="D2524" s="37">
        <v>554762.6</v>
      </c>
      <c r="E2524" s="37">
        <v>9648</v>
      </c>
      <c r="F2524" s="45"/>
      <c r="K2524" s="3" t="s">
        <v>916</v>
      </c>
    </row>
    <row r="2525" spans="1:38" ht="18.399999999999999" customHeight="1">
      <c r="A2525" s="41"/>
      <c r="B2525" s="3"/>
      <c r="C2525" s="3"/>
      <c r="D2525" s="3"/>
      <c r="E2525" s="3"/>
      <c r="F2525" s="44"/>
    </row>
    <row r="2526" spans="1:38" ht="18.399999999999999" customHeight="1">
      <c r="A2526" s="43" t="s">
        <v>3543</v>
      </c>
      <c r="B2526" s="38">
        <f>SUM($C2526,$D2526,$E2526)</f>
        <v>703611</v>
      </c>
      <c r="C2526" s="38">
        <f>TRUNC(SUM($AD2522),0)</f>
        <v>131431</v>
      </c>
      <c r="D2526" s="38">
        <f>TRUNC(SUM($AH2522),0)</f>
        <v>562400</v>
      </c>
      <c r="E2526" s="38">
        <f>TRUNC(SUM($AL2522),0)</f>
        <v>9780</v>
      </c>
      <c r="F2526" s="46"/>
    </row>
    <row r="2527" spans="1:38" ht="18.399999999999999" customHeight="1">
      <c r="A2527" s="41"/>
      <c r="B2527" s="3"/>
      <c r="C2527" s="3"/>
      <c r="D2527" s="3"/>
      <c r="E2527" s="3"/>
      <c r="F2527" s="44"/>
    </row>
    <row r="2528" spans="1:38" ht="18.399999999999999" customHeight="1">
      <c r="A2528" s="41" t="s">
        <v>3245</v>
      </c>
      <c r="B2528" s="36">
        <f>$B2580</f>
        <v>752740</v>
      </c>
      <c r="C2528" s="36">
        <f>$C2580</f>
        <v>139537</v>
      </c>
      <c r="D2528" s="36">
        <f>$D2580</f>
        <v>602721</v>
      </c>
      <c r="E2528" s="36">
        <f>$E2580</f>
        <v>10482</v>
      </c>
      <c r="F2528" s="44" t="s">
        <v>4819</v>
      </c>
      <c r="G2528" t="s">
        <v>6232</v>
      </c>
      <c r="H2528" t="s">
        <v>5829</v>
      </c>
      <c r="K2528">
        <v>1</v>
      </c>
      <c r="Y2528" s="7" t="b">
        <f>EXACT($Z2528,$B2580)</f>
        <v>0</v>
      </c>
      <c r="Z2528" s="38">
        <v>744467</v>
      </c>
    </row>
    <row r="2529" spans="1:38" ht="18.399999999999999" customHeight="1">
      <c r="A2529" s="41"/>
      <c r="B2529" s="3"/>
      <c r="C2529" s="3"/>
      <c r="D2529" s="3"/>
      <c r="E2529" s="3"/>
      <c r="F2529" s="44"/>
    </row>
    <row r="2530" spans="1:38" ht="18.399999999999999" customHeight="1">
      <c r="A2530" s="41" t="s">
        <v>6232</v>
      </c>
      <c r="B2530" s="3"/>
      <c r="C2530" s="3"/>
      <c r="D2530" s="3"/>
      <c r="E2530" s="3"/>
      <c r="F2530" s="44"/>
      <c r="G2530" t="s">
        <v>6232</v>
      </c>
      <c r="I2530" t="s">
        <v>742</v>
      </c>
      <c r="J2530" t="s">
        <v>6232</v>
      </c>
      <c r="K2530" t="s">
        <v>5235</v>
      </c>
    </row>
    <row r="2531" spans="1:38" ht="18.399999999999999" customHeight="1">
      <c r="A2531" s="41" t="s">
        <v>1433</v>
      </c>
      <c r="B2531" s="37"/>
      <c r="C2531" s="37"/>
      <c r="D2531" s="37"/>
      <c r="E2531" s="37"/>
      <c r="F2531" s="45"/>
      <c r="K2531" s="3" t="s">
        <v>2419</v>
      </c>
    </row>
    <row r="2532" spans="1:38" ht="18.399999999999999" customHeight="1">
      <c r="A2532" s="41" t="s">
        <v>6232</v>
      </c>
      <c r="B2532" s="37"/>
      <c r="C2532" s="37"/>
      <c r="D2532" s="37"/>
      <c r="E2532" s="37"/>
      <c r="F2532" s="45"/>
      <c r="K2532" s="3" t="s">
        <v>6232</v>
      </c>
    </row>
    <row r="2533" spans="1:38" ht="18.399999999999999" customHeight="1">
      <c r="A2533" s="41" t="s">
        <v>2476</v>
      </c>
      <c r="B2533" s="37"/>
      <c r="C2533" s="37"/>
      <c r="D2533" s="37"/>
      <c r="E2533" s="37"/>
      <c r="F2533" s="45"/>
      <c r="K2533" s="3" t="s">
        <v>5810</v>
      </c>
    </row>
    <row r="2534" spans="1:38" ht="18.399999999999999" customHeight="1">
      <c r="A2534" s="41" t="s">
        <v>774</v>
      </c>
      <c r="B2534" s="37"/>
      <c r="C2534" s="37"/>
      <c r="D2534" s="37"/>
      <c r="E2534" s="37"/>
      <c r="F2534" s="45"/>
      <c r="K2534" s="3" t="s">
        <v>3563</v>
      </c>
    </row>
    <row r="2535" spans="1:38" ht="18.399999999999999" customHeight="1">
      <c r="A2535" s="41" t="s">
        <v>1642</v>
      </c>
      <c r="B2535" s="37"/>
      <c r="C2535" s="37"/>
      <c r="D2535" s="37"/>
      <c r="E2535" s="37"/>
      <c r="F2535" s="45"/>
      <c r="K2535" s="3" t="s">
        <v>2758</v>
      </c>
    </row>
    <row r="2536" spans="1:38" ht="18.399999999999999" customHeight="1">
      <c r="A2536" s="42" t="str">
        <f>CONCATENATE("          Q=",TEXT($AB2536,"#,##0.00"))</f>
        <v xml:space="preserve">          Q=1.15</v>
      </c>
      <c r="B2536" s="37"/>
      <c r="C2536" s="37"/>
      <c r="D2536" s="37"/>
      <c r="E2536" s="37"/>
      <c r="F2536" s="45"/>
      <c r="K2536" s="10" t="str">
        <f>SUBSTITUTE(SUBSTITUTE("          Q=1.15","1.15",TEXT($AB2536,"#,##0.00"),1),"_x001D_","'")</f>
        <v xml:space="preserve">          Q=1.15</v>
      </c>
      <c r="AA2536" s="39" t="s">
        <v>4337</v>
      </c>
      <c r="AB2536" s="6">
        <v>1.1499999999999999</v>
      </c>
      <c r="AC2536" s="39" t="s">
        <v>4337</v>
      </c>
      <c r="AD2536" s="7">
        <f>$AB2536</f>
        <v>1.1499999999999999</v>
      </c>
    </row>
    <row r="2537" spans="1:38" ht="18.399999999999999" customHeight="1">
      <c r="A2537" s="41" t="s">
        <v>6232</v>
      </c>
      <c r="B2537" s="37">
        <f>SUM($C2537,$D2537,$E2537)</f>
        <v>0</v>
      </c>
      <c r="C2537" s="37">
        <f>$AB2537</f>
        <v>0</v>
      </c>
      <c r="D2537" s="37">
        <f>$AF2537</f>
        <v>0</v>
      </c>
      <c r="E2537" s="37">
        <f>$AJ2537</f>
        <v>0</v>
      </c>
      <c r="F2537" s="45"/>
      <c r="K2537" s="3" t="s">
        <v>295</v>
      </c>
      <c r="AA2537" s="40" t="s">
        <v>2660</v>
      </c>
      <c r="AB2537" s="8">
        <f>ROUND(0,2)</f>
        <v>0</v>
      </c>
      <c r="AC2537" s="40" t="s">
        <v>1650</v>
      </c>
      <c r="AD2537" s="7">
        <f>$AB2537</f>
        <v>0</v>
      </c>
      <c r="AE2537" s="40" t="s">
        <v>5305</v>
      </c>
      <c r="AF2537" s="8">
        <f>ROUND(0,2)</f>
        <v>0</v>
      </c>
      <c r="AG2537" s="40" t="s">
        <v>5439</v>
      </c>
      <c r="AH2537" s="7">
        <f>$AF2537</f>
        <v>0</v>
      </c>
      <c r="AI2537" s="40" t="s">
        <v>3519</v>
      </c>
      <c r="AJ2537" s="8">
        <f>ROUND(0,2)</f>
        <v>0</v>
      </c>
      <c r="AK2537" s="40" t="s">
        <v>4149</v>
      </c>
      <c r="AL2537" s="7">
        <f>$AJ2537</f>
        <v>0</v>
      </c>
    </row>
    <row r="2538" spans="1:38" ht="18.399999999999999" customHeight="1">
      <c r="A2538" s="41" t="s">
        <v>4464</v>
      </c>
      <c r="B2538" s="37"/>
      <c r="C2538" s="37"/>
      <c r="D2538" s="37"/>
      <c r="E2538" s="37"/>
      <c r="F2538" s="45"/>
      <c r="K2538" s="3" t="s">
        <v>311</v>
      </c>
    </row>
    <row r="2539" spans="1:38" ht="18.399999999999999" customHeight="1">
      <c r="A2539" s="41" t="s">
        <v>6232</v>
      </c>
      <c r="B2539" s="37"/>
      <c r="C2539" s="37"/>
      <c r="D2539" s="37"/>
      <c r="E2539" s="37"/>
      <c r="F2539" s="45"/>
      <c r="K2539" s="3" t="s">
        <v>6232</v>
      </c>
    </row>
    <row r="2540" spans="1:38" ht="18.399999999999999" customHeight="1">
      <c r="A2540" s="42" t="str">
        <f>CONCATENATE("  1) POLYOL :  1.56  kg  * _x001D_4,500_x001D_ = ",TEXT($AB2540,"#,##0.0"))</f>
        <v xml:space="preserve">  1) POLYOL :  1.56  kg  * _x001D_4,500_x001D_ = 7,020.0</v>
      </c>
      <c r="B2540" s="37">
        <f>SUM($C2540,$D2540,$E2540)</f>
        <v>7020</v>
      </c>
      <c r="C2540" s="37">
        <f>$AB2540</f>
        <v>7020</v>
      </c>
      <c r="D2540" s="37"/>
      <c r="E2540" s="37"/>
      <c r="F2540" s="45" t="s">
        <v>6232</v>
      </c>
      <c r="K2540" s="3" t="s">
        <v>2516</v>
      </c>
      <c r="AA2540" s="40" t="s">
        <v>2660</v>
      </c>
      <c r="AB2540" s="8">
        <f>TRUNC(1.56*자재조서!E46,1)</f>
        <v>7020</v>
      </c>
      <c r="AC2540" s="40" t="s">
        <v>1650</v>
      </c>
      <c r="AD2540" s="7">
        <f>$AD2537+$AB2540</f>
        <v>7020</v>
      </c>
    </row>
    <row r="2541" spans="1:38" ht="18.399999999999999" customHeight="1">
      <c r="A2541" s="41" t="s">
        <v>6232</v>
      </c>
      <c r="B2541" s="37"/>
      <c r="C2541" s="37"/>
      <c r="D2541" s="37"/>
      <c r="E2541" s="37"/>
      <c r="F2541" s="45"/>
      <c r="K2541" s="3" t="s">
        <v>6232</v>
      </c>
    </row>
    <row r="2542" spans="1:38" ht="18.399999999999999" customHeight="1">
      <c r="A2542" s="42" t="str">
        <f>CONCATENATE("  2) MDI :  2.28  kg  * _x001D_4,000_x001D_  = ",TEXT($AB2542,"#,##0.0"))</f>
        <v xml:space="preserve">  2) MDI :  2.28  kg  * _x001D_4,000_x001D_  = 9,120.0</v>
      </c>
      <c r="B2542" s="37">
        <f>SUM($C2542,$D2542,$E2542)</f>
        <v>9120</v>
      </c>
      <c r="C2542" s="37">
        <f>$AB2542</f>
        <v>9120</v>
      </c>
      <c r="D2542" s="37"/>
      <c r="E2542" s="37"/>
      <c r="F2542" s="45" t="s">
        <v>6232</v>
      </c>
      <c r="K2542" s="3" t="s">
        <v>3529</v>
      </c>
      <c r="AA2542" s="40" t="s">
        <v>2660</v>
      </c>
      <c r="AB2542" s="8">
        <f>TRUNC(2.28*자재조서!E47,1)</f>
        <v>9120</v>
      </c>
      <c r="AC2542" s="40" t="s">
        <v>1650</v>
      </c>
      <c r="AD2542" s="7">
        <f>$AD2540+$AB2542</f>
        <v>16140</v>
      </c>
    </row>
    <row r="2543" spans="1:38" ht="18.399999999999999" customHeight="1">
      <c r="A2543" s="41" t="s">
        <v>6232</v>
      </c>
      <c r="B2543" s="37"/>
      <c r="C2543" s="37"/>
      <c r="D2543" s="37"/>
      <c r="E2543" s="37"/>
      <c r="F2543" s="45"/>
      <c r="K2543" s="3" t="s">
        <v>6232</v>
      </c>
    </row>
    <row r="2544" spans="1:38" ht="18.399999999999999" customHeight="1">
      <c r="A2544" s="41" t="s">
        <v>337</v>
      </c>
      <c r="B2544" s="37"/>
      <c r="C2544" s="37"/>
      <c r="D2544" s="37"/>
      <c r="E2544" s="37"/>
      <c r="F2544" s="45"/>
      <c r="K2544" s="3" t="s">
        <v>3279</v>
      </c>
    </row>
    <row r="2545" spans="1:38" ht="18.399999999999999" customHeight="1">
      <c r="A2545" s="41" t="s">
        <v>6232</v>
      </c>
      <c r="B2545" s="37"/>
      <c r="C2545" s="37"/>
      <c r="D2545" s="37"/>
      <c r="E2545" s="37"/>
      <c r="F2545" s="45"/>
      <c r="K2545" s="3" t="s">
        <v>6232</v>
      </c>
    </row>
    <row r="2546" spans="1:38" ht="18.399999999999999" customHeight="1">
      <c r="A2546" s="42" t="str">
        <f>CONCATENATE("  4) PE 용접봉 :  0.39  kg  * _x001D_10,738_x001D_= ",TEXT($AB2546,"#,##0.0"))</f>
        <v xml:space="preserve">  4) PE 용접봉 :  0.39  kg  * _x001D_10,738_x001D_= 4,187.8</v>
      </c>
      <c r="B2546" s="37">
        <f>SUM($C2546,$D2546,$E2546)</f>
        <v>4187.8</v>
      </c>
      <c r="C2546" s="37">
        <f>$AB2546</f>
        <v>4187.8</v>
      </c>
      <c r="D2546" s="37"/>
      <c r="E2546" s="37"/>
      <c r="F2546" s="45" t="s">
        <v>6232</v>
      </c>
      <c r="K2546" s="3" t="s">
        <v>6026</v>
      </c>
      <c r="AA2546" s="40" t="s">
        <v>2660</v>
      </c>
      <c r="AB2546" s="8">
        <f>TRUNC(0.39*자재조서!E41,1)</f>
        <v>4187.8</v>
      </c>
      <c r="AC2546" s="40" t="s">
        <v>1650</v>
      </c>
      <c r="AD2546" s="7">
        <f>$AD2542+$AB2546</f>
        <v>20327.8</v>
      </c>
    </row>
    <row r="2547" spans="1:38" ht="18.399999999999999" customHeight="1">
      <c r="A2547" s="41" t="s">
        <v>6232</v>
      </c>
      <c r="B2547" s="37"/>
      <c r="C2547" s="37"/>
      <c r="D2547" s="37"/>
      <c r="E2547" s="37"/>
      <c r="F2547" s="45"/>
      <c r="K2547" s="3" t="s">
        <v>6232</v>
      </c>
    </row>
    <row r="2548" spans="1:38" ht="18.399999999999999" customHeight="1">
      <c r="A2548" s="42" t="str">
        <f>CONCATENATE("  5) HDPE 관 :  6.18  m  * _x001D_13,430_x001D_ = ",TEXT($AB2548,"#,##0.0"))</f>
        <v xml:space="preserve">  5) HDPE 관 :  6.18  m  * _x001D_13,430_x001D_ = 82,997.4</v>
      </c>
      <c r="B2548" s="37">
        <f>SUM($C2548,$D2548,$E2548)</f>
        <v>82997.399999999994</v>
      </c>
      <c r="C2548" s="37">
        <f>$AB2548</f>
        <v>82997.399999999994</v>
      </c>
      <c r="D2548" s="37"/>
      <c r="E2548" s="37"/>
      <c r="F2548" s="45" t="s">
        <v>6232</v>
      </c>
      <c r="K2548" s="3" t="s">
        <v>121</v>
      </c>
      <c r="AA2548" s="40" t="s">
        <v>2660</v>
      </c>
      <c r="AB2548" s="8">
        <f>TRUNC(6.18*자재조서!E34,1)</f>
        <v>82997.399999999994</v>
      </c>
      <c r="AC2548" s="40" t="s">
        <v>1650</v>
      </c>
      <c r="AD2548" s="7">
        <f>$AD2546+$AB2548</f>
        <v>103325.2</v>
      </c>
    </row>
    <row r="2549" spans="1:38" ht="18.399999999999999" customHeight="1">
      <c r="A2549" s="41" t="s">
        <v>6232</v>
      </c>
      <c r="B2549" s="37"/>
      <c r="C2549" s="37"/>
      <c r="D2549" s="37"/>
      <c r="E2549" s="37"/>
      <c r="F2549" s="45"/>
      <c r="K2549" s="3" t="s">
        <v>6232</v>
      </c>
    </row>
    <row r="2550" spans="1:38" ht="18.399999999999999" customHeight="1">
      <c r="A2550" s="42" t="str">
        <f>CONCATENATE("  6) 공장보온재 :  2.992  m  * _x001D_12,030_x001D_ = ",TEXT($AB2550,"#,##0.0"))</f>
        <v xml:space="preserve">  6) 공장보온재 :  2.992  m  * _x001D_12,030_x001D_ = 35,993.7</v>
      </c>
      <c r="B2550" s="37">
        <f>SUM($C2550,$D2550,$E2550)</f>
        <v>35993.699999999997</v>
      </c>
      <c r="C2550" s="37">
        <f>$AB2550</f>
        <v>35993.699999999997</v>
      </c>
      <c r="D2550" s="37"/>
      <c r="E2550" s="37"/>
      <c r="F2550" s="45" t="s">
        <v>6232</v>
      </c>
      <c r="K2550" s="3" t="s">
        <v>1683</v>
      </c>
      <c r="AA2550" s="40" t="s">
        <v>2660</v>
      </c>
      <c r="AB2550" s="8">
        <f>TRUNC(2.992*자재조서!E68,1)</f>
        <v>35993.699999999997</v>
      </c>
      <c r="AC2550" s="40" t="s">
        <v>1650</v>
      </c>
      <c r="AD2550" s="7">
        <f>$AD2548+$AB2550</f>
        <v>139318.9</v>
      </c>
    </row>
    <row r="2551" spans="1:38" ht="18.399999999999999" customHeight="1">
      <c r="A2551" s="41" t="s">
        <v>6232</v>
      </c>
      <c r="B2551" s="37"/>
      <c r="C2551" s="37"/>
      <c r="D2551" s="37"/>
      <c r="E2551" s="37"/>
      <c r="F2551" s="45"/>
      <c r="K2551" s="3" t="s">
        <v>6232</v>
      </c>
    </row>
    <row r="2552" spans="1:38" ht="18.399999999999999" customHeight="1">
      <c r="A2552" s="42" t="str">
        <f>CONCATENATE("  7) 석동선 :  13.27  m  * _x001D_16.5_x001D_ = ",TEXT($AB2552,"#,##0.0"))</f>
        <v xml:space="preserve">  7) 석동선 :  13.27  m  * _x001D_16.5_x001D_ = 218.9</v>
      </c>
      <c r="B2552" s="37">
        <f>SUM($C2552,$D2552,$E2552)</f>
        <v>218.9</v>
      </c>
      <c r="C2552" s="37">
        <f>$AB2552</f>
        <v>218.9</v>
      </c>
      <c r="D2552" s="37"/>
      <c r="E2552" s="37"/>
      <c r="F2552" s="45" t="s">
        <v>6232</v>
      </c>
      <c r="K2552" s="3" t="s">
        <v>1565</v>
      </c>
      <c r="AA2552" s="40" t="s">
        <v>2660</v>
      </c>
      <c r="AB2552" s="8">
        <f>TRUNC(13.27*자재조서!E85,1)</f>
        <v>218.9</v>
      </c>
      <c r="AC2552" s="40" t="s">
        <v>1650</v>
      </c>
      <c r="AD2552" s="7">
        <f>$AD2550+$AB2552</f>
        <v>139537.79999999999</v>
      </c>
    </row>
    <row r="2553" spans="1:38" ht="18.399999999999999" customHeight="1">
      <c r="A2553" s="41" t="s">
        <v>6232</v>
      </c>
      <c r="B2553" s="37"/>
      <c r="C2553" s="37"/>
      <c r="D2553" s="37"/>
      <c r="E2553" s="37"/>
      <c r="F2553" s="45"/>
      <c r="K2553" s="3" t="s">
        <v>6232</v>
      </c>
    </row>
    <row r="2554" spans="1:38" ht="18.399999999999999" customHeight="1">
      <c r="A2554" s="41" t="s">
        <v>4035</v>
      </c>
      <c r="B2554" s="37">
        <f>SUM($C2554,$D2554,$E2554)</f>
        <v>139537.79999999999</v>
      </c>
      <c r="C2554" s="37">
        <f>$AB2554</f>
        <v>139537.79999999999</v>
      </c>
      <c r="D2554" s="37">
        <f>$AF2554</f>
        <v>0</v>
      </c>
      <c r="E2554" s="37">
        <f>$AJ2554</f>
        <v>0</v>
      </c>
      <c r="F2554" s="45"/>
      <c r="K2554" s="3" t="s">
        <v>6125</v>
      </c>
      <c r="AA2554" s="40" t="s">
        <v>4592</v>
      </c>
      <c r="AB2554" s="8">
        <f>TRUNC($AD2552,1)</f>
        <v>139537.79999999999</v>
      </c>
      <c r="AC2554" s="40" t="s">
        <v>5149</v>
      </c>
      <c r="AD2554" s="7">
        <f>$AB2554</f>
        <v>139537.79999999999</v>
      </c>
      <c r="AE2554" s="40" t="s">
        <v>666</v>
      </c>
      <c r="AF2554" s="8">
        <f>TRUNC($AH2537,1)</f>
        <v>0</v>
      </c>
      <c r="AG2554" s="40" t="s">
        <v>2431</v>
      </c>
      <c r="AH2554" s="7">
        <f>$AF2554</f>
        <v>0</v>
      </c>
      <c r="AI2554" s="40" t="s">
        <v>1930</v>
      </c>
      <c r="AJ2554" s="8">
        <f>TRUNC($AL2537,1)</f>
        <v>0</v>
      </c>
      <c r="AK2554" s="40" t="s">
        <v>3349</v>
      </c>
      <c r="AL2554" s="7">
        <f>$AJ2554</f>
        <v>0</v>
      </c>
    </row>
    <row r="2555" spans="1:38" ht="18.399999999999999" customHeight="1">
      <c r="A2555" s="41" t="s">
        <v>6232</v>
      </c>
      <c r="B2555" s="37">
        <f>SUM($C2555,$D2555,$E2555)</f>
        <v>0</v>
      </c>
      <c r="C2555" s="37">
        <f>$AB2555</f>
        <v>0</v>
      </c>
      <c r="D2555" s="37">
        <f>$AF2555</f>
        <v>0</v>
      </c>
      <c r="E2555" s="37">
        <f>$AJ2555</f>
        <v>0</v>
      </c>
      <c r="F2555" s="45"/>
      <c r="K2555" s="3" t="s">
        <v>5506</v>
      </c>
      <c r="AA2555" s="40" t="s">
        <v>4586</v>
      </c>
      <c r="AB2555" s="8">
        <f>ROUND(0,2)</f>
        <v>0</v>
      </c>
      <c r="AC2555" s="40" t="s">
        <v>4161</v>
      </c>
      <c r="AD2555" s="7">
        <f>$AB2555</f>
        <v>0</v>
      </c>
      <c r="AE2555" s="40" t="s">
        <v>222</v>
      </c>
      <c r="AF2555" s="8">
        <f>ROUND(0,2)</f>
        <v>0</v>
      </c>
      <c r="AG2555" s="40" t="s">
        <v>334</v>
      </c>
      <c r="AH2555" s="7">
        <f>$AF2555</f>
        <v>0</v>
      </c>
      <c r="AI2555" s="40" t="s">
        <v>1574</v>
      </c>
      <c r="AJ2555" s="8">
        <f>ROUND(0,2)</f>
        <v>0</v>
      </c>
      <c r="AK2555" s="40" t="s">
        <v>1622</v>
      </c>
      <c r="AL2555" s="7">
        <f>$AJ2555</f>
        <v>0</v>
      </c>
    </row>
    <row r="2556" spans="1:38" ht="18.399999999999999" customHeight="1">
      <c r="A2556" s="41" t="s">
        <v>231</v>
      </c>
      <c r="B2556" s="37"/>
      <c r="C2556" s="37"/>
      <c r="D2556" s="37"/>
      <c r="E2556" s="37"/>
      <c r="F2556" s="45"/>
      <c r="K2556" s="3" t="s">
        <v>268</v>
      </c>
    </row>
    <row r="2557" spans="1:38" ht="18.399999999999999" customHeight="1">
      <c r="A2557" s="41" t="s">
        <v>6232</v>
      </c>
      <c r="B2557" s="37"/>
      <c r="C2557" s="37"/>
      <c r="D2557" s="37"/>
      <c r="E2557" s="37"/>
      <c r="F2557" s="45"/>
      <c r="K2557" s="3" t="s">
        <v>6232</v>
      </c>
    </row>
    <row r="2558" spans="1:38" ht="18.399999999999999" customHeight="1">
      <c r="A2558" s="41" t="s">
        <v>5533</v>
      </c>
      <c r="B2558" s="37"/>
      <c r="C2558" s="37"/>
      <c r="D2558" s="37"/>
      <c r="E2558" s="37"/>
      <c r="F2558" s="45"/>
      <c r="K2558" s="3" t="s">
        <v>3259</v>
      </c>
    </row>
    <row r="2559" spans="1:38" ht="18.399999999999999" customHeight="1">
      <c r="A2559" s="42" t="str">
        <f>CONCATENATE("    1.274  인  * Q * _x001D_213,722_x001D_ = ",TEXT($AB2559,"#,##0.0"))</f>
        <v xml:space="preserve">    1.274  인  * Q * _x001D_213,722_x001D_ = 317,944.2</v>
      </c>
      <c r="B2559" s="37">
        <f>SUM($C2559,$D2559,$E2559)</f>
        <v>317944.2</v>
      </c>
      <c r="C2559" s="37"/>
      <c r="D2559" s="37">
        <f>$AB2559</f>
        <v>317944.2</v>
      </c>
      <c r="E2559" s="37"/>
      <c r="F2559" s="45" t="s">
        <v>6232</v>
      </c>
      <c r="K2559" s="3" t="s">
        <v>3953</v>
      </c>
      <c r="AA2559" s="40" t="s">
        <v>222</v>
      </c>
      <c r="AB2559" s="8">
        <f>TRUNC(1.274*$AD2536*노임!D10,1)</f>
        <v>317944.2</v>
      </c>
      <c r="AC2559" s="40" t="s">
        <v>334</v>
      </c>
      <c r="AD2559" s="7">
        <f>$AH2555+$AB2559</f>
        <v>317944.2</v>
      </c>
    </row>
    <row r="2560" spans="1:38" ht="18.399999999999999" customHeight="1">
      <c r="A2560" s="41" t="s">
        <v>6232</v>
      </c>
      <c r="B2560" s="37"/>
      <c r="C2560" s="37"/>
      <c r="D2560" s="37"/>
      <c r="E2560" s="37"/>
      <c r="F2560" s="45"/>
      <c r="K2560" s="3" t="s">
        <v>6232</v>
      </c>
    </row>
    <row r="2561" spans="1:38" ht="18.399999999999999" customHeight="1">
      <c r="A2561" s="41" t="s">
        <v>585</v>
      </c>
      <c r="B2561" s="37"/>
      <c r="C2561" s="37"/>
      <c r="D2561" s="37"/>
      <c r="E2561" s="37"/>
      <c r="F2561" s="45"/>
      <c r="K2561" s="3" t="s">
        <v>5657</v>
      </c>
    </row>
    <row r="2562" spans="1:38" ht="18.399999999999999" customHeight="1">
      <c r="A2562" s="42" t="str">
        <f>CONCATENATE("    0.448  인  * Q * _x001D_201,482_x001D_ = ",TEXT($AB2562,"#,##0.0"))</f>
        <v xml:space="preserve">    0.448  인  * Q * _x001D_201,482_x001D_ = 104,313.5</v>
      </c>
      <c r="B2562" s="37">
        <f>SUM($C2562,$D2562,$E2562)</f>
        <v>104313.5</v>
      </c>
      <c r="C2562" s="37"/>
      <c r="D2562" s="37">
        <f>$AB2562</f>
        <v>104313.5</v>
      </c>
      <c r="E2562" s="37"/>
      <c r="F2562" s="45" t="s">
        <v>6232</v>
      </c>
      <c r="K2562" s="3" t="s">
        <v>5477</v>
      </c>
      <c r="AA2562" s="40" t="s">
        <v>222</v>
      </c>
      <c r="AB2562" s="8">
        <f>TRUNC(0.448*$AD2536*노임!D9,1)</f>
        <v>104313.5</v>
      </c>
      <c r="AC2562" s="40" t="s">
        <v>334</v>
      </c>
      <c r="AD2562" s="7">
        <f>$AD2559+$AB2562</f>
        <v>422257.7</v>
      </c>
    </row>
    <row r="2563" spans="1:38" ht="18.399999999999999" customHeight="1">
      <c r="A2563" s="41" t="s">
        <v>6232</v>
      </c>
      <c r="B2563" s="37"/>
      <c r="C2563" s="37"/>
      <c r="D2563" s="37"/>
      <c r="E2563" s="37"/>
      <c r="F2563" s="45"/>
      <c r="K2563" s="3" t="s">
        <v>6232</v>
      </c>
    </row>
    <row r="2564" spans="1:38" ht="18.399999999999999" customHeight="1">
      <c r="A2564" s="41" t="s">
        <v>3917</v>
      </c>
      <c r="B2564" s="37"/>
      <c r="C2564" s="37"/>
      <c r="D2564" s="37"/>
      <c r="E2564" s="37"/>
      <c r="F2564" s="45"/>
      <c r="K2564" s="3" t="s">
        <v>4355</v>
      </c>
    </row>
    <row r="2565" spans="1:38" ht="18.399999999999999" customHeight="1">
      <c r="A2565" s="42" t="str">
        <f>CONCATENATE("    0.226  인  * Q * _x001D_221,506_x001D_ = ",TEXT($AB2565,"#,##0.0"))</f>
        <v xml:space="preserve">    0.226  인  * Q * _x001D_221,506_x001D_ = 58,769.1</v>
      </c>
      <c r="B2565" s="37">
        <f>SUM($C2565,$D2565,$E2565)</f>
        <v>58769.1</v>
      </c>
      <c r="C2565" s="37"/>
      <c r="D2565" s="37">
        <f>$AB2565</f>
        <v>58769.1</v>
      </c>
      <c r="E2565" s="37"/>
      <c r="F2565" s="45" t="s">
        <v>6232</v>
      </c>
      <c r="K2565" s="3" t="s">
        <v>5863</v>
      </c>
      <c r="AA2565" s="40" t="s">
        <v>222</v>
      </c>
      <c r="AB2565" s="8">
        <f>TRUNC(0.226*$AD2536*노임!D4,1)</f>
        <v>58769.1</v>
      </c>
      <c r="AC2565" s="40" t="s">
        <v>334</v>
      </c>
      <c r="AD2565" s="7">
        <f>$AD2562+$AB2565</f>
        <v>481026.8</v>
      </c>
    </row>
    <row r="2566" spans="1:38" ht="18.399999999999999" customHeight="1">
      <c r="A2566" s="41" t="s">
        <v>6232</v>
      </c>
      <c r="B2566" s="37"/>
      <c r="C2566" s="37"/>
      <c r="D2566" s="37"/>
      <c r="E2566" s="37"/>
      <c r="F2566" s="45"/>
      <c r="K2566" s="3" t="s">
        <v>6232</v>
      </c>
    </row>
    <row r="2567" spans="1:38" ht="18.399999999999999" customHeight="1">
      <c r="A2567" s="41" t="s">
        <v>4277</v>
      </c>
      <c r="B2567" s="37"/>
      <c r="C2567" s="37"/>
      <c r="D2567" s="37"/>
      <c r="E2567" s="37"/>
      <c r="F2567" s="45"/>
      <c r="K2567" s="3" t="s">
        <v>4663</v>
      </c>
    </row>
    <row r="2568" spans="1:38" ht="18.399999999999999" customHeight="1">
      <c r="A2568" s="42" t="str">
        <f>CONCATENATE("    0.615  인  * Q * _x001D_169,804_x001D_ = ",TEXT($AB2568,"#,##0.0"))</f>
        <v xml:space="preserve">    0.615  인  * Q * _x001D_169,804_x001D_ = 121,695.0</v>
      </c>
      <c r="B2568" s="37">
        <f>SUM($C2568,$D2568,$E2568)</f>
        <v>121695</v>
      </c>
      <c r="C2568" s="37"/>
      <c r="D2568" s="37">
        <f>$AB2568</f>
        <v>121695</v>
      </c>
      <c r="E2568" s="37"/>
      <c r="F2568" s="45" t="s">
        <v>6232</v>
      </c>
      <c r="K2568" s="3" t="s">
        <v>4992</v>
      </c>
      <c r="AA2568" s="40" t="s">
        <v>222</v>
      </c>
      <c r="AB2568" s="8">
        <f>TRUNC(0.615*$AD2536*노임!D3,1)</f>
        <v>121695</v>
      </c>
      <c r="AC2568" s="40" t="s">
        <v>334</v>
      </c>
      <c r="AD2568" s="7">
        <f>$AD2565+$AB2568</f>
        <v>602721.80000000005</v>
      </c>
    </row>
    <row r="2569" spans="1:38" ht="18.399999999999999" customHeight="1">
      <c r="A2569" s="41" t="s">
        <v>6232</v>
      </c>
      <c r="B2569" s="37"/>
      <c r="C2569" s="37"/>
      <c r="D2569" s="37"/>
      <c r="E2569" s="37"/>
      <c r="F2569" s="45"/>
      <c r="K2569" s="3" t="s">
        <v>6232</v>
      </c>
    </row>
    <row r="2570" spans="1:38" ht="18.399999999999999" customHeight="1">
      <c r="A2570" s="41" t="s">
        <v>4035</v>
      </c>
      <c r="B2570" s="37">
        <f>SUM($C2570,$D2570,$E2570)</f>
        <v>602721.80000000005</v>
      </c>
      <c r="C2570" s="37">
        <f>$AB2570</f>
        <v>0</v>
      </c>
      <c r="D2570" s="37">
        <f>$AF2570</f>
        <v>602721.80000000005</v>
      </c>
      <c r="E2570" s="37">
        <f>$AJ2570</f>
        <v>0</v>
      </c>
      <c r="F2570" s="45"/>
      <c r="K2570" s="3" t="s">
        <v>134</v>
      </c>
      <c r="AA2570" s="40" t="s">
        <v>4592</v>
      </c>
      <c r="AB2570" s="8">
        <f>TRUNC($AD2555,1)</f>
        <v>0</v>
      </c>
      <c r="AC2570" s="40" t="s">
        <v>5149</v>
      </c>
      <c r="AD2570" s="7">
        <f>$AD2554+$AB2570</f>
        <v>139537.79999999999</v>
      </c>
      <c r="AE2570" s="40" t="s">
        <v>666</v>
      </c>
      <c r="AF2570" s="8">
        <f>TRUNC($AD2568,1)</f>
        <v>602721.80000000005</v>
      </c>
      <c r="AG2570" s="40" t="s">
        <v>2431</v>
      </c>
      <c r="AH2570" s="7">
        <f>$AH2554+$AF2570</f>
        <v>602721.80000000005</v>
      </c>
      <c r="AI2570" s="40" t="s">
        <v>1930</v>
      </c>
      <c r="AJ2570" s="8">
        <f>TRUNC($AL2555,1)</f>
        <v>0</v>
      </c>
      <c r="AK2570" s="40" t="s">
        <v>3349</v>
      </c>
      <c r="AL2570" s="7">
        <f>$AL2554+$AJ2570</f>
        <v>0</v>
      </c>
    </row>
    <row r="2571" spans="1:38" ht="18.399999999999999" customHeight="1">
      <c r="A2571" s="41" t="s">
        <v>6232</v>
      </c>
      <c r="B2571" s="37">
        <f>SUM($C2571,$D2571,$E2571)</f>
        <v>0</v>
      </c>
      <c r="C2571" s="37">
        <f>$AB2571</f>
        <v>0</v>
      </c>
      <c r="D2571" s="37">
        <f>$AF2571</f>
        <v>0</v>
      </c>
      <c r="E2571" s="37">
        <f>$AJ2571</f>
        <v>0</v>
      </c>
      <c r="F2571" s="45"/>
      <c r="K2571" s="3" t="s">
        <v>3238</v>
      </c>
      <c r="AA2571" s="40" t="s">
        <v>308</v>
      </c>
      <c r="AB2571" s="8">
        <f>ROUND(0,2)</f>
        <v>0</v>
      </c>
      <c r="AC2571" s="40" t="s">
        <v>5000</v>
      </c>
      <c r="AD2571" s="7">
        <f>$AB2571</f>
        <v>0</v>
      </c>
      <c r="AE2571" s="40" t="s">
        <v>4500</v>
      </c>
      <c r="AF2571" s="8">
        <f>ROUND(0,2)</f>
        <v>0</v>
      </c>
      <c r="AG2571" s="40" t="s">
        <v>2603</v>
      </c>
      <c r="AH2571" s="7">
        <f>$AF2571</f>
        <v>0</v>
      </c>
      <c r="AI2571" s="40" t="s">
        <v>5878</v>
      </c>
      <c r="AJ2571" s="8">
        <f>ROUND(0,2)</f>
        <v>0</v>
      </c>
      <c r="AK2571" s="40" t="s">
        <v>787</v>
      </c>
      <c r="AL2571" s="7">
        <f>$AJ2571</f>
        <v>0</v>
      </c>
    </row>
    <row r="2572" spans="1:38" ht="18.399999999999999" customHeight="1">
      <c r="A2572" s="41" t="s">
        <v>760</v>
      </c>
      <c r="B2572" s="37"/>
      <c r="C2572" s="37"/>
      <c r="D2572" s="37"/>
      <c r="E2572" s="37"/>
      <c r="F2572" s="45"/>
      <c r="K2572" s="3" t="s">
        <v>5465</v>
      </c>
    </row>
    <row r="2573" spans="1:38" ht="18.399999999999999" customHeight="1">
      <c r="A2573" s="41" t="s">
        <v>6232</v>
      </c>
      <c r="B2573" s="37"/>
      <c r="C2573" s="37"/>
      <c r="D2573" s="37"/>
      <c r="E2573" s="37"/>
      <c r="F2573" s="45"/>
      <c r="K2573" s="3" t="s">
        <v>6232</v>
      </c>
    </row>
    <row r="2574" spans="1:38" ht="18.399999999999999" customHeight="1">
      <c r="A2574" s="42" t="str">
        <f>CONCATENATE("    LA2 / Q * 0.02 = ",TEXT($AB2574,"#,##0.0"))</f>
        <v xml:space="preserve">    LA2 / Q * 0.02 = 10,482.1</v>
      </c>
      <c r="B2574" s="37">
        <f>SUM($C2574,$D2574,$E2574)</f>
        <v>10482.1</v>
      </c>
      <c r="C2574" s="37"/>
      <c r="D2574" s="37"/>
      <c r="E2574" s="37">
        <f>$AB2574</f>
        <v>10482.1</v>
      </c>
      <c r="F2574" s="45"/>
      <c r="K2574" s="3" t="s">
        <v>4829</v>
      </c>
      <c r="AA2574" s="40" t="s">
        <v>5878</v>
      </c>
      <c r="AB2574" s="8">
        <f>TRUNC($AD2568/$AD2536*0.02,1)</f>
        <v>10482.1</v>
      </c>
      <c r="AC2574" s="40" t="s">
        <v>787</v>
      </c>
      <c r="AD2574" s="7">
        <f>$AL2571+$AB2574</f>
        <v>10482.1</v>
      </c>
    </row>
    <row r="2575" spans="1:38" ht="18.399999999999999" customHeight="1">
      <c r="A2575" s="41" t="s">
        <v>6232</v>
      </c>
      <c r="B2575" s="37"/>
      <c r="C2575" s="37"/>
      <c r="D2575" s="37"/>
      <c r="E2575" s="37"/>
      <c r="F2575" s="45"/>
      <c r="K2575" s="3" t="s">
        <v>6232</v>
      </c>
    </row>
    <row r="2576" spans="1:38" ht="18.399999999999999" customHeight="1">
      <c r="A2576" s="41" t="s">
        <v>4035</v>
      </c>
      <c r="B2576" s="37">
        <f>SUM($C2576,$D2576,$E2576)</f>
        <v>10482.1</v>
      </c>
      <c r="C2576" s="37">
        <f>$AB2576</f>
        <v>0</v>
      </c>
      <c r="D2576" s="37">
        <f>$AF2576</f>
        <v>0</v>
      </c>
      <c r="E2576" s="37">
        <f>$AJ2576</f>
        <v>10482.1</v>
      </c>
      <c r="F2576" s="45"/>
      <c r="K2576" s="3" t="s">
        <v>4813</v>
      </c>
      <c r="AA2576" s="40" t="s">
        <v>4592</v>
      </c>
      <c r="AB2576" s="8">
        <f>TRUNC($AD2571,1)</f>
        <v>0</v>
      </c>
      <c r="AC2576" s="40" t="s">
        <v>5149</v>
      </c>
      <c r="AD2576" s="7">
        <f>$AD2570+$AB2576</f>
        <v>139537.79999999999</v>
      </c>
      <c r="AE2576" s="40" t="s">
        <v>666</v>
      </c>
      <c r="AF2576" s="8">
        <f>TRUNC($AH2571,1)</f>
        <v>0</v>
      </c>
      <c r="AG2576" s="40" t="s">
        <v>2431</v>
      </c>
      <c r="AH2576" s="7">
        <f>$AH2570+$AF2576</f>
        <v>602721.80000000005</v>
      </c>
      <c r="AI2576" s="40" t="s">
        <v>1930</v>
      </c>
      <c r="AJ2576" s="8">
        <f>TRUNC($AD2574,1)</f>
        <v>10482.1</v>
      </c>
      <c r="AK2576" s="40" t="s">
        <v>3349</v>
      </c>
      <c r="AL2576" s="7">
        <f>$AL2570+$AJ2576</f>
        <v>10482.1</v>
      </c>
    </row>
    <row r="2577" spans="1:38" ht="18.399999999999999" customHeight="1">
      <c r="A2577" s="41" t="s">
        <v>6232</v>
      </c>
      <c r="B2577" s="37"/>
      <c r="C2577" s="37"/>
      <c r="D2577" s="37"/>
      <c r="E2577" s="37"/>
      <c r="F2577" s="45"/>
      <c r="K2577" s="3" t="s">
        <v>6232</v>
      </c>
    </row>
    <row r="2578" spans="1:38" ht="18.399999999999999" customHeight="1">
      <c r="A2578" s="41" t="s">
        <v>4002</v>
      </c>
      <c r="B2578" s="37">
        <v>744469.29999999993</v>
      </c>
      <c r="C2578" s="37">
        <v>139537.79999999999</v>
      </c>
      <c r="D2578" s="37">
        <v>594590.80000000005</v>
      </c>
      <c r="E2578" s="37">
        <v>10340.700000000001</v>
      </c>
      <c r="F2578" s="45"/>
      <c r="K2578" s="3" t="s">
        <v>916</v>
      </c>
    </row>
    <row r="2579" spans="1:38" ht="18.399999999999999" customHeight="1">
      <c r="A2579" s="41"/>
      <c r="B2579" s="3"/>
      <c r="C2579" s="3"/>
      <c r="D2579" s="3"/>
      <c r="E2579" s="3"/>
      <c r="F2579" s="44"/>
    </row>
    <row r="2580" spans="1:38" ht="18.399999999999999" customHeight="1">
      <c r="A2580" s="43" t="s">
        <v>3543</v>
      </c>
      <c r="B2580" s="38">
        <f>SUM($C2580,$D2580,$E2580)</f>
        <v>752740</v>
      </c>
      <c r="C2580" s="38">
        <f>TRUNC(SUM($AD2576),0)</f>
        <v>139537</v>
      </c>
      <c r="D2580" s="38">
        <f>TRUNC(SUM($AH2576),0)</f>
        <v>602721</v>
      </c>
      <c r="E2580" s="38">
        <f>TRUNC(SUM($AL2576),0)</f>
        <v>10482</v>
      </c>
      <c r="F2580" s="46"/>
    </row>
    <row r="2581" spans="1:38" ht="18.399999999999999" customHeight="1">
      <c r="A2581" s="41"/>
      <c r="B2581" s="3"/>
      <c r="C2581" s="3"/>
      <c r="D2581" s="3"/>
      <c r="E2581" s="3"/>
      <c r="F2581" s="44"/>
    </row>
    <row r="2582" spans="1:38" ht="18.399999999999999" customHeight="1">
      <c r="A2582" s="41" t="s">
        <v>4763</v>
      </c>
      <c r="B2582" s="36">
        <f>$B2634</f>
        <v>818356</v>
      </c>
      <c r="C2582" s="36">
        <f>$C2634</f>
        <v>148652</v>
      </c>
      <c r="D2582" s="36">
        <f>$D2634</f>
        <v>658257</v>
      </c>
      <c r="E2582" s="36">
        <f>$E2634</f>
        <v>11447</v>
      </c>
      <c r="F2582" s="44" t="s">
        <v>4819</v>
      </c>
      <c r="G2582" t="s">
        <v>6232</v>
      </c>
      <c r="H2582" t="s">
        <v>5869</v>
      </c>
      <c r="K2582">
        <v>1</v>
      </c>
      <c r="Y2582" s="7" t="b">
        <f>EXACT($Z2582,$B2634)</f>
        <v>0</v>
      </c>
      <c r="Z2582" s="38">
        <v>809404</v>
      </c>
    </row>
    <row r="2583" spans="1:38" ht="18.399999999999999" customHeight="1">
      <c r="A2583" s="41"/>
      <c r="B2583" s="3"/>
      <c r="C2583" s="3"/>
      <c r="D2583" s="3"/>
      <c r="E2583" s="3"/>
      <c r="F2583" s="44"/>
    </row>
    <row r="2584" spans="1:38" ht="18.399999999999999" customHeight="1">
      <c r="A2584" s="41" t="s">
        <v>6232</v>
      </c>
      <c r="B2584" s="3"/>
      <c r="C2584" s="3"/>
      <c r="D2584" s="3"/>
      <c r="E2584" s="3"/>
      <c r="F2584" s="44"/>
      <c r="G2584" t="s">
        <v>6232</v>
      </c>
      <c r="I2584" t="s">
        <v>742</v>
      </c>
      <c r="J2584" t="s">
        <v>6232</v>
      </c>
      <c r="K2584" t="s">
        <v>5235</v>
      </c>
    </row>
    <row r="2585" spans="1:38" ht="18.399999999999999" customHeight="1">
      <c r="A2585" s="41" t="s">
        <v>6165</v>
      </c>
      <c r="B2585" s="37"/>
      <c r="C2585" s="37"/>
      <c r="D2585" s="37"/>
      <c r="E2585" s="37"/>
      <c r="F2585" s="45"/>
      <c r="K2585" s="3" t="s">
        <v>6127</v>
      </c>
    </row>
    <row r="2586" spans="1:38" ht="18.399999999999999" customHeight="1">
      <c r="A2586" s="41" t="s">
        <v>6232</v>
      </c>
      <c r="B2586" s="37"/>
      <c r="C2586" s="37"/>
      <c r="D2586" s="37"/>
      <c r="E2586" s="37"/>
      <c r="F2586" s="45"/>
      <c r="K2586" s="3" t="s">
        <v>6232</v>
      </c>
    </row>
    <row r="2587" spans="1:38" ht="18.399999999999999" customHeight="1">
      <c r="A2587" s="41" t="s">
        <v>2476</v>
      </c>
      <c r="B2587" s="37"/>
      <c r="C2587" s="37"/>
      <c r="D2587" s="37"/>
      <c r="E2587" s="37"/>
      <c r="F2587" s="45"/>
      <c r="K2587" s="3" t="s">
        <v>5810</v>
      </c>
    </row>
    <row r="2588" spans="1:38" ht="18.399999999999999" customHeight="1">
      <c r="A2588" s="41" t="s">
        <v>774</v>
      </c>
      <c r="B2588" s="37"/>
      <c r="C2588" s="37"/>
      <c r="D2588" s="37"/>
      <c r="E2588" s="37"/>
      <c r="F2588" s="45"/>
      <c r="K2588" s="3" t="s">
        <v>3563</v>
      </c>
    </row>
    <row r="2589" spans="1:38" ht="18.399999999999999" customHeight="1">
      <c r="A2589" s="41" t="s">
        <v>1642</v>
      </c>
      <c r="B2589" s="37"/>
      <c r="C2589" s="37"/>
      <c r="D2589" s="37"/>
      <c r="E2589" s="37"/>
      <c r="F2589" s="45"/>
      <c r="K2589" s="3" t="s">
        <v>2758</v>
      </c>
    </row>
    <row r="2590" spans="1:38" ht="18.399999999999999" customHeight="1">
      <c r="A2590" s="42" t="str">
        <f>CONCATENATE("          Q=",TEXT($AB2590,"#,##0.00"))</f>
        <v xml:space="preserve">          Q=1.15</v>
      </c>
      <c r="B2590" s="37"/>
      <c r="C2590" s="37"/>
      <c r="D2590" s="37"/>
      <c r="E2590" s="37"/>
      <c r="F2590" s="45"/>
      <c r="K2590" s="10" t="str">
        <f>SUBSTITUTE(SUBSTITUTE("          Q=1.15","1.15",TEXT($AB2590,"#,##0.00"),1),"_x001D_","'")</f>
        <v xml:space="preserve">          Q=1.15</v>
      </c>
      <c r="AA2590" s="39" t="s">
        <v>4337</v>
      </c>
      <c r="AB2590" s="6">
        <v>1.1499999999999999</v>
      </c>
      <c r="AC2590" s="39" t="s">
        <v>4337</v>
      </c>
      <c r="AD2590" s="7">
        <f>$AB2590</f>
        <v>1.1499999999999999</v>
      </c>
    </row>
    <row r="2591" spans="1:38" ht="18.399999999999999" customHeight="1">
      <c r="A2591" s="41" t="s">
        <v>6232</v>
      </c>
      <c r="B2591" s="37">
        <f>SUM($C2591,$D2591,$E2591)</f>
        <v>0</v>
      </c>
      <c r="C2591" s="37">
        <f>$AB2591</f>
        <v>0</v>
      </c>
      <c r="D2591" s="37">
        <f>$AF2591</f>
        <v>0</v>
      </c>
      <c r="E2591" s="37">
        <f>$AJ2591</f>
        <v>0</v>
      </c>
      <c r="F2591" s="45"/>
      <c r="K2591" s="3" t="s">
        <v>295</v>
      </c>
      <c r="AA2591" s="40" t="s">
        <v>2660</v>
      </c>
      <c r="AB2591" s="8">
        <f>ROUND(0,2)</f>
        <v>0</v>
      </c>
      <c r="AC2591" s="40" t="s">
        <v>1650</v>
      </c>
      <c r="AD2591" s="7">
        <f>$AB2591</f>
        <v>0</v>
      </c>
      <c r="AE2591" s="40" t="s">
        <v>5305</v>
      </c>
      <c r="AF2591" s="8">
        <f>ROUND(0,2)</f>
        <v>0</v>
      </c>
      <c r="AG2591" s="40" t="s">
        <v>5439</v>
      </c>
      <c r="AH2591" s="7">
        <f>$AF2591</f>
        <v>0</v>
      </c>
      <c r="AI2591" s="40" t="s">
        <v>3519</v>
      </c>
      <c r="AJ2591" s="8">
        <f>ROUND(0,2)</f>
        <v>0</v>
      </c>
      <c r="AK2591" s="40" t="s">
        <v>4149</v>
      </c>
      <c r="AL2591" s="7">
        <f>$AJ2591</f>
        <v>0</v>
      </c>
    </row>
    <row r="2592" spans="1:38" ht="18.399999999999999" customHeight="1">
      <c r="A2592" s="41" t="s">
        <v>4464</v>
      </c>
      <c r="B2592" s="37"/>
      <c r="C2592" s="37"/>
      <c r="D2592" s="37"/>
      <c r="E2592" s="37"/>
      <c r="F2592" s="45"/>
      <c r="K2592" s="3" t="s">
        <v>311</v>
      </c>
    </row>
    <row r="2593" spans="1:38" ht="18.399999999999999" customHeight="1">
      <c r="A2593" s="41" t="s">
        <v>6232</v>
      </c>
      <c r="B2593" s="37"/>
      <c r="C2593" s="37"/>
      <c r="D2593" s="37"/>
      <c r="E2593" s="37"/>
      <c r="F2593" s="45"/>
      <c r="K2593" s="3" t="s">
        <v>6232</v>
      </c>
    </row>
    <row r="2594" spans="1:38" ht="18.399999999999999" customHeight="1">
      <c r="A2594" s="42" t="str">
        <f>CONCATENATE("  1) POLYOL :  2.04  kg  * _x001D_4,500_x001D_ = ",TEXT($AB2594,"#,##0.0"))</f>
        <v xml:space="preserve">  1) POLYOL :  2.04  kg  * _x001D_4,500_x001D_ = 9,180.0</v>
      </c>
      <c r="B2594" s="37">
        <f>SUM($C2594,$D2594,$E2594)</f>
        <v>9180</v>
      </c>
      <c r="C2594" s="37">
        <f>$AB2594</f>
        <v>9180</v>
      </c>
      <c r="D2594" s="37"/>
      <c r="E2594" s="37"/>
      <c r="F2594" s="45" t="s">
        <v>6232</v>
      </c>
      <c r="K2594" s="3" t="s">
        <v>2186</v>
      </c>
      <c r="AA2594" s="40" t="s">
        <v>2660</v>
      </c>
      <c r="AB2594" s="8">
        <f>TRUNC(2.04*자재조서!E46,1)</f>
        <v>9180</v>
      </c>
      <c r="AC2594" s="40" t="s">
        <v>1650</v>
      </c>
      <c r="AD2594" s="7">
        <f>$AD2591+$AB2594</f>
        <v>9180</v>
      </c>
    </row>
    <row r="2595" spans="1:38" ht="18.399999999999999" customHeight="1">
      <c r="A2595" s="41" t="s">
        <v>6232</v>
      </c>
      <c r="B2595" s="37"/>
      <c r="C2595" s="37"/>
      <c r="D2595" s="37"/>
      <c r="E2595" s="37"/>
      <c r="F2595" s="45"/>
      <c r="K2595" s="3" t="s">
        <v>6232</v>
      </c>
    </row>
    <row r="2596" spans="1:38" ht="18.399999999999999" customHeight="1">
      <c r="A2596" s="42" t="str">
        <f>CONCATENATE("  2) MDI :  2.88  kg  * _x001D_4,000_x001D_  = ",TEXT($AB2596,"#,##0.0"))</f>
        <v xml:space="preserve">  2) MDI :  2.88  kg  * _x001D_4,000_x001D_  = 11,520.0</v>
      </c>
      <c r="B2596" s="37">
        <f>SUM($C2596,$D2596,$E2596)</f>
        <v>11520</v>
      </c>
      <c r="C2596" s="37">
        <f>$AB2596</f>
        <v>11520</v>
      </c>
      <c r="D2596" s="37"/>
      <c r="E2596" s="37"/>
      <c r="F2596" s="45" t="s">
        <v>6232</v>
      </c>
      <c r="K2596" s="3" t="s">
        <v>3747</v>
      </c>
      <c r="AA2596" s="40" t="s">
        <v>2660</v>
      </c>
      <c r="AB2596" s="8">
        <f>TRUNC(2.88*자재조서!E47,1)</f>
        <v>11520</v>
      </c>
      <c r="AC2596" s="40" t="s">
        <v>1650</v>
      </c>
      <c r="AD2596" s="7">
        <f>$AD2594+$AB2596</f>
        <v>20700</v>
      </c>
    </row>
    <row r="2597" spans="1:38" ht="18.399999999999999" customHeight="1">
      <c r="A2597" s="41" t="s">
        <v>6232</v>
      </c>
      <c r="B2597" s="37"/>
      <c r="C2597" s="37"/>
      <c r="D2597" s="37"/>
      <c r="E2597" s="37"/>
      <c r="F2597" s="45"/>
      <c r="K2597" s="3" t="s">
        <v>6232</v>
      </c>
    </row>
    <row r="2598" spans="1:38" ht="18.399999999999999" customHeight="1">
      <c r="A2598" s="41" t="s">
        <v>337</v>
      </c>
      <c r="B2598" s="37"/>
      <c r="C2598" s="37"/>
      <c r="D2598" s="37"/>
      <c r="E2598" s="37"/>
      <c r="F2598" s="45"/>
      <c r="K2598" s="3" t="s">
        <v>3279</v>
      </c>
    </row>
    <row r="2599" spans="1:38" ht="18.399999999999999" customHeight="1">
      <c r="A2599" s="41" t="s">
        <v>6232</v>
      </c>
      <c r="B2599" s="37"/>
      <c r="C2599" s="37"/>
      <c r="D2599" s="37"/>
      <c r="E2599" s="37"/>
      <c r="F2599" s="45"/>
      <c r="K2599" s="3" t="s">
        <v>6232</v>
      </c>
    </row>
    <row r="2600" spans="1:38" ht="18.399999999999999" customHeight="1">
      <c r="A2600" s="42" t="str">
        <f>CONCATENATE("  4) PE 용접봉 :  0.41  kg  * _x001D_10,738_x001D_= ",TEXT($AB2600,"#,##0.0"))</f>
        <v xml:space="preserve">  4) PE 용접봉 :  0.41  kg  * _x001D_10,738_x001D_= 4,402.5</v>
      </c>
      <c r="B2600" s="37">
        <f>SUM($C2600,$D2600,$E2600)</f>
        <v>4402.5</v>
      </c>
      <c r="C2600" s="37">
        <f>$AB2600</f>
        <v>4402.5</v>
      </c>
      <c r="D2600" s="37"/>
      <c r="E2600" s="37"/>
      <c r="F2600" s="45" t="s">
        <v>6232</v>
      </c>
      <c r="K2600" s="3" t="s">
        <v>755</v>
      </c>
      <c r="AA2600" s="40" t="s">
        <v>2660</v>
      </c>
      <c r="AB2600" s="8">
        <f>TRUNC(0.41*자재조서!E41,1)</f>
        <v>4402.5</v>
      </c>
      <c r="AC2600" s="40" t="s">
        <v>1650</v>
      </c>
      <c r="AD2600" s="7">
        <f>$AD2596+$AB2600</f>
        <v>25102.5</v>
      </c>
    </row>
    <row r="2601" spans="1:38" ht="18.399999999999999" customHeight="1">
      <c r="A2601" s="41" t="s">
        <v>6232</v>
      </c>
      <c r="B2601" s="37"/>
      <c r="C2601" s="37"/>
      <c r="D2601" s="37"/>
      <c r="E2601" s="37"/>
      <c r="F2601" s="45"/>
      <c r="K2601" s="3" t="s">
        <v>6232</v>
      </c>
    </row>
    <row r="2602" spans="1:38" ht="18.399999999999999" customHeight="1">
      <c r="A2602" s="42" t="str">
        <f>CONCATENATE("  5) HDPE 관 :  6.18  m  * _x001D_13,430_x001D_ = ",TEXT($AB2602,"#,##0.0"))</f>
        <v xml:space="preserve">  5) HDPE 관 :  6.18  m  * _x001D_13,430_x001D_ = 82,997.4</v>
      </c>
      <c r="B2602" s="37">
        <f>SUM($C2602,$D2602,$E2602)</f>
        <v>82997.399999999994</v>
      </c>
      <c r="C2602" s="37">
        <f>$AB2602</f>
        <v>82997.399999999994</v>
      </c>
      <c r="D2602" s="37"/>
      <c r="E2602" s="37"/>
      <c r="F2602" s="45" t="s">
        <v>6232</v>
      </c>
      <c r="K2602" s="3" t="s">
        <v>121</v>
      </c>
      <c r="AA2602" s="40" t="s">
        <v>2660</v>
      </c>
      <c r="AB2602" s="8">
        <f>TRUNC(6.18*자재조서!E34,1)</f>
        <v>82997.399999999994</v>
      </c>
      <c r="AC2602" s="40" t="s">
        <v>1650</v>
      </c>
      <c r="AD2602" s="7">
        <f>$AD2600+$AB2602</f>
        <v>108099.9</v>
      </c>
    </row>
    <row r="2603" spans="1:38" ht="18.399999999999999" customHeight="1">
      <c r="A2603" s="41" t="s">
        <v>6232</v>
      </c>
      <c r="B2603" s="37"/>
      <c r="C2603" s="37"/>
      <c r="D2603" s="37"/>
      <c r="E2603" s="37"/>
      <c r="F2603" s="45"/>
      <c r="K2603" s="3" t="s">
        <v>6232</v>
      </c>
    </row>
    <row r="2604" spans="1:38" ht="18.399999999999999" customHeight="1">
      <c r="A2604" s="42" t="str">
        <f>CONCATENATE("  6) 공장보온재 :  2.992  m  * _x001D_13,480_x001D_ = ",TEXT($AB2604,"#,##0.0"))</f>
        <v xml:space="preserve">  6) 공장보온재 :  2.992  m  * _x001D_13,480_x001D_ = 40,332.1</v>
      </c>
      <c r="B2604" s="37">
        <f>SUM($C2604,$D2604,$E2604)</f>
        <v>40332.1</v>
      </c>
      <c r="C2604" s="37">
        <f>$AB2604</f>
        <v>40332.1</v>
      </c>
      <c r="D2604" s="37"/>
      <c r="E2604" s="37"/>
      <c r="F2604" s="45" t="s">
        <v>6232</v>
      </c>
      <c r="K2604" s="3" t="s">
        <v>2512</v>
      </c>
      <c r="AA2604" s="40" t="s">
        <v>2660</v>
      </c>
      <c r="AB2604" s="8">
        <f>TRUNC(2.992*자재조서!E69,1)</f>
        <v>40332.1</v>
      </c>
      <c r="AC2604" s="40" t="s">
        <v>1650</v>
      </c>
      <c r="AD2604" s="7">
        <f>$AD2602+$AB2604</f>
        <v>148432</v>
      </c>
    </row>
    <row r="2605" spans="1:38" ht="18.399999999999999" customHeight="1">
      <c r="A2605" s="41" t="s">
        <v>6232</v>
      </c>
      <c r="B2605" s="37"/>
      <c r="C2605" s="37"/>
      <c r="D2605" s="37"/>
      <c r="E2605" s="37"/>
      <c r="F2605" s="45"/>
      <c r="K2605" s="3" t="s">
        <v>6232</v>
      </c>
    </row>
    <row r="2606" spans="1:38" ht="18.399999999999999" customHeight="1">
      <c r="A2606" s="42" t="str">
        <f>CONCATENATE("  7) 석동선 :  13.39  m  * _x001D_16.5_x001D_ = ",TEXT($AB2606,"#,##0.0"))</f>
        <v xml:space="preserve">  7) 석동선 :  13.39  m  * _x001D_16.5_x001D_ = 220.9</v>
      </c>
      <c r="B2606" s="37">
        <f>SUM($C2606,$D2606,$E2606)</f>
        <v>220.9</v>
      </c>
      <c r="C2606" s="37">
        <f>$AB2606</f>
        <v>220.9</v>
      </c>
      <c r="D2606" s="37"/>
      <c r="E2606" s="37"/>
      <c r="F2606" s="45" t="s">
        <v>6232</v>
      </c>
      <c r="K2606" s="3" t="s">
        <v>5603</v>
      </c>
      <c r="AA2606" s="40" t="s">
        <v>2660</v>
      </c>
      <c r="AB2606" s="8">
        <f>TRUNC(13.39*자재조서!E85,1)</f>
        <v>220.9</v>
      </c>
      <c r="AC2606" s="40" t="s">
        <v>1650</v>
      </c>
      <c r="AD2606" s="7">
        <f>$AD2604+$AB2606</f>
        <v>148652.9</v>
      </c>
    </row>
    <row r="2607" spans="1:38" ht="18.399999999999999" customHeight="1">
      <c r="A2607" s="41" t="s">
        <v>6232</v>
      </c>
      <c r="B2607" s="37"/>
      <c r="C2607" s="37"/>
      <c r="D2607" s="37"/>
      <c r="E2607" s="37"/>
      <c r="F2607" s="45"/>
      <c r="K2607" s="3" t="s">
        <v>6232</v>
      </c>
    </row>
    <row r="2608" spans="1:38" ht="18.399999999999999" customHeight="1">
      <c r="A2608" s="41" t="s">
        <v>4035</v>
      </c>
      <c r="B2608" s="37">
        <f>SUM($C2608,$D2608,$E2608)</f>
        <v>148652.9</v>
      </c>
      <c r="C2608" s="37">
        <f>$AB2608</f>
        <v>148652.9</v>
      </c>
      <c r="D2608" s="37">
        <f>$AF2608</f>
        <v>0</v>
      </c>
      <c r="E2608" s="37">
        <f>$AJ2608</f>
        <v>0</v>
      </c>
      <c r="F2608" s="45"/>
      <c r="K2608" s="3" t="s">
        <v>6125</v>
      </c>
      <c r="AA2608" s="40" t="s">
        <v>4592</v>
      </c>
      <c r="AB2608" s="8">
        <f>TRUNC($AD2606,1)</f>
        <v>148652.9</v>
      </c>
      <c r="AC2608" s="40" t="s">
        <v>5149</v>
      </c>
      <c r="AD2608" s="7">
        <f>$AB2608</f>
        <v>148652.9</v>
      </c>
      <c r="AE2608" s="40" t="s">
        <v>666</v>
      </c>
      <c r="AF2608" s="8">
        <f>TRUNC($AH2591,1)</f>
        <v>0</v>
      </c>
      <c r="AG2608" s="40" t="s">
        <v>2431</v>
      </c>
      <c r="AH2608" s="7">
        <f>$AF2608</f>
        <v>0</v>
      </c>
      <c r="AI2608" s="40" t="s">
        <v>1930</v>
      </c>
      <c r="AJ2608" s="8">
        <f>TRUNC($AL2591,1)</f>
        <v>0</v>
      </c>
      <c r="AK2608" s="40" t="s">
        <v>3349</v>
      </c>
      <c r="AL2608" s="7">
        <f>$AJ2608</f>
        <v>0</v>
      </c>
    </row>
    <row r="2609" spans="1:38" ht="18.399999999999999" customHeight="1">
      <c r="A2609" s="41" t="s">
        <v>6232</v>
      </c>
      <c r="B2609" s="37">
        <f>SUM($C2609,$D2609,$E2609)</f>
        <v>0</v>
      </c>
      <c r="C2609" s="37">
        <f>$AB2609</f>
        <v>0</v>
      </c>
      <c r="D2609" s="37">
        <f>$AF2609</f>
        <v>0</v>
      </c>
      <c r="E2609" s="37">
        <f>$AJ2609</f>
        <v>0</v>
      </c>
      <c r="F2609" s="45"/>
      <c r="K2609" s="3" t="s">
        <v>5506</v>
      </c>
      <c r="AA2609" s="40" t="s">
        <v>4586</v>
      </c>
      <c r="AB2609" s="8">
        <f>ROUND(0,2)</f>
        <v>0</v>
      </c>
      <c r="AC2609" s="40" t="s">
        <v>4161</v>
      </c>
      <c r="AD2609" s="7">
        <f>$AB2609</f>
        <v>0</v>
      </c>
      <c r="AE2609" s="40" t="s">
        <v>222</v>
      </c>
      <c r="AF2609" s="8">
        <f>ROUND(0,2)</f>
        <v>0</v>
      </c>
      <c r="AG2609" s="40" t="s">
        <v>334</v>
      </c>
      <c r="AH2609" s="7">
        <f>$AF2609</f>
        <v>0</v>
      </c>
      <c r="AI2609" s="40" t="s">
        <v>1574</v>
      </c>
      <c r="AJ2609" s="8">
        <f>ROUND(0,2)</f>
        <v>0</v>
      </c>
      <c r="AK2609" s="40" t="s">
        <v>1622</v>
      </c>
      <c r="AL2609" s="7">
        <f>$AJ2609</f>
        <v>0</v>
      </c>
    </row>
    <row r="2610" spans="1:38" ht="18.399999999999999" customHeight="1">
      <c r="A2610" s="41" t="s">
        <v>231</v>
      </c>
      <c r="B2610" s="37"/>
      <c r="C2610" s="37"/>
      <c r="D2610" s="37"/>
      <c r="E2610" s="37"/>
      <c r="F2610" s="45"/>
      <c r="K2610" s="3" t="s">
        <v>268</v>
      </c>
    </row>
    <row r="2611" spans="1:38" ht="18.399999999999999" customHeight="1">
      <c r="A2611" s="41" t="s">
        <v>6232</v>
      </c>
      <c r="B2611" s="37"/>
      <c r="C2611" s="37"/>
      <c r="D2611" s="37"/>
      <c r="E2611" s="37"/>
      <c r="F2611" s="45"/>
      <c r="K2611" s="3" t="s">
        <v>6232</v>
      </c>
    </row>
    <row r="2612" spans="1:38" ht="18.399999999999999" customHeight="1">
      <c r="A2612" s="41" t="s">
        <v>5533</v>
      </c>
      <c r="B2612" s="37"/>
      <c r="C2612" s="37"/>
      <c r="D2612" s="37"/>
      <c r="E2612" s="37"/>
      <c r="F2612" s="45"/>
      <c r="K2612" s="3" t="s">
        <v>3259</v>
      </c>
    </row>
    <row r="2613" spans="1:38" ht="18.399999999999999" customHeight="1">
      <c r="A2613" s="42" t="str">
        <f>CONCATENATE("    1.394  인  * Q * _x001D_213,722_x001D_ = ",TEXT($AB2613,"#,##0.0"))</f>
        <v xml:space="preserve">    1.394  인  * Q * _x001D_213,722_x001D_ = 347,891.9</v>
      </c>
      <c r="B2613" s="37">
        <f>SUM($C2613,$D2613,$E2613)</f>
        <v>347891.9</v>
      </c>
      <c r="C2613" s="37"/>
      <c r="D2613" s="37">
        <f>$AB2613</f>
        <v>347891.9</v>
      </c>
      <c r="E2613" s="37"/>
      <c r="F2613" s="45" t="s">
        <v>6232</v>
      </c>
      <c r="K2613" s="3" t="s">
        <v>3258</v>
      </c>
      <c r="AA2613" s="40" t="s">
        <v>222</v>
      </c>
      <c r="AB2613" s="8">
        <f>TRUNC(1.394*$AD2590*노임!D10,1)</f>
        <v>347891.9</v>
      </c>
      <c r="AC2613" s="40" t="s">
        <v>334</v>
      </c>
      <c r="AD2613" s="7">
        <f>$AH2609+$AB2613</f>
        <v>347891.9</v>
      </c>
    </row>
    <row r="2614" spans="1:38" ht="18.399999999999999" customHeight="1">
      <c r="A2614" s="41" t="s">
        <v>6232</v>
      </c>
      <c r="B2614" s="37"/>
      <c r="C2614" s="37"/>
      <c r="D2614" s="37"/>
      <c r="E2614" s="37"/>
      <c r="F2614" s="45"/>
      <c r="K2614" s="3" t="s">
        <v>6232</v>
      </c>
    </row>
    <row r="2615" spans="1:38" ht="18.399999999999999" customHeight="1">
      <c r="A2615" s="41" t="s">
        <v>585</v>
      </c>
      <c r="B2615" s="37"/>
      <c r="C2615" s="37"/>
      <c r="D2615" s="37"/>
      <c r="E2615" s="37"/>
      <c r="F2615" s="45"/>
      <c r="K2615" s="3" t="s">
        <v>5657</v>
      </c>
    </row>
    <row r="2616" spans="1:38" ht="18.399999999999999" customHeight="1">
      <c r="A2616" s="42" t="str">
        <f>CONCATENATE("    0.512  인  * Q * _x001D_201,482_x001D_ = ",TEXT($AB2616,"#,##0.0"))</f>
        <v xml:space="preserve">    0.512  인  * Q * _x001D_201,482_x001D_ = 119,215.5</v>
      </c>
      <c r="B2616" s="37">
        <f>SUM($C2616,$D2616,$E2616)</f>
        <v>119215.5</v>
      </c>
      <c r="C2616" s="37"/>
      <c r="D2616" s="37">
        <f>$AB2616</f>
        <v>119215.5</v>
      </c>
      <c r="E2616" s="37"/>
      <c r="F2616" s="45" t="s">
        <v>6232</v>
      </c>
      <c r="K2616" s="3" t="s">
        <v>3450</v>
      </c>
      <c r="AA2616" s="40" t="s">
        <v>222</v>
      </c>
      <c r="AB2616" s="8">
        <f>TRUNC(0.512*$AD2590*노임!D9,1)</f>
        <v>119215.5</v>
      </c>
      <c r="AC2616" s="40" t="s">
        <v>334</v>
      </c>
      <c r="AD2616" s="7">
        <f>$AD2613+$AB2616</f>
        <v>467107.4</v>
      </c>
    </row>
    <row r="2617" spans="1:38" ht="18.399999999999999" customHeight="1">
      <c r="A2617" s="41" t="s">
        <v>6232</v>
      </c>
      <c r="B2617" s="37"/>
      <c r="C2617" s="37"/>
      <c r="D2617" s="37"/>
      <c r="E2617" s="37"/>
      <c r="F2617" s="45"/>
      <c r="K2617" s="3" t="s">
        <v>6232</v>
      </c>
    </row>
    <row r="2618" spans="1:38" ht="18.399999999999999" customHeight="1">
      <c r="A2618" s="41" t="s">
        <v>3917</v>
      </c>
      <c r="B2618" s="37"/>
      <c r="C2618" s="37"/>
      <c r="D2618" s="37"/>
      <c r="E2618" s="37"/>
      <c r="F2618" s="45"/>
      <c r="K2618" s="3" t="s">
        <v>4355</v>
      </c>
    </row>
    <row r="2619" spans="1:38" ht="18.399999999999999" customHeight="1">
      <c r="A2619" s="42" t="str">
        <f>CONCATENATE("    0.226  인  * Q * _x001D_221,506_x001D_ = ",TEXT($AB2619,"#,##0.0"))</f>
        <v xml:space="preserve">    0.226  인  * Q * _x001D_221,506_x001D_ = 58,769.1</v>
      </c>
      <c r="B2619" s="37">
        <f>SUM($C2619,$D2619,$E2619)</f>
        <v>58769.1</v>
      </c>
      <c r="C2619" s="37"/>
      <c r="D2619" s="37">
        <f>$AB2619</f>
        <v>58769.1</v>
      </c>
      <c r="E2619" s="37"/>
      <c r="F2619" s="45" t="s">
        <v>6232</v>
      </c>
      <c r="K2619" s="3" t="s">
        <v>5863</v>
      </c>
      <c r="AA2619" s="40" t="s">
        <v>222</v>
      </c>
      <c r="AB2619" s="8">
        <f>TRUNC(0.226*$AD2590*노임!D4,1)</f>
        <v>58769.1</v>
      </c>
      <c r="AC2619" s="40" t="s">
        <v>334</v>
      </c>
      <c r="AD2619" s="7">
        <f>$AD2616+$AB2619</f>
        <v>525876.5</v>
      </c>
    </row>
    <row r="2620" spans="1:38" ht="18.399999999999999" customHeight="1">
      <c r="A2620" s="41" t="s">
        <v>6232</v>
      </c>
      <c r="B2620" s="37"/>
      <c r="C2620" s="37"/>
      <c r="D2620" s="37"/>
      <c r="E2620" s="37"/>
      <c r="F2620" s="45"/>
      <c r="K2620" s="3" t="s">
        <v>6232</v>
      </c>
    </row>
    <row r="2621" spans="1:38" ht="18.399999999999999" customHeight="1">
      <c r="A2621" s="41" t="s">
        <v>4277</v>
      </c>
      <c r="B2621" s="37"/>
      <c r="C2621" s="37"/>
      <c r="D2621" s="37"/>
      <c r="E2621" s="37"/>
      <c r="F2621" s="45"/>
      <c r="K2621" s="3" t="s">
        <v>4663</v>
      </c>
    </row>
    <row r="2622" spans="1:38" ht="18.399999999999999" customHeight="1">
      <c r="A2622" s="42" t="str">
        <f>CONCATENATE("    0.669  인  * Q * _x001D_169,804_x001D_ = ",TEXT($AB2622,"#,##0.0"))</f>
        <v xml:space="preserve">    0.669  인  * Q * _x001D_169,804_x001D_ = 132,380.5</v>
      </c>
      <c r="B2622" s="37">
        <f>SUM($C2622,$D2622,$E2622)</f>
        <v>132380.5</v>
      </c>
      <c r="C2622" s="37"/>
      <c r="D2622" s="37">
        <f>$AB2622</f>
        <v>132380.5</v>
      </c>
      <c r="E2622" s="37"/>
      <c r="F2622" s="45" t="s">
        <v>6232</v>
      </c>
      <c r="K2622" s="3" t="s">
        <v>4520</v>
      </c>
      <c r="AA2622" s="40" t="s">
        <v>222</v>
      </c>
      <c r="AB2622" s="8">
        <f>TRUNC(0.669*$AD2590*노임!D3,1)</f>
        <v>132380.5</v>
      </c>
      <c r="AC2622" s="40" t="s">
        <v>334</v>
      </c>
      <c r="AD2622" s="7">
        <f>$AD2619+$AB2622</f>
        <v>658257</v>
      </c>
    </row>
    <row r="2623" spans="1:38" ht="18.399999999999999" customHeight="1">
      <c r="A2623" s="41" t="s">
        <v>6232</v>
      </c>
      <c r="B2623" s="37"/>
      <c r="C2623" s="37"/>
      <c r="D2623" s="37"/>
      <c r="E2623" s="37"/>
      <c r="F2623" s="45"/>
      <c r="K2623" s="3" t="s">
        <v>6232</v>
      </c>
    </row>
    <row r="2624" spans="1:38" ht="18.399999999999999" customHeight="1">
      <c r="A2624" s="41" t="s">
        <v>4035</v>
      </c>
      <c r="B2624" s="37">
        <f>SUM($C2624,$D2624,$E2624)</f>
        <v>658257</v>
      </c>
      <c r="C2624" s="37">
        <f>$AB2624</f>
        <v>0</v>
      </c>
      <c r="D2624" s="37">
        <f>$AF2624</f>
        <v>658257</v>
      </c>
      <c r="E2624" s="37">
        <f>$AJ2624</f>
        <v>0</v>
      </c>
      <c r="F2624" s="45"/>
      <c r="K2624" s="3" t="s">
        <v>134</v>
      </c>
      <c r="AA2624" s="40" t="s">
        <v>4592</v>
      </c>
      <c r="AB2624" s="8">
        <f>TRUNC($AD2609,1)</f>
        <v>0</v>
      </c>
      <c r="AC2624" s="40" t="s">
        <v>5149</v>
      </c>
      <c r="AD2624" s="7">
        <f>$AD2608+$AB2624</f>
        <v>148652.9</v>
      </c>
      <c r="AE2624" s="40" t="s">
        <v>666</v>
      </c>
      <c r="AF2624" s="8">
        <f>TRUNC($AD2622,1)</f>
        <v>658257</v>
      </c>
      <c r="AG2624" s="40" t="s">
        <v>2431</v>
      </c>
      <c r="AH2624" s="7">
        <f>$AH2608+$AF2624</f>
        <v>658257</v>
      </c>
      <c r="AI2624" s="40" t="s">
        <v>1930</v>
      </c>
      <c r="AJ2624" s="8">
        <f>TRUNC($AL2609,1)</f>
        <v>0</v>
      </c>
      <c r="AK2624" s="40" t="s">
        <v>3349</v>
      </c>
      <c r="AL2624" s="7">
        <f>$AL2608+$AJ2624</f>
        <v>0</v>
      </c>
    </row>
    <row r="2625" spans="1:38" ht="18.399999999999999" customHeight="1">
      <c r="A2625" s="41" t="s">
        <v>6232</v>
      </c>
      <c r="B2625" s="37">
        <f>SUM($C2625,$D2625,$E2625)</f>
        <v>0</v>
      </c>
      <c r="C2625" s="37">
        <f>$AB2625</f>
        <v>0</v>
      </c>
      <c r="D2625" s="37">
        <f>$AF2625</f>
        <v>0</v>
      </c>
      <c r="E2625" s="37">
        <f>$AJ2625</f>
        <v>0</v>
      </c>
      <c r="F2625" s="45"/>
      <c r="K2625" s="3" t="s">
        <v>3238</v>
      </c>
      <c r="AA2625" s="40" t="s">
        <v>308</v>
      </c>
      <c r="AB2625" s="8">
        <f>ROUND(0,2)</f>
        <v>0</v>
      </c>
      <c r="AC2625" s="40" t="s">
        <v>5000</v>
      </c>
      <c r="AD2625" s="7">
        <f>$AB2625</f>
        <v>0</v>
      </c>
      <c r="AE2625" s="40" t="s">
        <v>4500</v>
      </c>
      <c r="AF2625" s="8">
        <f>ROUND(0,2)</f>
        <v>0</v>
      </c>
      <c r="AG2625" s="40" t="s">
        <v>2603</v>
      </c>
      <c r="AH2625" s="7">
        <f>$AF2625</f>
        <v>0</v>
      </c>
      <c r="AI2625" s="40" t="s">
        <v>5878</v>
      </c>
      <c r="AJ2625" s="8">
        <f>ROUND(0,2)</f>
        <v>0</v>
      </c>
      <c r="AK2625" s="40" t="s">
        <v>787</v>
      </c>
      <c r="AL2625" s="7">
        <f>$AJ2625</f>
        <v>0</v>
      </c>
    </row>
    <row r="2626" spans="1:38" ht="18.399999999999999" customHeight="1">
      <c r="A2626" s="41" t="s">
        <v>760</v>
      </c>
      <c r="B2626" s="37"/>
      <c r="C2626" s="37"/>
      <c r="D2626" s="37"/>
      <c r="E2626" s="37"/>
      <c r="F2626" s="45"/>
      <c r="K2626" s="3" t="s">
        <v>5465</v>
      </c>
    </row>
    <row r="2627" spans="1:38" ht="18.399999999999999" customHeight="1">
      <c r="A2627" s="41" t="s">
        <v>6232</v>
      </c>
      <c r="B2627" s="37"/>
      <c r="C2627" s="37"/>
      <c r="D2627" s="37"/>
      <c r="E2627" s="37"/>
      <c r="F2627" s="45"/>
      <c r="K2627" s="3" t="s">
        <v>6232</v>
      </c>
    </row>
    <row r="2628" spans="1:38" ht="18.399999999999999" customHeight="1">
      <c r="A2628" s="42" t="str">
        <f>CONCATENATE("    LA2 / Q * 0.02 = ",TEXT($AB2628,"#,##0.0"))</f>
        <v xml:space="preserve">    LA2 / Q * 0.02 = 11,447.9</v>
      </c>
      <c r="B2628" s="37">
        <f>SUM($C2628,$D2628,$E2628)</f>
        <v>11447.9</v>
      </c>
      <c r="C2628" s="37"/>
      <c r="D2628" s="37"/>
      <c r="E2628" s="37">
        <f>$AB2628</f>
        <v>11447.9</v>
      </c>
      <c r="F2628" s="45"/>
      <c r="K2628" s="3" t="s">
        <v>4829</v>
      </c>
      <c r="AA2628" s="40" t="s">
        <v>5878</v>
      </c>
      <c r="AB2628" s="8">
        <f>TRUNC($AD2622/$AD2590*0.02,1)</f>
        <v>11447.9</v>
      </c>
      <c r="AC2628" s="40" t="s">
        <v>787</v>
      </c>
      <c r="AD2628" s="7">
        <f>$AL2625+$AB2628</f>
        <v>11447.9</v>
      </c>
    </row>
    <row r="2629" spans="1:38" ht="18.399999999999999" customHeight="1">
      <c r="A2629" s="41" t="s">
        <v>6232</v>
      </c>
      <c r="B2629" s="37"/>
      <c r="C2629" s="37"/>
      <c r="D2629" s="37"/>
      <c r="E2629" s="37"/>
      <c r="F2629" s="45"/>
      <c r="K2629" s="3" t="s">
        <v>6232</v>
      </c>
    </row>
    <row r="2630" spans="1:38" ht="18.399999999999999" customHeight="1">
      <c r="A2630" s="41" t="s">
        <v>4035</v>
      </c>
      <c r="B2630" s="37">
        <f>SUM($C2630,$D2630,$E2630)</f>
        <v>11447.9</v>
      </c>
      <c r="C2630" s="37">
        <f>$AB2630</f>
        <v>0</v>
      </c>
      <c r="D2630" s="37">
        <f>$AF2630</f>
        <v>0</v>
      </c>
      <c r="E2630" s="37">
        <f>$AJ2630</f>
        <v>11447.9</v>
      </c>
      <c r="F2630" s="45"/>
      <c r="K2630" s="3" t="s">
        <v>4813</v>
      </c>
      <c r="AA2630" s="40" t="s">
        <v>4592</v>
      </c>
      <c r="AB2630" s="8">
        <f>TRUNC($AD2625,1)</f>
        <v>0</v>
      </c>
      <c r="AC2630" s="40" t="s">
        <v>5149</v>
      </c>
      <c r="AD2630" s="7">
        <f>$AD2624+$AB2630</f>
        <v>148652.9</v>
      </c>
      <c r="AE2630" s="40" t="s">
        <v>666</v>
      </c>
      <c r="AF2630" s="8">
        <f>TRUNC($AH2625,1)</f>
        <v>0</v>
      </c>
      <c r="AG2630" s="40" t="s">
        <v>2431</v>
      </c>
      <c r="AH2630" s="7">
        <f>$AH2624+$AF2630</f>
        <v>658257</v>
      </c>
      <c r="AI2630" s="40" t="s">
        <v>1930</v>
      </c>
      <c r="AJ2630" s="8">
        <f>TRUNC($AD2628,1)</f>
        <v>11447.9</v>
      </c>
      <c r="AK2630" s="40" t="s">
        <v>3349</v>
      </c>
      <c r="AL2630" s="7">
        <f>$AL2624+$AJ2630</f>
        <v>11447.9</v>
      </c>
    </row>
    <row r="2631" spans="1:38" ht="18.399999999999999" customHeight="1">
      <c r="A2631" s="41" t="s">
        <v>6232</v>
      </c>
      <c r="B2631" s="37"/>
      <c r="C2631" s="37"/>
      <c r="D2631" s="37"/>
      <c r="E2631" s="37"/>
      <c r="F2631" s="45"/>
      <c r="K2631" s="3" t="s">
        <v>6232</v>
      </c>
    </row>
    <row r="2632" spans="1:38" ht="18.399999999999999" customHeight="1">
      <c r="A2632" s="41" t="s">
        <v>4002</v>
      </c>
      <c r="B2632" s="37">
        <v>809406.20000000007</v>
      </c>
      <c r="C2632" s="37">
        <v>148652.9</v>
      </c>
      <c r="D2632" s="37">
        <v>649458.4</v>
      </c>
      <c r="E2632" s="37">
        <v>11294.9</v>
      </c>
      <c r="F2632" s="45"/>
      <c r="K2632" s="3" t="s">
        <v>916</v>
      </c>
    </row>
    <row r="2633" spans="1:38" ht="18.399999999999999" customHeight="1">
      <c r="A2633" s="41"/>
      <c r="B2633" s="3"/>
      <c r="C2633" s="3"/>
      <c r="D2633" s="3"/>
      <c r="E2633" s="3"/>
      <c r="F2633" s="44"/>
    </row>
    <row r="2634" spans="1:38" ht="18.399999999999999" customHeight="1">
      <c r="A2634" s="43" t="s">
        <v>3543</v>
      </c>
      <c r="B2634" s="38">
        <f>SUM($C2634,$D2634,$E2634)</f>
        <v>818356</v>
      </c>
      <c r="C2634" s="38">
        <f>TRUNC(SUM($AD2630),0)</f>
        <v>148652</v>
      </c>
      <c r="D2634" s="38">
        <f>TRUNC(SUM($AH2630),0)</f>
        <v>658257</v>
      </c>
      <c r="E2634" s="38">
        <f>TRUNC(SUM($AL2630),0)</f>
        <v>11447</v>
      </c>
      <c r="F2634" s="46"/>
    </row>
    <row r="2635" spans="1:38" ht="18.399999999999999" customHeight="1">
      <c r="A2635" s="41"/>
      <c r="B2635" s="3"/>
      <c r="C2635" s="3"/>
      <c r="D2635" s="3"/>
      <c r="E2635" s="3"/>
      <c r="F2635" s="44"/>
    </row>
    <row r="2636" spans="1:38" ht="18.399999999999999" customHeight="1">
      <c r="A2636" s="41" t="s">
        <v>1177</v>
      </c>
      <c r="B2636" s="36">
        <f>$B2688</f>
        <v>993217</v>
      </c>
      <c r="C2636" s="36">
        <f>$C2688</f>
        <v>189105</v>
      </c>
      <c r="D2636" s="36">
        <f>$D2688</f>
        <v>790367</v>
      </c>
      <c r="E2636" s="36">
        <f>$E2688</f>
        <v>13745</v>
      </c>
      <c r="F2636" s="44" t="s">
        <v>4819</v>
      </c>
      <c r="G2636" t="s">
        <v>6232</v>
      </c>
      <c r="H2636" t="s">
        <v>4995</v>
      </c>
      <c r="K2636">
        <v>1</v>
      </c>
      <c r="Y2636" s="7" t="b">
        <f>EXACT($Z2636,$B2688)</f>
        <v>0</v>
      </c>
      <c r="Z2636" s="38">
        <v>982570</v>
      </c>
    </row>
    <row r="2637" spans="1:38" ht="18.399999999999999" customHeight="1">
      <c r="A2637" s="41"/>
      <c r="B2637" s="3"/>
      <c r="C2637" s="3"/>
      <c r="D2637" s="3"/>
      <c r="E2637" s="3"/>
      <c r="F2637" s="44"/>
    </row>
    <row r="2638" spans="1:38" ht="18.399999999999999" customHeight="1">
      <c r="A2638" s="41" t="s">
        <v>6232</v>
      </c>
      <c r="B2638" s="3"/>
      <c r="C2638" s="3"/>
      <c r="D2638" s="3"/>
      <c r="E2638" s="3"/>
      <c r="F2638" s="44"/>
      <c r="G2638" t="s">
        <v>6232</v>
      </c>
      <c r="I2638" t="s">
        <v>742</v>
      </c>
      <c r="J2638" t="s">
        <v>6232</v>
      </c>
      <c r="K2638" t="s">
        <v>5235</v>
      </c>
    </row>
    <row r="2639" spans="1:38" ht="18.399999999999999" customHeight="1">
      <c r="A2639" s="41" t="s">
        <v>2772</v>
      </c>
      <c r="B2639" s="37"/>
      <c r="C2639" s="37"/>
      <c r="D2639" s="37"/>
      <c r="E2639" s="37"/>
      <c r="F2639" s="45"/>
      <c r="K2639" s="3" t="s">
        <v>5333</v>
      </c>
    </row>
    <row r="2640" spans="1:38" ht="18.399999999999999" customHeight="1">
      <c r="A2640" s="41" t="s">
        <v>6232</v>
      </c>
      <c r="B2640" s="37"/>
      <c r="C2640" s="37"/>
      <c r="D2640" s="37"/>
      <c r="E2640" s="37"/>
      <c r="F2640" s="45"/>
      <c r="K2640" s="3" t="s">
        <v>6232</v>
      </c>
    </row>
    <row r="2641" spans="1:38" ht="18.399999999999999" customHeight="1">
      <c r="A2641" s="41" t="s">
        <v>2476</v>
      </c>
      <c r="B2641" s="37"/>
      <c r="C2641" s="37"/>
      <c r="D2641" s="37"/>
      <c r="E2641" s="37"/>
      <c r="F2641" s="45"/>
      <c r="K2641" s="3" t="s">
        <v>5810</v>
      </c>
    </row>
    <row r="2642" spans="1:38" ht="18.399999999999999" customHeight="1">
      <c r="A2642" s="41" t="s">
        <v>774</v>
      </c>
      <c r="B2642" s="37"/>
      <c r="C2642" s="37"/>
      <c r="D2642" s="37"/>
      <c r="E2642" s="37"/>
      <c r="F2642" s="45"/>
      <c r="K2642" s="3" t="s">
        <v>3563</v>
      </c>
    </row>
    <row r="2643" spans="1:38" ht="18.399999999999999" customHeight="1">
      <c r="A2643" s="41" t="s">
        <v>1642</v>
      </c>
      <c r="B2643" s="37"/>
      <c r="C2643" s="37"/>
      <c r="D2643" s="37"/>
      <c r="E2643" s="37"/>
      <c r="F2643" s="45"/>
      <c r="K2643" s="3" t="s">
        <v>2758</v>
      </c>
    </row>
    <row r="2644" spans="1:38" ht="18.399999999999999" customHeight="1">
      <c r="A2644" s="42" t="str">
        <f>CONCATENATE("          Q=",TEXT($AB2644,"#,##0.00"))</f>
        <v xml:space="preserve">          Q=1.15</v>
      </c>
      <c r="B2644" s="37"/>
      <c r="C2644" s="37"/>
      <c r="D2644" s="37"/>
      <c r="E2644" s="37"/>
      <c r="F2644" s="45"/>
      <c r="K2644" s="10" t="str">
        <f>SUBSTITUTE(SUBSTITUTE("          Q=1.15","1.15",TEXT($AB2644,"#,##0.00"),1),"_x001D_","'")</f>
        <v xml:space="preserve">          Q=1.15</v>
      </c>
      <c r="AA2644" s="39" t="s">
        <v>4337</v>
      </c>
      <c r="AB2644" s="6">
        <v>1.1499999999999999</v>
      </c>
      <c r="AC2644" s="39" t="s">
        <v>4337</v>
      </c>
      <c r="AD2644" s="7">
        <f>$AB2644</f>
        <v>1.1499999999999999</v>
      </c>
    </row>
    <row r="2645" spans="1:38" ht="18.399999999999999" customHeight="1">
      <c r="A2645" s="41" t="s">
        <v>6232</v>
      </c>
      <c r="B2645" s="37">
        <f>SUM($C2645,$D2645,$E2645)</f>
        <v>0</v>
      </c>
      <c r="C2645" s="37">
        <f>$AB2645</f>
        <v>0</v>
      </c>
      <c r="D2645" s="37">
        <f>$AF2645</f>
        <v>0</v>
      </c>
      <c r="E2645" s="37">
        <f>$AJ2645</f>
        <v>0</v>
      </c>
      <c r="F2645" s="45"/>
      <c r="K2645" s="3" t="s">
        <v>295</v>
      </c>
      <c r="AA2645" s="40" t="s">
        <v>2660</v>
      </c>
      <c r="AB2645" s="8">
        <f>ROUND(0,2)</f>
        <v>0</v>
      </c>
      <c r="AC2645" s="40" t="s">
        <v>1650</v>
      </c>
      <c r="AD2645" s="7">
        <f>$AB2645</f>
        <v>0</v>
      </c>
      <c r="AE2645" s="40" t="s">
        <v>5305</v>
      </c>
      <c r="AF2645" s="8">
        <f>ROUND(0,2)</f>
        <v>0</v>
      </c>
      <c r="AG2645" s="40" t="s">
        <v>5439</v>
      </c>
      <c r="AH2645" s="7">
        <f>$AF2645</f>
        <v>0</v>
      </c>
      <c r="AI2645" s="40" t="s">
        <v>3519</v>
      </c>
      <c r="AJ2645" s="8">
        <f>ROUND(0,2)</f>
        <v>0</v>
      </c>
      <c r="AK2645" s="40" t="s">
        <v>4149</v>
      </c>
      <c r="AL2645" s="7">
        <f>$AJ2645</f>
        <v>0</v>
      </c>
    </row>
    <row r="2646" spans="1:38" ht="18.399999999999999" customHeight="1">
      <c r="A2646" s="41" t="s">
        <v>4464</v>
      </c>
      <c r="B2646" s="37"/>
      <c r="C2646" s="37"/>
      <c r="D2646" s="37"/>
      <c r="E2646" s="37"/>
      <c r="F2646" s="45"/>
      <c r="K2646" s="3" t="s">
        <v>311</v>
      </c>
    </row>
    <row r="2647" spans="1:38" ht="18.399999999999999" customHeight="1">
      <c r="A2647" s="41" t="s">
        <v>6232</v>
      </c>
      <c r="B2647" s="37"/>
      <c r="C2647" s="37"/>
      <c r="D2647" s="37"/>
      <c r="E2647" s="37"/>
      <c r="F2647" s="45"/>
      <c r="K2647" s="3" t="s">
        <v>6232</v>
      </c>
    </row>
    <row r="2648" spans="1:38" ht="18.399999999999999" customHeight="1">
      <c r="A2648" s="42" t="str">
        <f>CONCATENATE("  1) POLYOL :  3.12  kg  * _x001D_4,500_x001D_ = ",TEXT($AB2648,"#,##0.0"))</f>
        <v xml:space="preserve">  1) POLYOL :  3.12  kg  * _x001D_4,500_x001D_ = 14,040.0</v>
      </c>
      <c r="B2648" s="37">
        <f>SUM($C2648,$D2648,$E2648)</f>
        <v>14040</v>
      </c>
      <c r="C2648" s="37">
        <f>$AB2648</f>
        <v>14040</v>
      </c>
      <c r="D2648" s="37"/>
      <c r="E2648" s="37"/>
      <c r="F2648" s="45" t="s">
        <v>6232</v>
      </c>
      <c r="K2648" s="3" t="s">
        <v>2875</v>
      </c>
      <c r="AA2648" s="40" t="s">
        <v>2660</v>
      </c>
      <c r="AB2648" s="8">
        <f>TRUNC(3.12*자재조서!E46,1)</f>
        <v>14040</v>
      </c>
      <c r="AC2648" s="40" t="s">
        <v>1650</v>
      </c>
      <c r="AD2648" s="7">
        <f>$AD2645+$AB2648</f>
        <v>14040</v>
      </c>
    </row>
    <row r="2649" spans="1:38" ht="18.399999999999999" customHeight="1">
      <c r="A2649" s="41" t="s">
        <v>6232</v>
      </c>
      <c r="B2649" s="37"/>
      <c r="C2649" s="37"/>
      <c r="D2649" s="37"/>
      <c r="E2649" s="37"/>
      <c r="F2649" s="45"/>
      <c r="K2649" s="3" t="s">
        <v>6232</v>
      </c>
    </row>
    <row r="2650" spans="1:38" ht="18.399999999999999" customHeight="1">
      <c r="A2650" s="42" t="str">
        <f>CONCATENATE("  2) MDI :  4.44  kg  * _x001D_4,000_x001D_  = ",TEXT($AB2650,"#,##0.0"))</f>
        <v xml:space="preserve">  2) MDI :  4.44  kg  * _x001D_4,000_x001D_  = 17,760.0</v>
      </c>
      <c r="B2650" s="37">
        <f>SUM($C2650,$D2650,$E2650)</f>
        <v>17760</v>
      </c>
      <c r="C2650" s="37">
        <f>$AB2650</f>
        <v>17760</v>
      </c>
      <c r="D2650" s="37"/>
      <c r="E2650" s="37"/>
      <c r="F2650" s="45" t="s">
        <v>6232</v>
      </c>
      <c r="K2650" s="3" t="s">
        <v>4234</v>
      </c>
      <c r="AA2650" s="40" t="s">
        <v>2660</v>
      </c>
      <c r="AB2650" s="8">
        <f>TRUNC(4.44*자재조서!E47,1)</f>
        <v>17760</v>
      </c>
      <c r="AC2650" s="40" t="s">
        <v>1650</v>
      </c>
      <c r="AD2650" s="7">
        <f>$AD2648+$AB2650</f>
        <v>31800</v>
      </c>
    </row>
    <row r="2651" spans="1:38" ht="18.399999999999999" customHeight="1">
      <c r="A2651" s="41" t="s">
        <v>6232</v>
      </c>
      <c r="B2651" s="37"/>
      <c r="C2651" s="37"/>
      <c r="D2651" s="37"/>
      <c r="E2651" s="37"/>
      <c r="F2651" s="45"/>
      <c r="K2651" s="3" t="s">
        <v>6232</v>
      </c>
    </row>
    <row r="2652" spans="1:38" ht="18.399999999999999" customHeight="1">
      <c r="A2652" s="41" t="s">
        <v>337</v>
      </c>
      <c r="B2652" s="37"/>
      <c r="C2652" s="37"/>
      <c r="D2652" s="37"/>
      <c r="E2652" s="37"/>
      <c r="F2652" s="45"/>
      <c r="K2652" s="3" t="s">
        <v>3279</v>
      </c>
    </row>
    <row r="2653" spans="1:38" ht="18.399999999999999" customHeight="1">
      <c r="A2653" s="41" t="s">
        <v>6232</v>
      </c>
      <c r="B2653" s="37"/>
      <c r="C2653" s="37"/>
      <c r="D2653" s="37"/>
      <c r="E2653" s="37"/>
      <c r="F2653" s="45"/>
      <c r="K2653" s="3" t="s">
        <v>6232</v>
      </c>
    </row>
    <row r="2654" spans="1:38" ht="18.399999999999999" customHeight="1">
      <c r="A2654" s="42" t="str">
        <f>CONCATENATE("  4) PE 용접봉 :  0.51  kg  * _x001D_10,738_x001D_= ",TEXT($AB2654,"#,##0.0"))</f>
        <v xml:space="preserve">  4) PE 용접봉 :  0.51  kg  * _x001D_10,738_x001D_= 5,476.3</v>
      </c>
      <c r="B2654" s="37">
        <f>SUM($C2654,$D2654,$E2654)</f>
        <v>5476.3</v>
      </c>
      <c r="C2654" s="37">
        <f>$AB2654</f>
        <v>5476.3</v>
      </c>
      <c r="D2654" s="37"/>
      <c r="E2654" s="37"/>
      <c r="F2654" s="45" t="s">
        <v>6232</v>
      </c>
      <c r="K2654" s="3" t="s">
        <v>4127</v>
      </c>
      <c r="AA2654" s="40" t="s">
        <v>2660</v>
      </c>
      <c r="AB2654" s="8">
        <f>TRUNC(0.51*자재조서!E41,1)</f>
        <v>5476.3</v>
      </c>
      <c r="AC2654" s="40" t="s">
        <v>1650</v>
      </c>
      <c r="AD2654" s="7">
        <f>$AD2650+$AB2654</f>
        <v>37276.300000000003</v>
      </c>
    </row>
    <row r="2655" spans="1:38" ht="18.399999999999999" customHeight="1">
      <c r="A2655" s="41" t="s">
        <v>6232</v>
      </c>
      <c r="B2655" s="37"/>
      <c r="C2655" s="37"/>
      <c r="D2655" s="37"/>
      <c r="E2655" s="37"/>
      <c r="F2655" s="45"/>
      <c r="K2655" s="3" t="s">
        <v>6232</v>
      </c>
    </row>
    <row r="2656" spans="1:38" ht="18.399999999999999" customHeight="1">
      <c r="A2656" s="42" t="str">
        <f>CONCATENATE("  5) HDPE 관 :  6.18  m  * _x001D_13,430_x001D_ = ",TEXT($AB2656,"#,##0.0"))</f>
        <v xml:space="preserve">  5) HDPE 관 :  6.18  m  * _x001D_13,430_x001D_ = 82,997.4</v>
      </c>
      <c r="B2656" s="37">
        <f>SUM($C2656,$D2656,$E2656)</f>
        <v>82997.399999999994</v>
      </c>
      <c r="C2656" s="37">
        <f>$AB2656</f>
        <v>82997.399999999994</v>
      </c>
      <c r="D2656" s="37"/>
      <c r="E2656" s="37"/>
      <c r="F2656" s="45" t="s">
        <v>6232</v>
      </c>
      <c r="K2656" s="3" t="s">
        <v>121</v>
      </c>
      <c r="AA2656" s="40" t="s">
        <v>2660</v>
      </c>
      <c r="AB2656" s="8">
        <f>TRUNC(6.18*자재조서!E34,1)</f>
        <v>82997.399999999994</v>
      </c>
      <c r="AC2656" s="40" t="s">
        <v>1650</v>
      </c>
      <c r="AD2656" s="7">
        <f>$AD2654+$AB2656</f>
        <v>120273.7</v>
      </c>
    </row>
    <row r="2657" spans="1:38" ht="18.399999999999999" customHeight="1">
      <c r="A2657" s="41" t="s">
        <v>6232</v>
      </c>
      <c r="B2657" s="37"/>
      <c r="C2657" s="37"/>
      <c r="D2657" s="37"/>
      <c r="E2657" s="37"/>
      <c r="F2657" s="45"/>
      <c r="K2657" s="3" t="s">
        <v>6232</v>
      </c>
    </row>
    <row r="2658" spans="1:38" ht="18.399999999999999" customHeight="1">
      <c r="A2658" s="42" t="str">
        <f>CONCATENATE("  6) 공장보온재 :  2.992  m  * _x001D_22,930_x001D_ = ",TEXT($AB2658,"#,##0.0"))</f>
        <v xml:space="preserve">  6) 공장보온재 :  2.992  m  * _x001D_22,930_x001D_ = 68,606.5</v>
      </c>
      <c r="B2658" s="37">
        <f>SUM($C2658,$D2658,$E2658)</f>
        <v>68606.5</v>
      </c>
      <c r="C2658" s="37">
        <f>$AB2658</f>
        <v>68606.5</v>
      </c>
      <c r="D2658" s="37"/>
      <c r="E2658" s="37"/>
      <c r="F2658" s="45" t="s">
        <v>6232</v>
      </c>
      <c r="K2658" s="3" t="s">
        <v>1554</v>
      </c>
      <c r="AA2658" s="40" t="s">
        <v>2660</v>
      </c>
      <c r="AB2658" s="8">
        <f>TRUNC(2.992*자재조서!E70,1)</f>
        <v>68606.5</v>
      </c>
      <c r="AC2658" s="40" t="s">
        <v>1650</v>
      </c>
      <c r="AD2658" s="7">
        <f>$AD2656+$AB2658</f>
        <v>188880.2</v>
      </c>
    </row>
    <row r="2659" spans="1:38" ht="18.399999999999999" customHeight="1">
      <c r="A2659" s="41" t="s">
        <v>6232</v>
      </c>
      <c r="B2659" s="37"/>
      <c r="C2659" s="37"/>
      <c r="D2659" s="37"/>
      <c r="E2659" s="37"/>
      <c r="F2659" s="45"/>
      <c r="K2659" s="3" t="s">
        <v>6232</v>
      </c>
    </row>
    <row r="2660" spans="1:38" ht="18.399999999999999" customHeight="1">
      <c r="A2660" s="42" t="str">
        <f>CONCATENATE("  7) 석동선 :  13.66  m  * _x001D_16.5_x001D_ = ",TEXT($AB2660,"#,##0.0"))</f>
        <v xml:space="preserve">  7) 석동선 :  13.66  m  * _x001D_16.5_x001D_ = 225.3</v>
      </c>
      <c r="B2660" s="37">
        <f>SUM($C2660,$D2660,$E2660)</f>
        <v>225.3</v>
      </c>
      <c r="C2660" s="37">
        <f>$AB2660</f>
        <v>225.3</v>
      </c>
      <c r="D2660" s="37"/>
      <c r="E2660" s="37"/>
      <c r="F2660" s="45" t="s">
        <v>6232</v>
      </c>
      <c r="K2660" s="3" t="s">
        <v>4783</v>
      </c>
      <c r="AA2660" s="40" t="s">
        <v>2660</v>
      </c>
      <c r="AB2660" s="8">
        <f>TRUNC(13.66*자재조서!E85,1)</f>
        <v>225.3</v>
      </c>
      <c r="AC2660" s="40" t="s">
        <v>1650</v>
      </c>
      <c r="AD2660" s="7">
        <f>$AD2658+$AB2660</f>
        <v>189105.5</v>
      </c>
    </row>
    <row r="2661" spans="1:38" ht="18.399999999999999" customHeight="1">
      <c r="A2661" s="41" t="s">
        <v>6232</v>
      </c>
      <c r="B2661" s="37"/>
      <c r="C2661" s="37"/>
      <c r="D2661" s="37"/>
      <c r="E2661" s="37"/>
      <c r="F2661" s="45"/>
      <c r="K2661" s="3" t="s">
        <v>6232</v>
      </c>
    </row>
    <row r="2662" spans="1:38" ht="18.399999999999999" customHeight="1">
      <c r="A2662" s="41" t="s">
        <v>4035</v>
      </c>
      <c r="B2662" s="37">
        <f>SUM($C2662,$D2662,$E2662)</f>
        <v>189105.5</v>
      </c>
      <c r="C2662" s="37">
        <f>$AB2662</f>
        <v>189105.5</v>
      </c>
      <c r="D2662" s="37">
        <f>$AF2662</f>
        <v>0</v>
      </c>
      <c r="E2662" s="37">
        <f>$AJ2662</f>
        <v>0</v>
      </c>
      <c r="F2662" s="45"/>
      <c r="K2662" s="3" t="s">
        <v>6125</v>
      </c>
      <c r="AA2662" s="40" t="s">
        <v>4592</v>
      </c>
      <c r="AB2662" s="8">
        <f>TRUNC($AD2660,1)</f>
        <v>189105.5</v>
      </c>
      <c r="AC2662" s="40" t="s">
        <v>5149</v>
      </c>
      <c r="AD2662" s="7">
        <f>$AB2662</f>
        <v>189105.5</v>
      </c>
      <c r="AE2662" s="40" t="s">
        <v>666</v>
      </c>
      <c r="AF2662" s="8">
        <f>TRUNC($AH2645,1)</f>
        <v>0</v>
      </c>
      <c r="AG2662" s="40" t="s">
        <v>2431</v>
      </c>
      <c r="AH2662" s="7">
        <f>$AF2662</f>
        <v>0</v>
      </c>
      <c r="AI2662" s="40" t="s">
        <v>1930</v>
      </c>
      <c r="AJ2662" s="8">
        <f>TRUNC($AL2645,1)</f>
        <v>0</v>
      </c>
      <c r="AK2662" s="40" t="s">
        <v>3349</v>
      </c>
      <c r="AL2662" s="7">
        <f>$AJ2662</f>
        <v>0</v>
      </c>
    </row>
    <row r="2663" spans="1:38" ht="18.399999999999999" customHeight="1">
      <c r="A2663" s="41" t="s">
        <v>6232</v>
      </c>
      <c r="B2663" s="37">
        <f>SUM($C2663,$D2663,$E2663)</f>
        <v>0</v>
      </c>
      <c r="C2663" s="37">
        <f>$AB2663</f>
        <v>0</v>
      </c>
      <c r="D2663" s="37">
        <f>$AF2663</f>
        <v>0</v>
      </c>
      <c r="E2663" s="37">
        <f>$AJ2663</f>
        <v>0</v>
      </c>
      <c r="F2663" s="45"/>
      <c r="K2663" s="3" t="s">
        <v>5506</v>
      </c>
      <c r="AA2663" s="40" t="s">
        <v>4586</v>
      </c>
      <c r="AB2663" s="8">
        <f>ROUND(0,2)</f>
        <v>0</v>
      </c>
      <c r="AC2663" s="40" t="s">
        <v>4161</v>
      </c>
      <c r="AD2663" s="7">
        <f>$AB2663</f>
        <v>0</v>
      </c>
      <c r="AE2663" s="40" t="s">
        <v>222</v>
      </c>
      <c r="AF2663" s="8">
        <f>ROUND(0,2)</f>
        <v>0</v>
      </c>
      <c r="AG2663" s="40" t="s">
        <v>334</v>
      </c>
      <c r="AH2663" s="7">
        <f>$AF2663</f>
        <v>0</v>
      </c>
      <c r="AI2663" s="40" t="s">
        <v>1574</v>
      </c>
      <c r="AJ2663" s="8">
        <f>ROUND(0,2)</f>
        <v>0</v>
      </c>
      <c r="AK2663" s="40" t="s">
        <v>1622</v>
      </c>
      <c r="AL2663" s="7">
        <f>$AJ2663</f>
        <v>0</v>
      </c>
    </row>
    <row r="2664" spans="1:38" ht="18.399999999999999" customHeight="1">
      <c r="A2664" s="41" t="s">
        <v>231</v>
      </c>
      <c r="B2664" s="37"/>
      <c r="C2664" s="37"/>
      <c r="D2664" s="37"/>
      <c r="E2664" s="37"/>
      <c r="F2664" s="45"/>
      <c r="K2664" s="3" t="s">
        <v>268</v>
      </c>
    </row>
    <row r="2665" spans="1:38" ht="18.399999999999999" customHeight="1">
      <c r="A2665" s="41" t="s">
        <v>6232</v>
      </c>
      <c r="B2665" s="37"/>
      <c r="C2665" s="37"/>
      <c r="D2665" s="37"/>
      <c r="E2665" s="37"/>
      <c r="F2665" s="45"/>
      <c r="K2665" s="3" t="s">
        <v>6232</v>
      </c>
    </row>
    <row r="2666" spans="1:38" ht="18.399999999999999" customHeight="1">
      <c r="A2666" s="41" t="s">
        <v>5533</v>
      </c>
      <c r="B2666" s="37"/>
      <c r="C2666" s="37"/>
      <c r="D2666" s="37"/>
      <c r="E2666" s="37"/>
      <c r="F2666" s="45"/>
      <c r="K2666" s="3" t="s">
        <v>3259</v>
      </c>
    </row>
    <row r="2667" spans="1:38" ht="18.399999999999999" customHeight="1">
      <c r="A2667" s="42" t="str">
        <f>CONCATENATE("    1.638  인  * Q * _x001D_213,722_x001D_ = ",TEXT($AB2667,"#,##0.0"))</f>
        <v xml:space="preserve">    1.638  인  * Q * _x001D_213,722_x001D_ = 408,785.5</v>
      </c>
      <c r="B2667" s="37">
        <f>SUM($C2667,$D2667,$E2667)</f>
        <v>408785.5</v>
      </c>
      <c r="C2667" s="37"/>
      <c r="D2667" s="37">
        <f>$AB2667</f>
        <v>408785.5</v>
      </c>
      <c r="E2667" s="37"/>
      <c r="F2667" s="45" t="s">
        <v>6232</v>
      </c>
      <c r="K2667" s="3" t="s">
        <v>4191</v>
      </c>
      <c r="AA2667" s="40" t="s">
        <v>222</v>
      </c>
      <c r="AB2667" s="8">
        <f>TRUNC(1.638*$AD2644*노임!D10,1)</f>
        <v>408785.5</v>
      </c>
      <c r="AC2667" s="40" t="s">
        <v>334</v>
      </c>
      <c r="AD2667" s="7">
        <f>$AH2663+$AB2667</f>
        <v>408785.5</v>
      </c>
    </row>
    <row r="2668" spans="1:38" ht="18.399999999999999" customHeight="1">
      <c r="A2668" s="41" t="s">
        <v>6232</v>
      </c>
      <c r="B2668" s="37"/>
      <c r="C2668" s="37"/>
      <c r="D2668" s="37"/>
      <c r="E2668" s="37"/>
      <c r="F2668" s="45"/>
      <c r="K2668" s="3" t="s">
        <v>6232</v>
      </c>
    </row>
    <row r="2669" spans="1:38" ht="18.399999999999999" customHeight="1">
      <c r="A2669" s="41" t="s">
        <v>585</v>
      </c>
      <c r="B2669" s="37"/>
      <c r="C2669" s="37"/>
      <c r="D2669" s="37"/>
      <c r="E2669" s="37"/>
      <c r="F2669" s="45"/>
      <c r="K2669" s="3" t="s">
        <v>5657</v>
      </c>
    </row>
    <row r="2670" spans="1:38" ht="18.399999999999999" customHeight="1">
      <c r="A2670" s="42" t="str">
        <f>CONCATENATE("    0.641  인  * Q * _x001D_201,482_x001D_ = ",TEXT($AB2670,"#,##0.0"))</f>
        <v xml:space="preserve">    0.641  인  * Q * _x001D_201,482_x001D_ = 149,252.2</v>
      </c>
      <c r="B2670" s="37">
        <f>SUM($C2670,$D2670,$E2670)</f>
        <v>149252.20000000001</v>
      </c>
      <c r="C2670" s="37"/>
      <c r="D2670" s="37">
        <f>$AB2670</f>
        <v>149252.20000000001</v>
      </c>
      <c r="E2670" s="37"/>
      <c r="F2670" s="45" t="s">
        <v>6232</v>
      </c>
      <c r="K2670" s="3" t="s">
        <v>3079</v>
      </c>
      <c r="AA2670" s="40" t="s">
        <v>222</v>
      </c>
      <c r="AB2670" s="8">
        <f>TRUNC(0.641*$AD2644*노임!D9,1)</f>
        <v>149252.20000000001</v>
      </c>
      <c r="AC2670" s="40" t="s">
        <v>334</v>
      </c>
      <c r="AD2670" s="7">
        <f>$AD2667+$AB2670</f>
        <v>558037.69999999995</v>
      </c>
    </row>
    <row r="2671" spans="1:38" ht="18.399999999999999" customHeight="1">
      <c r="A2671" s="41" t="s">
        <v>6232</v>
      </c>
      <c r="B2671" s="37"/>
      <c r="C2671" s="37"/>
      <c r="D2671" s="37"/>
      <c r="E2671" s="37"/>
      <c r="F2671" s="45"/>
      <c r="K2671" s="3" t="s">
        <v>6232</v>
      </c>
    </row>
    <row r="2672" spans="1:38" ht="18.399999999999999" customHeight="1">
      <c r="A2672" s="41" t="s">
        <v>3917</v>
      </c>
      <c r="B2672" s="37"/>
      <c r="C2672" s="37"/>
      <c r="D2672" s="37"/>
      <c r="E2672" s="37"/>
      <c r="F2672" s="45"/>
      <c r="K2672" s="3" t="s">
        <v>4355</v>
      </c>
    </row>
    <row r="2673" spans="1:38" ht="18.399999999999999" customHeight="1">
      <c r="A2673" s="42" t="str">
        <f>CONCATENATE("    0.255  인  * Q * _x001D_221,506_x001D_ = ",TEXT($AB2673,"#,##0.0"))</f>
        <v xml:space="preserve">    0.255  인  * Q * _x001D_221,506_x001D_ = 66,310.2</v>
      </c>
      <c r="B2673" s="37">
        <f>SUM($C2673,$D2673,$E2673)</f>
        <v>66310.2</v>
      </c>
      <c r="C2673" s="37"/>
      <c r="D2673" s="37">
        <f>$AB2673</f>
        <v>66310.2</v>
      </c>
      <c r="E2673" s="37"/>
      <c r="F2673" s="45" t="s">
        <v>6232</v>
      </c>
      <c r="K2673" s="3" t="s">
        <v>4900</v>
      </c>
      <c r="AA2673" s="40" t="s">
        <v>222</v>
      </c>
      <c r="AB2673" s="8">
        <f>TRUNC(0.255*$AD2644*노임!D4,1)</f>
        <v>66310.2</v>
      </c>
      <c r="AC2673" s="40" t="s">
        <v>334</v>
      </c>
      <c r="AD2673" s="7">
        <f>$AD2670+$AB2673</f>
        <v>624347.89999999991</v>
      </c>
    </row>
    <row r="2674" spans="1:38" ht="18.399999999999999" customHeight="1">
      <c r="A2674" s="41" t="s">
        <v>6232</v>
      </c>
      <c r="B2674" s="37"/>
      <c r="C2674" s="37"/>
      <c r="D2674" s="37"/>
      <c r="E2674" s="37"/>
      <c r="F2674" s="45"/>
      <c r="K2674" s="3" t="s">
        <v>6232</v>
      </c>
    </row>
    <row r="2675" spans="1:38" ht="18.399999999999999" customHeight="1">
      <c r="A2675" s="41" t="s">
        <v>4277</v>
      </c>
      <c r="B2675" s="37"/>
      <c r="C2675" s="37"/>
      <c r="D2675" s="37"/>
      <c r="E2675" s="37"/>
      <c r="F2675" s="45"/>
      <c r="K2675" s="3" t="s">
        <v>4663</v>
      </c>
    </row>
    <row r="2676" spans="1:38" ht="18.399999999999999" customHeight="1">
      <c r="A2676" s="42" t="str">
        <f>CONCATENATE("    0.839  인  * Q * _x001D_169,804_x001D_ = ",TEXT($AB2676,"#,##0.0"))</f>
        <v xml:space="preserve">    0.839  인  * Q * _x001D_169,804_x001D_ = 166,019.8</v>
      </c>
      <c r="B2676" s="37">
        <f>SUM($C2676,$D2676,$E2676)</f>
        <v>166019.79999999999</v>
      </c>
      <c r="C2676" s="37"/>
      <c r="D2676" s="37">
        <f>$AB2676</f>
        <v>166019.79999999999</v>
      </c>
      <c r="E2676" s="37"/>
      <c r="F2676" s="45" t="s">
        <v>6232</v>
      </c>
      <c r="K2676" s="3" t="s">
        <v>2281</v>
      </c>
      <c r="AA2676" s="40" t="s">
        <v>222</v>
      </c>
      <c r="AB2676" s="8">
        <f>TRUNC(0.839*$AD2644*노임!D3,1)</f>
        <v>166019.79999999999</v>
      </c>
      <c r="AC2676" s="40" t="s">
        <v>334</v>
      </c>
      <c r="AD2676" s="7">
        <f>$AD2673+$AB2676</f>
        <v>790367.7</v>
      </c>
    </row>
    <row r="2677" spans="1:38" ht="18.399999999999999" customHeight="1">
      <c r="A2677" s="41" t="s">
        <v>6232</v>
      </c>
      <c r="B2677" s="37"/>
      <c r="C2677" s="37"/>
      <c r="D2677" s="37"/>
      <c r="E2677" s="37"/>
      <c r="F2677" s="45"/>
      <c r="K2677" s="3" t="s">
        <v>6232</v>
      </c>
    </row>
    <row r="2678" spans="1:38" ht="18.399999999999999" customHeight="1">
      <c r="A2678" s="41" t="s">
        <v>4035</v>
      </c>
      <c r="B2678" s="37">
        <f>SUM($C2678,$D2678,$E2678)</f>
        <v>790367.7</v>
      </c>
      <c r="C2678" s="37">
        <f>$AB2678</f>
        <v>0</v>
      </c>
      <c r="D2678" s="37">
        <f>$AF2678</f>
        <v>790367.7</v>
      </c>
      <c r="E2678" s="37">
        <f>$AJ2678</f>
        <v>0</v>
      </c>
      <c r="F2678" s="45"/>
      <c r="K2678" s="3" t="s">
        <v>134</v>
      </c>
      <c r="AA2678" s="40" t="s">
        <v>4592</v>
      </c>
      <c r="AB2678" s="8">
        <f>TRUNC($AD2663,1)</f>
        <v>0</v>
      </c>
      <c r="AC2678" s="40" t="s">
        <v>5149</v>
      </c>
      <c r="AD2678" s="7">
        <f>$AD2662+$AB2678</f>
        <v>189105.5</v>
      </c>
      <c r="AE2678" s="40" t="s">
        <v>666</v>
      </c>
      <c r="AF2678" s="8">
        <f>TRUNC($AD2676,1)</f>
        <v>790367.7</v>
      </c>
      <c r="AG2678" s="40" t="s">
        <v>2431</v>
      </c>
      <c r="AH2678" s="7">
        <f>$AH2662+$AF2678</f>
        <v>790367.7</v>
      </c>
      <c r="AI2678" s="40" t="s">
        <v>1930</v>
      </c>
      <c r="AJ2678" s="8">
        <f>TRUNC($AL2663,1)</f>
        <v>0</v>
      </c>
      <c r="AK2678" s="40" t="s">
        <v>3349</v>
      </c>
      <c r="AL2678" s="7">
        <f>$AL2662+$AJ2678</f>
        <v>0</v>
      </c>
    </row>
    <row r="2679" spans="1:38" ht="18.399999999999999" customHeight="1">
      <c r="A2679" s="41" t="s">
        <v>6232</v>
      </c>
      <c r="B2679" s="37">
        <f>SUM($C2679,$D2679,$E2679)</f>
        <v>0</v>
      </c>
      <c r="C2679" s="37">
        <f>$AB2679</f>
        <v>0</v>
      </c>
      <c r="D2679" s="37">
        <f>$AF2679</f>
        <v>0</v>
      </c>
      <c r="E2679" s="37">
        <f>$AJ2679</f>
        <v>0</v>
      </c>
      <c r="F2679" s="45"/>
      <c r="K2679" s="3" t="s">
        <v>3238</v>
      </c>
      <c r="AA2679" s="40" t="s">
        <v>308</v>
      </c>
      <c r="AB2679" s="8">
        <f>ROUND(0,2)</f>
        <v>0</v>
      </c>
      <c r="AC2679" s="40" t="s">
        <v>5000</v>
      </c>
      <c r="AD2679" s="7">
        <f>$AB2679</f>
        <v>0</v>
      </c>
      <c r="AE2679" s="40" t="s">
        <v>4500</v>
      </c>
      <c r="AF2679" s="8">
        <f>ROUND(0,2)</f>
        <v>0</v>
      </c>
      <c r="AG2679" s="40" t="s">
        <v>2603</v>
      </c>
      <c r="AH2679" s="7">
        <f>$AF2679</f>
        <v>0</v>
      </c>
      <c r="AI2679" s="40" t="s">
        <v>5878</v>
      </c>
      <c r="AJ2679" s="8">
        <f>ROUND(0,2)</f>
        <v>0</v>
      </c>
      <c r="AK2679" s="40" t="s">
        <v>787</v>
      </c>
      <c r="AL2679" s="7">
        <f>$AJ2679</f>
        <v>0</v>
      </c>
    </row>
    <row r="2680" spans="1:38" ht="18.399999999999999" customHeight="1">
      <c r="A2680" s="41" t="s">
        <v>760</v>
      </c>
      <c r="B2680" s="37"/>
      <c r="C2680" s="37"/>
      <c r="D2680" s="37"/>
      <c r="E2680" s="37"/>
      <c r="F2680" s="45"/>
      <c r="K2680" s="3" t="s">
        <v>5465</v>
      </c>
    </row>
    <row r="2681" spans="1:38" ht="18.399999999999999" customHeight="1">
      <c r="A2681" s="41" t="s">
        <v>6232</v>
      </c>
      <c r="B2681" s="37"/>
      <c r="C2681" s="37"/>
      <c r="D2681" s="37"/>
      <c r="E2681" s="37"/>
      <c r="F2681" s="45"/>
      <c r="K2681" s="3" t="s">
        <v>6232</v>
      </c>
    </row>
    <row r="2682" spans="1:38" ht="18.399999999999999" customHeight="1">
      <c r="A2682" s="42" t="str">
        <f>CONCATENATE("    LA2 / Q * 0.02 = ",TEXT($AB2682,"#,##0.0"))</f>
        <v xml:space="preserve">    LA2 / Q * 0.02 = 13,745.5</v>
      </c>
      <c r="B2682" s="37">
        <f>SUM($C2682,$D2682,$E2682)</f>
        <v>13745.5</v>
      </c>
      <c r="C2682" s="37"/>
      <c r="D2682" s="37"/>
      <c r="E2682" s="37">
        <f>$AB2682</f>
        <v>13745.5</v>
      </c>
      <c r="F2682" s="45"/>
      <c r="K2682" s="3" t="s">
        <v>4829</v>
      </c>
      <c r="AA2682" s="40" t="s">
        <v>5878</v>
      </c>
      <c r="AB2682" s="8">
        <f>TRUNC($AD2676/$AD2644*0.02,1)</f>
        <v>13745.5</v>
      </c>
      <c r="AC2682" s="40" t="s">
        <v>787</v>
      </c>
      <c r="AD2682" s="7">
        <f>$AL2679+$AB2682</f>
        <v>13745.5</v>
      </c>
    </row>
    <row r="2683" spans="1:38" ht="18.399999999999999" customHeight="1">
      <c r="A2683" s="41" t="s">
        <v>6232</v>
      </c>
      <c r="B2683" s="37"/>
      <c r="C2683" s="37"/>
      <c r="D2683" s="37"/>
      <c r="E2683" s="37"/>
      <c r="F2683" s="45"/>
      <c r="K2683" s="3" t="s">
        <v>6232</v>
      </c>
    </row>
    <row r="2684" spans="1:38" ht="18.399999999999999" customHeight="1">
      <c r="A2684" s="41" t="s">
        <v>4035</v>
      </c>
      <c r="B2684" s="37">
        <f>SUM($C2684,$D2684,$E2684)</f>
        <v>13745.5</v>
      </c>
      <c r="C2684" s="37">
        <f>$AB2684</f>
        <v>0</v>
      </c>
      <c r="D2684" s="37">
        <f>$AF2684</f>
        <v>0</v>
      </c>
      <c r="E2684" s="37">
        <f>$AJ2684</f>
        <v>13745.5</v>
      </c>
      <c r="F2684" s="45"/>
      <c r="K2684" s="3" t="s">
        <v>4813</v>
      </c>
      <c r="AA2684" s="40" t="s">
        <v>4592</v>
      </c>
      <c r="AB2684" s="8">
        <f>TRUNC($AD2679,1)</f>
        <v>0</v>
      </c>
      <c r="AC2684" s="40" t="s">
        <v>5149</v>
      </c>
      <c r="AD2684" s="7">
        <f>$AD2678+$AB2684</f>
        <v>189105.5</v>
      </c>
      <c r="AE2684" s="40" t="s">
        <v>666</v>
      </c>
      <c r="AF2684" s="8">
        <f>TRUNC($AH2679,1)</f>
        <v>0</v>
      </c>
      <c r="AG2684" s="40" t="s">
        <v>2431</v>
      </c>
      <c r="AH2684" s="7">
        <f>$AH2678+$AF2684</f>
        <v>790367.7</v>
      </c>
      <c r="AI2684" s="40" t="s">
        <v>1930</v>
      </c>
      <c r="AJ2684" s="8">
        <f>TRUNC($AD2682,1)</f>
        <v>13745.5</v>
      </c>
      <c r="AK2684" s="40" t="s">
        <v>3349</v>
      </c>
      <c r="AL2684" s="7">
        <f>$AL2678+$AJ2684</f>
        <v>13745.5</v>
      </c>
    </row>
    <row r="2685" spans="1:38" ht="18.399999999999999" customHeight="1">
      <c r="A2685" s="41" t="s">
        <v>6232</v>
      </c>
      <c r="B2685" s="37"/>
      <c r="C2685" s="37"/>
      <c r="D2685" s="37"/>
      <c r="E2685" s="37"/>
      <c r="F2685" s="45"/>
      <c r="K2685" s="3" t="s">
        <v>6232</v>
      </c>
    </row>
    <row r="2686" spans="1:38" ht="18.399999999999999" customHeight="1">
      <c r="A2686" s="41" t="s">
        <v>4002</v>
      </c>
      <c r="B2686" s="37">
        <v>982571.4</v>
      </c>
      <c r="C2686" s="37">
        <v>189105.5</v>
      </c>
      <c r="D2686" s="37">
        <v>779902.4</v>
      </c>
      <c r="E2686" s="37">
        <v>13563.5</v>
      </c>
      <c r="F2686" s="45"/>
      <c r="K2686" s="3" t="s">
        <v>916</v>
      </c>
    </row>
    <row r="2687" spans="1:38" ht="18.399999999999999" customHeight="1">
      <c r="A2687" s="41"/>
      <c r="B2687" s="3"/>
      <c r="C2687" s="3"/>
      <c r="D2687" s="3"/>
      <c r="E2687" s="3"/>
      <c r="F2687" s="44"/>
    </row>
    <row r="2688" spans="1:38" ht="18.399999999999999" customHeight="1">
      <c r="A2688" s="43" t="s">
        <v>3543</v>
      </c>
      <c r="B2688" s="38">
        <f>SUM($C2688,$D2688,$E2688)</f>
        <v>993217</v>
      </c>
      <c r="C2688" s="38">
        <f>TRUNC(SUM($AD2684),0)</f>
        <v>189105</v>
      </c>
      <c r="D2688" s="38">
        <f>TRUNC(SUM($AH2684),0)</f>
        <v>790367</v>
      </c>
      <c r="E2688" s="38">
        <f>TRUNC(SUM($AL2684),0)</f>
        <v>13745</v>
      </c>
      <c r="F2688" s="46"/>
    </row>
    <row r="2689" spans="1:38" ht="18.399999999999999" customHeight="1">
      <c r="A2689" s="41"/>
      <c r="B2689" s="3"/>
      <c r="C2689" s="3"/>
      <c r="D2689" s="3"/>
      <c r="E2689" s="3"/>
      <c r="F2689" s="44"/>
    </row>
    <row r="2690" spans="1:38" ht="18.399999999999999" customHeight="1">
      <c r="A2690" s="41" t="s">
        <v>1050</v>
      </c>
      <c r="B2690" s="36">
        <f>$B2742</f>
        <v>1114351</v>
      </c>
      <c r="C2690" s="36">
        <f>$C2742</f>
        <v>206494</v>
      </c>
      <c r="D2690" s="36">
        <f>$D2742</f>
        <v>892339</v>
      </c>
      <c r="E2690" s="36">
        <f>$E2742</f>
        <v>15518</v>
      </c>
      <c r="F2690" s="44" t="s">
        <v>4819</v>
      </c>
      <c r="G2690" t="s">
        <v>6232</v>
      </c>
      <c r="H2690" t="s">
        <v>4735</v>
      </c>
      <c r="K2690">
        <v>1</v>
      </c>
      <c r="Y2690" s="7" t="b">
        <f>EXACT($Z2690,$B2742)</f>
        <v>0</v>
      </c>
      <c r="Z2690" s="38">
        <v>1102332</v>
      </c>
    </row>
    <row r="2691" spans="1:38" ht="18.399999999999999" customHeight="1">
      <c r="A2691" s="41"/>
      <c r="B2691" s="3"/>
      <c r="C2691" s="3"/>
      <c r="D2691" s="3"/>
      <c r="E2691" s="3"/>
      <c r="F2691" s="44"/>
    </row>
    <row r="2692" spans="1:38" ht="18.399999999999999" customHeight="1">
      <c r="A2692" s="41" t="s">
        <v>6232</v>
      </c>
      <c r="B2692" s="3"/>
      <c r="C2692" s="3"/>
      <c r="D2692" s="3"/>
      <c r="E2692" s="3"/>
      <c r="F2692" s="44"/>
      <c r="G2692" t="s">
        <v>6232</v>
      </c>
      <c r="I2692" t="s">
        <v>742</v>
      </c>
      <c r="J2692" t="s">
        <v>6232</v>
      </c>
      <c r="K2692" t="s">
        <v>5235</v>
      </c>
    </row>
    <row r="2693" spans="1:38" ht="18.399999999999999" customHeight="1">
      <c r="A2693" s="41" t="s">
        <v>3024</v>
      </c>
      <c r="B2693" s="37"/>
      <c r="C2693" s="37"/>
      <c r="D2693" s="37"/>
      <c r="E2693" s="37"/>
      <c r="F2693" s="45"/>
      <c r="K2693" s="3" t="s">
        <v>1860</v>
      </c>
    </row>
    <row r="2694" spans="1:38" ht="18.399999999999999" customHeight="1">
      <c r="A2694" s="41" t="s">
        <v>6232</v>
      </c>
      <c r="B2694" s="37"/>
      <c r="C2694" s="37"/>
      <c r="D2694" s="37"/>
      <c r="E2694" s="37"/>
      <c r="F2694" s="45"/>
      <c r="K2694" s="3" t="s">
        <v>6232</v>
      </c>
    </row>
    <row r="2695" spans="1:38" ht="18.399999999999999" customHeight="1">
      <c r="A2695" s="41" t="s">
        <v>2476</v>
      </c>
      <c r="B2695" s="37"/>
      <c r="C2695" s="37"/>
      <c r="D2695" s="37"/>
      <c r="E2695" s="37"/>
      <c r="F2695" s="45"/>
      <c r="K2695" s="3" t="s">
        <v>5810</v>
      </c>
    </row>
    <row r="2696" spans="1:38" ht="18.399999999999999" customHeight="1">
      <c r="A2696" s="41" t="s">
        <v>774</v>
      </c>
      <c r="B2696" s="37"/>
      <c r="C2696" s="37"/>
      <c r="D2696" s="37"/>
      <c r="E2696" s="37"/>
      <c r="F2696" s="45"/>
      <c r="K2696" s="3" t="s">
        <v>3563</v>
      </c>
    </row>
    <row r="2697" spans="1:38" ht="18.399999999999999" customHeight="1">
      <c r="A2697" s="41" t="s">
        <v>1642</v>
      </c>
      <c r="B2697" s="37"/>
      <c r="C2697" s="37"/>
      <c r="D2697" s="37"/>
      <c r="E2697" s="37"/>
      <c r="F2697" s="45"/>
      <c r="K2697" s="3" t="s">
        <v>2758</v>
      </c>
    </row>
    <row r="2698" spans="1:38" ht="18.399999999999999" customHeight="1">
      <c r="A2698" s="42" t="str">
        <f>CONCATENATE("          Q=",TEXT($AB2698,"#,##0.00"))</f>
        <v xml:space="preserve">          Q=1.15</v>
      </c>
      <c r="B2698" s="37"/>
      <c r="C2698" s="37"/>
      <c r="D2698" s="37"/>
      <c r="E2698" s="37"/>
      <c r="F2698" s="45"/>
      <c r="K2698" s="10" t="str">
        <f>SUBSTITUTE(SUBSTITUTE("          Q=1.15","1.15",TEXT($AB2698,"#,##0.00"),1),"_x001D_","'")</f>
        <v xml:space="preserve">          Q=1.15</v>
      </c>
      <c r="AA2698" s="39" t="s">
        <v>4337</v>
      </c>
      <c r="AB2698" s="6">
        <v>1.1499999999999999</v>
      </c>
      <c r="AC2698" s="39" t="s">
        <v>4337</v>
      </c>
      <c r="AD2698" s="7">
        <f>$AB2698</f>
        <v>1.1499999999999999</v>
      </c>
    </row>
    <row r="2699" spans="1:38" ht="18.399999999999999" customHeight="1">
      <c r="A2699" s="41" t="s">
        <v>6232</v>
      </c>
      <c r="B2699" s="37">
        <f>SUM($C2699,$D2699,$E2699)</f>
        <v>0</v>
      </c>
      <c r="C2699" s="37">
        <f>$AB2699</f>
        <v>0</v>
      </c>
      <c r="D2699" s="37">
        <f>$AF2699</f>
        <v>0</v>
      </c>
      <c r="E2699" s="37">
        <f>$AJ2699</f>
        <v>0</v>
      </c>
      <c r="F2699" s="45"/>
      <c r="K2699" s="3" t="s">
        <v>295</v>
      </c>
      <c r="AA2699" s="40" t="s">
        <v>2660</v>
      </c>
      <c r="AB2699" s="8">
        <f>ROUND(0,2)</f>
        <v>0</v>
      </c>
      <c r="AC2699" s="40" t="s">
        <v>1650</v>
      </c>
      <c r="AD2699" s="7">
        <f>$AB2699</f>
        <v>0</v>
      </c>
      <c r="AE2699" s="40" t="s">
        <v>5305</v>
      </c>
      <c r="AF2699" s="8">
        <f>ROUND(0,2)</f>
        <v>0</v>
      </c>
      <c r="AG2699" s="40" t="s">
        <v>5439</v>
      </c>
      <c r="AH2699" s="7">
        <f>$AF2699</f>
        <v>0</v>
      </c>
      <c r="AI2699" s="40" t="s">
        <v>3519</v>
      </c>
      <c r="AJ2699" s="8">
        <f>ROUND(0,2)</f>
        <v>0</v>
      </c>
      <c r="AK2699" s="40" t="s">
        <v>4149</v>
      </c>
      <c r="AL2699" s="7">
        <f>$AJ2699</f>
        <v>0</v>
      </c>
    </row>
    <row r="2700" spans="1:38" ht="18.399999999999999" customHeight="1">
      <c r="A2700" s="41" t="s">
        <v>4464</v>
      </c>
      <c r="B2700" s="37"/>
      <c r="C2700" s="37"/>
      <c r="D2700" s="37"/>
      <c r="E2700" s="37"/>
      <c r="F2700" s="45"/>
      <c r="K2700" s="3" t="s">
        <v>311</v>
      </c>
    </row>
    <row r="2701" spans="1:38" ht="18.399999999999999" customHeight="1">
      <c r="A2701" s="41" t="s">
        <v>6232</v>
      </c>
      <c r="B2701" s="37"/>
      <c r="C2701" s="37"/>
      <c r="D2701" s="37"/>
      <c r="E2701" s="37"/>
      <c r="F2701" s="45"/>
      <c r="K2701" s="3" t="s">
        <v>6232</v>
      </c>
    </row>
    <row r="2702" spans="1:38" ht="18.399999999999999" customHeight="1">
      <c r="A2702" s="42" t="str">
        <f>CONCATENATE("  1) POLYOL :  3.60  kg  * _x001D_4,500_x001D_ = ",TEXT($AB2702,"#,##0.0"))</f>
        <v xml:space="preserve">  1) POLYOL :  3.60  kg  * _x001D_4,500_x001D_ = 16,200.0</v>
      </c>
      <c r="B2702" s="37">
        <f>SUM($C2702,$D2702,$E2702)</f>
        <v>16200</v>
      </c>
      <c r="C2702" s="37">
        <f>$AB2702</f>
        <v>16200</v>
      </c>
      <c r="D2702" s="37"/>
      <c r="E2702" s="37"/>
      <c r="F2702" s="45" t="s">
        <v>6232</v>
      </c>
      <c r="K2702" s="3" t="s">
        <v>265</v>
      </c>
      <c r="AA2702" s="40" t="s">
        <v>2660</v>
      </c>
      <c r="AB2702" s="8">
        <f>TRUNC(3.6*자재조서!E46,1)</f>
        <v>16200</v>
      </c>
      <c r="AC2702" s="40" t="s">
        <v>1650</v>
      </c>
      <c r="AD2702" s="7">
        <f>$AD2699+$AB2702</f>
        <v>16200</v>
      </c>
    </row>
    <row r="2703" spans="1:38" ht="18.399999999999999" customHeight="1">
      <c r="A2703" s="41" t="s">
        <v>6232</v>
      </c>
      <c r="B2703" s="37"/>
      <c r="C2703" s="37"/>
      <c r="D2703" s="37"/>
      <c r="E2703" s="37"/>
      <c r="F2703" s="45"/>
      <c r="K2703" s="3" t="s">
        <v>6232</v>
      </c>
    </row>
    <row r="2704" spans="1:38" ht="18.399999999999999" customHeight="1">
      <c r="A2704" s="42" t="str">
        <f>CONCATENATE("  2) MDI :  5.16  kg  * _x001D_4,000_x001D_  = ",TEXT($AB2704,"#,##0.0"))</f>
        <v xml:space="preserve">  2) MDI :  5.16  kg  * _x001D_4,000_x001D_  = 20,640.0</v>
      </c>
      <c r="B2704" s="37">
        <f>SUM($C2704,$D2704,$E2704)</f>
        <v>20640</v>
      </c>
      <c r="C2704" s="37">
        <f>$AB2704</f>
        <v>20640</v>
      </c>
      <c r="D2704" s="37"/>
      <c r="E2704" s="37"/>
      <c r="F2704" s="45" t="s">
        <v>6232</v>
      </c>
      <c r="K2704" s="3" t="s">
        <v>5457</v>
      </c>
      <c r="AA2704" s="40" t="s">
        <v>2660</v>
      </c>
      <c r="AB2704" s="8">
        <f>TRUNC(5.16*자재조서!E47,1)</f>
        <v>20640</v>
      </c>
      <c r="AC2704" s="40" t="s">
        <v>1650</v>
      </c>
      <c r="AD2704" s="7">
        <f>$AD2702+$AB2704</f>
        <v>36840</v>
      </c>
    </row>
    <row r="2705" spans="1:38" ht="18.399999999999999" customHeight="1">
      <c r="A2705" s="41" t="s">
        <v>6232</v>
      </c>
      <c r="B2705" s="37"/>
      <c r="C2705" s="37"/>
      <c r="D2705" s="37"/>
      <c r="E2705" s="37"/>
      <c r="F2705" s="45"/>
      <c r="K2705" s="3" t="s">
        <v>6232</v>
      </c>
    </row>
    <row r="2706" spans="1:38" ht="18.399999999999999" customHeight="1">
      <c r="A2706" s="41" t="s">
        <v>337</v>
      </c>
      <c r="B2706" s="37"/>
      <c r="C2706" s="37"/>
      <c r="D2706" s="37"/>
      <c r="E2706" s="37"/>
      <c r="F2706" s="45"/>
      <c r="K2706" s="3" t="s">
        <v>3279</v>
      </c>
    </row>
    <row r="2707" spans="1:38" ht="18.399999999999999" customHeight="1">
      <c r="A2707" s="41" t="s">
        <v>6232</v>
      </c>
      <c r="B2707" s="37"/>
      <c r="C2707" s="37"/>
      <c r="D2707" s="37"/>
      <c r="E2707" s="37"/>
      <c r="F2707" s="45"/>
      <c r="K2707" s="3" t="s">
        <v>6232</v>
      </c>
    </row>
    <row r="2708" spans="1:38" ht="18.399999999999999" customHeight="1">
      <c r="A2708" s="42" t="str">
        <f>CONCATENATE("  4) PE 용접봉 :  0.64  kg  * _x001D_10,738_x001D_= ",TEXT($AB2708,"#,##0.0"))</f>
        <v xml:space="preserve">  4) PE 용접봉 :  0.64  kg  * _x001D_10,738_x001D_= 6,872.3</v>
      </c>
      <c r="B2708" s="37">
        <f>SUM($C2708,$D2708,$E2708)</f>
        <v>6872.3</v>
      </c>
      <c r="C2708" s="37">
        <f>$AB2708</f>
        <v>6872.3</v>
      </c>
      <c r="D2708" s="37"/>
      <c r="E2708" s="37"/>
      <c r="F2708" s="45" t="s">
        <v>6232</v>
      </c>
      <c r="K2708" s="3" t="s">
        <v>244</v>
      </c>
      <c r="AA2708" s="40" t="s">
        <v>2660</v>
      </c>
      <c r="AB2708" s="8">
        <f>TRUNC(0.64*자재조서!E41,1)</f>
        <v>6872.3</v>
      </c>
      <c r="AC2708" s="40" t="s">
        <v>1650</v>
      </c>
      <c r="AD2708" s="7">
        <f>$AD2704+$AB2708</f>
        <v>43712.3</v>
      </c>
    </row>
    <row r="2709" spans="1:38" ht="18.399999999999999" customHeight="1">
      <c r="A2709" s="41" t="s">
        <v>6232</v>
      </c>
      <c r="B2709" s="37"/>
      <c r="C2709" s="37"/>
      <c r="D2709" s="37"/>
      <c r="E2709" s="37"/>
      <c r="F2709" s="45"/>
      <c r="K2709" s="3" t="s">
        <v>6232</v>
      </c>
    </row>
    <row r="2710" spans="1:38" ht="18.399999999999999" customHeight="1">
      <c r="A2710" s="42" t="str">
        <f>CONCATENATE("  5) HDPE 관 :  6.18  m  * _x001D_13,430_x001D_ = ",TEXT($AB2710,"#,##0.0"))</f>
        <v xml:space="preserve">  5) HDPE 관 :  6.18  m  * _x001D_13,430_x001D_ = 82,997.4</v>
      </c>
      <c r="B2710" s="37">
        <f>SUM($C2710,$D2710,$E2710)</f>
        <v>82997.399999999994</v>
      </c>
      <c r="C2710" s="37">
        <f>$AB2710</f>
        <v>82997.399999999994</v>
      </c>
      <c r="D2710" s="37"/>
      <c r="E2710" s="37"/>
      <c r="F2710" s="45" t="s">
        <v>6232</v>
      </c>
      <c r="K2710" s="3" t="s">
        <v>121</v>
      </c>
      <c r="AA2710" s="40" t="s">
        <v>2660</v>
      </c>
      <c r="AB2710" s="8">
        <f>TRUNC(6.18*자재조서!E34,1)</f>
        <v>82997.399999999994</v>
      </c>
      <c r="AC2710" s="40" t="s">
        <v>1650</v>
      </c>
      <c r="AD2710" s="7">
        <f>$AD2708+$AB2710</f>
        <v>126709.7</v>
      </c>
    </row>
    <row r="2711" spans="1:38" ht="18.399999999999999" customHeight="1">
      <c r="A2711" s="41" t="s">
        <v>6232</v>
      </c>
      <c r="B2711" s="37"/>
      <c r="C2711" s="37"/>
      <c r="D2711" s="37"/>
      <c r="E2711" s="37"/>
      <c r="F2711" s="45"/>
      <c r="K2711" s="3" t="s">
        <v>6232</v>
      </c>
    </row>
    <row r="2712" spans="1:38" ht="18.399999999999999" customHeight="1">
      <c r="A2712" s="42" t="str">
        <f>CONCATENATE("  6) 공장보온재 :  2.992  m  * _x001D_26,590_x001D_ = ",TEXT($AB2712,"#,##0.0"))</f>
        <v xml:space="preserve">  6) 공장보온재 :  2.992  m  * _x001D_26,590_x001D_ = 79,557.2</v>
      </c>
      <c r="B2712" s="37">
        <f>SUM($C2712,$D2712,$E2712)</f>
        <v>79557.2</v>
      </c>
      <c r="C2712" s="37">
        <f>$AB2712</f>
        <v>79557.2</v>
      </c>
      <c r="D2712" s="37"/>
      <c r="E2712" s="37"/>
      <c r="F2712" s="45" t="s">
        <v>6232</v>
      </c>
      <c r="K2712" s="3" t="s">
        <v>3439</v>
      </c>
      <c r="AA2712" s="40" t="s">
        <v>2660</v>
      </c>
      <c r="AB2712" s="8">
        <f>TRUNC(2.992*자재조서!E71,1)</f>
        <v>79557.2</v>
      </c>
      <c r="AC2712" s="40" t="s">
        <v>1650</v>
      </c>
      <c r="AD2712" s="7">
        <f>$AD2710+$AB2712</f>
        <v>206266.9</v>
      </c>
    </row>
    <row r="2713" spans="1:38" ht="18.399999999999999" customHeight="1">
      <c r="A2713" s="41" t="s">
        <v>6232</v>
      </c>
      <c r="B2713" s="37"/>
      <c r="C2713" s="37"/>
      <c r="D2713" s="37"/>
      <c r="E2713" s="37"/>
      <c r="F2713" s="45"/>
      <c r="K2713" s="3" t="s">
        <v>6232</v>
      </c>
    </row>
    <row r="2714" spans="1:38" ht="18.399999999999999" customHeight="1">
      <c r="A2714" s="42" t="str">
        <f>CONCATENATE("  7) 석동선 :  13.81  m  * _x001D_16.5_x001D_ = ",TEXT($AB2714,"#,##0.0"))</f>
        <v xml:space="preserve">  7) 석동선 :  13.81  m  * _x001D_16.5_x001D_ = 227.8</v>
      </c>
      <c r="B2714" s="37">
        <f>SUM($C2714,$D2714,$E2714)</f>
        <v>227.8</v>
      </c>
      <c r="C2714" s="37">
        <f>$AB2714</f>
        <v>227.8</v>
      </c>
      <c r="D2714" s="37"/>
      <c r="E2714" s="37"/>
      <c r="F2714" s="45" t="s">
        <v>6232</v>
      </c>
      <c r="K2714" s="3" t="s">
        <v>529</v>
      </c>
      <c r="AA2714" s="40" t="s">
        <v>2660</v>
      </c>
      <c r="AB2714" s="8">
        <f>TRUNC(13.81*자재조서!E85,1)</f>
        <v>227.8</v>
      </c>
      <c r="AC2714" s="40" t="s">
        <v>1650</v>
      </c>
      <c r="AD2714" s="7">
        <f>$AD2712+$AB2714</f>
        <v>206494.69999999998</v>
      </c>
    </row>
    <row r="2715" spans="1:38" ht="18.399999999999999" customHeight="1">
      <c r="A2715" s="41" t="s">
        <v>6232</v>
      </c>
      <c r="B2715" s="37"/>
      <c r="C2715" s="37"/>
      <c r="D2715" s="37"/>
      <c r="E2715" s="37"/>
      <c r="F2715" s="45"/>
      <c r="K2715" s="3" t="s">
        <v>6232</v>
      </c>
    </row>
    <row r="2716" spans="1:38" ht="18.399999999999999" customHeight="1">
      <c r="A2716" s="41" t="s">
        <v>4035</v>
      </c>
      <c r="B2716" s="37">
        <f>SUM($C2716,$D2716,$E2716)</f>
        <v>206494.7</v>
      </c>
      <c r="C2716" s="37">
        <f>$AB2716</f>
        <v>206494.7</v>
      </c>
      <c r="D2716" s="37">
        <f>$AF2716</f>
        <v>0</v>
      </c>
      <c r="E2716" s="37">
        <f>$AJ2716</f>
        <v>0</v>
      </c>
      <c r="F2716" s="45"/>
      <c r="K2716" s="3" t="s">
        <v>6125</v>
      </c>
      <c r="AA2716" s="40" t="s">
        <v>4592</v>
      </c>
      <c r="AB2716" s="8">
        <f>TRUNC($AD2714,1)</f>
        <v>206494.7</v>
      </c>
      <c r="AC2716" s="40" t="s">
        <v>5149</v>
      </c>
      <c r="AD2716" s="7">
        <f>$AB2716</f>
        <v>206494.7</v>
      </c>
      <c r="AE2716" s="40" t="s">
        <v>666</v>
      </c>
      <c r="AF2716" s="8">
        <f>TRUNC($AH2699,1)</f>
        <v>0</v>
      </c>
      <c r="AG2716" s="40" t="s">
        <v>2431</v>
      </c>
      <c r="AH2716" s="7">
        <f>$AF2716</f>
        <v>0</v>
      </c>
      <c r="AI2716" s="40" t="s">
        <v>1930</v>
      </c>
      <c r="AJ2716" s="8">
        <f>TRUNC($AL2699,1)</f>
        <v>0</v>
      </c>
      <c r="AK2716" s="40" t="s">
        <v>3349</v>
      </c>
      <c r="AL2716" s="7">
        <f>$AJ2716</f>
        <v>0</v>
      </c>
    </row>
    <row r="2717" spans="1:38" ht="18.399999999999999" customHeight="1">
      <c r="A2717" s="41" t="s">
        <v>6232</v>
      </c>
      <c r="B2717" s="37">
        <f>SUM($C2717,$D2717,$E2717)</f>
        <v>0</v>
      </c>
      <c r="C2717" s="37">
        <f>$AB2717</f>
        <v>0</v>
      </c>
      <c r="D2717" s="37">
        <f>$AF2717</f>
        <v>0</v>
      </c>
      <c r="E2717" s="37">
        <f>$AJ2717</f>
        <v>0</v>
      </c>
      <c r="F2717" s="45"/>
      <c r="K2717" s="3" t="s">
        <v>5506</v>
      </c>
      <c r="AA2717" s="40" t="s">
        <v>4586</v>
      </c>
      <c r="AB2717" s="8">
        <f>ROUND(0,2)</f>
        <v>0</v>
      </c>
      <c r="AC2717" s="40" t="s">
        <v>4161</v>
      </c>
      <c r="AD2717" s="7">
        <f>$AB2717</f>
        <v>0</v>
      </c>
      <c r="AE2717" s="40" t="s">
        <v>222</v>
      </c>
      <c r="AF2717" s="8">
        <f>ROUND(0,2)</f>
        <v>0</v>
      </c>
      <c r="AG2717" s="40" t="s">
        <v>334</v>
      </c>
      <c r="AH2717" s="7">
        <f>$AF2717</f>
        <v>0</v>
      </c>
      <c r="AI2717" s="40" t="s">
        <v>1574</v>
      </c>
      <c r="AJ2717" s="8">
        <f>ROUND(0,2)</f>
        <v>0</v>
      </c>
      <c r="AK2717" s="40" t="s">
        <v>1622</v>
      </c>
      <c r="AL2717" s="7">
        <f>$AJ2717</f>
        <v>0</v>
      </c>
    </row>
    <row r="2718" spans="1:38" ht="18.399999999999999" customHeight="1">
      <c r="A2718" s="41" t="s">
        <v>231</v>
      </c>
      <c r="B2718" s="37"/>
      <c r="C2718" s="37"/>
      <c r="D2718" s="37"/>
      <c r="E2718" s="37"/>
      <c r="F2718" s="45"/>
      <c r="K2718" s="3" t="s">
        <v>268</v>
      </c>
    </row>
    <row r="2719" spans="1:38" ht="18.399999999999999" customHeight="1">
      <c r="A2719" s="41" t="s">
        <v>6232</v>
      </c>
      <c r="B2719" s="37"/>
      <c r="C2719" s="37"/>
      <c r="D2719" s="37"/>
      <c r="E2719" s="37"/>
      <c r="F2719" s="45"/>
      <c r="K2719" s="3" t="s">
        <v>6232</v>
      </c>
    </row>
    <row r="2720" spans="1:38" ht="18.399999999999999" customHeight="1">
      <c r="A2720" s="41" t="s">
        <v>5533</v>
      </c>
      <c r="B2720" s="37"/>
      <c r="C2720" s="37"/>
      <c r="D2720" s="37"/>
      <c r="E2720" s="37"/>
      <c r="F2720" s="45"/>
      <c r="K2720" s="3" t="s">
        <v>3259</v>
      </c>
    </row>
    <row r="2721" spans="1:38" ht="18.399999999999999" customHeight="1">
      <c r="A2721" s="42" t="str">
        <f>CONCATENATE("    1.904  인  * Q * _x001D_213,722_x001D_ = ",TEXT($AB2721,"#,##0.0"))</f>
        <v xml:space="preserve">    1.904  인  * Q * _x001D_213,722_x001D_ = 475,169.4</v>
      </c>
      <c r="B2721" s="37">
        <f>SUM($C2721,$D2721,$E2721)</f>
        <v>475169.4</v>
      </c>
      <c r="C2721" s="37"/>
      <c r="D2721" s="37">
        <f>$AB2721</f>
        <v>475169.4</v>
      </c>
      <c r="E2721" s="37"/>
      <c r="F2721" s="45" t="s">
        <v>6232</v>
      </c>
      <c r="K2721" s="3" t="s">
        <v>262</v>
      </c>
      <c r="AA2721" s="40" t="s">
        <v>222</v>
      </c>
      <c r="AB2721" s="8">
        <f>TRUNC(1.904*$AD2698*노임!D10,1)</f>
        <v>475169.4</v>
      </c>
      <c r="AC2721" s="40" t="s">
        <v>334</v>
      </c>
      <c r="AD2721" s="7">
        <f>$AH2717+$AB2721</f>
        <v>475169.4</v>
      </c>
    </row>
    <row r="2722" spans="1:38" ht="18.399999999999999" customHeight="1">
      <c r="A2722" s="41" t="s">
        <v>6232</v>
      </c>
      <c r="B2722" s="37"/>
      <c r="C2722" s="37"/>
      <c r="D2722" s="37"/>
      <c r="E2722" s="37"/>
      <c r="F2722" s="45"/>
      <c r="K2722" s="3" t="s">
        <v>6232</v>
      </c>
    </row>
    <row r="2723" spans="1:38" ht="18.399999999999999" customHeight="1">
      <c r="A2723" s="41" t="s">
        <v>585</v>
      </c>
      <c r="B2723" s="37"/>
      <c r="C2723" s="37"/>
      <c r="D2723" s="37"/>
      <c r="E2723" s="37"/>
      <c r="F2723" s="45"/>
      <c r="K2723" s="3" t="s">
        <v>5657</v>
      </c>
    </row>
    <row r="2724" spans="1:38" ht="18.399999999999999" customHeight="1">
      <c r="A2724" s="42" t="str">
        <f>CONCATENATE("    0.721  인  * Q * _x001D_201,482_x001D_ = ",TEXT($AB2724,"#,##0.0"))</f>
        <v xml:space="preserve">    0.721  인  * Q * _x001D_201,482_x001D_ = 167,879.6</v>
      </c>
      <c r="B2724" s="37">
        <f>SUM($C2724,$D2724,$E2724)</f>
        <v>167879.6</v>
      </c>
      <c r="C2724" s="37"/>
      <c r="D2724" s="37">
        <f>$AB2724</f>
        <v>167879.6</v>
      </c>
      <c r="E2724" s="37"/>
      <c r="F2724" s="45" t="s">
        <v>6232</v>
      </c>
      <c r="K2724" s="3" t="s">
        <v>3300</v>
      </c>
      <c r="AA2724" s="40" t="s">
        <v>222</v>
      </c>
      <c r="AB2724" s="8">
        <f>TRUNC(0.721*$AD2698*노임!D9,1)</f>
        <v>167879.6</v>
      </c>
      <c r="AC2724" s="40" t="s">
        <v>334</v>
      </c>
      <c r="AD2724" s="7">
        <f>$AD2721+$AB2724</f>
        <v>643049</v>
      </c>
    </row>
    <row r="2725" spans="1:38" ht="18.399999999999999" customHeight="1">
      <c r="A2725" s="41" t="s">
        <v>6232</v>
      </c>
      <c r="B2725" s="37"/>
      <c r="C2725" s="37"/>
      <c r="D2725" s="37"/>
      <c r="E2725" s="37"/>
      <c r="F2725" s="45"/>
      <c r="K2725" s="3" t="s">
        <v>6232</v>
      </c>
    </row>
    <row r="2726" spans="1:38" ht="18.399999999999999" customHeight="1">
      <c r="A2726" s="41" t="s">
        <v>3917</v>
      </c>
      <c r="B2726" s="37"/>
      <c r="C2726" s="37"/>
      <c r="D2726" s="37"/>
      <c r="E2726" s="37"/>
      <c r="F2726" s="45"/>
      <c r="K2726" s="3" t="s">
        <v>4355</v>
      </c>
    </row>
    <row r="2727" spans="1:38" ht="18.399999999999999" customHeight="1">
      <c r="A2727" s="42" t="str">
        <f>CONCATENATE("    0.270  인  * Q * _x001D_221,506_x001D_ = ",TEXT($AB2727,"#,##0.0"))</f>
        <v xml:space="preserve">    0.270  인  * Q * _x001D_221,506_x001D_ = 70,210.8</v>
      </c>
      <c r="B2727" s="37">
        <f>SUM($C2727,$D2727,$E2727)</f>
        <v>70210.8</v>
      </c>
      <c r="C2727" s="37"/>
      <c r="D2727" s="37">
        <f>$AB2727</f>
        <v>70210.8</v>
      </c>
      <c r="E2727" s="37"/>
      <c r="F2727" s="45" t="s">
        <v>6232</v>
      </c>
      <c r="K2727" s="3" t="s">
        <v>4756</v>
      </c>
      <c r="AA2727" s="40" t="s">
        <v>222</v>
      </c>
      <c r="AB2727" s="8">
        <f>TRUNC(0.27*$AD2698*노임!D4,1)</f>
        <v>70210.8</v>
      </c>
      <c r="AC2727" s="40" t="s">
        <v>334</v>
      </c>
      <c r="AD2727" s="7">
        <f>$AD2724+$AB2727</f>
        <v>713259.8</v>
      </c>
    </row>
    <row r="2728" spans="1:38" ht="18.399999999999999" customHeight="1">
      <c r="A2728" s="41" t="s">
        <v>6232</v>
      </c>
      <c r="B2728" s="37"/>
      <c r="C2728" s="37"/>
      <c r="D2728" s="37"/>
      <c r="E2728" s="37"/>
      <c r="F2728" s="45"/>
      <c r="K2728" s="3" t="s">
        <v>6232</v>
      </c>
    </row>
    <row r="2729" spans="1:38" ht="18.399999999999999" customHeight="1">
      <c r="A2729" s="41" t="s">
        <v>4277</v>
      </c>
      <c r="B2729" s="37"/>
      <c r="C2729" s="37"/>
      <c r="D2729" s="37"/>
      <c r="E2729" s="37"/>
      <c r="F2729" s="45"/>
      <c r="K2729" s="3" t="s">
        <v>4663</v>
      </c>
    </row>
    <row r="2730" spans="1:38" ht="18.399999999999999" customHeight="1">
      <c r="A2730" s="42" t="str">
        <f>CONCATENATE("    0.905  인  * Q * _x001D_169,804_x001D_ = ",TEXT($AB2730,"#,##0.0"))</f>
        <v xml:space="preserve">    0.905  인  * Q * _x001D_169,804_x001D_ = 179,079.7</v>
      </c>
      <c r="B2730" s="37">
        <f>SUM($C2730,$D2730,$E2730)</f>
        <v>179079.7</v>
      </c>
      <c r="C2730" s="37"/>
      <c r="D2730" s="37">
        <f>$AB2730</f>
        <v>179079.7</v>
      </c>
      <c r="E2730" s="37"/>
      <c r="F2730" s="45" t="s">
        <v>6232</v>
      </c>
      <c r="K2730" s="3" t="s">
        <v>970</v>
      </c>
      <c r="AA2730" s="40" t="s">
        <v>222</v>
      </c>
      <c r="AB2730" s="8">
        <f>TRUNC(0.905*$AD2698*노임!D3,1)</f>
        <v>179079.7</v>
      </c>
      <c r="AC2730" s="40" t="s">
        <v>334</v>
      </c>
      <c r="AD2730" s="7">
        <f>$AD2727+$AB2730</f>
        <v>892339.5</v>
      </c>
    </row>
    <row r="2731" spans="1:38" ht="18.399999999999999" customHeight="1">
      <c r="A2731" s="41" t="s">
        <v>6232</v>
      </c>
      <c r="B2731" s="37"/>
      <c r="C2731" s="37"/>
      <c r="D2731" s="37"/>
      <c r="E2731" s="37"/>
      <c r="F2731" s="45"/>
      <c r="K2731" s="3" t="s">
        <v>6232</v>
      </c>
    </row>
    <row r="2732" spans="1:38" ht="18.399999999999999" customHeight="1">
      <c r="A2732" s="41" t="s">
        <v>4035</v>
      </c>
      <c r="B2732" s="37">
        <f>SUM($C2732,$D2732,$E2732)</f>
        <v>892339.5</v>
      </c>
      <c r="C2732" s="37">
        <f>$AB2732</f>
        <v>0</v>
      </c>
      <c r="D2732" s="37">
        <f>$AF2732</f>
        <v>892339.5</v>
      </c>
      <c r="E2732" s="37">
        <f>$AJ2732</f>
        <v>0</v>
      </c>
      <c r="F2732" s="45"/>
      <c r="K2732" s="3" t="s">
        <v>134</v>
      </c>
      <c r="AA2732" s="40" t="s">
        <v>4592</v>
      </c>
      <c r="AB2732" s="8">
        <f>TRUNC($AD2717,1)</f>
        <v>0</v>
      </c>
      <c r="AC2732" s="40" t="s">
        <v>5149</v>
      </c>
      <c r="AD2732" s="7">
        <f>$AD2716+$AB2732</f>
        <v>206494.7</v>
      </c>
      <c r="AE2732" s="40" t="s">
        <v>666</v>
      </c>
      <c r="AF2732" s="8">
        <f>TRUNC($AD2730,1)</f>
        <v>892339.5</v>
      </c>
      <c r="AG2732" s="40" t="s">
        <v>2431</v>
      </c>
      <c r="AH2732" s="7">
        <f>$AH2716+$AF2732</f>
        <v>892339.5</v>
      </c>
      <c r="AI2732" s="40" t="s">
        <v>1930</v>
      </c>
      <c r="AJ2732" s="8">
        <f>TRUNC($AL2717,1)</f>
        <v>0</v>
      </c>
      <c r="AK2732" s="40" t="s">
        <v>3349</v>
      </c>
      <c r="AL2732" s="7">
        <f>$AL2716+$AJ2732</f>
        <v>0</v>
      </c>
    </row>
    <row r="2733" spans="1:38" ht="18.399999999999999" customHeight="1">
      <c r="A2733" s="41" t="s">
        <v>6232</v>
      </c>
      <c r="B2733" s="37">
        <f>SUM($C2733,$D2733,$E2733)</f>
        <v>0</v>
      </c>
      <c r="C2733" s="37">
        <f>$AB2733</f>
        <v>0</v>
      </c>
      <c r="D2733" s="37">
        <f>$AF2733</f>
        <v>0</v>
      </c>
      <c r="E2733" s="37">
        <f>$AJ2733</f>
        <v>0</v>
      </c>
      <c r="F2733" s="45"/>
      <c r="K2733" s="3" t="s">
        <v>3238</v>
      </c>
      <c r="AA2733" s="40" t="s">
        <v>308</v>
      </c>
      <c r="AB2733" s="8">
        <f>ROUND(0,2)</f>
        <v>0</v>
      </c>
      <c r="AC2733" s="40" t="s">
        <v>5000</v>
      </c>
      <c r="AD2733" s="7">
        <f>$AB2733</f>
        <v>0</v>
      </c>
      <c r="AE2733" s="40" t="s">
        <v>4500</v>
      </c>
      <c r="AF2733" s="8">
        <f>ROUND(0,2)</f>
        <v>0</v>
      </c>
      <c r="AG2733" s="40" t="s">
        <v>2603</v>
      </c>
      <c r="AH2733" s="7">
        <f>$AF2733</f>
        <v>0</v>
      </c>
      <c r="AI2733" s="40" t="s">
        <v>5878</v>
      </c>
      <c r="AJ2733" s="8">
        <f>ROUND(0,2)</f>
        <v>0</v>
      </c>
      <c r="AK2733" s="40" t="s">
        <v>787</v>
      </c>
      <c r="AL2733" s="7">
        <f>$AJ2733</f>
        <v>0</v>
      </c>
    </row>
    <row r="2734" spans="1:38" ht="18.399999999999999" customHeight="1">
      <c r="A2734" s="41" t="s">
        <v>760</v>
      </c>
      <c r="B2734" s="37"/>
      <c r="C2734" s="37"/>
      <c r="D2734" s="37"/>
      <c r="E2734" s="37"/>
      <c r="F2734" s="45"/>
      <c r="K2734" s="3" t="s">
        <v>5465</v>
      </c>
    </row>
    <row r="2735" spans="1:38" ht="18.399999999999999" customHeight="1">
      <c r="A2735" s="41" t="s">
        <v>6232</v>
      </c>
      <c r="B2735" s="37"/>
      <c r="C2735" s="37"/>
      <c r="D2735" s="37"/>
      <c r="E2735" s="37"/>
      <c r="F2735" s="45"/>
      <c r="K2735" s="3" t="s">
        <v>6232</v>
      </c>
    </row>
    <row r="2736" spans="1:38" ht="18.399999999999999" customHeight="1">
      <c r="A2736" s="42" t="str">
        <f>CONCATENATE("    LA2 / Q * 0.02 = ",TEXT($AB2736,"#,##0.0"))</f>
        <v xml:space="preserve">    LA2 / Q * 0.02 = 15,518.9</v>
      </c>
      <c r="B2736" s="37">
        <f>SUM($C2736,$D2736,$E2736)</f>
        <v>15518.9</v>
      </c>
      <c r="C2736" s="37"/>
      <c r="D2736" s="37"/>
      <c r="E2736" s="37">
        <f>$AB2736</f>
        <v>15518.9</v>
      </c>
      <c r="F2736" s="45"/>
      <c r="K2736" s="3" t="s">
        <v>4829</v>
      </c>
      <c r="AA2736" s="40" t="s">
        <v>5878</v>
      </c>
      <c r="AB2736" s="8">
        <f>TRUNC($AD2730/$AD2698*0.02,1)</f>
        <v>15518.9</v>
      </c>
      <c r="AC2736" s="40" t="s">
        <v>787</v>
      </c>
      <c r="AD2736" s="7">
        <f>$AL2733+$AB2736</f>
        <v>15518.9</v>
      </c>
    </row>
    <row r="2737" spans="1:38" ht="18.399999999999999" customHeight="1">
      <c r="A2737" s="41" t="s">
        <v>6232</v>
      </c>
      <c r="B2737" s="37"/>
      <c r="C2737" s="37"/>
      <c r="D2737" s="37"/>
      <c r="E2737" s="37"/>
      <c r="F2737" s="45"/>
      <c r="K2737" s="3" t="s">
        <v>6232</v>
      </c>
    </row>
    <row r="2738" spans="1:38" ht="18.399999999999999" customHeight="1">
      <c r="A2738" s="41" t="s">
        <v>4035</v>
      </c>
      <c r="B2738" s="37">
        <f>SUM($C2738,$D2738,$E2738)</f>
        <v>15518.9</v>
      </c>
      <c r="C2738" s="37">
        <f>$AB2738</f>
        <v>0</v>
      </c>
      <c r="D2738" s="37">
        <f>$AF2738</f>
        <v>0</v>
      </c>
      <c r="E2738" s="37">
        <f>$AJ2738</f>
        <v>15518.9</v>
      </c>
      <c r="F2738" s="45"/>
      <c r="K2738" s="3" t="s">
        <v>4813</v>
      </c>
      <c r="AA2738" s="40" t="s">
        <v>4592</v>
      </c>
      <c r="AB2738" s="8">
        <f>TRUNC($AD2733,1)</f>
        <v>0</v>
      </c>
      <c r="AC2738" s="40" t="s">
        <v>5149</v>
      </c>
      <c r="AD2738" s="7">
        <f>$AD2732+$AB2738</f>
        <v>206494.7</v>
      </c>
      <c r="AE2738" s="40" t="s">
        <v>666</v>
      </c>
      <c r="AF2738" s="8">
        <f>TRUNC($AH2733,1)</f>
        <v>0</v>
      </c>
      <c r="AG2738" s="40" t="s">
        <v>2431</v>
      </c>
      <c r="AH2738" s="7">
        <f>$AH2732+$AF2738</f>
        <v>892339.5</v>
      </c>
      <c r="AI2738" s="40" t="s">
        <v>1930</v>
      </c>
      <c r="AJ2738" s="8">
        <f>TRUNC($AD2736,1)</f>
        <v>15518.9</v>
      </c>
      <c r="AK2738" s="40" t="s">
        <v>3349</v>
      </c>
      <c r="AL2738" s="7">
        <f>$AL2732+$AJ2738</f>
        <v>15518.9</v>
      </c>
    </row>
    <row r="2739" spans="1:38" ht="18.399999999999999" customHeight="1">
      <c r="A2739" s="41" t="s">
        <v>6232</v>
      </c>
      <c r="B2739" s="37"/>
      <c r="C2739" s="37"/>
      <c r="D2739" s="37"/>
      <c r="E2739" s="37"/>
      <c r="F2739" s="45"/>
      <c r="K2739" s="3" t="s">
        <v>6232</v>
      </c>
    </row>
    <row r="2740" spans="1:38" ht="18.399999999999999" customHeight="1">
      <c r="A2740" s="41" t="s">
        <v>4002</v>
      </c>
      <c r="B2740" s="37">
        <v>1102333.5999999999</v>
      </c>
      <c r="C2740" s="37">
        <v>206494.7</v>
      </c>
      <c r="D2740" s="37">
        <v>880525.5</v>
      </c>
      <c r="E2740" s="37">
        <v>15313.4</v>
      </c>
      <c r="F2740" s="45"/>
      <c r="K2740" s="3" t="s">
        <v>916</v>
      </c>
    </row>
    <row r="2741" spans="1:38" ht="18.399999999999999" customHeight="1">
      <c r="A2741" s="41"/>
      <c r="B2741" s="3"/>
      <c r="C2741" s="3"/>
      <c r="D2741" s="3"/>
      <c r="E2741" s="3"/>
      <c r="F2741" s="44"/>
    </row>
    <row r="2742" spans="1:38" ht="18.399999999999999" customHeight="1">
      <c r="A2742" s="43" t="s">
        <v>3543</v>
      </c>
      <c r="B2742" s="38">
        <f>SUM($C2742,$D2742,$E2742)</f>
        <v>1114351</v>
      </c>
      <c r="C2742" s="38">
        <f>TRUNC(SUM($AD2738),0)</f>
        <v>206494</v>
      </c>
      <c r="D2742" s="38">
        <f>TRUNC(SUM($AH2738),0)</f>
        <v>892339</v>
      </c>
      <c r="E2742" s="38">
        <f>TRUNC(SUM($AL2738),0)</f>
        <v>15518</v>
      </c>
      <c r="F2742" s="46"/>
    </row>
    <row r="2743" spans="1:38" ht="18.399999999999999" customHeight="1">
      <c r="A2743" s="41"/>
      <c r="B2743" s="3"/>
      <c r="C2743" s="3"/>
      <c r="D2743" s="3"/>
      <c r="E2743" s="3"/>
      <c r="F2743" s="44"/>
    </row>
    <row r="2744" spans="1:38" ht="18.399999999999999" customHeight="1">
      <c r="A2744" s="41" t="s">
        <v>1780</v>
      </c>
      <c r="B2744" s="36">
        <f>$B2796</f>
        <v>1229234</v>
      </c>
      <c r="C2744" s="36">
        <f>$C2796</f>
        <v>224672</v>
      </c>
      <c r="D2744" s="36">
        <f>$D2796</f>
        <v>987390</v>
      </c>
      <c r="E2744" s="36">
        <f>$E2796</f>
        <v>17172</v>
      </c>
      <c r="F2744" s="44" t="s">
        <v>4819</v>
      </c>
      <c r="G2744" t="s">
        <v>6232</v>
      </c>
      <c r="H2744" t="s">
        <v>3381</v>
      </c>
      <c r="K2744">
        <v>1</v>
      </c>
      <c r="Y2744" s="7" t="b">
        <f>EXACT($Z2744,$B2796)</f>
        <v>0</v>
      </c>
      <c r="Z2744" s="38">
        <v>1215955</v>
      </c>
    </row>
    <row r="2745" spans="1:38" ht="18.399999999999999" customHeight="1">
      <c r="A2745" s="41"/>
      <c r="B2745" s="3"/>
      <c r="C2745" s="3"/>
      <c r="D2745" s="3"/>
      <c r="E2745" s="3"/>
      <c r="F2745" s="44"/>
    </row>
    <row r="2746" spans="1:38" ht="18.399999999999999" customHeight="1">
      <c r="A2746" s="41" t="s">
        <v>6232</v>
      </c>
      <c r="B2746" s="3"/>
      <c r="C2746" s="3"/>
      <c r="D2746" s="3"/>
      <c r="E2746" s="3"/>
      <c r="F2746" s="44"/>
      <c r="G2746" t="s">
        <v>6232</v>
      </c>
      <c r="I2746" t="s">
        <v>742</v>
      </c>
      <c r="J2746" t="s">
        <v>6232</v>
      </c>
      <c r="K2746" t="s">
        <v>5235</v>
      </c>
    </row>
    <row r="2747" spans="1:38" ht="18.399999999999999" customHeight="1">
      <c r="A2747" s="41" t="s">
        <v>2455</v>
      </c>
      <c r="B2747" s="37"/>
      <c r="C2747" s="37"/>
      <c r="D2747" s="37"/>
      <c r="E2747" s="37"/>
      <c r="F2747" s="45"/>
      <c r="K2747" s="3" t="s">
        <v>1451</v>
      </c>
    </row>
    <row r="2748" spans="1:38" ht="18.399999999999999" customHeight="1">
      <c r="A2748" s="41" t="s">
        <v>6232</v>
      </c>
      <c r="B2748" s="37"/>
      <c r="C2748" s="37"/>
      <c r="D2748" s="37"/>
      <c r="E2748" s="37"/>
      <c r="F2748" s="45"/>
      <c r="K2748" s="3" t="s">
        <v>6232</v>
      </c>
    </row>
    <row r="2749" spans="1:38" ht="18.399999999999999" customHeight="1">
      <c r="A2749" s="41" t="s">
        <v>2476</v>
      </c>
      <c r="B2749" s="37"/>
      <c r="C2749" s="37"/>
      <c r="D2749" s="37"/>
      <c r="E2749" s="37"/>
      <c r="F2749" s="45"/>
      <c r="K2749" s="3" t="s">
        <v>5810</v>
      </c>
    </row>
    <row r="2750" spans="1:38" ht="18.399999999999999" customHeight="1">
      <c r="A2750" s="41" t="s">
        <v>774</v>
      </c>
      <c r="B2750" s="37"/>
      <c r="C2750" s="37"/>
      <c r="D2750" s="37"/>
      <c r="E2750" s="37"/>
      <c r="F2750" s="45"/>
      <c r="K2750" s="3" t="s">
        <v>3563</v>
      </c>
    </row>
    <row r="2751" spans="1:38" ht="18.399999999999999" customHeight="1">
      <c r="A2751" s="41" t="s">
        <v>1642</v>
      </c>
      <c r="B2751" s="37"/>
      <c r="C2751" s="37"/>
      <c r="D2751" s="37"/>
      <c r="E2751" s="37"/>
      <c r="F2751" s="45"/>
      <c r="K2751" s="3" t="s">
        <v>2758</v>
      </c>
    </row>
    <row r="2752" spans="1:38" ht="18.399999999999999" customHeight="1">
      <c r="A2752" s="42" t="str">
        <f>CONCATENATE("          Q=",TEXT($AB2752,"#,##0.00"))</f>
        <v xml:space="preserve">          Q=1.15</v>
      </c>
      <c r="B2752" s="37"/>
      <c r="C2752" s="37"/>
      <c r="D2752" s="37"/>
      <c r="E2752" s="37"/>
      <c r="F2752" s="45"/>
      <c r="K2752" s="10" t="str">
        <f>SUBSTITUTE(SUBSTITUTE("          Q=1.15","1.15",TEXT($AB2752,"#,##0.00"),1),"_x001D_","'")</f>
        <v xml:space="preserve">          Q=1.15</v>
      </c>
      <c r="AA2752" s="39" t="s">
        <v>4337</v>
      </c>
      <c r="AB2752" s="6">
        <v>1.1499999999999999</v>
      </c>
      <c r="AC2752" s="39" t="s">
        <v>4337</v>
      </c>
      <c r="AD2752" s="7">
        <f>$AB2752</f>
        <v>1.1499999999999999</v>
      </c>
    </row>
    <row r="2753" spans="1:38" ht="18.399999999999999" customHeight="1">
      <c r="A2753" s="41" t="s">
        <v>6232</v>
      </c>
      <c r="B2753" s="37">
        <f>SUM($C2753,$D2753,$E2753)</f>
        <v>0</v>
      </c>
      <c r="C2753" s="37">
        <f>$AB2753</f>
        <v>0</v>
      </c>
      <c r="D2753" s="37">
        <f>$AF2753</f>
        <v>0</v>
      </c>
      <c r="E2753" s="37">
        <f>$AJ2753</f>
        <v>0</v>
      </c>
      <c r="F2753" s="45"/>
      <c r="K2753" s="3" t="s">
        <v>295</v>
      </c>
      <c r="AA2753" s="40" t="s">
        <v>2660</v>
      </c>
      <c r="AB2753" s="8">
        <f>ROUND(0,2)</f>
        <v>0</v>
      </c>
      <c r="AC2753" s="40" t="s">
        <v>1650</v>
      </c>
      <c r="AD2753" s="7">
        <f>$AB2753</f>
        <v>0</v>
      </c>
      <c r="AE2753" s="40" t="s">
        <v>5305</v>
      </c>
      <c r="AF2753" s="8">
        <f>ROUND(0,2)</f>
        <v>0</v>
      </c>
      <c r="AG2753" s="40" t="s">
        <v>5439</v>
      </c>
      <c r="AH2753" s="7">
        <f>$AF2753</f>
        <v>0</v>
      </c>
      <c r="AI2753" s="40" t="s">
        <v>3519</v>
      </c>
      <c r="AJ2753" s="8">
        <f>ROUND(0,2)</f>
        <v>0</v>
      </c>
      <c r="AK2753" s="40" t="s">
        <v>4149</v>
      </c>
      <c r="AL2753" s="7">
        <f>$AJ2753</f>
        <v>0</v>
      </c>
    </row>
    <row r="2754" spans="1:38" ht="18.399999999999999" customHeight="1">
      <c r="A2754" s="41" t="s">
        <v>4464</v>
      </c>
      <c r="B2754" s="37"/>
      <c r="C2754" s="37"/>
      <c r="D2754" s="37"/>
      <c r="E2754" s="37"/>
      <c r="F2754" s="45"/>
      <c r="K2754" s="3" t="s">
        <v>311</v>
      </c>
    </row>
    <row r="2755" spans="1:38" ht="18.399999999999999" customHeight="1">
      <c r="A2755" s="41" t="s">
        <v>6232</v>
      </c>
      <c r="B2755" s="37"/>
      <c r="C2755" s="37"/>
      <c r="D2755" s="37"/>
      <c r="E2755" s="37"/>
      <c r="F2755" s="45"/>
      <c r="K2755" s="3" t="s">
        <v>6232</v>
      </c>
    </row>
    <row r="2756" spans="1:38" ht="18.399999999999999" customHeight="1">
      <c r="A2756" s="42" t="str">
        <f>CONCATENATE("  1) POLYOL :  4.20  kg  * _x001D_4,500_x001D_ = ",TEXT($AB2756,"#,##0.0"))</f>
        <v xml:space="preserve">  1) POLYOL :  4.20  kg  * _x001D_4,500_x001D_ = 18,900.0</v>
      </c>
      <c r="B2756" s="37">
        <f>SUM($C2756,$D2756,$E2756)</f>
        <v>18900</v>
      </c>
      <c r="C2756" s="37">
        <f>$AB2756</f>
        <v>18900</v>
      </c>
      <c r="D2756" s="37"/>
      <c r="E2756" s="37"/>
      <c r="F2756" s="45" t="s">
        <v>6232</v>
      </c>
      <c r="K2756" s="3" t="s">
        <v>3109</v>
      </c>
      <c r="AA2756" s="40" t="s">
        <v>2660</v>
      </c>
      <c r="AB2756" s="8">
        <f>TRUNC(4.2*자재조서!E46,1)</f>
        <v>18900</v>
      </c>
      <c r="AC2756" s="40" t="s">
        <v>1650</v>
      </c>
      <c r="AD2756" s="7">
        <f>$AD2753+$AB2756</f>
        <v>18900</v>
      </c>
    </row>
    <row r="2757" spans="1:38" ht="18.399999999999999" customHeight="1">
      <c r="A2757" s="41" t="s">
        <v>6232</v>
      </c>
      <c r="B2757" s="37"/>
      <c r="C2757" s="37"/>
      <c r="D2757" s="37"/>
      <c r="E2757" s="37"/>
      <c r="F2757" s="45"/>
      <c r="K2757" s="3" t="s">
        <v>6232</v>
      </c>
    </row>
    <row r="2758" spans="1:38" ht="18.399999999999999" customHeight="1">
      <c r="A2758" s="42" t="str">
        <f>CONCATENATE("  2) MDI :  5.76  kg  * _x001D_4,000_x001D_  = ",TEXT($AB2758,"#,##0.0"))</f>
        <v xml:space="preserve">  2) MDI :  5.76  kg  * _x001D_4,000_x001D_  = 23,040.0</v>
      </c>
      <c r="B2758" s="37">
        <f>SUM($C2758,$D2758,$E2758)</f>
        <v>23040</v>
      </c>
      <c r="C2758" s="37">
        <f>$AB2758</f>
        <v>23040</v>
      </c>
      <c r="D2758" s="37"/>
      <c r="E2758" s="37"/>
      <c r="F2758" s="45" t="s">
        <v>6232</v>
      </c>
      <c r="K2758" s="3" t="s">
        <v>914</v>
      </c>
      <c r="AA2758" s="40" t="s">
        <v>2660</v>
      </c>
      <c r="AB2758" s="8">
        <f>TRUNC(5.76*자재조서!E47,1)</f>
        <v>23040</v>
      </c>
      <c r="AC2758" s="40" t="s">
        <v>1650</v>
      </c>
      <c r="AD2758" s="7">
        <f>$AD2756+$AB2758</f>
        <v>41940</v>
      </c>
    </row>
    <row r="2759" spans="1:38" ht="18.399999999999999" customHeight="1">
      <c r="A2759" s="41" t="s">
        <v>6232</v>
      </c>
      <c r="B2759" s="37"/>
      <c r="C2759" s="37"/>
      <c r="D2759" s="37"/>
      <c r="E2759" s="37"/>
      <c r="F2759" s="45"/>
      <c r="K2759" s="3" t="s">
        <v>6232</v>
      </c>
    </row>
    <row r="2760" spans="1:38" ht="18.399999999999999" customHeight="1">
      <c r="A2760" s="41" t="s">
        <v>337</v>
      </c>
      <c r="B2760" s="37"/>
      <c r="C2760" s="37"/>
      <c r="D2760" s="37"/>
      <c r="E2760" s="37"/>
      <c r="F2760" s="45"/>
      <c r="K2760" s="3" t="s">
        <v>3279</v>
      </c>
    </row>
    <row r="2761" spans="1:38" ht="18.399999999999999" customHeight="1">
      <c r="A2761" s="41" t="s">
        <v>6232</v>
      </c>
      <c r="B2761" s="37"/>
      <c r="C2761" s="37"/>
      <c r="D2761" s="37"/>
      <c r="E2761" s="37"/>
      <c r="F2761" s="45"/>
      <c r="K2761" s="3" t="s">
        <v>6232</v>
      </c>
    </row>
    <row r="2762" spans="1:38" ht="18.399999999999999" customHeight="1">
      <c r="A2762" s="42" t="str">
        <f>CONCATENATE("  4) PE 용접봉 :  0.81  kg  * _x001D_10,738_x001D_= ",TEXT($AB2762,"#,##0.0"))</f>
        <v xml:space="preserve">  4) PE 용접봉 :  0.81  kg  * _x001D_10,738_x001D_= 8,697.7</v>
      </c>
      <c r="B2762" s="37">
        <f>SUM($C2762,$D2762,$E2762)</f>
        <v>8697.7000000000007</v>
      </c>
      <c r="C2762" s="37">
        <f>$AB2762</f>
        <v>8697.7000000000007</v>
      </c>
      <c r="D2762" s="37"/>
      <c r="E2762" s="37"/>
      <c r="F2762" s="45" t="s">
        <v>6232</v>
      </c>
      <c r="K2762" s="3" t="s">
        <v>2877</v>
      </c>
      <c r="AA2762" s="40" t="s">
        <v>2660</v>
      </c>
      <c r="AB2762" s="8">
        <f>TRUNC(0.81*자재조서!E41,1)</f>
        <v>8697.7000000000007</v>
      </c>
      <c r="AC2762" s="40" t="s">
        <v>1650</v>
      </c>
      <c r="AD2762" s="7">
        <f>$AD2758+$AB2762</f>
        <v>50637.7</v>
      </c>
    </row>
    <row r="2763" spans="1:38" ht="18.399999999999999" customHeight="1">
      <c r="A2763" s="41" t="s">
        <v>6232</v>
      </c>
      <c r="B2763" s="37"/>
      <c r="C2763" s="37"/>
      <c r="D2763" s="37"/>
      <c r="E2763" s="37"/>
      <c r="F2763" s="45"/>
      <c r="K2763" s="3" t="s">
        <v>6232</v>
      </c>
    </row>
    <row r="2764" spans="1:38" ht="18.399999999999999" customHeight="1">
      <c r="A2764" s="42" t="str">
        <f>CONCATENATE("  5) HDPE 관 :  6.18  m  * _x001D_13,430_x001D_ = ",TEXT($AB2764,"#,##0.0"))</f>
        <v xml:space="preserve">  5) HDPE 관 :  6.18  m  * _x001D_13,430_x001D_ = 82,997.4</v>
      </c>
      <c r="B2764" s="37">
        <f>SUM($C2764,$D2764,$E2764)</f>
        <v>82997.399999999994</v>
      </c>
      <c r="C2764" s="37">
        <f>$AB2764</f>
        <v>82997.399999999994</v>
      </c>
      <c r="D2764" s="37"/>
      <c r="E2764" s="37"/>
      <c r="F2764" s="45" t="s">
        <v>6232</v>
      </c>
      <c r="K2764" s="3" t="s">
        <v>121</v>
      </c>
      <c r="AA2764" s="40" t="s">
        <v>2660</v>
      </c>
      <c r="AB2764" s="8">
        <f>TRUNC(6.18*자재조서!E34,1)</f>
        <v>82997.399999999994</v>
      </c>
      <c r="AC2764" s="40" t="s">
        <v>1650</v>
      </c>
      <c r="AD2764" s="7">
        <f>$AD2762+$AB2764</f>
        <v>133635.09999999998</v>
      </c>
    </row>
    <row r="2765" spans="1:38" ht="18.399999999999999" customHeight="1">
      <c r="A2765" s="41" t="s">
        <v>6232</v>
      </c>
      <c r="B2765" s="37"/>
      <c r="C2765" s="37"/>
      <c r="D2765" s="37"/>
      <c r="E2765" s="37"/>
      <c r="F2765" s="45"/>
      <c r="K2765" s="3" t="s">
        <v>6232</v>
      </c>
    </row>
    <row r="2766" spans="1:38" ht="18.399999999999999" customHeight="1">
      <c r="A2766" s="42" t="str">
        <f>CONCATENATE("  6) 공장보온재 :  2.992  m  * _x001D_30,350_x001D_ = ",TEXT($AB2766,"#,##0.0"))</f>
        <v xml:space="preserve">  6) 공장보온재 :  2.992  m  * _x001D_30,350_x001D_ = 90,807.2</v>
      </c>
      <c r="B2766" s="37">
        <f>SUM($C2766,$D2766,$E2766)</f>
        <v>90807.2</v>
      </c>
      <c r="C2766" s="37">
        <f>$AB2766</f>
        <v>90807.2</v>
      </c>
      <c r="D2766" s="37"/>
      <c r="E2766" s="37"/>
      <c r="F2766" s="45" t="s">
        <v>6232</v>
      </c>
      <c r="K2766" s="3" t="s">
        <v>1369</v>
      </c>
      <c r="AA2766" s="40" t="s">
        <v>2660</v>
      </c>
      <c r="AB2766" s="8">
        <f>TRUNC(2.992*자재조서!E72,1)</f>
        <v>90807.2</v>
      </c>
      <c r="AC2766" s="40" t="s">
        <v>1650</v>
      </c>
      <c r="AD2766" s="7">
        <f>$AD2764+$AB2766</f>
        <v>224442.3</v>
      </c>
    </row>
    <row r="2767" spans="1:38" ht="18.399999999999999" customHeight="1">
      <c r="A2767" s="41" t="s">
        <v>6232</v>
      </c>
      <c r="B2767" s="37"/>
      <c r="C2767" s="37"/>
      <c r="D2767" s="37"/>
      <c r="E2767" s="37"/>
      <c r="F2767" s="45"/>
      <c r="K2767" s="3" t="s">
        <v>6232</v>
      </c>
    </row>
    <row r="2768" spans="1:38" ht="18.399999999999999" customHeight="1">
      <c r="A2768" s="42" t="str">
        <f>CONCATENATE("  7) 석동선 :  13.98  m  * _x001D_16.5_x001D_ = ",TEXT($AB2768,"#,##0.0"))</f>
        <v xml:space="preserve">  7) 석동선 :  13.98  m  * _x001D_16.5_x001D_ = 230.6</v>
      </c>
      <c r="B2768" s="37">
        <f>SUM($C2768,$D2768,$E2768)</f>
        <v>230.6</v>
      </c>
      <c r="C2768" s="37">
        <f>$AB2768</f>
        <v>230.6</v>
      </c>
      <c r="D2768" s="37"/>
      <c r="E2768" s="37"/>
      <c r="F2768" s="45" t="s">
        <v>6232</v>
      </c>
      <c r="K2768" s="3" t="s">
        <v>5628</v>
      </c>
      <c r="AA2768" s="40" t="s">
        <v>2660</v>
      </c>
      <c r="AB2768" s="8">
        <f>TRUNC(13.98*자재조서!E85,1)</f>
        <v>230.6</v>
      </c>
      <c r="AC2768" s="40" t="s">
        <v>1650</v>
      </c>
      <c r="AD2768" s="7">
        <f>$AD2766+$AB2768</f>
        <v>224672.9</v>
      </c>
    </row>
    <row r="2769" spans="1:38" ht="18.399999999999999" customHeight="1">
      <c r="A2769" s="41" t="s">
        <v>6232</v>
      </c>
      <c r="B2769" s="37"/>
      <c r="C2769" s="37"/>
      <c r="D2769" s="37"/>
      <c r="E2769" s="37"/>
      <c r="F2769" s="45"/>
      <c r="K2769" s="3" t="s">
        <v>6232</v>
      </c>
    </row>
    <row r="2770" spans="1:38" ht="18.399999999999999" customHeight="1">
      <c r="A2770" s="41" t="s">
        <v>4035</v>
      </c>
      <c r="B2770" s="37">
        <f>SUM($C2770,$D2770,$E2770)</f>
        <v>224672.9</v>
      </c>
      <c r="C2770" s="37">
        <f>$AB2770</f>
        <v>224672.9</v>
      </c>
      <c r="D2770" s="37">
        <f>$AF2770</f>
        <v>0</v>
      </c>
      <c r="E2770" s="37">
        <f>$AJ2770</f>
        <v>0</v>
      </c>
      <c r="F2770" s="45"/>
      <c r="K2770" s="3" t="s">
        <v>6125</v>
      </c>
      <c r="AA2770" s="40" t="s">
        <v>4592</v>
      </c>
      <c r="AB2770" s="8">
        <f>TRUNC($AD2768,1)</f>
        <v>224672.9</v>
      </c>
      <c r="AC2770" s="40" t="s">
        <v>5149</v>
      </c>
      <c r="AD2770" s="7">
        <f>$AB2770</f>
        <v>224672.9</v>
      </c>
      <c r="AE2770" s="40" t="s">
        <v>666</v>
      </c>
      <c r="AF2770" s="8">
        <f>TRUNC($AH2753,1)</f>
        <v>0</v>
      </c>
      <c r="AG2770" s="40" t="s">
        <v>2431</v>
      </c>
      <c r="AH2770" s="7">
        <f>$AF2770</f>
        <v>0</v>
      </c>
      <c r="AI2770" s="40" t="s">
        <v>1930</v>
      </c>
      <c r="AJ2770" s="8">
        <f>TRUNC($AL2753,1)</f>
        <v>0</v>
      </c>
      <c r="AK2770" s="40" t="s">
        <v>3349</v>
      </c>
      <c r="AL2770" s="7">
        <f>$AJ2770</f>
        <v>0</v>
      </c>
    </row>
    <row r="2771" spans="1:38" ht="18.399999999999999" customHeight="1">
      <c r="A2771" s="41" t="s">
        <v>6232</v>
      </c>
      <c r="B2771" s="37">
        <f>SUM($C2771,$D2771,$E2771)</f>
        <v>0</v>
      </c>
      <c r="C2771" s="37">
        <f>$AB2771</f>
        <v>0</v>
      </c>
      <c r="D2771" s="37">
        <f>$AF2771</f>
        <v>0</v>
      </c>
      <c r="E2771" s="37">
        <f>$AJ2771</f>
        <v>0</v>
      </c>
      <c r="F2771" s="45"/>
      <c r="K2771" s="3" t="s">
        <v>5506</v>
      </c>
      <c r="AA2771" s="40" t="s">
        <v>4586</v>
      </c>
      <c r="AB2771" s="8">
        <f>ROUND(0,2)</f>
        <v>0</v>
      </c>
      <c r="AC2771" s="40" t="s">
        <v>4161</v>
      </c>
      <c r="AD2771" s="7">
        <f>$AB2771</f>
        <v>0</v>
      </c>
      <c r="AE2771" s="40" t="s">
        <v>222</v>
      </c>
      <c r="AF2771" s="8">
        <f>ROUND(0,2)</f>
        <v>0</v>
      </c>
      <c r="AG2771" s="40" t="s">
        <v>334</v>
      </c>
      <c r="AH2771" s="7">
        <f>$AF2771</f>
        <v>0</v>
      </c>
      <c r="AI2771" s="40" t="s">
        <v>1574</v>
      </c>
      <c r="AJ2771" s="8">
        <f>ROUND(0,2)</f>
        <v>0</v>
      </c>
      <c r="AK2771" s="40" t="s">
        <v>1622</v>
      </c>
      <c r="AL2771" s="7">
        <f>$AJ2771</f>
        <v>0</v>
      </c>
    </row>
    <row r="2772" spans="1:38" ht="18.399999999999999" customHeight="1">
      <c r="A2772" s="41" t="s">
        <v>231</v>
      </c>
      <c r="B2772" s="37"/>
      <c r="C2772" s="37"/>
      <c r="D2772" s="37"/>
      <c r="E2772" s="37"/>
      <c r="F2772" s="45"/>
      <c r="K2772" s="3" t="s">
        <v>268</v>
      </c>
    </row>
    <row r="2773" spans="1:38" ht="18.399999999999999" customHeight="1">
      <c r="A2773" s="41" t="s">
        <v>6232</v>
      </c>
      <c r="B2773" s="37"/>
      <c r="C2773" s="37"/>
      <c r="D2773" s="37"/>
      <c r="E2773" s="37"/>
      <c r="F2773" s="45"/>
      <c r="K2773" s="3" t="s">
        <v>6232</v>
      </c>
    </row>
    <row r="2774" spans="1:38" ht="18.399999999999999" customHeight="1">
      <c r="A2774" s="41" t="s">
        <v>5533</v>
      </c>
      <c r="B2774" s="37"/>
      <c r="C2774" s="37"/>
      <c r="D2774" s="37"/>
      <c r="E2774" s="37"/>
      <c r="F2774" s="45"/>
      <c r="K2774" s="3" t="s">
        <v>3259</v>
      </c>
    </row>
    <row r="2775" spans="1:38" ht="18.399999999999999" customHeight="1">
      <c r="A2775" s="42" t="str">
        <f>CONCATENATE("    2.133  인  * Q * _x001D_213,722_x001D_ = ",TEXT($AB2775,"#,##0.0"))</f>
        <v xml:space="preserve">    2.133  인  * Q * _x001D_213,722_x001D_ = 532,319.5</v>
      </c>
      <c r="B2775" s="37">
        <f>SUM($C2775,$D2775,$E2775)</f>
        <v>532319.5</v>
      </c>
      <c r="C2775" s="37"/>
      <c r="D2775" s="37">
        <f>$AB2775</f>
        <v>532319.5</v>
      </c>
      <c r="E2775" s="37"/>
      <c r="F2775" s="45" t="s">
        <v>6232</v>
      </c>
      <c r="K2775" s="3" t="s">
        <v>5507</v>
      </c>
      <c r="AA2775" s="40" t="s">
        <v>222</v>
      </c>
      <c r="AB2775" s="8">
        <f>TRUNC(2.133*$AD2752*노임!D10,1)</f>
        <v>532319.5</v>
      </c>
      <c r="AC2775" s="40" t="s">
        <v>334</v>
      </c>
      <c r="AD2775" s="7">
        <f>$AH2771+$AB2775</f>
        <v>532319.5</v>
      </c>
    </row>
    <row r="2776" spans="1:38" ht="18.399999999999999" customHeight="1">
      <c r="A2776" s="41" t="s">
        <v>6232</v>
      </c>
      <c r="B2776" s="37"/>
      <c r="C2776" s="37"/>
      <c r="D2776" s="37"/>
      <c r="E2776" s="37"/>
      <c r="F2776" s="45"/>
      <c r="K2776" s="3" t="s">
        <v>6232</v>
      </c>
    </row>
    <row r="2777" spans="1:38" ht="18.399999999999999" customHeight="1">
      <c r="A2777" s="41" t="s">
        <v>585</v>
      </c>
      <c r="B2777" s="37"/>
      <c r="C2777" s="37"/>
      <c r="D2777" s="37"/>
      <c r="E2777" s="37"/>
      <c r="F2777" s="45"/>
      <c r="K2777" s="3" t="s">
        <v>5657</v>
      </c>
    </row>
    <row r="2778" spans="1:38" ht="18.399999999999999" customHeight="1">
      <c r="A2778" s="42" t="str">
        <f>CONCATENATE("    0.801  인  * Q * _x001D_201,482_x001D_ = ",TEXT($AB2778,"#,##0.0"))</f>
        <v xml:space="preserve">    0.801  인  * Q * _x001D_201,482_x001D_ = 186,507.0</v>
      </c>
      <c r="B2778" s="37">
        <f>SUM($C2778,$D2778,$E2778)</f>
        <v>186507</v>
      </c>
      <c r="C2778" s="37"/>
      <c r="D2778" s="37">
        <f>$AB2778</f>
        <v>186507</v>
      </c>
      <c r="E2778" s="37"/>
      <c r="F2778" s="45" t="s">
        <v>6232</v>
      </c>
      <c r="K2778" s="3" t="s">
        <v>1541</v>
      </c>
      <c r="AA2778" s="40" t="s">
        <v>222</v>
      </c>
      <c r="AB2778" s="8">
        <f>TRUNC(0.801*$AD2752*노임!D9,1)</f>
        <v>186507</v>
      </c>
      <c r="AC2778" s="40" t="s">
        <v>334</v>
      </c>
      <c r="AD2778" s="7">
        <f>$AD2775+$AB2778</f>
        <v>718826.5</v>
      </c>
    </row>
    <row r="2779" spans="1:38" ht="18.399999999999999" customHeight="1">
      <c r="A2779" s="41" t="s">
        <v>6232</v>
      </c>
      <c r="B2779" s="37"/>
      <c r="C2779" s="37"/>
      <c r="D2779" s="37"/>
      <c r="E2779" s="37"/>
      <c r="F2779" s="45"/>
      <c r="K2779" s="3" t="s">
        <v>6232</v>
      </c>
    </row>
    <row r="2780" spans="1:38" ht="18.399999999999999" customHeight="1">
      <c r="A2780" s="41" t="s">
        <v>3917</v>
      </c>
      <c r="B2780" s="37"/>
      <c r="C2780" s="37"/>
      <c r="D2780" s="37"/>
      <c r="E2780" s="37"/>
      <c r="F2780" s="45"/>
      <c r="K2780" s="3" t="s">
        <v>4355</v>
      </c>
    </row>
    <row r="2781" spans="1:38" ht="18.399999999999999" customHeight="1">
      <c r="A2781" s="42" t="str">
        <f>CONCATENATE("    0.284  인  * Q * _x001D_221,506_x001D_ = ",TEXT($AB2781,"#,##0.0"))</f>
        <v xml:space="preserve">    0.284  인  * Q * _x001D_221,506_x001D_ = 73,851.4</v>
      </c>
      <c r="B2781" s="37">
        <f>SUM($C2781,$D2781,$E2781)</f>
        <v>73851.399999999994</v>
      </c>
      <c r="C2781" s="37"/>
      <c r="D2781" s="37">
        <f>$AB2781</f>
        <v>73851.399999999994</v>
      </c>
      <c r="E2781" s="37"/>
      <c r="F2781" s="45" t="s">
        <v>6232</v>
      </c>
      <c r="K2781" s="3" t="s">
        <v>5714</v>
      </c>
      <c r="AA2781" s="40" t="s">
        <v>222</v>
      </c>
      <c r="AB2781" s="8">
        <f>TRUNC(0.284*$AD2752*노임!D4,1)</f>
        <v>73851.399999999994</v>
      </c>
      <c r="AC2781" s="40" t="s">
        <v>334</v>
      </c>
      <c r="AD2781" s="7">
        <f>$AD2778+$AB2781</f>
        <v>792677.9</v>
      </c>
    </row>
    <row r="2782" spans="1:38" ht="18.399999999999999" customHeight="1">
      <c r="A2782" s="41" t="s">
        <v>6232</v>
      </c>
      <c r="B2782" s="37"/>
      <c r="C2782" s="37"/>
      <c r="D2782" s="37"/>
      <c r="E2782" s="37"/>
      <c r="F2782" s="45"/>
      <c r="K2782" s="3" t="s">
        <v>6232</v>
      </c>
    </row>
    <row r="2783" spans="1:38" ht="18.399999999999999" customHeight="1">
      <c r="A2783" s="41" t="s">
        <v>4277</v>
      </c>
      <c r="B2783" s="37"/>
      <c r="C2783" s="37"/>
      <c r="D2783" s="37"/>
      <c r="E2783" s="37"/>
      <c r="F2783" s="45"/>
      <c r="K2783" s="3" t="s">
        <v>4663</v>
      </c>
    </row>
    <row r="2784" spans="1:38" ht="18.399999999999999" customHeight="1">
      <c r="A2784" s="42" t="str">
        <f>CONCATENATE("    0.984  인  * Q * _x001D_169,804_x001D_ = ",TEXT($AB2784,"#,##0.0"))</f>
        <v xml:space="preserve">    0.984  인  * Q * _x001D_169,804_x001D_ = 194,712.1</v>
      </c>
      <c r="B2784" s="37">
        <f>SUM($C2784,$D2784,$E2784)</f>
        <v>194712.1</v>
      </c>
      <c r="C2784" s="37"/>
      <c r="D2784" s="37">
        <f>$AB2784</f>
        <v>194712.1</v>
      </c>
      <c r="E2784" s="37"/>
      <c r="F2784" s="45" t="s">
        <v>6232</v>
      </c>
      <c r="K2784" s="3" t="s">
        <v>1391</v>
      </c>
      <c r="AA2784" s="40" t="s">
        <v>222</v>
      </c>
      <c r="AB2784" s="8">
        <f>TRUNC(0.984*$AD2752*노임!D3,1)</f>
        <v>194712.1</v>
      </c>
      <c r="AC2784" s="40" t="s">
        <v>334</v>
      </c>
      <c r="AD2784" s="7">
        <f>$AD2781+$AB2784</f>
        <v>987390</v>
      </c>
    </row>
    <row r="2785" spans="1:38" ht="18.399999999999999" customHeight="1">
      <c r="A2785" s="41" t="s">
        <v>6232</v>
      </c>
      <c r="B2785" s="37"/>
      <c r="C2785" s="37"/>
      <c r="D2785" s="37"/>
      <c r="E2785" s="37"/>
      <c r="F2785" s="45"/>
      <c r="K2785" s="3" t="s">
        <v>6232</v>
      </c>
    </row>
    <row r="2786" spans="1:38" ht="18.399999999999999" customHeight="1">
      <c r="A2786" s="41" t="s">
        <v>4035</v>
      </c>
      <c r="B2786" s="37">
        <f>SUM($C2786,$D2786,$E2786)</f>
        <v>987390</v>
      </c>
      <c r="C2786" s="37">
        <f>$AB2786</f>
        <v>0</v>
      </c>
      <c r="D2786" s="37">
        <f>$AF2786</f>
        <v>987390</v>
      </c>
      <c r="E2786" s="37">
        <f>$AJ2786</f>
        <v>0</v>
      </c>
      <c r="F2786" s="45"/>
      <c r="K2786" s="3" t="s">
        <v>134</v>
      </c>
      <c r="AA2786" s="40" t="s">
        <v>4592</v>
      </c>
      <c r="AB2786" s="8">
        <f>TRUNC($AD2771,1)</f>
        <v>0</v>
      </c>
      <c r="AC2786" s="40" t="s">
        <v>5149</v>
      </c>
      <c r="AD2786" s="7">
        <f>$AD2770+$AB2786</f>
        <v>224672.9</v>
      </c>
      <c r="AE2786" s="40" t="s">
        <v>666</v>
      </c>
      <c r="AF2786" s="8">
        <f>TRUNC($AD2784,1)</f>
        <v>987390</v>
      </c>
      <c r="AG2786" s="40" t="s">
        <v>2431</v>
      </c>
      <c r="AH2786" s="7">
        <f>$AH2770+$AF2786</f>
        <v>987390</v>
      </c>
      <c r="AI2786" s="40" t="s">
        <v>1930</v>
      </c>
      <c r="AJ2786" s="8">
        <f>TRUNC($AL2771,1)</f>
        <v>0</v>
      </c>
      <c r="AK2786" s="40" t="s">
        <v>3349</v>
      </c>
      <c r="AL2786" s="7">
        <f>$AL2770+$AJ2786</f>
        <v>0</v>
      </c>
    </row>
    <row r="2787" spans="1:38" ht="18.399999999999999" customHeight="1">
      <c r="A2787" s="41" t="s">
        <v>6232</v>
      </c>
      <c r="B2787" s="37">
        <f>SUM($C2787,$D2787,$E2787)</f>
        <v>0</v>
      </c>
      <c r="C2787" s="37">
        <f>$AB2787</f>
        <v>0</v>
      </c>
      <c r="D2787" s="37">
        <f>$AF2787</f>
        <v>0</v>
      </c>
      <c r="E2787" s="37">
        <f>$AJ2787</f>
        <v>0</v>
      </c>
      <c r="F2787" s="45"/>
      <c r="K2787" s="3" t="s">
        <v>3238</v>
      </c>
      <c r="AA2787" s="40" t="s">
        <v>308</v>
      </c>
      <c r="AB2787" s="8">
        <f>ROUND(0,2)</f>
        <v>0</v>
      </c>
      <c r="AC2787" s="40" t="s">
        <v>5000</v>
      </c>
      <c r="AD2787" s="7">
        <f>$AB2787</f>
        <v>0</v>
      </c>
      <c r="AE2787" s="40" t="s">
        <v>4500</v>
      </c>
      <c r="AF2787" s="8">
        <f>ROUND(0,2)</f>
        <v>0</v>
      </c>
      <c r="AG2787" s="40" t="s">
        <v>2603</v>
      </c>
      <c r="AH2787" s="7">
        <f>$AF2787</f>
        <v>0</v>
      </c>
      <c r="AI2787" s="40" t="s">
        <v>5878</v>
      </c>
      <c r="AJ2787" s="8">
        <f>ROUND(0,2)</f>
        <v>0</v>
      </c>
      <c r="AK2787" s="40" t="s">
        <v>787</v>
      </c>
      <c r="AL2787" s="7">
        <f>$AJ2787</f>
        <v>0</v>
      </c>
    </row>
    <row r="2788" spans="1:38" ht="18.399999999999999" customHeight="1">
      <c r="A2788" s="41" t="s">
        <v>760</v>
      </c>
      <c r="B2788" s="37"/>
      <c r="C2788" s="37"/>
      <c r="D2788" s="37"/>
      <c r="E2788" s="37"/>
      <c r="F2788" s="45"/>
      <c r="K2788" s="3" t="s">
        <v>5465</v>
      </c>
    </row>
    <row r="2789" spans="1:38" ht="18.399999999999999" customHeight="1">
      <c r="A2789" s="41" t="s">
        <v>6232</v>
      </c>
      <c r="B2789" s="37"/>
      <c r="C2789" s="37"/>
      <c r="D2789" s="37"/>
      <c r="E2789" s="37"/>
      <c r="F2789" s="45"/>
      <c r="K2789" s="3" t="s">
        <v>6232</v>
      </c>
    </row>
    <row r="2790" spans="1:38" ht="18.399999999999999" customHeight="1">
      <c r="A2790" s="42" t="str">
        <f>CONCATENATE("    LA2 / Q * 0.02 = ",TEXT($AB2790,"#,##0.0"))</f>
        <v xml:space="preserve">    LA2 / Q * 0.02 = 17,172.0</v>
      </c>
      <c r="B2790" s="37">
        <f>SUM($C2790,$D2790,$E2790)</f>
        <v>17172</v>
      </c>
      <c r="C2790" s="37"/>
      <c r="D2790" s="37"/>
      <c r="E2790" s="37">
        <f>$AB2790</f>
        <v>17172</v>
      </c>
      <c r="F2790" s="45"/>
      <c r="K2790" s="3" t="s">
        <v>4829</v>
      </c>
      <c r="AA2790" s="40" t="s">
        <v>5878</v>
      </c>
      <c r="AB2790" s="8">
        <f>TRUNC($AD2784/$AD2752*0.02,1)</f>
        <v>17172</v>
      </c>
      <c r="AC2790" s="40" t="s">
        <v>787</v>
      </c>
      <c r="AD2790" s="7">
        <f>$AL2787+$AB2790</f>
        <v>17172</v>
      </c>
    </row>
    <row r="2791" spans="1:38" ht="18.399999999999999" customHeight="1">
      <c r="A2791" s="41" t="s">
        <v>6232</v>
      </c>
      <c r="B2791" s="37"/>
      <c r="C2791" s="37"/>
      <c r="D2791" s="37"/>
      <c r="E2791" s="37"/>
      <c r="F2791" s="45"/>
      <c r="K2791" s="3" t="s">
        <v>6232</v>
      </c>
    </row>
    <row r="2792" spans="1:38" ht="18.399999999999999" customHeight="1">
      <c r="A2792" s="41" t="s">
        <v>4035</v>
      </c>
      <c r="B2792" s="37">
        <f>SUM($C2792,$D2792,$E2792)</f>
        <v>17172</v>
      </c>
      <c r="C2792" s="37">
        <f>$AB2792</f>
        <v>0</v>
      </c>
      <c r="D2792" s="37">
        <f>$AF2792</f>
        <v>0</v>
      </c>
      <c r="E2792" s="37">
        <f>$AJ2792</f>
        <v>17172</v>
      </c>
      <c r="F2792" s="45"/>
      <c r="K2792" s="3" t="s">
        <v>4813</v>
      </c>
      <c r="AA2792" s="40" t="s">
        <v>4592</v>
      </c>
      <c r="AB2792" s="8">
        <f>TRUNC($AD2787,1)</f>
        <v>0</v>
      </c>
      <c r="AC2792" s="40" t="s">
        <v>5149</v>
      </c>
      <c r="AD2792" s="7">
        <f>$AD2786+$AB2792</f>
        <v>224672.9</v>
      </c>
      <c r="AE2792" s="40" t="s">
        <v>666</v>
      </c>
      <c r="AF2792" s="8">
        <f>TRUNC($AH2787,1)</f>
        <v>0</v>
      </c>
      <c r="AG2792" s="40" t="s">
        <v>2431</v>
      </c>
      <c r="AH2792" s="7">
        <f>$AH2786+$AF2792</f>
        <v>987390</v>
      </c>
      <c r="AI2792" s="40" t="s">
        <v>1930</v>
      </c>
      <c r="AJ2792" s="8">
        <f>TRUNC($AD2790,1)</f>
        <v>17172</v>
      </c>
      <c r="AK2792" s="40" t="s">
        <v>3349</v>
      </c>
      <c r="AL2792" s="7">
        <f>$AL2786+$AJ2792</f>
        <v>17172</v>
      </c>
    </row>
    <row r="2793" spans="1:38" ht="18.399999999999999" customHeight="1">
      <c r="A2793" s="41" t="s">
        <v>6232</v>
      </c>
      <c r="B2793" s="37"/>
      <c r="C2793" s="37"/>
      <c r="D2793" s="37"/>
      <c r="E2793" s="37"/>
      <c r="F2793" s="45"/>
      <c r="K2793" s="3" t="s">
        <v>6232</v>
      </c>
    </row>
    <row r="2794" spans="1:38" ht="18.399999999999999" customHeight="1">
      <c r="A2794" s="41" t="s">
        <v>4002</v>
      </c>
      <c r="B2794" s="37">
        <v>1215956.3</v>
      </c>
      <c r="C2794" s="37">
        <v>224672.9</v>
      </c>
      <c r="D2794" s="37">
        <v>974338.4</v>
      </c>
      <c r="E2794" s="37">
        <v>16945</v>
      </c>
      <c r="F2794" s="45"/>
      <c r="K2794" s="3" t="s">
        <v>916</v>
      </c>
    </row>
    <row r="2795" spans="1:38" ht="18.399999999999999" customHeight="1">
      <c r="A2795" s="41"/>
      <c r="B2795" s="3"/>
      <c r="C2795" s="3"/>
      <c r="D2795" s="3"/>
      <c r="E2795" s="3"/>
      <c r="F2795" s="44"/>
    </row>
    <row r="2796" spans="1:38" ht="18.399999999999999" customHeight="1">
      <c r="A2796" s="43" t="s">
        <v>3543</v>
      </c>
      <c r="B2796" s="38">
        <f>SUM($C2796,$D2796,$E2796)</f>
        <v>1229234</v>
      </c>
      <c r="C2796" s="38">
        <f>TRUNC(SUM($AD2792),0)</f>
        <v>224672</v>
      </c>
      <c r="D2796" s="38">
        <f>TRUNC(SUM($AH2792),0)</f>
        <v>987390</v>
      </c>
      <c r="E2796" s="38">
        <f>TRUNC(SUM($AL2792),0)</f>
        <v>17172</v>
      </c>
      <c r="F2796" s="46"/>
    </row>
    <row r="2797" spans="1:38" ht="18.399999999999999" customHeight="1">
      <c r="A2797" s="41"/>
      <c r="B2797" s="3"/>
      <c r="C2797" s="3"/>
      <c r="D2797" s="3"/>
      <c r="E2797" s="3"/>
      <c r="F2797" s="44"/>
    </row>
    <row r="2798" spans="1:38" ht="18.399999999999999" customHeight="1">
      <c r="A2798" s="41" t="s">
        <v>896</v>
      </c>
      <c r="B2798" s="36">
        <f>$B2850</f>
        <v>1530302</v>
      </c>
      <c r="C2798" s="36">
        <f>$C2850</f>
        <v>314049</v>
      </c>
      <c r="D2798" s="36">
        <f>$D2850</f>
        <v>1195463</v>
      </c>
      <c r="E2798" s="36">
        <f>$E2850</f>
        <v>20790</v>
      </c>
      <c r="F2798" s="44" t="s">
        <v>4819</v>
      </c>
      <c r="G2798" t="s">
        <v>6232</v>
      </c>
      <c r="H2798" t="s">
        <v>3686</v>
      </c>
      <c r="K2798">
        <v>1</v>
      </c>
      <c r="Y2798" s="7" t="b">
        <f>EXACT($Z2798,$B2850)</f>
        <v>0</v>
      </c>
      <c r="Z2798" s="38">
        <v>1514378</v>
      </c>
    </row>
    <row r="2799" spans="1:38" ht="18.399999999999999" customHeight="1">
      <c r="A2799" s="41"/>
      <c r="B2799" s="3"/>
      <c r="C2799" s="3"/>
      <c r="D2799" s="3"/>
      <c r="E2799" s="3"/>
      <c r="F2799" s="44"/>
    </row>
    <row r="2800" spans="1:38" ht="18.399999999999999" customHeight="1">
      <c r="A2800" s="41" t="s">
        <v>6232</v>
      </c>
      <c r="B2800" s="3"/>
      <c r="C2800" s="3"/>
      <c r="D2800" s="3"/>
      <c r="E2800" s="3"/>
      <c r="F2800" s="44"/>
      <c r="G2800" t="s">
        <v>6232</v>
      </c>
      <c r="I2800" t="s">
        <v>742</v>
      </c>
      <c r="J2800" t="s">
        <v>6232</v>
      </c>
      <c r="K2800" t="s">
        <v>5235</v>
      </c>
    </row>
    <row r="2801" spans="1:38" ht="18.399999999999999" customHeight="1">
      <c r="A2801" s="41" t="s">
        <v>410</v>
      </c>
      <c r="B2801" s="37"/>
      <c r="C2801" s="37"/>
      <c r="D2801" s="37"/>
      <c r="E2801" s="37"/>
      <c r="F2801" s="45"/>
      <c r="K2801" s="3" t="s">
        <v>430</v>
      </c>
    </row>
    <row r="2802" spans="1:38" ht="18.399999999999999" customHeight="1">
      <c r="A2802" s="41" t="s">
        <v>6232</v>
      </c>
      <c r="B2802" s="37"/>
      <c r="C2802" s="37"/>
      <c r="D2802" s="37"/>
      <c r="E2802" s="37"/>
      <c r="F2802" s="45"/>
      <c r="K2802" s="3" t="s">
        <v>6232</v>
      </c>
    </row>
    <row r="2803" spans="1:38" ht="18.399999999999999" customHeight="1">
      <c r="A2803" s="41" t="s">
        <v>2476</v>
      </c>
      <c r="B2803" s="37"/>
      <c r="C2803" s="37"/>
      <c r="D2803" s="37"/>
      <c r="E2803" s="37"/>
      <c r="F2803" s="45"/>
      <c r="K2803" s="3" t="s">
        <v>5810</v>
      </c>
    </row>
    <row r="2804" spans="1:38" ht="18.399999999999999" customHeight="1">
      <c r="A2804" s="41" t="s">
        <v>774</v>
      </c>
      <c r="B2804" s="37"/>
      <c r="C2804" s="37"/>
      <c r="D2804" s="37"/>
      <c r="E2804" s="37"/>
      <c r="F2804" s="45"/>
      <c r="K2804" s="3" t="s">
        <v>3563</v>
      </c>
    </row>
    <row r="2805" spans="1:38" ht="18.399999999999999" customHeight="1">
      <c r="A2805" s="41" t="s">
        <v>1642</v>
      </c>
      <c r="B2805" s="37"/>
      <c r="C2805" s="37"/>
      <c r="D2805" s="37"/>
      <c r="E2805" s="37"/>
      <c r="F2805" s="45"/>
      <c r="K2805" s="3" t="s">
        <v>2758</v>
      </c>
    </row>
    <row r="2806" spans="1:38" ht="18.399999999999999" customHeight="1">
      <c r="A2806" s="42" t="str">
        <f>CONCATENATE("          Q=",TEXT($AB2806,"#,##0.00"))</f>
        <v xml:space="preserve">          Q=1.15</v>
      </c>
      <c r="B2806" s="37"/>
      <c r="C2806" s="37"/>
      <c r="D2806" s="37"/>
      <c r="E2806" s="37"/>
      <c r="F2806" s="45"/>
      <c r="K2806" s="10" t="str">
        <f>SUBSTITUTE(SUBSTITUTE("          Q=1.15","1.15",TEXT($AB2806,"#,##0.00"),1),"_x001D_","'")</f>
        <v xml:space="preserve">          Q=1.15</v>
      </c>
      <c r="AA2806" s="39" t="s">
        <v>4337</v>
      </c>
      <c r="AB2806" s="6">
        <v>1.1499999999999999</v>
      </c>
      <c r="AC2806" s="39" t="s">
        <v>4337</v>
      </c>
      <c r="AD2806" s="7">
        <f>$AB2806</f>
        <v>1.1499999999999999</v>
      </c>
    </row>
    <row r="2807" spans="1:38" ht="18.399999999999999" customHeight="1">
      <c r="A2807" s="41" t="s">
        <v>6232</v>
      </c>
      <c r="B2807" s="37">
        <f>SUM($C2807,$D2807,$E2807)</f>
        <v>0</v>
      </c>
      <c r="C2807" s="37">
        <f>$AB2807</f>
        <v>0</v>
      </c>
      <c r="D2807" s="37">
        <f>$AF2807</f>
        <v>0</v>
      </c>
      <c r="E2807" s="37">
        <f>$AJ2807</f>
        <v>0</v>
      </c>
      <c r="F2807" s="45"/>
      <c r="K2807" s="3" t="s">
        <v>295</v>
      </c>
      <c r="AA2807" s="40" t="s">
        <v>2660</v>
      </c>
      <c r="AB2807" s="8">
        <f>ROUND(0,2)</f>
        <v>0</v>
      </c>
      <c r="AC2807" s="40" t="s">
        <v>1650</v>
      </c>
      <c r="AD2807" s="7">
        <f>$AB2807</f>
        <v>0</v>
      </c>
      <c r="AE2807" s="40" t="s">
        <v>5305</v>
      </c>
      <c r="AF2807" s="8">
        <f>ROUND(0,2)</f>
        <v>0</v>
      </c>
      <c r="AG2807" s="40" t="s">
        <v>5439</v>
      </c>
      <c r="AH2807" s="7">
        <f>$AF2807</f>
        <v>0</v>
      </c>
      <c r="AI2807" s="40" t="s">
        <v>3519</v>
      </c>
      <c r="AJ2807" s="8">
        <f>ROUND(0,2)</f>
        <v>0</v>
      </c>
      <c r="AK2807" s="40" t="s">
        <v>4149</v>
      </c>
      <c r="AL2807" s="7">
        <f>$AJ2807</f>
        <v>0</v>
      </c>
    </row>
    <row r="2808" spans="1:38" ht="18.399999999999999" customHeight="1">
      <c r="A2808" s="41" t="s">
        <v>4464</v>
      </c>
      <c r="B2808" s="37"/>
      <c r="C2808" s="37"/>
      <c r="D2808" s="37"/>
      <c r="E2808" s="37"/>
      <c r="F2808" s="45"/>
      <c r="K2808" s="3" t="s">
        <v>311</v>
      </c>
    </row>
    <row r="2809" spans="1:38" ht="18.399999999999999" customHeight="1">
      <c r="A2809" s="41" t="s">
        <v>6232</v>
      </c>
      <c r="B2809" s="37"/>
      <c r="C2809" s="37"/>
      <c r="D2809" s="37"/>
      <c r="E2809" s="37"/>
      <c r="F2809" s="45"/>
      <c r="K2809" s="3" t="s">
        <v>6232</v>
      </c>
    </row>
    <row r="2810" spans="1:38" ht="18.399999999999999" customHeight="1">
      <c r="A2810" s="42" t="str">
        <f>CONCATENATE("  1) POLYOL :  6.12  kg  * _x001D_4,500_x001D_ = ",TEXT($AB2810,"#,##0.0"))</f>
        <v xml:space="preserve">  1) POLYOL :  6.12  kg  * _x001D_4,500_x001D_ = 27,540.0</v>
      </c>
      <c r="B2810" s="37">
        <f>SUM($C2810,$D2810,$E2810)</f>
        <v>27540</v>
      </c>
      <c r="C2810" s="37">
        <f>$AB2810</f>
        <v>27540</v>
      </c>
      <c r="D2810" s="37"/>
      <c r="E2810" s="37"/>
      <c r="F2810" s="45" t="s">
        <v>6232</v>
      </c>
      <c r="K2810" s="3" t="s">
        <v>735</v>
      </c>
      <c r="AA2810" s="40" t="s">
        <v>2660</v>
      </c>
      <c r="AB2810" s="8">
        <f>TRUNC(6.12*자재조서!E46,1)</f>
        <v>27540</v>
      </c>
      <c r="AC2810" s="40" t="s">
        <v>1650</v>
      </c>
      <c r="AD2810" s="7">
        <f>$AD2807+$AB2810</f>
        <v>27540</v>
      </c>
    </row>
    <row r="2811" spans="1:38" ht="18.399999999999999" customHeight="1">
      <c r="A2811" s="41" t="s">
        <v>6232</v>
      </c>
      <c r="B2811" s="37"/>
      <c r="C2811" s="37"/>
      <c r="D2811" s="37"/>
      <c r="E2811" s="37"/>
      <c r="F2811" s="45"/>
      <c r="K2811" s="3" t="s">
        <v>6232</v>
      </c>
    </row>
    <row r="2812" spans="1:38" ht="18.399999999999999" customHeight="1">
      <c r="A2812" s="42" t="str">
        <f>CONCATENATE("  2) MDI :  8.64  kg  * _x001D_4,000_x001D_  = ",TEXT($AB2812,"#,##0.0"))</f>
        <v xml:space="preserve">  2) MDI :  8.64  kg  * _x001D_4,000_x001D_  = 34,560.0</v>
      </c>
      <c r="B2812" s="37">
        <f>SUM($C2812,$D2812,$E2812)</f>
        <v>34560</v>
      </c>
      <c r="C2812" s="37">
        <f>$AB2812</f>
        <v>34560</v>
      </c>
      <c r="D2812" s="37"/>
      <c r="E2812" s="37"/>
      <c r="F2812" s="45" t="s">
        <v>6232</v>
      </c>
      <c r="K2812" s="3" t="s">
        <v>2287</v>
      </c>
      <c r="AA2812" s="40" t="s">
        <v>2660</v>
      </c>
      <c r="AB2812" s="8">
        <f>TRUNC(8.64*자재조서!E47,1)</f>
        <v>34560</v>
      </c>
      <c r="AC2812" s="40" t="s">
        <v>1650</v>
      </c>
      <c r="AD2812" s="7">
        <f>$AD2810+$AB2812</f>
        <v>62100</v>
      </c>
    </row>
    <row r="2813" spans="1:38" ht="18.399999999999999" customHeight="1">
      <c r="A2813" s="41" t="s">
        <v>6232</v>
      </c>
      <c r="B2813" s="37"/>
      <c r="C2813" s="37"/>
      <c r="D2813" s="37"/>
      <c r="E2813" s="37"/>
      <c r="F2813" s="45"/>
      <c r="K2813" s="3" t="s">
        <v>6232</v>
      </c>
    </row>
    <row r="2814" spans="1:38" ht="18.399999999999999" customHeight="1">
      <c r="A2814" s="41" t="s">
        <v>337</v>
      </c>
      <c r="B2814" s="37"/>
      <c r="C2814" s="37"/>
      <c r="D2814" s="37"/>
      <c r="E2814" s="37"/>
      <c r="F2814" s="45"/>
      <c r="K2814" s="3" t="s">
        <v>3279</v>
      </c>
    </row>
    <row r="2815" spans="1:38" ht="18.399999999999999" customHeight="1">
      <c r="A2815" s="41" t="s">
        <v>6232</v>
      </c>
      <c r="B2815" s="37"/>
      <c r="C2815" s="37"/>
      <c r="D2815" s="37"/>
      <c r="E2815" s="37"/>
      <c r="F2815" s="45"/>
      <c r="K2815" s="3" t="s">
        <v>6232</v>
      </c>
    </row>
    <row r="2816" spans="1:38" ht="18.399999999999999" customHeight="1">
      <c r="A2816" s="42" t="str">
        <f>CONCATENATE("  4) PE 용접봉 :  1.31  kg  * _x001D_10,738_x001D_= ",TEXT($AB2816,"#,##0.0"))</f>
        <v xml:space="preserve">  4) PE 용접봉 :  1.31  kg  * _x001D_10,738_x001D_= 14,066.7</v>
      </c>
      <c r="B2816" s="37">
        <f>SUM($C2816,$D2816,$E2816)</f>
        <v>14066.7</v>
      </c>
      <c r="C2816" s="37">
        <f>$AB2816</f>
        <v>14066.7</v>
      </c>
      <c r="D2816" s="37"/>
      <c r="E2816" s="37"/>
      <c r="F2816" s="45" t="s">
        <v>6232</v>
      </c>
      <c r="K2816" s="3" t="s">
        <v>3423</v>
      </c>
      <c r="AA2816" s="40" t="s">
        <v>2660</v>
      </c>
      <c r="AB2816" s="8">
        <f>TRUNC(1.31*자재조서!E41,1)</f>
        <v>14066.7</v>
      </c>
      <c r="AC2816" s="40" t="s">
        <v>1650</v>
      </c>
      <c r="AD2816" s="7">
        <f>$AD2812+$AB2816</f>
        <v>76166.7</v>
      </c>
    </row>
    <row r="2817" spans="1:38" ht="18.399999999999999" customHeight="1">
      <c r="A2817" s="41" t="s">
        <v>6232</v>
      </c>
      <c r="B2817" s="37"/>
      <c r="C2817" s="37"/>
      <c r="D2817" s="37"/>
      <c r="E2817" s="37"/>
      <c r="F2817" s="45"/>
      <c r="K2817" s="3" t="s">
        <v>6232</v>
      </c>
    </row>
    <row r="2818" spans="1:38" ht="18.399999999999999" customHeight="1">
      <c r="A2818" s="42" t="str">
        <f>CONCATENATE("  5) HDPE 관 :  6.18  m  * _x001D_20,100_x001D_ = ",TEXT($AB2818,"#,##0.0"))</f>
        <v xml:space="preserve">  5) HDPE 관 :  6.18  m  * _x001D_20,100_x001D_ = 124,218.0</v>
      </c>
      <c r="B2818" s="37">
        <f>SUM($C2818,$D2818,$E2818)</f>
        <v>124218</v>
      </c>
      <c r="C2818" s="37">
        <f>$AB2818</f>
        <v>124218</v>
      </c>
      <c r="D2818" s="37"/>
      <c r="E2818" s="37"/>
      <c r="F2818" s="45" t="s">
        <v>6232</v>
      </c>
      <c r="K2818" s="3" t="s">
        <v>3337</v>
      </c>
      <c r="AA2818" s="40" t="s">
        <v>2660</v>
      </c>
      <c r="AB2818" s="8">
        <f>TRUNC(6.18*자재조서!E35,1)</f>
        <v>124218</v>
      </c>
      <c r="AC2818" s="40" t="s">
        <v>1650</v>
      </c>
      <c r="AD2818" s="7">
        <f>$AD2816+$AB2818</f>
        <v>200384.7</v>
      </c>
    </row>
    <row r="2819" spans="1:38" ht="18.399999999999999" customHeight="1">
      <c r="A2819" s="41" t="s">
        <v>6232</v>
      </c>
      <c r="B2819" s="37"/>
      <c r="C2819" s="37"/>
      <c r="D2819" s="37"/>
      <c r="E2819" s="37"/>
      <c r="F2819" s="45"/>
      <c r="K2819" s="3" t="s">
        <v>6232</v>
      </c>
    </row>
    <row r="2820" spans="1:38" ht="18.399999999999999" customHeight="1">
      <c r="A2820" s="42" t="str">
        <f>CONCATENATE("  6) 공장보온재 :  2.992  m  * _x001D_37,910_x001D_ = ",TEXT($AB2820,"#,##0.0"))</f>
        <v xml:space="preserve">  6) 공장보온재 :  2.992  m  * _x001D_37,910_x001D_ = 113,426.7</v>
      </c>
      <c r="B2820" s="37">
        <f>SUM($C2820,$D2820,$E2820)</f>
        <v>113426.7</v>
      </c>
      <c r="C2820" s="37">
        <f>$AB2820</f>
        <v>113426.7</v>
      </c>
      <c r="D2820" s="37"/>
      <c r="E2820" s="37"/>
      <c r="F2820" s="45" t="s">
        <v>6232</v>
      </c>
      <c r="K2820" s="3" t="s">
        <v>4486</v>
      </c>
      <c r="AA2820" s="40" t="s">
        <v>2660</v>
      </c>
      <c r="AB2820" s="8">
        <f>TRUNC(2.992*자재조서!E73,1)</f>
        <v>113426.7</v>
      </c>
      <c r="AC2820" s="40" t="s">
        <v>1650</v>
      </c>
      <c r="AD2820" s="7">
        <f>$AD2818+$AB2820</f>
        <v>313811.40000000002</v>
      </c>
    </row>
    <row r="2821" spans="1:38" ht="18.399999999999999" customHeight="1">
      <c r="A2821" s="41" t="s">
        <v>6232</v>
      </c>
      <c r="B2821" s="37"/>
      <c r="C2821" s="37"/>
      <c r="D2821" s="37"/>
      <c r="E2821" s="37"/>
      <c r="F2821" s="45"/>
      <c r="K2821" s="3" t="s">
        <v>6232</v>
      </c>
    </row>
    <row r="2822" spans="1:38" ht="18.399999999999999" customHeight="1">
      <c r="A2822" s="42" t="str">
        <f>CONCATENATE("  7) 석동선 :  14.40  m  * _x001D_16.5_x001D_ = ",TEXT($AB2822,"#,##0.0"))</f>
        <v xml:space="preserve">  7) 석동선 :  14.40  m  * _x001D_16.5_x001D_ = 237.6</v>
      </c>
      <c r="B2822" s="37">
        <f>SUM($C2822,$D2822,$E2822)</f>
        <v>237.6</v>
      </c>
      <c r="C2822" s="37">
        <f>$AB2822</f>
        <v>237.6</v>
      </c>
      <c r="D2822" s="37"/>
      <c r="E2822" s="37"/>
      <c r="F2822" s="45" t="s">
        <v>6232</v>
      </c>
      <c r="K2822" s="3" t="s">
        <v>2278</v>
      </c>
      <c r="AA2822" s="40" t="s">
        <v>2660</v>
      </c>
      <c r="AB2822" s="8">
        <f>TRUNC(14.4*자재조서!E85,1)</f>
        <v>237.6</v>
      </c>
      <c r="AC2822" s="40" t="s">
        <v>1650</v>
      </c>
      <c r="AD2822" s="7">
        <f>$AD2820+$AB2822</f>
        <v>314049</v>
      </c>
    </row>
    <row r="2823" spans="1:38" ht="18.399999999999999" customHeight="1">
      <c r="A2823" s="41" t="s">
        <v>6232</v>
      </c>
      <c r="B2823" s="37"/>
      <c r="C2823" s="37"/>
      <c r="D2823" s="37"/>
      <c r="E2823" s="37"/>
      <c r="F2823" s="45"/>
      <c r="K2823" s="3" t="s">
        <v>6232</v>
      </c>
    </row>
    <row r="2824" spans="1:38" ht="18.399999999999999" customHeight="1">
      <c r="A2824" s="41" t="s">
        <v>4035</v>
      </c>
      <c r="B2824" s="37">
        <f>SUM($C2824,$D2824,$E2824)</f>
        <v>314049</v>
      </c>
      <c r="C2824" s="37">
        <f>$AB2824</f>
        <v>314049</v>
      </c>
      <c r="D2824" s="37">
        <f>$AF2824</f>
        <v>0</v>
      </c>
      <c r="E2824" s="37">
        <f>$AJ2824</f>
        <v>0</v>
      </c>
      <c r="F2824" s="45"/>
      <c r="K2824" s="3" t="s">
        <v>6125</v>
      </c>
      <c r="AA2824" s="40" t="s">
        <v>4592</v>
      </c>
      <c r="AB2824" s="8">
        <f>TRUNC($AD2822,1)</f>
        <v>314049</v>
      </c>
      <c r="AC2824" s="40" t="s">
        <v>5149</v>
      </c>
      <c r="AD2824" s="7">
        <f>$AB2824</f>
        <v>314049</v>
      </c>
      <c r="AE2824" s="40" t="s">
        <v>666</v>
      </c>
      <c r="AF2824" s="8">
        <f>TRUNC($AH2807,1)</f>
        <v>0</v>
      </c>
      <c r="AG2824" s="40" t="s">
        <v>2431</v>
      </c>
      <c r="AH2824" s="7">
        <f>$AF2824</f>
        <v>0</v>
      </c>
      <c r="AI2824" s="40" t="s">
        <v>1930</v>
      </c>
      <c r="AJ2824" s="8">
        <f>TRUNC($AL2807,1)</f>
        <v>0</v>
      </c>
      <c r="AK2824" s="40" t="s">
        <v>3349</v>
      </c>
      <c r="AL2824" s="7">
        <f>$AJ2824</f>
        <v>0</v>
      </c>
    </row>
    <row r="2825" spans="1:38" ht="18.399999999999999" customHeight="1">
      <c r="A2825" s="41" t="s">
        <v>6232</v>
      </c>
      <c r="B2825" s="37">
        <f>SUM($C2825,$D2825,$E2825)</f>
        <v>0</v>
      </c>
      <c r="C2825" s="37">
        <f>$AB2825</f>
        <v>0</v>
      </c>
      <c r="D2825" s="37">
        <f>$AF2825</f>
        <v>0</v>
      </c>
      <c r="E2825" s="37">
        <f>$AJ2825</f>
        <v>0</v>
      </c>
      <c r="F2825" s="45"/>
      <c r="K2825" s="3" t="s">
        <v>5506</v>
      </c>
      <c r="AA2825" s="40" t="s">
        <v>4586</v>
      </c>
      <c r="AB2825" s="8">
        <f>ROUND(0,2)</f>
        <v>0</v>
      </c>
      <c r="AC2825" s="40" t="s">
        <v>4161</v>
      </c>
      <c r="AD2825" s="7">
        <f>$AB2825</f>
        <v>0</v>
      </c>
      <c r="AE2825" s="40" t="s">
        <v>222</v>
      </c>
      <c r="AF2825" s="8">
        <f>ROUND(0,2)</f>
        <v>0</v>
      </c>
      <c r="AG2825" s="40" t="s">
        <v>334</v>
      </c>
      <c r="AH2825" s="7">
        <f>$AF2825</f>
        <v>0</v>
      </c>
      <c r="AI2825" s="40" t="s">
        <v>1574</v>
      </c>
      <c r="AJ2825" s="8">
        <f>ROUND(0,2)</f>
        <v>0</v>
      </c>
      <c r="AK2825" s="40" t="s">
        <v>1622</v>
      </c>
      <c r="AL2825" s="7">
        <f>$AJ2825</f>
        <v>0</v>
      </c>
    </row>
    <row r="2826" spans="1:38" ht="18.399999999999999" customHeight="1">
      <c r="A2826" s="41" t="s">
        <v>231</v>
      </c>
      <c r="B2826" s="37"/>
      <c r="C2826" s="37"/>
      <c r="D2826" s="37"/>
      <c r="E2826" s="37"/>
      <c r="F2826" s="45"/>
      <c r="K2826" s="3" t="s">
        <v>268</v>
      </c>
    </row>
    <row r="2827" spans="1:38" ht="18.399999999999999" customHeight="1">
      <c r="A2827" s="41" t="s">
        <v>6232</v>
      </c>
      <c r="B2827" s="37"/>
      <c r="C2827" s="37"/>
      <c r="D2827" s="37"/>
      <c r="E2827" s="37"/>
      <c r="F2827" s="45"/>
      <c r="K2827" s="3" t="s">
        <v>6232</v>
      </c>
    </row>
    <row r="2828" spans="1:38" ht="18.399999999999999" customHeight="1">
      <c r="A2828" s="41" t="s">
        <v>5533</v>
      </c>
      <c r="B2828" s="37"/>
      <c r="C2828" s="37"/>
      <c r="D2828" s="37"/>
      <c r="E2828" s="37"/>
      <c r="F2828" s="45"/>
      <c r="K2828" s="3" t="s">
        <v>3259</v>
      </c>
    </row>
    <row r="2829" spans="1:38" ht="18.399999999999999" customHeight="1">
      <c r="A2829" s="42" t="str">
        <f>CONCATENATE("    2.549  인  * Q * _x001D_213,722_x001D_ = ",TEXT($AB2829,"#,##0.0"))</f>
        <v xml:space="preserve">    2.549  인  * Q * _x001D_213,722_x001D_ = 636,138.1</v>
      </c>
      <c r="B2829" s="37">
        <f>SUM($C2829,$D2829,$E2829)</f>
        <v>636138.1</v>
      </c>
      <c r="C2829" s="37"/>
      <c r="D2829" s="37">
        <f>$AB2829</f>
        <v>636138.1</v>
      </c>
      <c r="E2829" s="37"/>
      <c r="F2829" s="45" t="s">
        <v>6232</v>
      </c>
      <c r="K2829" s="3" t="s">
        <v>4779</v>
      </c>
      <c r="AA2829" s="40" t="s">
        <v>222</v>
      </c>
      <c r="AB2829" s="8">
        <f>TRUNC(2.549*$AD2806*노임!D10,1)</f>
        <v>636138.1</v>
      </c>
      <c r="AC2829" s="40" t="s">
        <v>334</v>
      </c>
      <c r="AD2829" s="7">
        <f>$AH2825+$AB2829</f>
        <v>636138.1</v>
      </c>
    </row>
    <row r="2830" spans="1:38" ht="18.399999999999999" customHeight="1">
      <c r="A2830" s="41" t="s">
        <v>6232</v>
      </c>
      <c r="B2830" s="37"/>
      <c r="C2830" s="37"/>
      <c r="D2830" s="37"/>
      <c r="E2830" s="37"/>
      <c r="F2830" s="45"/>
      <c r="K2830" s="3" t="s">
        <v>6232</v>
      </c>
    </row>
    <row r="2831" spans="1:38" ht="18.399999999999999" customHeight="1">
      <c r="A2831" s="41" t="s">
        <v>585</v>
      </c>
      <c r="B2831" s="37"/>
      <c r="C2831" s="37"/>
      <c r="D2831" s="37"/>
      <c r="E2831" s="37"/>
      <c r="F2831" s="45"/>
      <c r="K2831" s="3" t="s">
        <v>5657</v>
      </c>
    </row>
    <row r="2832" spans="1:38" ht="18.399999999999999" customHeight="1">
      <c r="A2832" s="42" t="str">
        <f>CONCATENATE("    1.009  인  * Q * _x001D_201,482_x001D_ = ",TEXT($AB2832,"#,##0.0"))</f>
        <v xml:space="preserve">    1.009  인  * Q * _x001D_201,482_x001D_ = 234,938.3</v>
      </c>
      <c r="B2832" s="37">
        <f>SUM($C2832,$D2832,$E2832)</f>
        <v>234938.3</v>
      </c>
      <c r="C2832" s="37"/>
      <c r="D2832" s="37">
        <f>$AB2832</f>
        <v>234938.3</v>
      </c>
      <c r="E2832" s="37"/>
      <c r="F2832" s="45" t="s">
        <v>6232</v>
      </c>
      <c r="K2832" s="3" t="s">
        <v>1928</v>
      </c>
      <c r="AA2832" s="40" t="s">
        <v>222</v>
      </c>
      <c r="AB2832" s="8">
        <f>TRUNC(1.009*$AD2806*노임!D9,1)</f>
        <v>234938.3</v>
      </c>
      <c r="AC2832" s="40" t="s">
        <v>334</v>
      </c>
      <c r="AD2832" s="7">
        <f>$AD2829+$AB2832</f>
        <v>871076.39999999991</v>
      </c>
    </row>
    <row r="2833" spans="1:38" ht="18.399999999999999" customHeight="1">
      <c r="A2833" s="41" t="s">
        <v>6232</v>
      </c>
      <c r="B2833" s="37"/>
      <c r="C2833" s="37"/>
      <c r="D2833" s="37"/>
      <c r="E2833" s="37"/>
      <c r="F2833" s="45"/>
      <c r="K2833" s="3" t="s">
        <v>6232</v>
      </c>
    </row>
    <row r="2834" spans="1:38" ht="18.399999999999999" customHeight="1">
      <c r="A2834" s="41" t="s">
        <v>3917</v>
      </c>
      <c r="B2834" s="37"/>
      <c r="C2834" s="37"/>
      <c r="D2834" s="37"/>
      <c r="E2834" s="37"/>
      <c r="F2834" s="45"/>
      <c r="K2834" s="3" t="s">
        <v>4355</v>
      </c>
    </row>
    <row r="2835" spans="1:38" ht="18.399999999999999" customHeight="1">
      <c r="A2835" s="42" t="str">
        <f>CONCATENATE("    0.313  인  * Q * _x001D_221,506_x001D_ = ",TEXT($AB2835,"#,##0.0"))</f>
        <v xml:space="preserve">    0.313  인  * Q * _x001D_221,506_x001D_ = 81,392.6</v>
      </c>
      <c r="B2835" s="37">
        <f>SUM($C2835,$D2835,$E2835)</f>
        <v>81392.600000000006</v>
      </c>
      <c r="C2835" s="37"/>
      <c r="D2835" s="37">
        <f>$AB2835</f>
        <v>81392.600000000006</v>
      </c>
      <c r="E2835" s="37"/>
      <c r="F2835" s="45" t="s">
        <v>6232</v>
      </c>
      <c r="K2835" s="3" t="s">
        <v>5019</v>
      </c>
      <c r="AA2835" s="40" t="s">
        <v>222</v>
      </c>
      <c r="AB2835" s="8">
        <f>TRUNC(0.313*$AD2806*노임!D4,1)</f>
        <v>81392.600000000006</v>
      </c>
      <c r="AC2835" s="40" t="s">
        <v>334</v>
      </c>
      <c r="AD2835" s="7">
        <f>$AD2832+$AB2835</f>
        <v>952468.99999999988</v>
      </c>
    </row>
    <row r="2836" spans="1:38" ht="18.399999999999999" customHeight="1">
      <c r="A2836" s="41" t="s">
        <v>6232</v>
      </c>
      <c r="B2836" s="37"/>
      <c r="C2836" s="37"/>
      <c r="D2836" s="37"/>
      <c r="E2836" s="37"/>
      <c r="F2836" s="45"/>
      <c r="K2836" s="3" t="s">
        <v>6232</v>
      </c>
    </row>
    <row r="2837" spans="1:38" ht="18.399999999999999" customHeight="1">
      <c r="A2837" s="41" t="s">
        <v>4277</v>
      </c>
      <c r="B2837" s="37"/>
      <c r="C2837" s="37"/>
      <c r="D2837" s="37"/>
      <c r="E2837" s="37"/>
      <c r="F2837" s="45"/>
      <c r="K2837" s="3" t="s">
        <v>4663</v>
      </c>
    </row>
    <row r="2838" spans="1:38" ht="18.399999999999999" customHeight="1">
      <c r="A2838" s="42" t="str">
        <f>CONCATENATE("    1.228  인  * Q * _x001D_169,804_x001D_ = ",TEXT($AB2838,"#,##0.0"))</f>
        <v xml:space="preserve">    1.228  인  * Q * _x001D_169,804_x001D_ = 242,994.4</v>
      </c>
      <c r="B2838" s="37">
        <f>SUM($C2838,$D2838,$E2838)</f>
        <v>242994.4</v>
      </c>
      <c r="C2838" s="37"/>
      <c r="D2838" s="37">
        <f>$AB2838</f>
        <v>242994.4</v>
      </c>
      <c r="E2838" s="37"/>
      <c r="F2838" s="45" t="s">
        <v>6232</v>
      </c>
      <c r="K2838" s="3" t="s">
        <v>182</v>
      </c>
      <c r="AA2838" s="40" t="s">
        <v>222</v>
      </c>
      <c r="AB2838" s="8">
        <f>TRUNC(1.228*$AD2806*노임!D3,1)</f>
        <v>242994.4</v>
      </c>
      <c r="AC2838" s="40" t="s">
        <v>334</v>
      </c>
      <c r="AD2838" s="7">
        <f>$AD2835+$AB2838</f>
        <v>1195463.3999999999</v>
      </c>
    </row>
    <row r="2839" spans="1:38" ht="18.399999999999999" customHeight="1">
      <c r="A2839" s="41" t="s">
        <v>6232</v>
      </c>
      <c r="B2839" s="37"/>
      <c r="C2839" s="37"/>
      <c r="D2839" s="37"/>
      <c r="E2839" s="37"/>
      <c r="F2839" s="45"/>
      <c r="K2839" s="3" t="s">
        <v>6232</v>
      </c>
    </row>
    <row r="2840" spans="1:38" ht="18.399999999999999" customHeight="1">
      <c r="A2840" s="41" t="s">
        <v>4035</v>
      </c>
      <c r="B2840" s="37">
        <f>SUM($C2840,$D2840,$E2840)</f>
        <v>1195463.3999999999</v>
      </c>
      <c r="C2840" s="37">
        <f>$AB2840</f>
        <v>0</v>
      </c>
      <c r="D2840" s="37">
        <f>$AF2840</f>
        <v>1195463.3999999999</v>
      </c>
      <c r="E2840" s="37">
        <f>$AJ2840</f>
        <v>0</v>
      </c>
      <c r="F2840" s="45"/>
      <c r="K2840" s="3" t="s">
        <v>134</v>
      </c>
      <c r="AA2840" s="40" t="s">
        <v>4592</v>
      </c>
      <c r="AB2840" s="8">
        <f>TRUNC($AD2825,1)</f>
        <v>0</v>
      </c>
      <c r="AC2840" s="40" t="s">
        <v>5149</v>
      </c>
      <c r="AD2840" s="7">
        <f>$AD2824+$AB2840</f>
        <v>314049</v>
      </c>
      <c r="AE2840" s="40" t="s">
        <v>666</v>
      </c>
      <c r="AF2840" s="8">
        <f>TRUNC($AD2838,1)</f>
        <v>1195463.3999999999</v>
      </c>
      <c r="AG2840" s="40" t="s">
        <v>2431</v>
      </c>
      <c r="AH2840" s="7">
        <f>$AH2824+$AF2840</f>
        <v>1195463.3999999999</v>
      </c>
      <c r="AI2840" s="40" t="s">
        <v>1930</v>
      </c>
      <c r="AJ2840" s="8">
        <f>TRUNC($AL2825,1)</f>
        <v>0</v>
      </c>
      <c r="AK2840" s="40" t="s">
        <v>3349</v>
      </c>
      <c r="AL2840" s="7">
        <f>$AL2824+$AJ2840</f>
        <v>0</v>
      </c>
    </row>
    <row r="2841" spans="1:38" ht="18.399999999999999" customHeight="1">
      <c r="A2841" s="41" t="s">
        <v>6232</v>
      </c>
      <c r="B2841" s="37">
        <f>SUM($C2841,$D2841,$E2841)</f>
        <v>0</v>
      </c>
      <c r="C2841" s="37">
        <f>$AB2841</f>
        <v>0</v>
      </c>
      <c r="D2841" s="37">
        <f>$AF2841</f>
        <v>0</v>
      </c>
      <c r="E2841" s="37">
        <f>$AJ2841</f>
        <v>0</v>
      </c>
      <c r="F2841" s="45"/>
      <c r="K2841" s="3" t="s">
        <v>3238</v>
      </c>
      <c r="AA2841" s="40" t="s">
        <v>308</v>
      </c>
      <c r="AB2841" s="8">
        <f>ROUND(0,2)</f>
        <v>0</v>
      </c>
      <c r="AC2841" s="40" t="s">
        <v>5000</v>
      </c>
      <c r="AD2841" s="7">
        <f>$AB2841</f>
        <v>0</v>
      </c>
      <c r="AE2841" s="40" t="s">
        <v>4500</v>
      </c>
      <c r="AF2841" s="8">
        <f>ROUND(0,2)</f>
        <v>0</v>
      </c>
      <c r="AG2841" s="40" t="s">
        <v>2603</v>
      </c>
      <c r="AH2841" s="7">
        <f>$AF2841</f>
        <v>0</v>
      </c>
      <c r="AI2841" s="40" t="s">
        <v>5878</v>
      </c>
      <c r="AJ2841" s="8">
        <f>ROUND(0,2)</f>
        <v>0</v>
      </c>
      <c r="AK2841" s="40" t="s">
        <v>787</v>
      </c>
      <c r="AL2841" s="7">
        <f>$AJ2841</f>
        <v>0</v>
      </c>
    </row>
    <row r="2842" spans="1:38" ht="18.399999999999999" customHeight="1">
      <c r="A2842" s="41" t="s">
        <v>760</v>
      </c>
      <c r="B2842" s="37"/>
      <c r="C2842" s="37"/>
      <c r="D2842" s="37"/>
      <c r="E2842" s="37"/>
      <c r="F2842" s="45"/>
      <c r="K2842" s="3" t="s">
        <v>5465</v>
      </c>
    </row>
    <row r="2843" spans="1:38" ht="18.399999999999999" customHeight="1">
      <c r="A2843" s="41" t="s">
        <v>6232</v>
      </c>
      <c r="B2843" s="37"/>
      <c r="C2843" s="37"/>
      <c r="D2843" s="37"/>
      <c r="E2843" s="37"/>
      <c r="F2843" s="45"/>
      <c r="K2843" s="3" t="s">
        <v>6232</v>
      </c>
    </row>
    <row r="2844" spans="1:38" ht="18.399999999999999" customHeight="1">
      <c r="A2844" s="42" t="str">
        <f>CONCATENATE("    LA2 / Q * 0.02 = ",TEXT($AB2844,"#,##0.0"))</f>
        <v xml:space="preserve">    LA2 / Q * 0.02 = 20,790.6</v>
      </c>
      <c r="B2844" s="37">
        <f>SUM($C2844,$D2844,$E2844)</f>
        <v>20790.599999999999</v>
      </c>
      <c r="C2844" s="37"/>
      <c r="D2844" s="37"/>
      <c r="E2844" s="37">
        <f>$AB2844</f>
        <v>20790.599999999999</v>
      </c>
      <c r="F2844" s="45"/>
      <c r="K2844" s="3" t="s">
        <v>4829</v>
      </c>
      <c r="AA2844" s="40" t="s">
        <v>5878</v>
      </c>
      <c r="AB2844" s="8">
        <f>TRUNC($AD2838/$AD2806*0.02,1)</f>
        <v>20790.599999999999</v>
      </c>
      <c r="AC2844" s="40" t="s">
        <v>787</v>
      </c>
      <c r="AD2844" s="7">
        <f>$AL2841+$AB2844</f>
        <v>20790.599999999999</v>
      </c>
    </row>
    <row r="2845" spans="1:38" ht="18.399999999999999" customHeight="1">
      <c r="A2845" s="41" t="s">
        <v>6232</v>
      </c>
      <c r="B2845" s="37"/>
      <c r="C2845" s="37"/>
      <c r="D2845" s="37"/>
      <c r="E2845" s="37"/>
      <c r="F2845" s="45"/>
      <c r="K2845" s="3" t="s">
        <v>6232</v>
      </c>
    </row>
    <row r="2846" spans="1:38" ht="18.399999999999999" customHeight="1">
      <c r="A2846" s="41" t="s">
        <v>4035</v>
      </c>
      <c r="B2846" s="37">
        <f>SUM($C2846,$D2846,$E2846)</f>
        <v>20790.599999999999</v>
      </c>
      <c r="C2846" s="37">
        <f>$AB2846</f>
        <v>0</v>
      </c>
      <c r="D2846" s="37">
        <f>$AF2846</f>
        <v>0</v>
      </c>
      <c r="E2846" s="37">
        <f>$AJ2846</f>
        <v>20790.599999999999</v>
      </c>
      <c r="F2846" s="45"/>
      <c r="K2846" s="3" t="s">
        <v>4813</v>
      </c>
      <c r="AA2846" s="40" t="s">
        <v>4592</v>
      </c>
      <c r="AB2846" s="8">
        <f>TRUNC($AD2841,1)</f>
        <v>0</v>
      </c>
      <c r="AC2846" s="40" t="s">
        <v>5149</v>
      </c>
      <c r="AD2846" s="7">
        <f>$AD2840+$AB2846</f>
        <v>314049</v>
      </c>
      <c r="AE2846" s="40" t="s">
        <v>666</v>
      </c>
      <c r="AF2846" s="8">
        <f>TRUNC($AH2841,1)</f>
        <v>0</v>
      </c>
      <c r="AG2846" s="40" t="s">
        <v>2431</v>
      </c>
      <c r="AH2846" s="7">
        <f>$AH2840+$AF2846</f>
        <v>1195463.3999999999</v>
      </c>
      <c r="AI2846" s="40" t="s">
        <v>1930</v>
      </c>
      <c r="AJ2846" s="8">
        <f>TRUNC($AD2844,1)</f>
        <v>20790.599999999999</v>
      </c>
      <c r="AK2846" s="40" t="s">
        <v>3349</v>
      </c>
      <c r="AL2846" s="7">
        <f>$AL2840+$AJ2846</f>
        <v>20790.599999999999</v>
      </c>
    </row>
    <row r="2847" spans="1:38" ht="18.399999999999999" customHeight="1">
      <c r="A2847" s="41" t="s">
        <v>6232</v>
      </c>
      <c r="B2847" s="37"/>
      <c r="C2847" s="37"/>
      <c r="D2847" s="37"/>
      <c r="E2847" s="37"/>
      <c r="F2847" s="45"/>
      <c r="K2847" s="3" t="s">
        <v>6232</v>
      </c>
    </row>
    <row r="2848" spans="1:38" ht="18.399999999999999" customHeight="1">
      <c r="A2848" s="41" t="s">
        <v>4002</v>
      </c>
      <c r="B2848" s="37">
        <v>1514379.0999999999</v>
      </c>
      <c r="C2848" s="37">
        <v>314049</v>
      </c>
      <c r="D2848" s="37">
        <v>1179811.7</v>
      </c>
      <c r="E2848" s="37">
        <v>20518.400000000001</v>
      </c>
      <c r="F2848" s="45"/>
      <c r="K2848" s="3" t="s">
        <v>916</v>
      </c>
    </row>
    <row r="2849" spans="1:38" ht="18.399999999999999" customHeight="1">
      <c r="A2849" s="41"/>
      <c r="B2849" s="3"/>
      <c r="C2849" s="3"/>
      <c r="D2849" s="3"/>
      <c r="E2849" s="3"/>
      <c r="F2849" s="44"/>
    </row>
    <row r="2850" spans="1:38" ht="18.399999999999999" customHeight="1">
      <c r="A2850" s="43" t="s">
        <v>3543</v>
      </c>
      <c r="B2850" s="38">
        <f>SUM($C2850,$D2850,$E2850)</f>
        <v>1530302</v>
      </c>
      <c r="C2850" s="38">
        <f>TRUNC(SUM($AD2846),0)</f>
        <v>314049</v>
      </c>
      <c r="D2850" s="38">
        <f>TRUNC(SUM($AH2846),0)</f>
        <v>1195463</v>
      </c>
      <c r="E2850" s="38">
        <f>TRUNC(SUM($AL2846),0)</f>
        <v>20790</v>
      </c>
      <c r="F2850" s="46"/>
    </row>
    <row r="2851" spans="1:38" ht="18.399999999999999" customHeight="1">
      <c r="A2851" s="41"/>
      <c r="B2851" s="3"/>
      <c r="C2851" s="3"/>
      <c r="D2851" s="3"/>
      <c r="E2851" s="3"/>
      <c r="F2851" s="44"/>
    </row>
    <row r="2852" spans="1:38" ht="18.399999999999999" customHeight="1">
      <c r="A2852" s="41" t="s">
        <v>3851</v>
      </c>
      <c r="B2852" s="36">
        <f>$B2904</f>
        <v>2060653</v>
      </c>
      <c r="C2852" s="36">
        <f>$C2904</f>
        <v>467086</v>
      </c>
      <c r="D2852" s="36">
        <f>$D2904</f>
        <v>1566327</v>
      </c>
      <c r="E2852" s="36">
        <f>$E2904</f>
        <v>27240</v>
      </c>
      <c r="F2852" s="44" t="s">
        <v>4819</v>
      </c>
      <c r="G2852" t="s">
        <v>6232</v>
      </c>
      <c r="H2852" t="s">
        <v>5092</v>
      </c>
      <c r="K2852">
        <v>1</v>
      </c>
      <c r="Y2852" s="7" t="b">
        <f>EXACT($Z2852,$B2904)</f>
        <v>0</v>
      </c>
      <c r="Z2852" s="38">
        <v>2039805</v>
      </c>
    </row>
    <row r="2853" spans="1:38" ht="18.399999999999999" customHeight="1">
      <c r="A2853" s="41"/>
      <c r="B2853" s="3"/>
      <c r="C2853" s="3"/>
      <c r="D2853" s="3"/>
      <c r="E2853" s="3"/>
      <c r="F2853" s="44"/>
    </row>
    <row r="2854" spans="1:38" ht="18.399999999999999" customHeight="1">
      <c r="A2854" s="41" t="s">
        <v>6232</v>
      </c>
      <c r="B2854" s="3"/>
      <c r="C2854" s="3"/>
      <c r="D2854" s="3"/>
      <c r="E2854" s="3"/>
      <c r="F2854" s="44"/>
      <c r="G2854" t="s">
        <v>6232</v>
      </c>
      <c r="I2854" t="s">
        <v>742</v>
      </c>
      <c r="J2854" t="s">
        <v>6232</v>
      </c>
      <c r="K2854" t="s">
        <v>5235</v>
      </c>
    </row>
    <row r="2855" spans="1:38" ht="18.399999999999999" customHeight="1">
      <c r="A2855" s="41" t="s">
        <v>176</v>
      </c>
      <c r="B2855" s="37"/>
      <c r="C2855" s="37"/>
      <c r="D2855" s="37"/>
      <c r="E2855" s="37"/>
      <c r="F2855" s="45"/>
      <c r="K2855" s="3" t="s">
        <v>5985</v>
      </c>
    </row>
    <row r="2856" spans="1:38" ht="18.399999999999999" customHeight="1">
      <c r="A2856" s="41" t="s">
        <v>6232</v>
      </c>
      <c r="B2856" s="37"/>
      <c r="C2856" s="37"/>
      <c r="D2856" s="37"/>
      <c r="E2856" s="37"/>
      <c r="F2856" s="45"/>
      <c r="K2856" s="3" t="s">
        <v>6232</v>
      </c>
    </row>
    <row r="2857" spans="1:38" ht="18.399999999999999" customHeight="1">
      <c r="A2857" s="41" t="s">
        <v>2476</v>
      </c>
      <c r="B2857" s="37"/>
      <c r="C2857" s="37"/>
      <c r="D2857" s="37"/>
      <c r="E2857" s="37"/>
      <c r="F2857" s="45"/>
      <c r="K2857" s="3" t="s">
        <v>5810</v>
      </c>
    </row>
    <row r="2858" spans="1:38" ht="18.399999999999999" customHeight="1">
      <c r="A2858" s="41" t="s">
        <v>774</v>
      </c>
      <c r="B2858" s="37"/>
      <c r="C2858" s="37"/>
      <c r="D2858" s="37"/>
      <c r="E2858" s="37"/>
      <c r="F2858" s="45"/>
      <c r="K2858" s="3" t="s">
        <v>3563</v>
      </c>
    </row>
    <row r="2859" spans="1:38" ht="18.399999999999999" customHeight="1">
      <c r="A2859" s="41" t="s">
        <v>1642</v>
      </c>
      <c r="B2859" s="37"/>
      <c r="C2859" s="37"/>
      <c r="D2859" s="37"/>
      <c r="E2859" s="37"/>
      <c r="F2859" s="45"/>
      <c r="K2859" s="3" t="s">
        <v>2758</v>
      </c>
    </row>
    <row r="2860" spans="1:38" ht="18.399999999999999" customHeight="1">
      <c r="A2860" s="42" t="str">
        <f>CONCATENATE("          Q=",TEXT($AB2860,"#,##0.00"))</f>
        <v xml:space="preserve">          Q=1.15</v>
      </c>
      <c r="B2860" s="37"/>
      <c r="C2860" s="37"/>
      <c r="D2860" s="37"/>
      <c r="E2860" s="37"/>
      <c r="F2860" s="45"/>
      <c r="K2860" s="10" t="str">
        <f>SUBSTITUTE(SUBSTITUTE("          Q=1.15","1.15",TEXT($AB2860,"#,##0.00"),1),"_x001D_","'")</f>
        <v xml:space="preserve">          Q=1.15</v>
      </c>
      <c r="AA2860" s="39" t="s">
        <v>4337</v>
      </c>
      <c r="AB2860" s="6">
        <v>1.1499999999999999</v>
      </c>
      <c r="AC2860" s="39" t="s">
        <v>4337</v>
      </c>
      <c r="AD2860" s="7">
        <f>$AB2860</f>
        <v>1.1499999999999999</v>
      </c>
    </row>
    <row r="2861" spans="1:38" ht="18.399999999999999" customHeight="1">
      <c r="A2861" s="41" t="s">
        <v>6232</v>
      </c>
      <c r="B2861" s="37">
        <f>SUM($C2861,$D2861,$E2861)</f>
        <v>0</v>
      </c>
      <c r="C2861" s="37">
        <f>$AB2861</f>
        <v>0</v>
      </c>
      <c r="D2861" s="37">
        <f>$AF2861</f>
        <v>0</v>
      </c>
      <c r="E2861" s="37">
        <f>$AJ2861</f>
        <v>0</v>
      </c>
      <c r="F2861" s="45"/>
      <c r="K2861" s="3" t="s">
        <v>295</v>
      </c>
      <c r="AA2861" s="40" t="s">
        <v>2660</v>
      </c>
      <c r="AB2861" s="8">
        <f>ROUND(0,2)</f>
        <v>0</v>
      </c>
      <c r="AC2861" s="40" t="s">
        <v>1650</v>
      </c>
      <c r="AD2861" s="7">
        <f>$AB2861</f>
        <v>0</v>
      </c>
      <c r="AE2861" s="40" t="s">
        <v>5305</v>
      </c>
      <c r="AF2861" s="8">
        <f>ROUND(0,2)</f>
        <v>0</v>
      </c>
      <c r="AG2861" s="40" t="s">
        <v>5439</v>
      </c>
      <c r="AH2861" s="7">
        <f>$AF2861</f>
        <v>0</v>
      </c>
      <c r="AI2861" s="40" t="s">
        <v>3519</v>
      </c>
      <c r="AJ2861" s="8">
        <f>ROUND(0,2)</f>
        <v>0</v>
      </c>
      <c r="AK2861" s="40" t="s">
        <v>4149</v>
      </c>
      <c r="AL2861" s="7">
        <f>$AJ2861</f>
        <v>0</v>
      </c>
    </row>
    <row r="2862" spans="1:38" ht="18.399999999999999" customHeight="1">
      <c r="A2862" s="41" t="s">
        <v>4464</v>
      </c>
      <c r="B2862" s="37"/>
      <c r="C2862" s="37"/>
      <c r="D2862" s="37"/>
      <c r="E2862" s="37"/>
      <c r="F2862" s="45"/>
      <c r="K2862" s="3" t="s">
        <v>311</v>
      </c>
    </row>
    <row r="2863" spans="1:38" ht="18.399999999999999" customHeight="1">
      <c r="A2863" s="41" t="s">
        <v>6232</v>
      </c>
      <c r="B2863" s="37"/>
      <c r="C2863" s="37"/>
      <c r="D2863" s="37"/>
      <c r="E2863" s="37"/>
      <c r="F2863" s="45"/>
      <c r="K2863" s="3" t="s">
        <v>6232</v>
      </c>
    </row>
    <row r="2864" spans="1:38" ht="18.399999999999999" customHeight="1">
      <c r="A2864" s="42" t="str">
        <f>CONCATENATE("  1) POLYOL :  10.44  kg  * _x001D_4,500_x001D_ = ",TEXT($AB2864,"#,##0.0"))</f>
        <v xml:space="preserve">  1) POLYOL :  10.44  kg  * _x001D_4,500_x001D_ = 46,980.0</v>
      </c>
      <c r="B2864" s="37">
        <f>SUM($C2864,$D2864,$E2864)</f>
        <v>46980</v>
      </c>
      <c r="C2864" s="37">
        <f>$AB2864</f>
        <v>46980</v>
      </c>
      <c r="D2864" s="37"/>
      <c r="E2864" s="37"/>
      <c r="F2864" s="45" t="s">
        <v>6232</v>
      </c>
      <c r="K2864" s="3" t="s">
        <v>4606</v>
      </c>
      <c r="AA2864" s="40" t="s">
        <v>2660</v>
      </c>
      <c r="AB2864" s="8">
        <f>TRUNC(10.44*자재조서!E46,1)</f>
        <v>46980</v>
      </c>
      <c r="AC2864" s="40" t="s">
        <v>1650</v>
      </c>
      <c r="AD2864" s="7">
        <f>$AD2861+$AB2864</f>
        <v>46980</v>
      </c>
    </row>
    <row r="2865" spans="1:38" ht="18.399999999999999" customHeight="1">
      <c r="A2865" s="41" t="s">
        <v>6232</v>
      </c>
      <c r="B2865" s="37"/>
      <c r="C2865" s="37"/>
      <c r="D2865" s="37"/>
      <c r="E2865" s="37"/>
      <c r="F2865" s="45"/>
      <c r="K2865" s="3" t="s">
        <v>6232</v>
      </c>
    </row>
    <row r="2866" spans="1:38" ht="18.399999999999999" customHeight="1">
      <c r="A2866" s="42" t="str">
        <f>CONCATENATE("  2) MDI :  14.52  kg  * _x001D_4,000_x001D_  = ",TEXT($AB2866,"#,##0.0"))</f>
        <v xml:space="preserve">  2) MDI :  14.52  kg  * _x001D_4,000_x001D_  = 58,080.0</v>
      </c>
      <c r="B2866" s="37">
        <f>SUM($C2866,$D2866,$E2866)</f>
        <v>58080</v>
      </c>
      <c r="C2866" s="37">
        <f>$AB2866</f>
        <v>58080</v>
      </c>
      <c r="D2866" s="37"/>
      <c r="E2866" s="37"/>
      <c r="F2866" s="45" t="s">
        <v>6232</v>
      </c>
      <c r="K2866" s="3" t="s">
        <v>1673</v>
      </c>
      <c r="AA2866" s="40" t="s">
        <v>2660</v>
      </c>
      <c r="AB2866" s="8">
        <f>TRUNC(14.52*자재조서!E47,1)</f>
        <v>58080</v>
      </c>
      <c r="AC2866" s="40" t="s">
        <v>1650</v>
      </c>
      <c r="AD2866" s="7">
        <f>$AD2864+$AB2866</f>
        <v>105060</v>
      </c>
    </row>
    <row r="2867" spans="1:38" ht="18.399999999999999" customHeight="1">
      <c r="A2867" s="41" t="s">
        <v>6232</v>
      </c>
      <c r="B2867" s="37"/>
      <c r="C2867" s="37"/>
      <c r="D2867" s="37"/>
      <c r="E2867" s="37"/>
      <c r="F2867" s="45"/>
      <c r="K2867" s="3" t="s">
        <v>6232</v>
      </c>
    </row>
    <row r="2868" spans="1:38" ht="18.399999999999999" customHeight="1">
      <c r="A2868" s="41" t="s">
        <v>337</v>
      </c>
      <c r="B2868" s="37"/>
      <c r="C2868" s="37"/>
      <c r="D2868" s="37"/>
      <c r="E2868" s="37"/>
      <c r="F2868" s="45"/>
      <c r="K2868" s="3" t="s">
        <v>3279</v>
      </c>
    </row>
    <row r="2869" spans="1:38" ht="18.399999999999999" customHeight="1">
      <c r="A2869" s="41" t="s">
        <v>6232</v>
      </c>
      <c r="B2869" s="37"/>
      <c r="C2869" s="37"/>
      <c r="D2869" s="37"/>
      <c r="E2869" s="37"/>
      <c r="F2869" s="45"/>
      <c r="K2869" s="3" t="s">
        <v>6232</v>
      </c>
    </row>
    <row r="2870" spans="1:38" ht="18.399999999999999" customHeight="1">
      <c r="A2870" s="42" t="str">
        <f>CONCATENATE("  4) PE 용접봉 :  2.17  kg  * _x001D_10,738_x001D_= ",TEXT($AB2870,"#,##0.0"))</f>
        <v xml:space="preserve">  4) PE 용접봉 :  2.17  kg  * _x001D_10,738_x001D_= 23,301.4</v>
      </c>
      <c r="B2870" s="37">
        <f>SUM($C2870,$D2870,$E2870)</f>
        <v>23301.4</v>
      </c>
      <c r="C2870" s="37">
        <f>$AB2870</f>
        <v>23301.4</v>
      </c>
      <c r="D2870" s="37"/>
      <c r="E2870" s="37"/>
      <c r="F2870" s="45" t="s">
        <v>6232</v>
      </c>
      <c r="K2870" s="3" t="s">
        <v>1343</v>
      </c>
      <c r="AA2870" s="40" t="s">
        <v>2660</v>
      </c>
      <c r="AB2870" s="8">
        <f>TRUNC(2.17*자재조서!E41,1)</f>
        <v>23301.4</v>
      </c>
      <c r="AC2870" s="40" t="s">
        <v>1650</v>
      </c>
      <c r="AD2870" s="7">
        <f>$AD2866+$AB2870</f>
        <v>128361.4</v>
      </c>
    </row>
    <row r="2871" spans="1:38" ht="18.399999999999999" customHeight="1">
      <c r="A2871" s="41" t="s">
        <v>6232</v>
      </c>
      <c r="B2871" s="37"/>
      <c r="C2871" s="37"/>
      <c r="D2871" s="37"/>
      <c r="E2871" s="37"/>
      <c r="F2871" s="45"/>
      <c r="K2871" s="3" t="s">
        <v>6232</v>
      </c>
    </row>
    <row r="2872" spans="1:38" ht="18.399999999999999" customHeight="1">
      <c r="A2872" s="42" t="str">
        <f>CONCATENATE("  5) HDPE 관 :  6.18  m  * _x001D_27,900_x001D_ = ",TEXT($AB2872,"#,##0.0"))</f>
        <v xml:space="preserve">  5) HDPE 관 :  6.18  m  * _x001D_27,900_x001D_ = 172,422.0</v>
      </c>
      <c r="B2872" s="37">
        <f>SUM($C2872,$D2872,$E2872)</f>
        <v>172422</v>
      </c>
      <c r="C2872" s="37">
        <f>$AB2872</f>
        <v>172422</v>
      </c>
      <c r="D2872" s="37"/>
      <c r="E2872" s="37"/>
      <c r="F2872" s="45" t="s">
        <v>6232</v>
      </c>
      <c r="K2872" s="3" t="s">
        <v>5795</v>
      </c>
      <c r="AA2872" s="40" t="s">
        <v>2660</v>
      </c>
      <c r="AB2872" s="8">
        <f>TRUNC(6.18*자재조서!E36,1)</f>
        <v>172422</v>
      </c>
      <c r="AC2872" s="40" t="s">
        <v>1650</v>
      </c>
      <c r="AD2872" s="7">
        <f>$AD2870+$AB2872</f>
        <v>300783.40000000002</v>
      </c>
    </row>
    <row r="2873" spans="1:38" ht="18.399999999999999" customHeight="1">
      <c r="A2873" s="41" t="s">
        <v>6232</v>
      </c>
      <c r="B2873" s="37"/>
      <c r="C2873" s="37"/>
      <c r="D2873" s="37"/>
      <c r="E2873" s="37"/>
      <c r="F2873" s="45"/>
      <c r="K2873" s="3" t="s">
        <v>6232</v>
      </c>
    </row>
    <row r="2874" spans="1:38" ht="18.399999999999999" customHeight="1">
      <c r="A2874" s="42" t="str">
        <f>CONCATENATE("  6) 공장보온재 :  2.992  m  * _x001D_55,500_x001D_ = ",TEXT($AB2874,"#,##0.0"))</f>
        <v xml:space="preserve">  6) 공장보온재 :  2.992  m  * _x001D_55,500_x001D_ = 166,056.0</v>
      </c>
      <c r="B2874" s="37">
        <f>SUM($C2874,$D2874,$E2874)</f>
        <v>166056</v>
      </c>
      <c r="C2874" s="37">
        <f>$AB2874</f>
        <v>166056</v>
      </c>
      <c r="D2874" s="37"/>
      <c r="E2874" s="37"/>
      <c r="F2874" s="45" t="s">
        <v>6232</v>
      </c>
      <c r="K2874" s="3" t="s">
        <v>4692</v>
      </c>
      <c r="AA2874" s="40" t="s">
        <v>2660</v>
      </c>
      <c r="AB2874" s="8">
        <f>TRUNC(2.992*자재조서!E74,1)</f>
        <v>166056</v>
      </c>
      <c r="AC2874" s="40" t="s">
        <v>1650</v>
      </c>
      <c r="AD2874" s="7">
        <f>$AD2872+$AB2874</f>
        <v>466839.4</v>
      </c>
    </row>
    <row r="2875" spans="1:38" ht="18.399999999999999" customHeight="1">
      <c r="A2875" s="41" t="s">
        <v>6232</v>
      </c>
      <c r="B2875" s="37"/>
      <c r="C2875" s="37"/>
      <c r="D2875" s="37"/>
      <c r="E2875" s="37"/>
      <c r="F2875" s="45"/>
      <c r="K2875" s="3" t="s">
        <v>6232</v>
      </c>
    </row>
    <row r="2876" spans="1:38" ht="18.399999999999999" customHeight="1">
      <c r="A2876" s="42" t="str">
        <f>CONCATENATE("  7) 석동선 :  14.95  m  * _x001D_16.5_x001D_ = ",TEXT($AB2876,"#,##0.0"))</f>
        <v xml:space="preserve">  7) 석동선 :  14.95  m  * _x001D_16.5_x001D_ = 246.6</v>
      </c>
      <c r="B2876" s="37">
        <f>SUM($C2876,$D2876,$E2876)</f>
        <v>246.6</v>
      </c>
      <c r="C2876" s="37">
        <f>$AB2876</f>
        <v>246.6</v>
      </c>
      <c r="D2876" s="37"/>
      <c r="E2876" s="37"/>
      <c r="F2876" s="45" t="s">
        <v>6232</v>
      </c>
      <c r="K2876" s="3" t="s">
        <v>1396</v>
      </c>
      <c r="AA2876" s="40" t="s">
        <v>2660</v>
      </c>
      <c r="AB2876" s="8">
        <f>TRUNC(14.95*자재조서!E85,1)</f>
        <v>246.6</v>
      </c>
      <c r="AC2876" s="40" t="s">
        <v>1650</v>
      </c>
      <c r="AD2876" s="7">
        <f>$AD2874+$AB2876</f>
        <v>467086</v>
      </c>
    </row>
    <row r="2877" spans="1:38" ht="18.399999999999999" customHeight="1">
      <c r="A2877" s="41" t="s">
        <v>6232</v>
      </c>
      <c r="B2877" s="37"/>
      <c r="C2877" s="37"/>
      <c r="D2877" s="37"/>
      <c r="E2877" s="37"/>
      <c r="F2877" s="45"/>
      <c r="K2877" s="3" t="s">
        <v>6232</v>
      </c>
    </row>
    <row r="2878" spans="1:38" ht="18.399999999999999" customHeight="1">
      <c r="A2878" s="41" t="s">
        <v>4035</v>
      </c>
      <c r="B2878" s="37">
        <f>SUM($C2878,$D2878,$E2878)</f>
        <v>467086</v>
      </c>
      <c r="C2878" s="37">
        <f>$AB2878</f>
        <v>467086</v>
      </c>
      <c r="D2878" s="37">
        <f>$AF2878</f>
        <v>0</v>
      </c>
      <c r="E2878" s="37">
        <f>$AJ2878</f>
        <v>0</v>
      </c>
      <c r="F2878" s="45"/>
      <c r="K2878" s="3" t="s">
        <v>6125</v>
      </c>
      <c r="AA2878" s="40" t="s">
        <v>4592</v>
      </c>
      <c r="AB2878" s="8">
        <f>TRUNC($AD2876,1)</f>
        <v>467086</v>
      </c>
      <c r="AC2878" s="40" t="s">
        <v>5149</v>
      </c>
      <c r="AD2878" s="7">
        <f>$AB2878</f>
        <v>467086</v>
      </c>
      <c r="AE2878" s="40" t="s">
        <v>666</v>
      </c>
      <c r="AF2878" s="8">
        <f>TRUNC($AH2861,1)</f>
        <v>0</v>
      </c>
      <c r="AG2878" s="40" t="s">
        <v>2431</v>
      </c>
      <c r="AH2878" s="7">
        <f>$AF2878</f>
        <v>0</v>
      </c>
      <c r="AI2878" s="40" t="s">
        <v>1930</v>
      </c>
      <c r="AJ2878" s="8">
        <f>TRUNC($AL2861,1)</f>
        <v>0</v>
      </c>
      <c r="AK2878" s="40" t="s">
        <v>3349</v>
      </c>
      <c r="AL2878" s="7">
        <f>$AJ2878</f>
        <v>0</v>
      </c>
    </row>
    <row r="2879" spans="1:38" ht="18.399999999999999" customHeight="1">
      <c r="A2879" s="41" t="s">
        <v>6232</v>
      </c>
      <c r="B2879" s="37">
        <f>SUM($C2879,$D2879,$E2879)</f>
        <v>0</v>
      </c>
      <c r="C2879" s="37">
        <f>$AB2879</f>
        <v>0</v>
      </c>
      <c r="D2879" s="37">
        <f>$AF2879</f>
        <v>0</v>
      </c>
      <c r="E2879" s="37">
        <f>$AJ2879</f>
        <v>0</v>
      </c>
      <c r="F2879" s="45"/>
      <c r="K2879" s="3" t="s">
        <v>5506</v>
      </c>
      <c r="AA2879" s="40" t="s">
        <v>4586</v>
      </c>
      <c r="AB2879" s="8">
        <f>ROUND(0,2)</f>
        <v>0</v>
      </c>
      <c r="AC2879" s="40" t="s">
        <v>4161</v>
      </c>
      <c r="AD2879" s="7">
        <f>$AB2879</f>
        <v>0</v>
      </c>
      <c r="AE2879" s="40" t="s">
        <v>222</v>
      </c>
      <c r="AF2879" s="8">
        <f>ROUND(0,2)</f>
        <v>0</v>
      </c>
      <c r="AG2879" s="40" t="s">
        <v>334</v>
      </c>
      <c r="AH2879" s="7">
        <f>$AF2879</f>
        <v>0</v>
      </c>
      <c r="AI2879" s="40" t="s">
        <v>1574</v>
      </c>
      <c r="AJ2879" s="8">
        <f>ROUND(0,2)</f>
        <v>0</v>
      </c>
      <c r="AK2879" s="40" t="s">
        <v>1622</v>
      </c>
      <c r="AL2879" s="7">
        <f>$AJ2879</f>
        <v>0</v>
      </c>
    </row>
    <row r="2880" spans="1:38" ht="18.399999999999999" customHeight="1">
      <c r="A2880" s="41" t="s">
        <v>231</v>
      </c>
      <c r="B2880" s="37"/>
      <c r="C2880" s="37"/>
      <c r="D2880" s="37"/>
      <c r="E2880" s="37"/>
      <c r="F2880" s="45"/>
      <c r="K2880" s="3" t="s">
        <v>268</v>
      </c>
    </row>
    <row r="2881" spans="1:38" ht="18.399999999999999" customHeight="1">
      <c r="A2881" s="41" t="s">
        <v>6232</v>
      </c>
      <c r="B2881" s="37"/>
      <c r="C2881" s="37"/>
      <c r="D2881" s="37"/>
      <c r="E2881" s="37"/>
      <c r="F2881" s="45"/>
      <c r="K2881" s="3" t="s">
        <v>6232</v>
      </c>
    </row>
    <row r="2882" spans="1:38" ht="18.399999999999999" customHeight="1">
      <c r="A2882" s="41" t="s">
        <v>5533</v>
      </c>
      <c r="B2882" s="37"/>
      <c r="C2882" s="37"/>
      <c r="D2882" s="37"/>
      <c r="E2882" s="37"/>
      <c r="F2882" s="45"/>
      <c r="K2882" s="3" t="s">
        <v>3259</v>
      </c>
    </row>
    <row r="2883" spans="1:38" ht="18.399999999999999" customHeight="1">
      <c r="A2883" s="42" t="str">
        <f>CONCATENATE("    3.423  인  * Q * _x001D_213,722_x001D_ = ",TEXT($AB2883,"#,##0.0"))</f>
        <v xml:space="preserve">    3.423  인  * Q * _x001D_213,722_x001D_ = 854,256.8</v>
      </c>
      <c r="B2883" s="37">
        <f>SUM($C2883,$D2883,$E2883)</f>
        <v>854256.8</v>
      </c>
      <c r="C2883" s="37"/>
      <c r="D2883" s="37">
        <f>$AB2883</f>
        <v>854256.8</v>
      </c>
      <c r="E2883" s="37"/>
      <c r="F2883" s="45" t="s">
        <v>6232</v>
      </c>
      <c r="K2883" s="3" t="s">
        <v>1716</v>
      </c>
      <c r="AA2883" s="40" t="s">
        <v>222</v>
      </c>
      <c r="AB2883" s="8">
        <f>TRUNC(3.423*$AD2860*노임!D10,1)</f>
        <v>854256.8</v>
      </c>
      <c r="AC2883" s="40" t="s">
        <v>334</v>
      </c>
      <c r="AD2883" s="7">
        <f>$AH2879+$AB2883</f>
        <v>854256.8</v>
      </c>
    </row>
    <row r="2884" spans="1:38" ht="18.399999999999999" customHeight="1">
      <c r="A2884" s="41" t="s">
        <v>6232</v>
      </c>
      <c r="B2884" s="37"/>
      <c r="C2884" s="37"/>
      <c r="D2884" s="37"/>
      <c r="E2884" s="37"/>
      <c r="F2884" s="45"/>
      <c r="K2884" s="3" t="s">
        <v>6232</v>
      </c>
    </row>
    <row r="2885" spans="1:38" ht="18.399999999999999" customHeight="1">
      <c r="A2885" s="41" t="s">
        <v>585</v>
      </c>
      <c r="B2885" s="37"/>
      <c r="C2885" s="37"/>
      <c r="D2885" s="37"/>
      <c r="E2885" s="37"/>
      <c r="F2885" s="45"/>
      <c r="K2885" s="3" t="s">
        <v>5657</v>
      </c>
    </row>
    <row r="2886" spans="1:38" ht="18.399999999999999" customHeight="1">
      <c r="A2886" s="42" t="str">
        <f>CONCATENATE("    1.281  인  * Q * _x001D_201,482_x001D_ = ",TEXT($AB2886,"#,##0.0"))</f>
        <v xml:space="preserve">    1.281  인  * Q * _x001D_201,482_x001D_ = 298,271.6</v>
      </c>
      <c r="B2886" s="37">
        <f>SUM($C2886,$D2886,$E2886)</f>
        <v>298271.59999999998</v>
      </c>
      <c r="C2886" s="37"/>
      <c r="D2886" s="37">
        <f>$AB2886</f>
        <v>298271.59999999998</v>
      </c>
      <c r="E2886" s="37"/>
      <c r="F2886" s="45" t="s">
        <v>6232</v>
      </c>
      <c r="K2886" s="3" t="s">
        <v>778</v>
      </c>
      <c r="AA2886" s="40" t="s">
        <v>222</v>
      </c>
      <c r="AB2886" s="8">
        <f>TRUNC(1.281*$AD2860*노임!D9,1)</f>
        <v>298271.59999999998</v>
      </c>
      <c r="AC2886" s="40" t="s">
        <v>334</v>
      </c>
      <c r="AD2886" s="7">
        <f>$AD2883+$AB2886</f>
        <v>1152528.3999999999</v>
      </c>
    </row>
    <row r="2887" spans="1:38" ht="18.399999999999999" customHeight="1">
      <c r="A2887" s="41" t="s">
        <v>6232</v>
      </c>
      <c r="B2887" s="37"/>
      <c r="C2887" s="37"/>
      <c r="D2887" s="37"/>
      <c r="E2887" s="37"/>
      <c r="F2887" s="45"/>
      <c r="K2887" s="3" t="s">
        <v>6232</v>
      </c>
    </row>
    <row r="2888" spans="1:38" ht="18.399999999999999" customHeight="1">
      <c r="A2888" s="41" t="s">
        <v>3917</v>
      </c>
      <c r="B2888" s="37"/>
      <c r="C2888" s="37"/>
      <c r="D2888" s="37"/>
      <c r="E2888" s="37"/>
      <c r="F2888" s="45"/>
      <c r="K2888" s="3" t="s">
        <v>4355</v>
      </c>
    </row>
    <row r="2889" spans="1:38" ht="18.399999999999999" customHeight="1">
      <c r="A2889" s="42" t="str">
        <f>CONCATENATE("    0.338  인  * Q * _x001D_221,506_x001D_ = ",TEXT($AB2889,"#,##0.0"))</f>
        <v xml:space="preserve">    0.338  인  * Q * _x001D_221,506_x001D_ = 87,893.6</v>
      </c>
      <c r="B2889" s="37">
        <f>SUM($C2889,$D2889,$E2889)</f>
        <v>87893.6</v>
      </c>
      <c r="C2889" s="37"/>
      <c r="D2889" s="37">
        <f>$AB2889</f>
        <v>87893.6</v>
      </c>
      <c r="E2889" s="37"/>
      <c r="F2889" s="45" t="s">
        <v>6232</v>
      </c>
      <c r="K2889" s="3" t="s">
        <v>4303</v>
      </c>
      <c r="AA2889" s="40" t="s">
        <v>222</v>
      </c>
      <c r="AB2889" s="8">
        <f>TRUNC(0.338*$AD2860*노임!D4,1)</f>
        <v>87893.6</v>
      </c>
      <c r="AC2889" s="40" t="s">
        <v>334</v>
      </c>
      <c r="AD2889" s="7">
        <f>$AD2886+$AB2889</f>
        <v>1240422</v>
      </c>
    </row>
    <row r="2890" spans="1:38" ht="18.399999999999999" customHeight="1">
      <c r="A2890" s="41" t="s">
        <v>6232</v>
      </c>
      <c r="B2890" s="37"/>
      <c r="C2890" s="37"/>
      <c r="D2890" s="37"/>
      <c r="E2890" s="37"/>
      <c r="F2890" s="45"/>
      <c r="K2890" s="3" t="s">
        <v>6232</v>
      </c>
    </row>
    <row r="2891" spans="1:38" ht="18.399999999999999" customHeight="1">
      <c r="A2891" s="41" t="s">
        <v>4277</v>
      </c>
      <c r="B2891" s="37"/>
      <c r="C2891" s="37"/>
      <c r="D2891" s="37"/>
      <c r="E2891" s="37"/>
      <c r="F2891" s="45"/>
      <c r="K2891" s="3" t="s">
        <v>4663</v>
      </c>
    </row>
    <row r="2892" spans="1:38" ht="18.399999999999999" customHeight="1">
      <c r="A2892" s="42" t="str">
        <f>CONCATENATE("    1.647  인  * Q * _x001D_169,804_x001D_ = ",TEXT($AB2892,"#,##0.0"))</f>
        <v xml:space="preserve">    1.647  인  * Q * _x001D_169,804_x001D_ = 325,905.3</v>
      </c>
      <c r="B2892" s="37">
        <f>SUM($C2892,$D2892,$E2892)</f>
        <v>325905.3</v>
      </c>
      <c r="C2892" s="37"/>
      <c r="D2892" s="37">
        <f>$AB2892</f>
        <v>325905.3</v>
      </c>
      <c r="E2892" s="37"/>
      <c r="F2892" s="45" t="s">
        <v>6232</v>
      </c>
      <c r="K2892" s="3" t="s">
        <v>349</v>
      </c>
      <c r="AA2892" s="40" t="s">
        <v>222</v>
      </c>
      <c r="AB2892" s="8">
        <f>TRUNC(1.647*$AD2860*노임!D3,1)</f>
        <v>325905.3</v>
      </c>
      <c r="AC2892" s="40" t="s">
        <v>334</v>
      </c>
      <c r="AD2892" s="7">
        <f>$AD2889+$AB2892</f>
        <v>1566327.3</v>
      </c>
    </row>
    <row r="2893" spans="1:38" ht="18.399999999999999" customHeight="1">
      <c r="A2893" s="41" t="s">
        <v>6232</v>
      </c>
      <c r="B2893" s="37"/>
      <c r="C2893" s="37"/>
      <c r="D2893" s="37"/>
      <c r="E2893" s="37"/>
      <c r="F2893" s="45"/>
      <c r="K2893" s="3" t="s">
        <v>6232</v>
      </c>
    </row>
    <row r="2894" spans="1:38" ht="18.399999999999999" customHeight="1">
      <c r="A2894" s="41" t="s">
        <v>4035</v>
      </c>
      <c r="B2894" s="37">
        <f>SUM($C2894,$D2894,$E2894)</f>
        <v>1566327.3</v>
      </c>
      <c r="C2894" s="37">
        <f>$AB2894</f>
        <v>0</v>
      </c>
      <c r="D2894" s="37">
        <f>$AF2894</f>
        <v>1566327.3</v>
      </c>
      <c r="E2894" s="37">
        <f>$AJ2894</f>
        <v>0</v>
      </c>
      <c r="F2894" s="45"/>
      <c r="K2894" s="3" t="s">
        <v>134</v>
      </c>
      <c r="AA2894" s="40" t="s">
        <v>4592</v>
      </c>
      <c r="AB2894" s="8">
        <f>TRUNC($AD2879,1)</f>
        <v>0</v>
      </c>
      <c r="AC2894" s="40" t="s">
        <v>5149</v>
      </c>
      <c r="AD2894" s="7">
        <f>$AD2878+$AB2894</f>
        <v>467086</v>
      </c>
      <c r="AE2894" s="40" t="s">
        <v>666</v>
      </c>
      <c r="AF2894" s="8">
        <f>TRUNC($AD2892,1)</f>
        <v>1566327.3</v>
      </c>
      <c r="AG2894" s="40" t="s">
        <v>2431</v>
      </c>
      <c r="AH2894" s="7">
        <f>$AH2878+$AF2894</f>
        <v>1566327.3</v>
      </c>
      <c r="AI2894" s="40" t="s">
        <v>1930</v>
      </c>
      <c r="AJ2894" s="8">
        <f>TRUNC($AL2879,1)</f>
        <v>0</v>
      </c>
      <c r="AK2894" s="40" t="s">
        <v>3349</v>
      </c>
      <c r="AL2894" s="7">
        <f>$AL2878+$AJ2894</f>
        <v>0</v>
      </c>
    </row>
    <row r="2895" spans="1:38" ht="18.399999999999999" customHeight="1">
      <c r="A2895" s="41" t="s">
        <v>6232</v>
      </c>
      <c r="B2895" s="37">
        <f>SUM($C2895,$D2895,$E2895)</f>
        <v>0</v>
      </c>
      <c r="C2895" s="37">
        <f>$AB2895</f>
        <v>0</v>
      </c>
      <c r="D2895" s="37">
        <f>$AF2895</f>
        <v>0</v>
      </c>
      <c r="E2895" s="37">
        <f>$AJ2895</f>
        <v>0</v>
      </c>
      <c r="F2895" s="45"/>
      <c r="K2895" s="3" t="s">
        <v>3238</v>
      </c>
      <c r="AA2895" s="40" t="s">
        <v>308</v>
      </c>
      <c r="AB2895" s="8">
        <f>ROUND(0,2)</f>
        <v>0</v>
      </c>
      <c r="AC2895" s="40" t="s">
        <v>5000</v>
      </c>
      <c r="AD2895" s="7">
        <f>$AB2895</f>
        <v>0</v>
      </c>
      <c r="AE2895" s="40" t="s">
        <v>4500</v>
      </c>
      <c r="AF2895" s="8">
        <f>ROUND(0,2)</f>
        <v>0</v>
      </c>
      <c r="AG2895" s="40" t="s">
        <v>2603</v>
      </c>
      <c r="AH2895" s="7">
        <f>$AF2895</f>
        <v>0</v>
      </c>
      <c r="AI2895" s="40" t="s">
        <v>5878</v>
      </c>
      <c r="AJ2895" s="8">
        <f>ROUND(0,2)</f>
        <v>0</v>
      </c>
      <c r="AK2895" s="40" t="s">
        <v>787</v>
      </c>
      <c r="AL2895" s="7">
        <f>$AJ2895</f>
        <v>0</v>
      </c>
    </row>
    <row r="2896" spans="1:38" ht="18.399999999999999" customHeight="1">
      <c r="A2896" s="41" t="s">
        <v>760</v>
      </c>
      <c r="B2896" s="37"/>
      <c r="C2896" s="37"/>
      <c r="D2896" s="37"/>
      <c r="E2896" s="37"/>
      <c r="F2896" s="45"/>
      <c r="K2896" s="3" t="s">
        <v>5465</v>
      </c>
    </row>
    <row r="2897" spans="1:38" ht="18.399999999999999" customHeight="1">
      <c r="A2897" s="41" t="s">
        <v>6232</v>
      </c>
      <c r="B2897" s="37"/>
      <c r="C2897" s="37"/>
      <c r="D2897" s="37"/>
      <c r="E2897" s="37"/>
      <c r="F2897" s="45"/>
      <c r="K2897" s="3" t="s">
        <v>6232</v>
      </c>
    </row>
    <row r="2898" spans="1:38" ht="18.399999999999999" customHeight="1">
      <c r="A2898" s="42" t="str">
        <f>CONCATENATE("    LA2 / Q * 0.02 = ",TEXT($AB2898,"#,##0.0"))</f>
        <v xml:space="preserve">    LA2 / Q * 0.02 = 27,240.4</v>
      </c>
      <c r="B2898" s="37">
        <f>SUM($C2898,$D2898,$E2898)</f>
        <v>27240.400000000001</v>
      </c>
      <c r="C2898" s="37"/>
      <c r="D2898" s="37"/>
      <c r="E2898" s="37">
        <f>$AB2898</f>
        <v>27240.400000000001</v>
      </c>
      <c r="F2898" s="45"/>
      <c r="K2898" s="3" t="s">
        <v>4829</v>
      </c>
      <c r="AA2898" s="40" t="s">
        <v>5878</v>
      </c>
      <c r="AB2898" s="8">
        <f>TRUNC($AD2892/$AD2860*0.02,1)</f>
        <v>27240.400000000001</v>
      </c>
      <c r="AC2898" s="40" t="s">
        <v>787</v>
      </c>
      <c r="AD2898" s="7">
        <f>$AL2895+$AB2898</f>
        <v>27240.400000000001</v>
      </c>
    </row>
    <row r="2899" spans="1:38" ht="18.399999999999999" customHeight="1">
      <c r="A2899" s="41" t="s">
        <v>6232</v>
      </c>
      <c r="B2899" s="37"/>
      <c r="C2899" s="37"/>
      <c r="D2899" s="37"/>
      <c r="E2899" s="37"/>
      <c r="F2899" s="45"/>
      <c r="K2899" s="3" t="s">
        <v>6232</v>
      </c>
    </row>
    <row r="2900" spans="1:38" ht="18.399999999999999" customHeight="1">
      <c r="A2900" s="41" t="s">
        <v>4035</v>
      </c>
      <c r="B2900" s="37">
        <f>SUM($C2900,$D2900,$E2900)</f>
        <v>27240.400000000001</v>
      </c>
      <c r="C2900" s="37">
        <f>$AB2900</f>
        <v>0</v>
      </c>
      <c r="D2900" s="37">
        <f>$AF2900</f>
        <v>0</v>
      </c>
      <c r="E2900" s="37">
        <f>$AJ2900</f>
        <v>27240.400000000001</v>
      </c>
      <c r="F2900" s="45"/>
      <c r="K2900" s="3" t="s">
        <v>4813</v>
      </c>
      <c r="AA2900" s="40" t="s">
        <v>4592</v>
      </c>
      <c r="AB2900" s="8">
        <f>TRUNC($AD2895,1)</f>
        <v>0</v>
      </c>
      <c r="AC2900" s="40" t="s">
        <v>5149</v>
      </c>
      <c r="AD2900" s="7">
        <f>$AD2894+$AB2900</f>
        <v>467086</v>
      </c>
      <c r="AE2900" s="40" t="s">
        <v>666</v>
      </c>
      <c r="AF2900" s="8">
        <f>TRUNC($AH2895,1)</f>
        <v>0</v>
      </c>
      <c r="AG2900" s="40" t="s">
        <v>2431</v>
      </c>
      <c r="AH2900" s="7">
        <f>$AH2894+$AF2900</f>
        <v>1566327.3</v>
      </c>
      <c r="AI2900" s="40" t="s">
        <v>1930</v>
      </c>
      <c r="AJ2900" s="8">
        <f>TRUNC($AD2898,1)</f>
        <v>27240.400000000001</v>
      </c>
      <c r="AK2900" s="40" t="s">
        <v>3349</v>
      </c>
      <c r="AL2900" s="7">
        <f>$AL2894+$AJ2900</f>
        <v>27240.400000000001</v>
      </c>
    </row>
    <row r="2901" spans="1:38" ht="18.399999999999999" customHeight="1">
      <c r="A2901" s="41" t="s">
        <v>6232</v>
      </c>
      <c r="B2901" s="37"/>
      <c r="C2901" s="37"/>
      <c r="D2901" s="37"/>
      <c r="E2901" s="37"/>
      <c r="F2901" s="45"/>
      <c r="K2901" s="3" t="s">
        <v>6232</v>
      </c>
    </row>
    <row r="2902" spans="1:38" ht="18.399999999999999" customHeight="1">
      <c r="A2902" s="41" t="s">
        <v>4002</v>
      </c>
      <c r="B2902" s="37">
        <v>2039805.6</v>
      </c>
      <c r="C2902" s="37">
        <v>467086</v>
      </c>
      <c r="D2902" s="37">
        <v>1545835.6</v>
      </c>
      <c r="E2902" s="37">
        <v>26884</v>
      </c>
      <c r="F2902" s="45"/>
      <c r="K2902" s="3" t="s">
        <v>916</v>
      </c>
    </row>
    <row r="2903" spans="1:38" ht="18.399999999999999" customHeight="1">
      <c r="A2903" s="41"/>
      <c r="B2903" s="3"/>
      <c r="C2903" s="3"/>
      <c r="D2903" s="3"/>
      <c r="E2903" s="3"/>
      <c r="F2903" s="44"/>
    </row>
    <row r="2904" spans="1:38" ht="18.399999999999999" customHeight="1">
      <c r="A2904" s="43" t="s">
        <v>3543</v>
      </c>
      <c r="B2904" s="38">
        <f>SUM($C2904,$D2904,$E2904)</f>
        <v>2060653</v>
      </c>
      <c r="C2904" s="38">
        <f>TRUNC(SUM($AD2900),0)</f>
        <v>467086</v>
      </c>
      <c r="D2904" s="38">
        <f>TRUNC(SUM($AH2900),0)</f>
        <v>1566327</v>
      </c>
      <c r="E2904" s="38">
        <f>TRUNC(SUM($AL2900),0)</f>
        <v>27240</v>
      </c>
      <c r="F2904" s="46"/>
    </row>
    <row r="2905" spans="1:38" ht="18.399999999999999" customHeight="1">
      <c r="A2905" s="41"/>
      <c r="B2905" s="3"/>
      <c r="C2905" s="3"/>
      <c r="D2905" s="3"/>
      <c r="E2905" s="3"/>
      <c r="F2905" s="44"/>
    </row>
    <row r="2906" spans="1:38" ht="18.399999999999999" customHeight="1">
      <c r="A2906" s="41" t="s">
        <v>1687</v>
      </c>
      <c r="B2906" s="36">
        <f>$B2958</f>
        <v>2366770</v>
      </c>
      <c r="C2906" s="36">
        <f>$C2958</f>
        <v>514963</v>
      </c>
      <c r="D2906" s="36">
        <f>$D2958</f>
        <v>1820153</v>
      </c>
      <c r="E2906" s="36">
        <f>$E2958</f>
        <v>31654</v>
      </c>
      <c r="F2906" s="44" t="s">
        <v>4819</v>
      </c>
      <c r="G2906" t="s">
        <v>6232</v>
      </c>
      <c r="H2906" t="s">
        <v>3892</v>
      </c>
      <c r="K2906">
        <v>1</v>
      </c>
      <c r="Y2906" s="7" t="b">
        <f>EXACT($Z2906,$B2958)</f>
        <v>0</v>
      </c>
      <c r="Z2906" s="38">
        <v>2342337</v>
      </c>
    </row>
    <row r="2907" spans="1:38" ht="18.399999999999999" customHeight="1">
      <c r="A2907" s="41"/>
      <c r="B2907" s="3"/>
      <c r="C2907" s="3"/>
      <c r="D2907" s="3"/>
      <c r="E2907" s="3"/>
      <c r="F2907" s="44"/>
    </row>
    <row r="2908" spans="1:38" ht="18.399999999999999" customHeight="1">
      <c r="A2908" s="41" t="s">
        <v>6232</v>
      </c>
      <c r="B2908" s="3"/>
      <c r="C2908" s="3"/>
      <c r="D2908" s="3"/>
      <c r="E2908" s="3"/>
      <c r="F2908" s="44"/>
      <c r="G2908" t="s">
        <v>6232</v>
      </c>
      <c r="I2908" t="s">
        <v>742</v>
      </c>
      <c r="J2908" t="s">
        <v>6232</v>
      </c>
      <c r="K2908" t="s">
        <v>5235</v>
      </c>
    </row>
    <row r="2909" spans="1:38" ht="18.399999999999999" customHeight="1">
      <c r="A2909" s="41" t="s">
        <v>5840</v>
      </c>
      <c r="B2909" s="37"/>
      <c r="C2909" s="37"/>
      <c r="D2909" s="37"/>
      <c r="E2909" s="37"/>
      <c r="F2909" s="45"/>
      <c r="K2909" s="3" t="s">
        <v>2109</v>
      </c>
    </row>
    <row r="2910" spans="1:38" ht="18.399999999999999" customHeight="1">
      <c r="A2910" s="41" t="s">
        <v>6232</v>
      </c>
      <c r="B2910" s="37"/>
      <c r="C2910" s="37"/>
      <c r="D2910" s="37"/>
      <c r="E2910" s="37"/>
      <c r="F2910" s="45"/>
      <c r="K2910" s="3" t="s">
        <v>6232</v>
      </c>
    </row>
    <row r="2911" spans="1:38" ht="18.399999999999999" customHeight="1">
      <c r="A2911" s="41" t="s">
        <v>2476</v>
      </c>
      <c r="B2911" s="37"/>
      <c r="C2911" s="37"/>
      <c r="D2911" s="37"/>
      <c r="E2911" s="37"/>
      <c r="F2911" s="45"/>
      <c r="K2911" s="3" t="s">
        <v>5810</v>
      </c>
    </row>
    <row r="2912" spans="1:38" ht="18.399999999999999" customHeight="1">
      <c r="A2912" s="41" t="s">
        <v>774</v>
      </c>
      <c r="B2912" s="37"/>
      <c r="C2912" s="37"/>
      <c r="D2912" s="37"/>
      <c r="E2912" s="37"/>
      <c r="F2912" s="45"/>
      <c r="K2912" s="3" t="s">
        <v>3563</v>
      </c>
    </row>
    <row r="2913" spans="1:38" ht="18.399999999999999" customHeight="1">
      <c r="A2913" s="41" t="s">
        <v>1642</v>
      </c>
      <c r="B2913" s="37"/>
      <c r="C2913" s="37"/>
      <c r="D2913" s="37"/>
      <c r="E2913" s="37"/>
      <c r="F2913" s="45"/>
      <c r="K2913" s="3" t="s">
        <v>2758</v>
      </c>
    </row>
    <row r="2914" spans="1:38" ht="18.399999999999999" customHeight="1">
      <c r="A2914" s="42" t="str">
        <f>CONCATENATE("          Q=",TEXT($AB2914,"#,##0.00"))</f>
        <v xml:space="preserve">          Q=1.15</v>
      </c>
      <c r="B2914" s="37"/>
      <c r="C2914" s="37"/>
      <c r="D2914" s="37"/>
      <c r="E2914" s="37"/>
      <c r="F2914" s="45"/>
      <c r="K2914" s="10" t="str">
        <f>SUBSTITUTE(SUBSTITUTE("          Q=1.15","1.15",TEXT($AB2914,"#,##0.00"),1),"_x001D_","'")</f>
        <v xml:space="preserve">          Q=1.15</v>
      </c>
      <c r="AA2914" s="39" t="s">
        <v>4337</v>
      </c>
      <c r="AB2914" s="6">
        <v>1.1499999999999999</v>
      </c>
      <c r="AC2914" s="39" t="s">
        <v>4337</v>
      </c>
      <c r="AD2914" s="7">
        <f>$AB2914</f>
        <v>1.1499999999999999</v>
      </c>
    </row>
    <row r="2915" spans="1:38" ht="18.399999999999999" customHeight="1">
      <c r="A2915" s="41" t="s">
        <v>6232</v>
      </c>
      <c r="B2915" s="37">
        <f>SUM($C2915,$D2915,$E2915)</f>
        <v>0</v>
      </c>
      <c r="C2915" s="37">
        <f>$AB2915</f>
        <v>0</v>
      </c>
      <c r="D2915" s="37">
        <f>$AF2915</f>
        <v>0</v>
      </c>
      <c r="E2915" s="37">
        <f>$AJ2915</f>
        <v>0</v>
      </c>
      <c r="F2915" s="45"/>
      <c r="K2915" s="3" t="s">
        <v>295</v>
      </c>
      <c r="AA2915" s="40" t="s">
        <v>2660</v>
      </c>
      <c r="AB2915" s="8">
        <f>ROUND(0,2)</f>
        <v>0</v>
      </c>
      <c r="AC2915" s="40" t="s">
        <v>1650</v>
      </c>
      <c r="AD2915" s="7">
        <f>$AB2915</f>
        <v>0</v>
      </c>
      <c r="AE2915" s="40" t="s">
        <v>5305</v>
      </c>
      <c r="AF2915" s="8">
        <f>ROUND(0,2)</f>
        <v>0</v>
      </c>
      <c r="AG2915" s="40" t="s">
        <v>5439</v>
      </c>
      <c r="AH2915" s="7">
        <f>$AF2915</f>
        <v>0</v>
      </c>
      <c r="AI2915" s="40" t="s">
        <v>3519</v>
      </c>
      <c r="AJ2915" s="8">
        <f>ROUND(0,2)</f>
        <v>0</v>
      </c>
      <c r="AK2915" s="40" t="s">
        <v>4149</v>
      </c>
      <c r="AL2915" s="7">
        <f>$AJ2915</f>
        <v>0</v>
      </c>
    </row>
    <row r="2916" spans="1:38" ht="18.399999999999999" customHeight="1">
      <c r="A2916" s="41" t="s">
        <v>4464</v>
      </c>
      <c r="B2916" s="37"/>
      <c r="C2916" s="37"/>
      <c r="D2916" s="37"/>
      <c r="E2916" s="37"/>
      <c r="F2916" s="45"/>
      <c r="K2916" s="3" t="s">
        <v>311</v>
      </c>
    </row>
    <row r="2917" spans="1:38" ht="18.399999999999999" customHeight="1">
      <c r="A2917" s="41" t="s">
        <v>6232</v>
      </c>
      <c r="B2917" s="37"/>
      <c r="C2917" s="37"/>
      <c r="D2917" s="37"/>
      <c r="E2917" s="37"/>
      <c r="F2917" s="45"/>
      <c r="K2917" s="3" t="s">
        <v>6232</v>
      </c>
    </row>
    <row r="2918" spans="1:38" ht="18.399999999999999" customHeight="1">
      <c r="A2918" s="42" t="str">
        <f>CONCATENATE("  1) POLYOL :  11.88  kg  * _x001D_4,500_x001D_ = ",TEXT($AB2918,"#,##0.0"))</f>
        <v xml:space="preserve">  1) POLYOL :  11.88  kg  * _x001D_4,500_x001D_ = 53,460.0</v>
      </c>
      <c r="B2918" s="37">
        <f>SUM($C2918,$D2918,$E2918)</f>
        <v>53460</v>
      </c>
      <c r="C2918" s="37">
        <f>$AB2918</f>
        <v>53460</v>
      </c>
      <c r="D2918" s="37"/>
      <c r="E2918" s="37"/>
      <c r="F2918" s="45" t="s">
        <v>6232</v>
      </c>
      <c r="K2918" s="3" t="s">
        <v>3405</v>
      </c>
      <c r="AA2918" s="40" t="s">
        <v>2660</v>
      </c>
      <c r="AB2918" s="8">
        <f>TRUNC(11.88*자재조서!E46,1)</f>
        <v>53460</v>
      </c>
      <c r="AC2918" s="40" t="s">
        <v>1650</v>
      </c>
      <c r="AD2918" s="7">
        <f>$AD2915+$AB2918</f>
        <v>53460</v>
      </c>
    </row>
    <row r="2919" spans="1:38" ht="18.399999999999999" customHeight="1">
      <c r="A2919" s="41" t="s">
        <v>6232</v>
      </c>
      <c r="B2919" s="37"/>
      <c r="C2919" s="37"/>
      <c r="D2919" s="37"/>
      <c r="E2919" s="37"/>
      <c r="F2919" s="45"/>
      <c r="K2919" s="3" t="s">
        <v>6232</v>
      </c>
    </row>
    <row r="2920" spans="1:38" ht="18.399999999999999" customHeight="1">
      <c r="A2920" s="42" t="str">
        <f>CONCATENATE("  2) MDI :  16.56  kg  * _x001D_4,000_x001D_  = ",TEXT($AB2920,"#,##0.0"))</f>
        <v xml:space="preserve">  2) MDI :  16.56  kg  * _x001D_4,000_x001D_  = 66,240.0</v>
      </c>
      <c r="B2920" s="37">
        <f>SUM($C2920,$D2920,$E2920)</f>
        <v>66240</v>
      </c>
      <c r="C2920" s="37">
        <f>$AB2920</f>
        <v>66240</v>
      </c>
      <c r="D2920" s="37"/>
      <c r="E2920" s="37"/>
      <c r="F2920" s="45" t="s">
        <v>6232</v>
      </c>
      <c r="K2920" s="3" t="s">
        <v>5039</v>
      </c>
      <c r="AA2920" s="40" t="s">
        <v>2660</v>
      </c>
      <c r="AB2920" s="8">
        <f>TRUNC(16.56*자재조서!E47,1)</f>
        <v>66240</v>
      </c>
      <c r="AC2920" s="40" t="s">
        <v>1650</v>
      </c>
      <c r="AD2920" s="7">
        <f>$AD2918+$AB2920</f>
        <v>119700</v>
      </c>
    </row>
    <row r="2921" spans="1:38" ht="18.399999999999999" customHeight="1">
      <c r="A2921" s="41" t="s">
        <v>6232</v>
      </c>
      <c r="B2921" s="37"/>
      <c r="C2921" s="37"/>
      <c r="D2921" s="37"/>
      <c r="E2921" s="37"/>
      <c r="F2921" s="45"/>
      <c r="K2921" s="3" t="s">
        <v>6232</v>
      </c>
    </row>
    <row r="2922" spans="1:38" ht="18.399999999999999" customHeight="1">
      <c r="A2922" s="41" t="s">
        <v>337</v>
      </c>
      <c r="B2922" s="37"/>
      <c r="C2922" s="37"/>
      <c r="D2922" s="37"/>
      <c r="E2922" s="37"/>
      <c r="F2922" s="45"/>
      <c r="K2922" s="3" t="s">
        <v>3279</v>
      </c>
    </row>
    <row r="2923" spans="1:38" ht="18.399999999999999" customHeight="1">
      <c r="A2923" s="41" t="s">
        <v>6232</v>
      </c>
      <c r="B2923" s="37"/>
      <c r="C2923" s="37"/>
      <c r="D2923" s="37"/>
      <c r="E2923" s="37"/>
      <c r="F2923" s="45"/>
      <c r="K2923" s="3" t="s">
        <v>6232</v>
      </c>
    </row>
    <row r="2924" spans="1:38" ht="18.399999999999999" customHeight="1">
      <c r="A2924" s="42" t="str">
        <f>CONCATENATE("  4) PE 용접봉 :  2.81  kg  * _x001D_10,738_x001D_= ",TEXT($AB2924,"#,##0.0"))</f>
        <v xml:space="preserve">  4) PE 용접봉 :  2.81  kg  * _x001D_10,738_x001D_= 30,173.7</v>
      </c>
      <c r="B2924" s="37">
        <f>SUM($C2924,$D2924,$E2924)</f>
        <v>30173.7</v>
      </c>
      <c r="C2924" s="37">
        <f>$AB2924</f>
        <v>30173.7</v>
      </c>
      <c r="D2924" s="37"/>
      <c r="E2924" s="37"/>
      <c r="F2924" s="45" t="s">
        <v>6232</v>
      </c>
      <c r="K2924" s="3" t="s">
        <v>1945</v>
      </c>
      <c r="AA2924" s="40" t="s">
        <v>2660</v>
      </c>
      <c r="AB2924" s="8">
        <f>TRUNC(2.81*자재조서!E41,1)</f>
        <v>30173.7</v>
      </c>
      <c r="AC2924" s="40" t="s">
        <v>1650</v>
      </c>
      <c r="AD2924" s="7">
        <f>$AD2920+$AB2924</f>
        <v>149873.70000000001</v>
      </c>
    </row>
    <row r="2925" spans="1:38" ht="18.399999999999999" customHeight="1">
      <c r="A2925" s="41" t="s">
        <v>6232</v>
      </c>
      <c r="B2925" s="37"/>
      <c r="C2925" s="37"/>
      <c r="D2925" s="37"/>
      <c r="E2925" s="37"/>
      <c r="F2925" s="45"/>
      <c r="K2925" s="3" t="s">
        <v>6232</v>
      </c>
    </row>
    <row r="2926" spans="1:38" ht="18.399999999999999" customHeight="1">
      <c r="A2926" s="42" t="str">
        <f>CONCATENATE("  5) HDPE 관 :  6.18  m  * _x001D_27,900_x001D_ = ",TEXT($AB2926,"#,##0.0"))</f>
        <v xml:space="preserve">  5) HDPE 관 :  6.18  m  * _x001D_27,900_x001D_ = 172,422.0</v>
      </c>
      <c r="B2926" s="37">
        <f>SUM($C2926,$D2926,$E2926)</f>
        <v>172422</v>
      </c>
      <c r="C2926" s="37">
        <f>$AB2926</f>
        <v>172422</v>
      </c>
      <c r="D2926" s="37"/>
      <c r="E2926" s="37"/>
      <c r="F2926" s="45" t="s">
        <v>6232</v>
      </c>
      <c r="K2926" s="3" t="s">
        <v>5795</v>
      </c>
      <c r="AA2926" s="40" t="s">
        <v>2660</v>
      </c>
      <c r="AB2926" s="8">
        <f>TRUNC(6.18*자재조서!E36,1)</f>
        <v>172422</v>
      </c>
      <c r="AC2926" s="40" t="s">
        <v>1650</v>
      </c>
      <c r="AD2926" s="7">
        <f>$AD2924+$AB2926</f>
        <v>322295.7</v>
      </c>
    </row>
    <row r="2927" spans="1:38" ht="18.399999999999999" customHeight="1">
      <c r="A2927" s="41" t="s">
        <v>6232</v>
      </c>
      <c r="B2927" s="37"/>
      <c r="C2927" s="37"/>
      <c r="D2927" s="37"/>
      <c r="E2927" s="37"/>
      <c r="F2927" s="45"/>
      <c r="K2927" s="3" t="s">
        <v>6232</v>
      </c>
    </row>
    <row r="2928" spans="1:38" ht="18.399999999999999" customHeight="1">
      <c r="A2928" s="42" t="str">
        <f>CONCATENATE("  6) 공장보온재 :  2.992  m  * _x001D_64,310_x001D_ = ",TEXT($AB2928,"#,##0.0"))</f>
        <v xml:space="preserve">  6) 공장보온재 :  2.992  m  * _x001D_64,310_x001D_ = 192,415.5</v>
      </c>
      <c r="B2928" s="37">
        <f>SUM($C2928,$D2928,$E2928)</f>
        <v>192415.5</v>
      </c>
      <c r="C2928" s="37">
        <f>$AB2928</f>
        <v>192415.5</v>
      </c>
      <c r="D2928" s="37"/>
      <c r="E2928" s="37"/>
      <c r="F2928" s="45" t="s">
        <v>6232</v>
      </c>
      <c r="K2928" s="3" t="s">
        <v>1105</v>
      </c>
      <c r="AA2928" s="40" t="s">
        <v>2660</v>
      </c>
      <c r="AB2928" s="8">
        <f>TRUNC(2.992*자재조서!E75,1)</f>
        <v>192415.5</v>
      </c>
      <c r="AC2928" s="40" t="s">
        <v>1650</v>
      </c>
      <c r="AD2928" s="7">
        <f>$AD2926+$AB2928</f>
        <v>514711.2</v>
      </c>
    </row>
    <row r="2929" spans="1:38" ht="18.399999999999999" customHeight="1">
      <c r="A2929" s="41" t="s">
        <v>6232</v>
      </c>
      <c r="B2929" s="37"/>
      <c r="C2929" s="37"/>
      <c r="D2929" s="37"/>
      <c r="E2929" s="37"/>
      <c r="F2929" s="45"/>
      <c r="K2929" s="3" t="s">
        <v>6232</v>
      </c>
    </row>
    <row r="2930" spans="1:38" ht="18.399999999999999" customHeight="1">
      <c r="A2930" s="42" t="str">
        <f>CONCATENATE("  7) 석동선 :  15.27  m  * _x001D_16.5_x001D_ = ",TEXT($AB2930,"#,##0.0"))</f>
        <v xml:space="preserve">  7) 석동선 :  15.27  m  * _x001D_16.5_x001D_ = 251.9</v>
      </c>
      <c r="B2930" s="37">
        <f>SUM($C2930,$D2930,$E2930)</f>
        <v>251.9</v>
      </c>
      <c r="C2930" s="37">
        <f>$AB2930</f>
        <v>251.9</v>
      </c>
      <c r="D2930" s="37"/>
      <c r="E2930" s="37"/>
      <c r="F2930" s="45" t="s">
        <v>6232</v>
      </c>
      <c r="K2930" s="3" t="s">
        <v>4358</v>
      </c>
      <c r="AA2930" s="40" t="s">
        <v>2660</v>
      </c>
      <c r="AB2930" s="8">
        <f>TRUNC(15.27*자재조서!E85,1)</f>
        <v>251.9</v>
      </c>
      <c r="AC2930" s="40" t="s">
        <v>1650</v>
      </c>
      <c r="AD2930" s="7">
        <f>$AD2928+$AB2930</f>
        <v>514963.10000000003</v>
      </c>
    </row>
    <row r="2931" spans="1:38" ht="18.399999999999999" customHeight="1">
      <c r="A2931" s="41" t="s">
        <v>6232</v>
      </c>
      <c r="B2931" s="37"/>
      <c r="C2931" s="37"/>
      <c r="D2931" s="37"/>
      <c r="E2931" s="37"/>
      <c r="F2931" s="45"/>
      <c r="K2931" s="3" t="s">
        <v>6232</v>
      </c>
    </row>
    <row r="2932" spans="1:38" ht="18.399999999999999" customHeight="1">
      <c r="A2932" s="41" t="s">
        <v>4035</v>
      </c>
      <c r="B2932" s="37">
        <f>SUM($C2932,$D2932,$E2932)</f>
        <v>514963.1</v>
      </c>
      <c r="C2932" s="37">
        <f>$AB2932</f>
        <v>514963.1</v>
      </c>
      <c r="D2932" s="37">
        <f>$AF2932</f>
        <v>0</v>
      </c>
      <c r="E2932" s="37">
        <f>$AJ2932</f>
        <v>0</v>
      </c>
      <c r="F2932" s="45"/>
      <c r="K2932" s="3" t="s">
        <v>6125</v>
      </c>
      <c r="AA2932" s="40" t="s">
        <v>4592</v>
      </c>
      <c r="AB2932" s="8">
        <f>TRUNC($AD2930,1)</f>
        <v>514963.1</v>
      </c>
      <c r="AC2932" s="40" t="s">
        <v>5149</v>
      </c>
      <c r="AD2932" s="7">
        <f>$AB2932</f>
        <v>514963.1</v>
      </c>
      <c r="AE2932" s="40" t="s">
        <v>666</v>
      </c>
      <c r="AF2932" s="8">
        <f>TRUNC($AH2915,1)</f>
        <v>0</v>
      </c>
      <c r="AG2932" s="40" t="s">
        <v>2431</v>
      </c>
      <c r="AH2932" s="7">
        <f>$AF2932</f>
        <v>0</v>
      </c>
      <c r="AI2932" s="40" t="s">
        <v>1930</v>
      </c>
      <c r="AJ2932" s="8">
        <f>TRUNC($AL2915,1)</f>
        <v>0</v>
      </c>
      <c r="AK2932" s="40" t="s">
        <v>3349</v>
      </c>
      <c r="AL2932" s="7">
        <f>$AJ2932</f>
        <v>0</v>
      </c>
    </row>
    <row r="2933" spans="1:38" ht="18.399999999999999" customHeight="1">
      <c r="A2933" s="41" t="s">
        <v>6232</v>
      </c>
      <c r="B2933" s="37">
        <f>SUM($C2933,$D2933,$E2933)</f>
        <v>0</v>
      </c>
      <c r="C2933" s="37">
        <f>$AB2933</f>
        <v>0</v>
      </c>
      <c r="D2933" s="37">
        <f>$AF2933</f>
        <v>0</v>
      </c>
      <c r="E2933" s="37">
        <f>$AJ2933</f>
        <v>0</v>
      </c>
      <c r="F2933" s="45"/>
      <c r="K2933" s="3" t="s">
        <v>5506</v>
      </c>
      <c r="AA2933" s="40" t="s">
        <v>4586</v>
      </c>
      <c r="AB2933" s="8">
        <f>ROUND(0,2)</f>
        <v>0</v>
      </c>
      <c r="AC2933" s="40" t="s">
        <v>4161</v>
      </c>
      <c r="AD2933" s="7">
        <f>$AB2933</f>
        <v>0</v>
      </c>
      <c r="AE2933" s="40" t="s">
        <v>222</v>
      </c>
      <c r="AF2933" s="8">
        <f>ROUND(0,2)</f>
        <v>0</v>
      </c>
      <c r="AG2933" s="40" t="s">
        <v>334</v>
      </c>
      <c r="AH2933" s="7">
        <f>$AF2933</f>
        <v>0</v>
      </c>
      <c r="AI2933" s="40" t="s">
        <v>1574</v>
      </c>
      <c r="AJ2933" s="8">
        <f>ROUND(0,2)</f>
        <v>0</v>
      </c>
      <c r="AK2933" s="40" t="s">
        <v>1622</v>
      </c>
      <c r="AL2933" s="7">
        <f>$AJ2933</f>
        <v>0</v>
      </c>
    </row>
    <row r="2934" spans="1:38" ht="18.399999999999999" customHeight="1">
      <c r="A2934" s="41" t="s">
        <v>231</v>
      </c>
      <c r="B2934" s="37"/>
      <c r="C2934" s="37"/>
      <c r="D2934" s="37"/>
      <c r="E2934" s="37"/>
      <c r="F2934" s="45"/>
      <c r="K2934" s="3" t="s">
        <v>268</v>
      </c>
    </row>
    <row r="2935" spans="1:38" ht="18.399999999999999" customHeight="1">
      <c r="A2935" s="41" t="s">
        <v>6232</v>
      </c>
      <c r="B2935" s="37"/>
      <c r="C2935" s="37"/>
      <c r="D2935" s="37"/>
      <c r="E2935" s="37"/>
      <c r="F2935" s="45"/>
      <c r="K2935" s="3" t="s">
        <v>6232</v>
      </c>
    </row>
    <row r="2936" spans="1:38" ht="18.399999999999999" customHeight="1">
      <c r="A2936" s="41" t="s">
        <v>5533</v>
      </c>
      <c r="B2936" s="37"/>
      <c r="C2936" s="37"/>
      <c r="D2936" s="37"/>
      <c r="E2936" s="37"/>
      <c r="F2936" s="45"/>
      <c r="K2936" s="3" t="s">
        <v>3259</v>
      </c>
    </row>
    <row r="2937" spans="1:38" ht="18.399999999999999" customHeight="1">
      <c r="A2937" s="42" t="str">
        <f>CONCATENATE("    4.077  인  * Q * _x001D_213,722_x001D_ = ",TEXT($AB2937,"#,##0.0"))</f>
        <v xml:space="preserve">    4.077  인  * Q * _x001D_213,722_x001D_ = 1,017,471.6</v>
      </c>
      <c r="B2937" s="37">
        <f>SUM($C2937,$D2937,$E2937)</f>
        <v>1017471.6</v>
      </c>
      <c r="C2937" s="37"/>
      <c r="D2937" s="37">
        <f>$AB2937</f>
        <v>1017471.6</v>
      </c>
      <c r="E2937" s="37"/>
      <c r="F2937" s="45" t="s">
        <v>6232</v>
      </c>
      <c r="K2937" s="3" t="s">
        <v>1353</v>
      </c>
      <c r="AA2937" s="40" t="s">
        <v>222</v>
      </c>
      <c r="AB2937" s="8">
        <f>TRUNC(4.077*$AD2914*노임!D10,1)</f>
        <v>1017471.6</v>
      </c>
      <c r="AC2937" s="40" t="s">
        <v>334</v>
      </c>
      <c r="AD2937" s="7">
        <f>$AH2933+$AB2937</f>
        <v>1017471.6</v>
      </c>
    </row>
    <row r="2938" spans="1:38" ht="18.399999999999999" customHeight="1">
      <c r="A2938" s="41" t="s">
        <v>6232</v>
      </c>
      <c r="B2938" s="37"/>
      <c r="C2938" s="37"/>
      <c r="D2938" s="37"/>
      <c r="E2938" s="37"/>
      <c r="F2938" s="45"/>
      <c r="K2938" s="3" t="s">
        <v>6232</v>
      </c>
    </row>
    <row r="2939" spans="1:38" ht="18.399999999999999" customHeight="1">
      <c r="A2939" s="41" t="s">
        <v>585</v>
      </c>
      <c r="B2939" s="37"/>
      <c r="C2939" s="37"/>
      <c r="D2939" s="37"/>
      <c r="E2939" s="37"/>
      <c r="F2939" s="45"/>
      <c r="K2939" s="3" t="s">
        <v>5657</v>
      </c>
    </row>
    <row r="2940" spans="1:38" ht="18.399999999999999" customHeight="1">
      <c r="A2940" s="42" t="str">
        <f>CONCATENATE("    1.441  인  * Q * _x001D_201,482_x001D_ = ",TEXT($AB2940,"#,##0.0"))</f>
        <v xml:space="preserve">    1.441  인  * Q * _x001D_201,482_x001D_ = 335,526.4</v>
      </c>
      <c r="B2940" s="37">
        <f>SUM($C2940,$D2940,$E2940)</f>
        <v>335526.40000000002</v>
      </c>
      <c r="C2940" s="37"/>
      <c r="D2940" s="37">
        <f>$AB2940</f>
        <v>335526.40000000002</v>
      </c>
      <c r="E2940" s="37"/>
      <c r="F2940" s="45" t="s">
        <v>6232</v>
      </c>
      <c r="K2940" s="3" t="s">
        <v>2462</v>
      </c>
      <c r="AA2940" s="40" t="s">
        <v>222</v>
      </c>
      <c r="AB2940" s="8">
        <f>TRUNC(1.441*$AD2914*노임!D9,1)</f>
        <v>335526.40000000002</v>
      </c>
      <c r="AC2940" s="40" t="s">
        <v>334</v>
      </c>
      <c r="AD2940" s="7">
        <f>$AD2937+$AB2940</f>
        <v>1352998</v>
      </c>
    </row>
    <row r="2941" spans="1:38" ht="18.399999999999999" customHeight="1">
      <c r="A2941" s="41" t="s">
        <v>6232</v>
      </c>
      <c r="B2941" s="37"/>
      <c r="C2941" s="37"/>
      <c r="D2941" s="37"/>
      <c r="E2941" s="37"/>
      <c r="F2941" s="45"/>
      <c r="K2941" s="3" t="s">
        <v>6232</v>
      </c>
    </row>
    <row r="2942" spans="1:38" ht="18.399999999999999" customHeight="1">
      <c r="A2942" s="41" t="s">
        <v>3917</v>
      </c>
      <c r="B2942" s="37"/>
      <c r="C2942" s="37"/>
      <c r="D2942" s="37"/>
      <c r="E2942" s="37"/>
      <c r="F2942" s="45"/>
      <c r="K2942" s="3" t="s">
        <v>4355</v>
      </c>
    </row>
    <row r="2943" spans="1:38" ht="18.399999999999999" customHeight="1">
      <c r="A2943" s="42" t="str">
        <f>CONCATENATE("    0.426  인  * Q * _x001D_221,506_x001D_ = ",TEXT($AB2943,"#,##0.0"))</f>
        <v xml:space="preserve">    0.426  인  * Q * _x001D_221,506_x001D_ = 110,777.1</v>
      </c>
      <c r="B2943" s="37">
        <f>SUM($C2943,$D2943,$E2943)</f>
        <v>110777.1</v>
      </c>
      <c r="C2943" s="37"/>
      <c r="D2943" s="37">
        <f>$AB2943</f>
        <v>110777.1</v>
      </c>
      <c r="E2943" s="37"/>
      <c r="F2943" s="45" t="s">
        <v>6232</v>
      </c>
      <c r="K2943" s="3" t="s">
        <v>3474</v>
      </c>
      <c r="AA2943" s="40" t="s">
        <v>222</v>
      </c>
      <c r="AB2943" s="8">
        <f>TRUNC(0.426*$AD2914*노임!D4,1)</f>
        <v>110777.1</v>
      </c>
      <c r="AC2943" s="40" t="s">
        <v>334</v>
      </c>
      <c r="AD2943" s="7">
        <f>$AD2940+$AB2943</f>
        <v>1463775.1</v>
      </c>
    </row>
    <row r="2944" spans="1:38" ht="18.399999999999999" customHeight="1">
      <c r="A2944" s="41" t="s">
        <v>6232</v>
      </c>
      <c r="B2944" s="37"/>
      <c r="C2944" s="37"/>
      <c r="D2944" s="37"/>
      <c r="E2944" s="37"/>
      <c r="F2944" s="45"/>
      <c r="K2944" s="3" t="s">
        <v>6232</v>
      </c>
    </row>
    <row r="2945" spans="1:38" ht="18.399999999999999" customHeight="1">
      <c r="A2945" s="41" t="s">
        <v>4277</v>
      </c>
      <c r="B2945" s="37"/>
      <c r="C2945" s="37"/>
      <c r="D2945" s="37"/>
      <c r="E2945" s="37"/>
      <c r="F2945" s="45"/>
      <c r="K2945" s="3" t="s">
        <v>4663</v>
      </c>
    </row>
    <row r="2946" spans="1:38" ht="18.399999999999999" customHeight="1">
      <c r="A2946" s="42" t="str">
        <f>CONCATENATE("    1.801  인  * Q * _x001D_169,804_x001D_ = ",TEXT($AB2946,"#,##0.0"))</f>
        <v xml:space="preserve">    1.801  인  * Q * _x001D_169,804_x001D_ = 356,378.6</v>
      </c>
      <c r="B2946" s="37">
        <f>SUM($C2946,$D2946,$E2946)</f>
        <v>356378.6</v>
      </c>
      <c r="C2946" s="37"/>
      <c r="D2946" s="37">
        <f>$AB2946</f>
        <v>356378.6</v>
      </c>
      <c r="E2946" s="37"/>
      <c r="F2946" s="45" t="s">
        <v>6232</v>
      </c>
      <c r="K2946" s="3" t="s">
        <v>4896</v>
      </c>
      <c r="AA2946" s="40" t="s">
        <v>222</v>
      </c>
      <c r="AB2946" s="8">
        <f>TRUNC(1.801*$AD2914*노임!D3,1)</f>
        <v>356378.6</v>
      </c>
      <c r="AC2946" s="40" t="s">
        <v>334</v>
      </c>
      <c r="AD2946" s="7">
        <f>$AD2943+$AB2946</f>
        <v>1820153.7000000002</v>
      </c>
    </row>
    <row r="2947" spans="1:38" ht="18.399999999999999" customHeight="1">
      <c r="A2947" s="41" t="s">
        <v>6232</v>
      </c>
      <c r="B2947" s="37"/>
      <c r="C2947" s="37"/>
      <c r="D2947" s="37"/>
      <c r="E2947" s="37"/>
      <c r="F2947" s="45"/>
      <c r="K2947" s="3" t="s">
        <v>6232</v>
      </c>
    </row>
    <row r="2948" spans="1:38" ht="18.399999999999999" customHeight="1">
      <c r="A2948" s="41" t="s">
        <v>4035</v>
      </c>
      <c r="B2948" s="37">
        <f>SUM($C2948,$D2948,$E2948)</f>
        <v>1820153.7</v>
      </c>
      <c r="C2948" s="37">
        <f>$AB2948</f>
        <v>0</v>
      </c>
      <c r="D2948" s="37">
        <f>$AF2948</f>
        <v>1820153.7</v>
      </c>
      <c r="E2948" s="37">
        <f>$AJ2948</f>
        <v>0</v>
      </c>
      <c r="F2948" s="45"/>
      <c r="K2948" s="3" t="s">
        <v>134</v>
      </c>
      <c r="AA2948" s="40" t="s">
        <v>4592</v>
      </c>
      <c r="AB2948" s="8">
        <f>TRUNC($AD2933,1)</f>
        <v>0</v>
      </c>
      <c r="AC2948" s="40" t="s">
        <v>5149</v>
      </c>
      <c r="AD2948" s="7">
        <f>$AD2932+$AB2948</f>
        <v>514963.1</v>
      </c>
      <c r="AE2948" s="40" t="s">
        <v>666</v>
      </c>
      <c r="AF2948" s="8">
        <f>TRUNC($AD2946,1)</f>
        <v>1820153.7</v>
      </c>
      <c r="AG2948" s="40" t="s">
        <v>2431</v>
      </c>
      <c r="AH2948" s="7">
        <f>$AH2932+$AF2948</f>
        <v>1820153.7</v>
      </c>
      <c r="AI2948" s="40" t="s">
        <v>1930</v>
      </c>
      <c r="AJ2948" s="8">
        <f>TRUNC($AL2933,1)</f>
        <v>0</v>
      </c>
      <c r="AK2948" s="40" t="s">
        <v>3349</v>
      </c>
      <c r="AL2948" s="7">
        <f>$AL2932+$AJ2948</f>
        <v>0</v>
      </c>
    </row>
    <row r="2949" spans="1:38" ht="18.399999999999999" customHeight="1">
      <c r="A2949" s="41" t="s">
        <v>6232</v>
      </c>
      <c r="B2949" s="37">
        <f>SUM($C2949,$D2949,$E2949)</f>
        <v>0</v>
      </c>
      <c r="C2949" s="37">
        <f>$AB2949</f>
        <v>0</v>
      </c>
      <c r="D2949" s="37">
        <f>$AF2949</f>
        <v>0</v>
      </c>
      <c r="E2949" s="37">
        <f>$AJ2949</f>
        <v>0</v>
      </c>
      <c r="F2949" s="45"/>
      <c r="K2949" s="3" t="s">
        <v>3238</v>
      </c>
      <c r="AA2949" s="40" t="s">
        <v>308</v>
      </c>
      <c r="AB2949" s="8">
        <f>ROUND(0,2)</f>
        <v>0</v>
      </c>
      <c r="AC2949" s="40" t="s">
        <v>5000</v>
      </c>
      <c r="AD2949" s="7">
        <f>$AB2949</f>
        <v>0</v>
      </c>
      <c r="AE2949" s="40" t="s">
        <v>4500</v>
      </c>
      <c r="AF2949" s="8">
        <f>ROUND(0,2)</f>
        <v>0</v>
      </c>
      <c r="AG2949" s="40" t="s">
        <v>2603</v>
      </c>
      <c r="AH2949" s="7">
        <f>$AF2949</f>
        <v>0</v>
      </c>
      <c r="AI2949" s="40" t="s">
        <v>5878</v>
      </c>
      <c r="AJ2949" s="8">
        <f>ROUND(0,2)</f>
        <v>0</v>
      </c>
      <c r="AK2949" s="40" t="s">
        <v>787</v>
      </c>
      <c r="AL2949" s="7">
        <f>$AJ2949</f>
        <v>0</v>
      </c>
    </row>
    <row r="2950" spans="1:38" ht="18.399999999999999" customHeight="1">
      <c r="A2950" s="41" t="s">
        <v>760</v>
      </c>
      <c r="B2950" s="37"/>
      <c r="C2950" s="37"/>
      <c r="D2950" s="37"/>
      <c r="E2950" s="37"/>
      <c r="F2950" s="45"/>
      <c r="K2950" s="3" t="s">
        <v>5465</v>
      </c>
    </row>
    <row r="2951" spans="1:38" ht="18.399999999999999" customHeight="1">
      <c r="A2951" s="41" t="s">
        <v>6232</v>
      </c>
      <c r="B2951" s="37"/>
      <c r="C2951" s="37"/>
      <c r="D2951" s="37"/>
      <c r="E2951" s="37"/>
      <c r="F2951" s="45"/>
      <c r="K2951" s="3" t="s">
        <v>6232</v>
      </c>
    </row>
    <row r="2952" spans="1:38" ht="18.399999999999999" customHeight="1">
      <c r="A2952" s="42" t="str">
        <f>CONCATENATE("    LA2 / Q * 0.02 = ",TEXT($AB2952,"#,##0.0"))</f>
        <v xml:space="preserve">    LA2 / Q * 0.02 = 31,654.8</v>
      </c>
      <c r="B2952" s="37">
        <f>SUM($C2952,$D2952,$E2952)</f>
        <v>31654.799999999999</v>
      </c>
      <c r="C2952" s="37"/>
      <c r="D2952" s="37"/>
      <c r="E2952" s="37">
        <f>$AB2952</f>
        <v>31654.799999999999</v>
      </c>
      <c r="F2952" s="45"/>
      <c r="K2952" s="3" t="s">
        <v>4829</v>
      </c>
      <c r="AA2952" s="40" t="s">
        <v>5878</v>
      </c>
      <c r="AB2952" s="8">
        <f>TRUNC($AD2946/$AD2914*0.02,1)</f>
        <v>31654.799999999999</v>
      </c>
      <c r="AC2952" s="40" t="s">
        <v>787</v>
      </c>
      <c r="AD2952" s="7">
        <f>$AL2949+$AB2952</f>
        <v>31654.799999999999</v>
      </c>
    </row>
    <row r="2953" spans="1:38" ht="18.399999999999999" customHeight="1">
      <c r="A2953" s="41" t="s">
        <v>6232</v>
      </c>
      <c r="B2953" s="37"/>
      <c r="C2953" s="37"/>
      <c r="D2953" s="37"/>
      <c r="E2953" s="37"/>
      <c r="F2953" s="45"/>
      <c r="K2953" s="3" t="s">
        <v>6232</v>
      </c>
    </row>
    <row r="2954" spans="1:38" ht="18.399999999999999" customHeight="1">
      <c r="A2954" s="41" t="s">
        <v>4035</v>
      </c>
      <c r="B2954" s="37">
        <f>SUM($C2954,$D2954,$E2954)</f>
        <v>31654.799999999999</v>
      </c>
      <c r="C2954" s="37">
        <f>$AB2954</f>
        <v>0</v>
      </c>
      <c r="D2954" s="37">
        <f>$AF2954</f>
        <v>0</v>
      </c>
      <c r="E2954" s="37">
        <f>$AJ2954</f>
        <v>31654.799999999999</v>
      </c>
      <c r="F2954" s="45"/>
      <c r="K2954" s="3" t="s">
        <v>4813</v>
      </c>
      <c r="AA2954" s="40" t="s">
        <v>4592</v>
      </c>
      <c r="AB2954" s="8">
        <f>TRUNC($AD2949,1)</f>
        <v>0</v>
      </c>
      <c r="AC2954" s="40" t="s">
        <v>5149</v>
      </c>
      <c r="AD2954" s="7">
        <f>$AD2948+$AB2954</f>
        <v>514963.1</v>
      </c>
      <c r="AE2954" s="40" t="s">
        <v>666</v>
      </c>
      <c r="AF2954" s="8">
        <f>TRUNC($AH2949,1)</f>
        <v>0</v>
      </c>
      <c r="AG2954" s="40" t="s">
        <v>2431</v>
      </c>
      <c r="AH2954" s="7">
        <f>$AH2948+$AF2954</f>
        <v>1820153.7</v>
      </c>
      <c r="AI2954" s="40" t="s">
        <v>1930</v>
      </c>
      <c r="AJ2954" s="8">
        <f>TRUNC($AD2952,1)</f>
        <v>31654.799999999999</v>
      </c>
      <c r="AK2954" s="40" t="s">
        <v>3349</v>
      </c>
      <c r="AL2954" s="7">
        <f>$AL2948+$AJ2954</f>
        <v>31654.799999999999</v>
      </c>
    </row>
    <row r="2955" spans="1:38" ht="18.399999999999999" customHeight="1">
      <c r="A2955" s="41" t="s">
        <v>6232</v>
      </c>
      <c r="B2955" s="37"/>
      <c r="C2955" s="37"/>
      <c r="D2955" s="37"/>
      <c r="E2955" s="37"/>
      <c r="F2955" s="45"/>
      <c r="K2955" s="3" t="s">
        <v>6232</v>
      </c>
    </row>
    <row r="2956" spans="1:38" ht="18.399999999999999" customHeight="1">
      <c r="A2956" s="41" t="s">
        <v>4002</v>
      </c>
      <c r="B2956" s="37">
        <v>2342337.4</v>
      </c>
      <c r="C2956" s="37">
        <v>514963.1</v>
      </c>
      <c r="D2956" s="37">
        <v>1796137.2</v>
      </c>
      <c r="E2956" s="37">
        <v>31237.1</v>
      </c>
      <c r="F2956" s="45"/>
      <c r="K2956" s="3" t="s">
        <v>916</v>
      </c>
    </row>
    <row r="2957" spans="1:38" ht="18.399999999999999" customHeight="1">
      <c r="A2957" s="41"/>
      <c r="B2957" s="3"/>
      <c r="C2957" s="3"/>
      <c r="D2957" s="3"/>
      <c r="E2957" s="3"/>
      <c r="F2957" s="44"/>
    </row>
    <row r="2958" spans="1:38" ht="18.399999999999999" customHeight="1">
      <c r="A2958" s="43" t="s">
        <v>3543</v>
      </c>
      <c r="B2958" s="38">
        <f>SUM($C2958,$D2958,$E2958)</f>
        <v>2366770</v>
      </c>
      <c r="C2958" s="38">
        <f>TRUNC(SUM($AD2954),0)</f>
        <v>514963</v>
      </c>
      <c r="D2958" s="38">
        <f>TRUNC(SUM($AH2954),0)</f>
        <v>1820153</v>
      </c>
      <c r="E2958" s="38">
        <f>TRUNC(SUM($AL2954),0)</f>
        <v>31654</v>
      </c>
      <c r="F2958" s="46"/>
    </row>
    <row r="2959" spans="1:38" ht="18.399999999999999" customHeight="1">
      <c r="A2959" s="41"/>
      <c r="B2959" s="3"/>
      <c r="C2959" s="3"/>
      <c r="D2959" s="3"/>
      <c r="E2959" s="3"/>
      <c r="F2959" s="44"/>
    </row>
    <row r="2960" spans="1:38" ht="18.399999999999999" customHeight="1">
      <c r="A2960" s="41" t="s">
        <v>6143</v>
      </c>
      <c r="B2960" s="36">
        <f>$B3012</f>
        <v>2661652</v>
      </c>
      <c r="C2960" s="36">
        <f>$C3012</f>
        <v>568613</v>
      </c>
      <c r="D2960" s="36">
        <f>$D3012</f>
        <v>2057261</v>
      </c>
      <c r="E2960" s="36">
        <f>$E3012</f>
        <v>35778</v>
      </c>
      <c r="F2960" s="44" t="s">
        <v>4819</v>
      </c>
      <c r="G2960" t="s">
        <v>6232</v>
      </c>
      <c r="H2960" t="s">
        <v>5568</v>
      </c>
      <c r="K2960">
        <v>1</v>
      </c>
      <c r="Y2960" s="7" t="b">
        <f>EXACT($Z2960,$B3012)</f>
        <v>0</v>
      </c>
      <c r="Z2960" s="38">
        <v>2634021</v>
      </c>
    </row>
    <row r="2961" spans="1:38" ht="18.399999999999999" customHeight="1">
      <c r="A2961" s="41"/>
      <c r="B2961" s="3"/>
      <c r="C2961" s="3"/>
      <c r="D2961" s="3"/>
      <c r="E2961" s="3"/>
      <c r="F2961" s="44"/>
    </row>
    <row r="2962" spans="1:38" ht="18.399999999999999" customHeight="1">
      <c r="A2962" s="41" t="s">
        <v>6232</v>
      </c>
      <c r="B2962" s="3"/>
      <c r="C2962" s="3"/>
      <c r="D2962" s="3"/>
      <c r="E2962" s="3"/>
      <c r="F2962" s="44"/>
      <c r="G2962" t="s">
        <v>6232</v>
      </c>
      <c r="I2962" t="s">
        <v>742</v>
      </c>
      <c r="J2962" t="s">
        <v>6232</v>
      </c>
      <c r="K2962" t="s">
        <v>5235</v>
      </c>
    </row>
    <row r="2963" spans="1:38" ht="18.399999999999999" customHeight="1">
      <c r="A2963" s="41" t="s">
        <v>5592</v>
      </c>
      <c r="B2963" s="37"/>
      <c r="C2963" s="37"/>
      <c r="D2963" s="37"/>
      <c r="E2963" s="37"/>
      <c r="F2963" s="45"/>
      <c r="K2963" s="3" t="s">
        <v>4291</v>
      </c>
    </row>
    <row r="2964" spans="1:38" ht="18.399999999999999" customHeight="1">
      <c r="A2964" s="41" t="s">
        <v>6232</v>
      </c>
      <c r="B2964" s="37"/>
      <c r="C2964" s="37"/>
      <c r="D2964" s="37"/>
      <c r="E2964" s="37"/>
      <c r="F2964" s="45"/>
      <c r="K2964" s="3" t="s">
        <v>6232</v>
      </c>
    </row>
    <row r="2965" spans="1:38" ht="18.399999999999999" customHeight="1">
      <c r="A2965" s="41" t="s">
        <v>2476</v>
      </c>
      <c r="B2965" s="37"/>
      <c r="C2965" s="37"/>
      <c r="D2965" s="37"/>
      <c r="E2965" s="37"/>
      <c r="F2965" s="45"/>
      <c r="K2965" s="3" t="s">
        <v>5810</v>
      </c>
    </row>
    <row r="2966" spans="1:38" ht="18.399999999999999" customHeight="1">
      <c r="A2966" s="41" t="s">
        <v>774</v>
      </c>
      <c r="B2966" s="37"/>
      <c r="C2966" s="37"/>
      <c r="D2966" s="37"/>
      <c r="E2966" s="37"/>
      <c r="F2966" s="45"/>
      <c r="K2966" s="3" t="s">
        <v>3563</v>
      </c>
    </row>
    <row r="2967" spans="1:38" ht="18.399999999999999" customHeight="1">
      <c r="A2967" s="41" t="s">
        <v>1642</v>
      </c>
      <c r="B2967" s="37"/>
      <c r="C2967" s="37"/>
      <c r="D2967" s="37"/>
      <c r="E2967" s="37"/>
      <c r="F2967" s="45"/>
      <c r="K2967" s="3" t="s">
        <v>2758</v>
      </c>
    </row>
    <row r="2968" spans="1:38" ht="18.399999999999999" customHeight="1">
      <c r="A2968" s="42" t="str">
        <f>CONCATENATE("          Q=",TEXT($AB2968,"#,##0.00"))</f>
        <v xml:space="preserve">          Q=1.15</v>
      </c>
      <c r="B2968" s="37"/>
      <c r="C2968" s="37"/>
      <c r="D2968" s="37"/>
      <c r="E2968" s="37"/>
      <c r="F2968" s="45"/>
      <c r="K2968" s="10" t="str">
        <f>SUBSTITUTE(SUBSTITUTE("          Q=1.15","1.15",TEXT($AB2968,"#,##0.00"),1),"_x001D_","'")</f>
        <v xml:space="preserve">          Q=1.15</v>
      </c>
      <c r="AA2968" s="39" t="s">
        <v>4337</v>
      </c>
      <c r="AB2968" s="6">
        <v>1.1499999999999999</v>
      </c>
      <c r="AC2968" s="39" t="s">
        <v>4337</v>
      </c>
      <c r="AD2968" s="7">
        <f>$AB2968</f>
        <v>1.1499999999999999</v>
      </c>
    </row>
    <row r="2969" spans="1:38" ht="18.399999999999999" customHeight="1">
      <c r="A2969" s="41" t="s">
        <v>6232</v>
      </c>
      <c r="B2969" s="37">
        <f>SUM($C2969,$D2969,$E2969)</f>
        <v>0</v>
      </c>
      <c r="C2969" s="37">
        <f>$AB2969</f>
        <v>0</v>
      </c>
      <c r="D2969" s="37">
        <f>$AF2969</f>
        <v>0</v>
      </c>
      <c r="E2969" s="37">
        <f>$AJ2969</f>
        <v>0</v>
      </c>
      <c r="F2969" s="45"/>
      <c r="K2969" s="3" t="s">
        <v>295</v>
      </c>
      <c r="AA2969" s="40" t="s">
        <v>2660</v>
      </c>
      <c r="AB2969" s="8">
        <f>ROUND(0,2)</f>
        <v>0</v>
      </c>
      <c r="AC2969" s="40" t="s">
        <v>1650</v>
      </c>
      <c r="AD2969" s="7">
        <f>$AB2969</f>
        <v>0</v>
      </c>
      <c r="AE2969" s="40" t="s">
        <v>5305</v>
      </c>
      <c r="AF2969" s="8">
        <f>ROUND(0,2)</f>
        <v>0</v>
      </c>
      <c r="AG2969" s="40" t="s">
        <v>5439</v>
      </c>
      <c r="AH2969" s="7">
        <f>$AF2969</f>
        <v>0</v>
      </c>
      <c r="AI2969" s="40" t="s">
        <v>3519</v>
      </c>
      <c r="AJ2969" s="8">
        <f>ROUND(0,2)</f>
        <v>0</v>
      </c>
      <c r="AK2969" s="40" t="s">
        <v>4149</v>
      </c>
      <c r="AL2969" s="7">
        <f>$AJ2969</f>
        <v>0</v>
      </c>
    </row>
    <row r="2970" spans="1:38" ht="18.399999999999999" customHeight="1">
      <c r="A2970" s="41" t="s">
        <v>4464</v>
      </c>
      <c r="B2970" s="37"/>
      <c r="C2970" s="37"/>
      <c r="D2970" s="37"/>
      <c r="E2970" s="37"/>
      <c r="F2970" s="45"/>
      <c r="K2970" s="3" t="s">
        <v>311</v>
      </c>
    </row>
    <row r="2971" spans="1:38" ht="18.399999999999999" customHeight="1">
      <c r="A2971" s="41" t="s">
        <v>6232</v>
      </c>
      <c r="B2971" s="37"/>
      <c r="C2971" s="37"/>
      <c r="D2971" s="37"/>
      <c r="E2971" s="37"/>
      <c r="F2971" s="45"/>
      <c r="K2971" s="3" t="s">
        <v>6232</v>
      </c>
    </row>
    <row r="2972" spans="1:38" ht="18.399999999999999" customHeight="1">
      <c r="A2972" s="42" t="str">
        <f>CONCATENATE("  1) POLYOL :  14.52  kg  * _x001D_4,500_x001D_ = ",TEXT($AB2972,"#,##0.0"))</f>
        <v xml:space="preserve">  1) POLYOL :  14.52  kg  * _x001D_4,500_x001D_ = 65,340.0</v>
      </c>
      <c r="B2972" s="37">
        <f>SUM($C2972,$D2972,$E2972)</f>
        <v>65340</v>
      </c>
      <c r="C2972" s="37">
        <f>$AB2972</f>
        <v>65340</v>
      </c>
      <c r="D2972" s="37"/>
      <c r="E2972" s="37"/>
      <c r="F2972" s="45" t="s">
        <v>6232</v>
      </c>
      <c r="K2972" s="3" t="s">
        <v>6121</v>
      </c>
      <c r="AA2972" s="40" t="s">
        <v>2660</v>
      </c>
      <c r="AB2972" s="8">
        <f>TRUNC(14.52*자재조서!E46,1)</f>
        <v>65340</v>
      </c>
      <c r="AC2972" s="40" t="s">
        <v>1650</v>
      </c>
      <c r="AD2972" s="7">
        <f>$AD2969+$AB2972</f>
        <v>65340</v>
      </c>
    </row>
    <row r="2973" spans="1:38" ht="18.399999999999999" customHeight="1">
      <c r="A2973" s="41" t="s">
        <v>6232</v>
      </c>
      <c r="B2973" s="37"/>
      <c r="C2973" s="37"/>
      <c r="D2973" s="37"/>
      <c r="E2973" s="37"/>
      <c r="F2973" s="45"/>
      <c r="K2973" s="3" t="s">
        <v>6232</v>
      </c>
    </row>
    <row r="2974" spans="1:38" ht="18.399999999999999" customHeight="1">
      <c r="A2974" s="42" t="str">
        <f>CONCATENATE("  2) MDI :  20.28  kg  * _x001D_4,000_x001D_  = ",TEXT($AB2974,"#,##0.0"))</f>
        <v xml:space="preserve">  2) MDI :  20.28  kg  * _x001D_4,000_x001D_  = 81,120.0</v>
      </c>
      <c r="B2974" s="37">
        <f>SUM($C2974,$D2974,$E2974)</f>
        <v>81120</v>
      </c>
      <c r="C2974" s="37">
        <f>$AB2974</f>
        <v>81120</v>
      </c>
      <c r="D2974" s="37"/>
      <c r="E2974" s="37"/>
      <c r="F2974" s="45" t="s">
        <v>6232</v>
      </c>
      <c r="K2974" s="3" t="s">
        <v>5297</v>
      </c>
      <c r="AA2974" s="40" t="s">
        <v>2660</v>
      </c>
      <c r="AB2974" s="8">
        <f>TRUNC(20.28*자재조서!E47,1)</f>
        <v>81120</v>
      </c>
      <c r="AC2974" s="40" t="s">
        <v>1650</v>
      </c>
      <c r="AD2974" s="7">
        <f>$AD2972+$AB2974</f>
        <v>146460</v>
      </c>
    </row>
    <row r="2975" spans="1:38" ht="18.399999999999999" customHeight="1">
      <c r="A2975" s="41" t="s">
        <v>6232</v>
      </c>
      <c r="B2975" s="37"/>
      <c r="C2975" s="37"/>
      <c r="D2975" s="37"/>
      <c r="E2975" s="37"/>
      <c r="F2975" s="45"/>
      <c r="K2975" s="3" t="s">
        <v>6232</v>
      </c>
    </row>
    <row r="2976" spans="1:38" ht="18.399999999999999" customHeight="1">
      <c r="A2976" s="41" t="s">
        <v>337</v>
      </c>
      <c r="B2976" s="37"/>
      <c r="C2976" s="37"/>
      <c r="D2976" s="37"/>
      <c r="E2976" s="37"/>
      <c r="F2976" s="45"/>
      <c r="K2976" s="3" t="s">
        <v>3279</v>
      </c>
    </row>
    <row r="2977" spans="1:38" ht="18.399999999999999" customHeight="1">
      <c r="A2977" s="41" t="s">
        <v>6232</v>
      </c>
      <c r="B2977" s="37"/>
      <c r="C2977" s="37"/>
      <c r="D2977" s="37"/>
      <c r="E2977" s="37"/>
      <c r="F2977" s="45"/>
      <c r="K2977" s="3" t="s">
        <v>6232</v>
      </c>
    </row>
    <row r="2978" spans="1:38" ht="18.399999999999999" customHeight="1">
      <c r="A2978" s="42" t="str">
        <f>CONCATENATE("  4) PE 용접봉 :  3.55  kg  * _x001D_10,738_x001D_= ",TEXT($AB2978,"#,##0.0"))</f>
        <v xml:space="preserve">  4) PE 용접봉 :  3.55  kg  * _x001D_10,738_x001D_= 38,119.9</v>
      </c>
      <c r="B2978" s="37">
        <f>SUM($C2978,$D2978,$E2978)</f>
        <v>38119.9</v>
      </c>
      <c r="C2978" s="37">
        <f>$AB2978</f>
        <v>38119.9</v>
      </c>
      <c r="D2978" s="37"/>
      <c r="E2978" s="37"/>
      <c r="F2978" s="45" t="s">
        <v>6232</v>
      </c>
      <c r="K2978" s="3" t="s">
        <v>2529</v>
      </c>
      <c r="AA2978" s="40" t="s">
        <v>2660</v>
      </c>
      <c r="AB2978" s="8">
        <f>TRUNC(3.55*자재조서!E41,1)</f>
        <v>38119.9</v>
      </c>
      <c r="AC2978" s="40" t="s">
        <v>1650</v>
      </c>
      <c r="AD2978" s="7">
        <f>$AD2974+$AB2978</f>
        <v>184579.9</v>
      </c>
    </row>
    <row r="2979" spans="1:38" ht="18.399999999999999" customHeight="1">
      <c r="A2979" s="41" t="s">
        <v>6232</v>
      </c>
      <c r="B2979" s="37"/>
      <c r="C2979" s="37"/>
      <c r="D2979" s="37"/>
      <c r="E2979" s="37"/>
      <c r="F2979" s="45"/>
      <c r="K2979" s="3" t="s">
        <v>6232</v>
      </c>
    </row>
    <row r="2980" spans="1:38" ht="18.399999999999999" customHeight="1">
      <c r="A2980" s="42" t="str">
        <f>CONCATENATE("  5) HDPE 관 :  6.18  m  * _x001D_27,900_x001D_ = ",TEXT($AB2980,"#,##0.0"))</f>
        <v xml:space="preserve">  5) HDPE 관 :  6.18  m  * _x001D_27,900_x001D_ = 172,422.0</v>
      </c>
      <c r="B2980" s="37">
        <f>SUM($C2980,$D2980,$E2980)</f>
        <v>172422</v>
      </c>
      <c r="C2980" s="37">
        <f>$AB2980</f>
        <v>172422</v>
      </c>
      <c r="D2980" s="37"/>
      <c r="E2980" s="37"/>
      <c r="F2980" s="45" t="s">
        <v>6232</v>
      </c>
      <c r="K2980" s="3" t="s">
        <v>5795</v>
      </c>
      <c r="AA2980" s="40" t="s">
        <v>2660</v>
      </c>
      <c r="AB2980" s="8">
        <f>TRUNC(6.18*자재조서!E36,1)</f>
        <v>172422</v>
      </c>
      <c r="AC2980" s="40" t="s">
        <v>1650</v>
      </c>
      <c r="AD2980" s="7">
        <f>$AD2978+$AB2980</f>
        <v>357001.9</v>
      </c>
    </row>
    <row r="2981" spans="1:38" ht="18.399999999999999" customHeight="1">
      <c r="A2981" s="41" t="s">
        <v>6232</v>
      </c>
      <c r="B2981" s="37"/>
      <c r="C2981" s="37"/>
      <c r="D2981" s="37"/>
      <c r="E2981" s="37"/>
      <c r="F2981" s="45"/>
      <c r="K2981" s="3" t="s">
        <v>6232</v>
      </c>
    </row>
    <row r="2982" spans="1:38" ht="18.399999999999999" customHeight="1">
      <c r="A2982" s="42" t="str">
        <f>CONCATENATE("  6) 공장보온재 :  2.992  m  * _x001D_70,640_x001D_ = ",TEXT($AB2982,"#,##0.0"))</f>
        <v xml:space="preserve">  6) 공장보온재 :  2.992  m  * _x001D_70,640_x001D_ = 211,354.8</v>
      </c>
      <c r="B2982" s="37">
        <f>SUM($C2982,$D2982,$E2982)</f>
        <v>211354.8</v>
      </c>
      <c r="C2982" s="37">
        <f>$AB2982</f>
        <v>211354.8</v>
      </c>
      <c r="D2982" s="37"/>
      <c r="E2982" s="37"/>
      <c r="F2982" s="45" t="s">
        <v>6232</v>
      </c>
      <c r="K2982" s="3" t="s">
        <v>2070</v>
      </c>
      <c r="AA2982" s="40" t="s">
        <v>2660</v>
      </c>
      <c r="AB2982" s="8">
        <f>TRUNC(2.992*자재조서!E76,1)</f>
        <v>211354.8</v>
      </c>
      <c r="AC2982" s="40" t="s">
        <v>1650</v>
      </c>
      <c r="AD2982" s="7">
        <f>$AD2980+$AB2982</f>
        <v>568356.69999999995</v>
      </c>
    </row>
    <row r="2983" spans="1:38" ht="18.399999999999999" customHeight="1">
      <c r="A2983" s="41" t="s">
        <v>6232</v>
      </c>
      <c r="B2983" s="37"/>
      <c r="C2983" s="37"/>
      <c r="D2983" s="37"/>
      <c r="E2983" s="37"/>
      <c r="F2983" s="45"/>
      <c r="K2983" s="3" t="s">
        <v>6232</v>
      </c>
    </row>
    <row r="2984" spans="1:38" ht="18.399999999999999" customHeight="1">
      <c r="A2984" s="42" t="str">
        <f>CONCATENATE("  7) 석동선 :  15.59  m  * _x001D_16.5_x001D_ = ",TEXT($AB2984,"#,##0.0"))</f>
        <v xml:space="preserve">  7) 석동선 :  15.59  m  * _x001D_16.5_x001D_ = 257.2</v>
      </c>
      <c r="B2984" s="37">
        <f>SUM($C2984,$D2984,$E2984)</f>
        <v>257.2</v>
      </c>
      <c r="C2984" s="37">
        <f>$AB2984</f>
        <v>257.2</v>
      </c>
      <c r="D2984" s="37"/>
      <c r="E2984" s="37"/>
      <c r="F2984" s="45" t="s">
        <v>6232</v>
      </c>
      <c r="K2984" s="3" t="s">
        <v>2969</v>
      </c>
      <c r="AA2984" s="40" t="s">
        <v>2660</v>
      </c>
      <c r="AB2984" s="8">
        <f>TRUNC(15.59*자재조서!E85,1)</f>
        <v>257.2</v>
      </c>
      <c r="AC2984" s="40" t="s">
        <v>1650</v>
      </c>
      <c r="AD2984" s="7">
        <f>$AD2982+$AB2984</f>
        <v>568613.89999999991</v>
      </c>
    </row>
    <row r="2985" spans="1:38" ht="18.399999999999999" customHeight="1">
      <c r="A2985" s="41" t="s">
        <v>6232</v>
      </c>
      <c r="B2985" s="37"/>
      <c r="C2985" s="37"/>
      <c r="D2985" s="37"/>
      <c r="E2985" s="37"/>
      <c r="F2985" s="45"/>
      <c r="K2985" s="3" t="s">
        <v>6232</v>
      </c>
    </row>
    <row r="2986" spans="1:38" ht="18.399999999999999" customHeight="1">
      <c r="A2986" s="41" t="s">
        <v>4035</v>
      </c>
      <c r="B2986" s="37">
        <f>SUM($C2986,$D2986,$E2986)</f>
        <v>568613.9</v>
      </c>
      <c r="C2986" s="37">
        <f>$AB2986</f>
        <v>568613.9</v>
      </c>
      <c r="D2986" s="37">
        <f>$AF2986</f>
        <v>0</v>
      </c>
      <c r="E2986" s="37">
        <f>$AJ2986</f>
        <v>0</v>
      </c>
      <c r="F2986" s="45"/>
      <c r="K2986" s="3" t="s">
        <v>6125</v>
      </c>
      <c r="AA2986" s="40" t="s">
        <v>4592</v>
      </c>
      <c r="AB2986" s="8">
        <f>TRUNC($AD2984,1)</f>
        <v>568613.9</v>
      </c>
      <c r="AC2986" s="40" t="s">
        <v>5149</v>
      </c>
      <c r="AD2986" s="7">
        <f>$AB2986</f>
        <v>568613.9</v>
      </c>
      <c r="AE2986" s="40" t="s">
        <v>666</v>
      </c>
      <c r="AF2986" s="8">
        <f>TRUNC($AH2969,1)</f>
        <v>0</v>
      </c>
      <c r="AG2986" s="40" t="s">
        <v>2431</v>
      </c>
      <c r="AH2986" s="7">
        <f>$AF2986</f>
        <v>0</v>
      </c>
      <c r="AI2986" s="40" t="s">
        <v>1930</v>
      </c>
      <c r="AJ2986" s="8">
        <f>TRUNC($AL2969,1)</f>
        <v>0</v>
      </c>
      <c r="AK2986" s="40" t="s">
        <v>3349</v>
      </c>
      <c r="AL2986" s="7">
        <f>$AJ2986</f>
        <v>0</v>
      </c>
    </row>
    <row r="2987" spans="1:38" ht="18.399999999999999" customHeight="1">
      <c r="A2987" s="41" t="s">
        <v>6232</v>
      </c>
      <c r="B2987" s="37">
        <f>SUM($C2987,$D2987,$E2987)</f>
        <v>0</v>
      </c>
      <c r="C2987" s="37">
        <f>$AB2987</f>
        <v>0</v>
      </c>
      <c r="D2987" s="37">
        <f>$AF2987</f>
        <v>0</v>
      </c>
      <c r="E2987" s="37">
        <f>$AJ2987</f>
        <v>0</v>
      </c>
      <c r="F2987" s="45"/>
      <c r="K2987" s="3" t="s">
        <v>5506</v>
      </c>
      <c r="AA2987" s="40" t="s">
        <v>4586</v>
      </c>
      <c r="AB2987" s="8">
        <f>ROUND(0,2)</f>
        <v>0</v>
      </c>
      <c r="AC2987" s="40" t="s">
        <v>4161</v>
      </c>
      <c r="AD2987" s="7">
        <f>$AB2987</f>
        <v>0</v>
      </c>
      <c r="AE2987" s="40" t="s">
        <v>222</v>
      </c>
      <c r="AF2987" s="8">
        <f>ROUND(0,2)</f>
        <v>0</v>
      </c>
      <c r="AG2987" s="40" t="s">
        <v>334</v>
      </c>
      <c r="AH2987" s="7">
        <f>$AF2987</f>
        <v>0</v>
      </c>
      <c r="AI2987" s="40" t="s">
        <v>1574</v>
      </c>
      <c r="AJ2987" s="8">
        <f>ROUND(0,2)</f>
        <v>0</v>
      </c>
      <c r="AK2987" s="40" t="s">
        <v>1622</v>
      </c>
      <c r="AL2987" s="7">
        <f>$AJ2987</f>
        <v>0</v>
      </c>
    </row>
    <row r="2988" spans="1:38" ht="18.399999999999999" customHeight="1">
      <c r="A2988" s="41" t="s">
        <v>231</v>
      </c>
      <c r="B2988" s="37"/>
      <c r="C2988" s="37"/>
      <c r="D2988" s="37"/>
      <c r="E2988" s="37"/>
      <c r="F2988" s="45"/>
      <c r="K2988" s="3" t="s">
        <v>268</v>
      </c>
    </row>
    <row r="2989" spans="1:38" ht="18.399999999999999" customHeight="1">
      <c r="A2989" s="41" t="s">
        <v>6232</v>
      </c>
      <c r="B2989" s="37"/>
      <c r="C2989" s="37"/>
      <c r="D2989" s="37"/>
      <c r="E2989" s="37"/>
      <c r="F2989" s="45"/>
      <c r="K2989" s="3" t="s">
        <v>6232</v>
      </c>
    </row>
    <row r="2990" spans="1:38" ht="18.399999999999999" customHeight="1">
      <c r="A2990" s="41" t="s">
        <v>5533</v>
      </c>
      <c r="B2990" s="37"/>
      <c r="C2990" s="37"/>
      <c r="D2990" s="37"/>
      <c r="E2990" s="37"/>
      <c r="F2990" s="45"/>
      <c r="K2990" s="3" t="s">
        <v>3259</v>
      </c>
    </row>
    <row r="2991" spans="1:38" ht="18.399999999999999" customHeight="1">
      <c r="A2991" s="42" t="str">
        <f>CONCATENATE("    4.594  인  * Q * _x001D_213,722_x001D_ = ",TEXT($AB2991,"#,##0.0"))</f>
        <v xml:space="preserve">    4.594  인  * Q * _x001D_213,722_x001D_ = 1,146,496.0</v>
      </c>
      <c r="B2991" s="37">
        <f>SUM($C2991,$D2991,$E2991)</f>
        <v>1146496</v>
      </c>
      <c r="C2991" s="37"/>
      <c r="D2991" s="37">
        <f>$AB2991</f>
        <v>1146496</v>
      </c>
      <c r="E2991" s="37"/>
      <c r="F2991" s="45" t="s">
        <v>6232</v>
      </c>
      <c r="K2991" s="3" t="s">
        <v>1796</v>
      </c>
      <c r="AA2991" s="40" t="s">
        <v>222</v>
      </c>
      <c r="AB2991" s="8">
        <f>TRUNC(4.594*$AD2968*노임!D10,1)</f>
        <v>1146496</v>
      </c>
      <c r="AC2991" s="40" t="s">
        <v>334</v>
      </c>
      <c r="AD2991" s="7">
        <f>$AH2987+$AB2991</f>
        <v>1146496</v>
      </c>
    </row>
    <row r="2992" spans="1:38" ht="18.399999999999999" customHeight="1">
      <c r="A2992" s="41" t="s">
        <v>6232</v>
      </c>
      <c r="B2992" s="37"/>
      <c r="C2992" s="37"/>
      <c r="D2992" s="37"/>
      <c r="E2992" s="37"/>
      <c r="F2992" s="45"/>
      <c r="K2992" s="3" t="s">
        <v>6232</v>
      </c>
    </row>
    <row r="2993" spans="1:38" ht="18.399999999999999" customHeight="1">
      <c r="A2993" s="41" t="s">
        <v>585</v>
      </c>
      <c r="B2993" s="37"/>
      <c r="C2993" s="37"/>
      <c r="D2993" s="37"/>
      <c r="E2993" s="37"/>
      <c r="F2993" s="45"/>
      <c r="K2993" s="3" t="s">
        <v>5657</v>
      </c>
    </row>
    <row r="2994" spans="1:38" ht="18.399999999999999" customHeight="1">
      <c r="A2994" s="42" t="str">
        <f>CONCATENATE("    1.601  인  * Q * _x001D_201,482_x001D_ = ",TEXT($AB2994,"#,##0.0"))</f>
        <v xml:space="preserve">    1.601  인  * Q * _x001D_201,482_x001D_ = 372,781.3</v>
      </c>
      <c r="B2994" s="37">
        <f>SUM($C2994,$D2994,$E2994)</f>
        <v>372781.3</v>
      </c>
      <c r="C2994" s="37"/>
      <c r="D2994" s="37">
        <f>$AB2994</f>
        <v>372781.3</v>
      </c>
      <c r="E2994" s="37"/>
      <c r="F2994" s="45" t="s">
        <v>6232</v>
      </c>
      <c r="K2994" s="3" t="s">
        <v>2156</v>
      </c>
      <c r="AA2994" s="40" t="s">
        <v>222</v>
      </c>
      <c r="AB2994" s="8">
        <f>TRUNC(1.601*$AD2968*노임!D9,1)</f>
        <v>372781.3</v>
      </c>
      <c r="AC2994" s="40" t="s">
        <v>334</v>
      </c>
      <c r="AD2994" s="7">
        <f>$AD2991+$AB2994</f>
        <v>1519277.3</v>
      </c>
    </row>
    <row r="2995" spans="1:38" ht="18.399999999999999" customHeight="1">
      <c r="A2995" s="41" t="s">
        <v>6232</v>
      </c>
      <c r="B2995" s="37"/>
      <c r="C2995" s="37"/>
      <c r="D2995" s="37"/>
      <c r="E2995" s="37"/>
      <c r="F2995" s="45"/>
      <c r="K2995" s="3" t="s">
        <v>6232</v>
      </c>
    </row>
    <row r="2996" spans="1:38" ht="18.399999999999999" customHeight="1">
      <c r="A2996" s="41" t="s">
        <v>3917</v>
      </c>
      <c r="B2996" s="37"/>
      <c r="C2996" s="37"/>
      <c r="D2996" s="37"/>
      <c r="E2996" s="37"/>
      <c r="F2996" s="45"/>
      <c r="K2996" s="3" t="s">
        <v>4355</v>
      </c>
    </row>
    <row r="2997" spans="1:38" ht="18.399999999999999" customHeight="1">
      <c r="A2997" s="42" t="str">
        <f>CONCATENATE("    0.464  인  * Q * _x001D_221,506_x001D_ = ",TEXT($AB2997,"#,##0.0"))</f>
        <v xml:space="preserve">    0.464  인  * Q * _x001D_221,506_x001D_ = 120,658.6</v>
      </c>
      <c r="B2997" s="37">
        <f>SUM($C2997,$D2997,$E2997)</f>
        <v>120658.6</v>
      </c>
      <c r="C2997" s="37"/>
      <c r="D2997" s="37">
        <f>$AB2997</f>
        <v>120658.6</v>
      </c>
      <c r="E2997" s="37"/>
      <c r="F2997" s="45" t="s">
        <v>6232</v>
      </c>
      <c r="K2997" s="3" t="s">
        <v>4010</v>
      </c>
      <c r="AA2997" s="40" t="s">
        <v>222</v>
      </c>
      <c r="AB2997" s="8">
        <f>TRUNC(0.464*$AD2968*노임!D4,1)</f>
        <v>120658.6</v>
      </c>
      <c r="AC2997" s="40" t="s">
        <v>334</v>
      </c>
      <c r="AD2997" s="7">
        <f>$AD2994+$AB2997</f>
        <v>1639935.9000000001</v>
      </c>
    </row>
    <row r="2998" spans="1:38" ht="18.399999999999999" customHeight="1">
      <c r="A2998" s="41" t="s">
        <v>6232</v>
      </c>
      <c r="B2998" s="37"/>
      <c r="C2998" s="37"/>
      <c r="D2998" s="37"/>
      <c r="E2998" s="37"/>
      <c r="F2998" s="45"/>
      <c r="K2998" s="3" t="s">
        <v>6232</v>
      </c>
    </row>
    <row r="2999" spans="1:38" ht="18.399999999999999" customHeight="1">
      <c r="A2999" s="41" t="s">
        <v>4277</v>
      </c>
      <c r="B2999" s="37"/>
      <c r="C2999" s="37"/>
      <c r="D2999" s="37"/>
      <c r="E2999" s="37"/>
      <c r="F2999" s="45"/>
      <c r="K2999" s="3" t="s">
        <v>4663</v>
      </c>
    </row>
    <row r="3000" spans="1:38" ht="18.399999999999999" customHeight="1">
      <c r="A3000" s="42" t="str">
        <f>CONCATENATE("    2.109  인  * Q * _x001D_169,804_x001D_ = ",TEXT($AB3000,"#,##0.0"))</f>
        <v xml:space="preserve">    2.109  인  * Q * _x001D_169,804_x001D_ = 417,325.1</v>
      </c>
      <c r="B3000" s="37">
        <f>SUM($C3000,$D3000,$E3000)</f>
        <v>417325.1</v>
      </c>
      <c r="C3000" s="37"/>
      <c r="D3000" s="37">
        <f>$AB3000</f>
        <v>417325.1</v>
      </c>
      <c r="E3000" s="37"/>
      <c r="F3000" s="45" t="s">
        <v>6232</v>
      </c>
      <c r="K3000" s="3" t="s">
        <v>2003</v>
      </c>
      <c r="AA3000" s="40" t="s">
        <v>222</v>
      </c>
      <c r="AB3000" s="8">
        <f>TRUNC(2.109*$AD2968*노임!D3,1)</f>
        <v>417325.1</v>
      </c>
      <c r="AC3000" s="40" t="s">
        <v>334</v>
      </c>
      <c r="AD3000" s="7">
        <f>$AD2997+$AB3000</f>
        <v>2057261</v>
      </c>
    </row>
    <row r="3001" spans="1:38" ht="18.399999999999999" customHeight="1">
      <c r="A3001" s="41" t="s">
        <v>6232</v>
      </c>
      <c r="B3001" s="37"/>
      <c r="C3001" s="37"/>
      <c r="D3001" s="37"/>
      <c r="E3001" s="37"/>
      <c r="F3001" s="45"/>
      <c r="K3001" s="3" t="s">
        <v>6232</v>
      </c>
    </row>
    <row r="3002" spans="1:38" ht="18.399999999999999" customHeight="1">
      <c r="A3002" s="41" t="s">
        <v>4035</v>
      </c>
      <c r="B3002" s="37">
        <f>SUM($C3002,$D3002,$E3002)</f>
        <v>2057261</v>
      </c>
      <c r="C3002" s="37">
        <f>$AB3002</f>
        <v>0</v>
      </c>
      <c r="D3002" s="37">
        <f>$AF3002</f>
        <v>2057261</v>
      </c>
      <c r="E3002" s="37">
        <f>$AJ3002</f>
        <v>0</v>
      </c>
      <c r="F3002" s="45"/>
      <c r="K3002" s="3" t="s">
        <v>134</v>
      </c>
      <c r="AA3002" s="40" t="s">
        <v>4592</v>
      </c>
      <c r="AB3002" s="8">
        <f>TRUNC($AD2987,1)</f>
        <v>0</v>
      </c>
      <c r="AC3002" s="40" t="s">
        <v>5149</v>
      </c>
      <c r="AD3002" s="7">
        <f>$AD2986+$AB3002</f>
        <v>568613.9</v>
      </c>
      <c r="AE3002" s="40" t="s">
        <v>666</v>
      </c>
      <c r="AF3002" s="8">
        <f>TRUNC($AD3000,1)</f>
        <v>2057261</v>
      </c>
      <c r="AG3002" s="40" t="s">
        <v>2431</v>
      </c>
      <c r="AH3002" s="7">
        <f>$AH2986+$AF3002</f>
        <v>2057261</v>
      </c>
      <c r="AI3002" s="40" t="s">
        <v>1930</v>
      </c>
      <c r="AJ3002" s="8">
        <f>TRUNC($AL2987,1)</f>
        <v>0</v>
      </c>
      <c r="AK3002" s="40" t="s">
        <v>3349</v>
      </c>
      <c r="AL3002" s="7">
        <f>$AL2986+$AJ3002</f>
        <v>0</v>
      </c>
    </row>
    <row r="3003" spans="1:38" ht="18.399999999999999" customHeight="1">
      <c r="A3003" s="41" t="s">
        <v>6232</v>
      </c>
      <c r="B3003" s="37">
        <f>SUM($C3003,$D3003,$E3003)</f>
        <v>0</v>
      </c>
      <c r="C3003" s="37">
        <f>$AB3003</f>
        <v>0</v>
      </c>
      <c r="D3003" s="37">
        <f>$AF3003</f>
        <v>0</v>
      </c>
      <c r="E3003" s="37">
        <f>$AJ3003</f>
        <v>0</v>
      </c>
      <c r="F3003" s="45"/>
      <c r="K3003" s="3" t="s">
        <v>3238</v>
      </c>
      <c r="AA3003" s="40" t="s">
        <v>308</v>
      </c>
      <c r="AB3003" s="8">
        <f>ROUND(0,2)</f>
        <v>0</v>
      </c>
      <c r="AC3003" s="40" t="s">
        <v>5000</v>
      </c>
      <c r="AD3003" s="7">
        <f>$AB3003</f>
        <v>0</v>
      </c>
      <c r="AE3003" s="40" t="s">
        <v>4500</v>
      </c>
      <c r="AF3003" s="8">
        <f>ROUND(0,2)</f>
        <v>0</v>
      </c>
      <c r="AG3003" s="40" t="s">
        <v>2603</v>
      </c>
      <c r="AH3003" s="7">
        <f>$AF3003</f>
        <v>0</v>
      </c>
      <c r="AI3003" s="40" t="s">
        <v>5878</v>
      </c>
      <c r="AJ3003" s="8">
        <f>ROUND(0,2)</f>
        <v>0</v>
      </c>
      <c r="AK3003" s="40" t="s">
        <v>787</v>
      </c>
      <c r="AL3003" s="7">
        <f>$AJ3003</f>
        <v>0</v>
      </c>
    </row>
    <row r="3004" spans="1:38" ht="18.399999999999999" customHeight="1">
      <c r="A3004" s="41" t="s">
        <v>760</v>
      </c>
      <c r="B3004" s="37"/>
      <c r="C3004" s="37"/>
      <c r="D3004" s="37"/>
      <c r="E3004" s="37"/>
      <c r="F3004" s="45"/>
      <c r="K3004" s="3" t="s">
        <v>5465</v>
      </c>
    </row>
    <row r="3005" spans="1:38" ht="18.399999999999999" customHeight="1">
      <c r="A3005" s="41" t="s">
        <v>6232</v>
      </c>
      <c r="B3005" s="37"/>
      <c r="C3005" s="37"/>
      <c r="D3005" s="37"/>
      <c r="E3005" s="37"/>
      <c r="F3005" s="45"/>
      <c r="K3005" s="3" t="s">
        <v>6232</v>
      </c>
    </row>
    <row r="3006" spans="1:38" ht="18.399999999999999" customHeight="1">
      <c r="A3006" s="42" t="str">
        <f>CONCATENATE("    LA2 / Q * 0.02 = ",TEXT($AB3006,"#,##0.0"))</f>
        <v xml:space="preserve">    LA2 / Q * 0.02 = 35,778.4</v>
      </c>
      <c r="B3006" s="37">
        <f>SUM($C3006,$D3006,$E3006)</f>
        <v>35778.400000000001</v>
      </c>
      <c r="C3006" s="37"/>
      <c r="D3006" s="37"/>
      <c r="E3006" s="37">
        <f>$AB3006</f>
        <v>35778.400000000001</v>
      </c>
      <c r="F3006" s="45"/>
      <c r="K3006" s="3" t="s">
        <v>4829</v>
      </c>
      <c r="AA3006" s="40" t="s">
        <v>5878</v>
      </c>
      <c r="AB3006" s="8">
        <f>TRUNC($AD3000/$AD2968*0.02,1)</f>
        <v>35778.400000000001</v>
      </c>
      <c r="AC3006" s="40" t="s">
        <v>787</v>
      </c>
      <c r="AD3006" s="7">
        <f>$AL3003+$AB3006</f>
        <v>35778.400000000001</v>
      </c>
    </row>
    <row r="3007" spans="1:38" ht="18.399999999999999" customHeight="1">
      <c r="A3007" s="41" t="s">
        <v>6232</v>
      </c>
      <c r="B3007" s="37"/>
      <c r="C3007" s="37"/>
      <c r="D3007" s="37"/>
      <c r="E3007" s="37"/>
      <c r="F3007" s="45"/>
      <c r="K3007" s="3" t="s">
        <v>6232</v>
      </c>
    </row>
    <row r="3008" spans="1:38" ht="18.399999999999999" customHeight="1">
      <c r="A3008" s="41" t="s">
        <v>4035</v>
      </c>
      <c r="B3008" s="37">
        <f>SUM($C3008,$D3008,$E3008)</f>
        <v>35778.400000000001</v>
      </c>
      <c r="C3008" s="37">
        <f>$AB3008</f>
        <v>0</v>
      </c>
      <c r="D3008" s="37">
        <f>$AF3008</f>
        <v>0</v>
      </c>
      <c r="E3008" s="37">
        <f>$AJ3008</f>
        <v>35778.400000000001</v>
      </c>
      <c r="F3008" s="45"/>
      <c r="K3008" s="3" t="s">
        <v>4813</v>
      </c>
      <c r="AA3008" s="40" t="s">
        <v>4592</v>
      </c>
      <c r="AB3008" s="8">
        <f>TRUNC($AD3003,1)</f>
        <v>0</v>
      </c>
      <c r="AC3008" s="40" t="s">
        <v>5149</v>
      </c>
      <c r="AD3008" s="7">
        <f>$AD3002+$AB3008</f>
        <v>568613.9</v>
      </c>
      <c r="AE3008" s="40" t="s">
        <v>666</v>
      </c>
      <c r="AF3008" s="8">
        <f>TRUNC($AH3003,1)</f>
        <v>0</v>
      </c>
      <c r="AG3008" s="40" t="s">
        <v>2431</v>
      </c>
      <c r="AH3008" s="7">
        <f>$AH3002+$AF3008</f>
        <v>2057261</v>
      </c>
      <c r="AI3008" s="40" t="s">
        <v>1930</v>
      </c>
      <c r="AJ3008" s="8">
        <f>TRUNC($AD3006,1)</f>
        <v>35778.400000000001</v>
      </c>
      <c r="AK3008" s="40" t="s">
        <v>3349</v>
      </c>
      <c r="AL3008" s="7">
        <f>$AL3002+$AJ3008</f>
        <v>35778.400000000001</v>
      </c>
    </row>
    <row r="3009" spans="1:38" ht="18.399999999999999" customHeight="1">
      <c r="A3009" s="41" t="s">
        <v>6232</v>
      </c>
      <c r="B3009" s="37"/>
      <c r="C3009" s="37"/>
      <c r="D3009" s="37"/>
      <c r="E3009" s="37"/>
      <c r="F3009" s="45"/>
      <c r="K3009" s="3" t="s">
        <v>6232</v>
      </c>
    </row>
    <row r="3010" spans="1:38" ht="18.399999999999999" customHeight="1">
      <c r="A3010" s="41" t="s">
        <v>4002</v>
      </c>
      <c r="B3010" s="37">
        <v>2634022.8000000003</v>
      </c>
      <c r="C3010" s="37">
        <v>568613.9</v>
      </c>
      <c r="D3010" s="37">
        <v>2030102.8</v>
      </c>
      <c r="E3010" s="37">
        <v>35306.1</v>
      </c>
      <c r="F3010" s="45"/>
      <c r="K3010" s="3" t="s">
        <v>916</v>
      </c>
    </row>
    <row r="3011" spans="1:38" ht="18.399999999999999" customHeight="1">
      <c r="A3011" s="41"/>
      <c r="B3011" s="3"/>
      <c r="C3011" s="3"/>
      <c r="D3011" s="3"/>
      <c r="E3011" s="3"/>
      <c r="F3011" s="44"/>
    </row>
    <row r="3012" spans="1:38" ht="18.399999999999999" customHeight="1">
      <c r="A3012" s="43" t="s">
        <v>3543</v>
      </c>
      <c r="B3012" s="38">
        <f>SUM($C3012,$D3012,$E3012)</f>
        <v>2661652</v>
      </c>
      <c r="C3012" s="38">
        <f>TRUNC(SUM($AD3008),0)</f>
        <v>568613</v>
      </c>
      <c r="D3012" s="38">
        <f>TRUNC(SUM($AH3008),0)</f>
        <v>2057261</v>
      </c>
      <c r="E3012" s="38">
        <f>TRUNC(SUM($AL3008),0)</f>
        <v>35778</v>
      </c>
      <c r="F3012" s="46"/>
    </row>
    <row r="3013" spans="1:38" ht="18.399999999999999" customHeight="1">
      <c r="A3013" s="41"/>
      <c r="B3013" s="3"/>
      <c r="C3013" s="3"/>
      <c r="D3013" s="3"/>
      <c r="E3013" s="3"/>
      <c r="F3013" s="44"/>
    </row>
    <row r="3014" spans="1:38" ht="18.399999999999999" customHeight="1">
      <c r="A3014" s="41" t="s">
        <v>4472</v>
      </c>
      <c r="B3014" s="36">
        <f>$B3066</f>
        <v>3101903</v>
      </c>
      <c r="C3014" s="36">
        <f>$C3066</f>
        <v>773486</v>
      </c>
      <c r="D3014" s="36">
        <f>$D3066</f>
        <v>2288615</v>
      </c>
      <c r="E3014" s="36">
        <f>$E3066</f>
        <v>39802</v>
      </c>
      <c r="F3014" s="44" t="s">
        <v>4819</v>
      </c>
      <c r="G3014" t="s">
        <v>6232</v>
      </c>
      <c r="H3014" t="s">
        <v>902</v>
      </c>
      <c r="K3014">
        <v>1</v>
      </c>
      <c r="Y3014" s="7" t="b">
        <f>EXACT($Z3014,$B3066)</f>
        <v>0</v>
      </c>
      <c r="Z3014" s="38">
        <v>3071202</v>
      </c>
    </row>
    <row r="3015" spans="1:38" ht="18.399999999999999" customHeight="1">
      <c r="A3015" s="41"/>
      <c r="B3015" s="3"/>
      <c r="C3015" s="3"/>
      <c r="D3015" s="3"/>
      <c r="E3015" s="3"/>
      <c r="F3015" s="44"/>
    </row>
    <row r="3016" spans="1:38" ht="18.399999999999999" customHeight="1">
      <c r="A3016" s="41" t="s">
        <v>6232</v>
      </c>
      <c r="B3016" s="3"/>
      <c r="C3016" s="3"/>
      <c r="D3016" s="3"/>
      <c r="E3016" s="3"/>
      <c r="F3016" s="44"/>
      <c r="G3016" t="s">
        <v>6232</v>
      </c>
      <c r="I3016" t="s">
        <v>742</v>
      </c>
      <c r="J3016" t="s">
        <v>6232</v>
      </c>
      <c r="K3016" t="s">
        <v>5235</v>
      </c>
    </row>
    <row r="3017" spans="1:38" ht="18.399999999999999" customHeight="1">
      <c r="A3017" s="41" t="s">
        <v>3604</v>
      </c>
      <c r="B3017" s="37"/>
      <c r="C3017" s="37"/>
      <c r="D3017" s="37"/>
      <c r="E3017" s="37"/>
      <c r="F3017" s="45"/>
      <c r="K3017" s="3" t="s">
        <v>4758</v>
      </c>
    </row>
    <row r="3018" spans="1:38" ht="18.399999999999999" customHeight="1">
      <c r="A3018" s="41" t="s">
        <v>6232</v>
      </c>
      <c r="B3018" s="37"/>
      <c r="C3018" s="37"/>
      <c r="D3018" s="37"/>
      <c r="E3018" s="37"/>
      <c r="F3018" s="45"/>
      <c r="K3018" s="3" t="s">
        <v>6232</v>
      </c>
    </row>
    <row r="3019" spans="1:38" ht="18.399999999999999" customHeight="1">
      <c r="A3019" s="41" t="s">
        <v>2476</v>
      </c>
      <c r="B3019" s="37"/>
      <c r="C3019" s="37"/>
      <c r="D3019" s="37"/>
      <c r="E3019" s="37"/>
      <c r="F3019" s="45"/>
      <c r="K3019" s="3" t="s">
        <v>5810</v>
      </c>
    </row>
    <row r="3020" spans="1:38" ht="18.399999999999999" customHeight="1">
      <c r="A3020" s="41" t="s">
        <v>774</v>
      </c>
      <c r="B3020" s="37"/>
      <c r="C3020" s="37"/>
      <c r="D3020" s="37"/>
      <c r="E3020" s="37"/>
      <c r="F3020" s="45"/>
      <c r="K3020" s="3" t="s">
        <v>3563</v>
      </c>
    </row>
    <row r="3021" spans="1:38" ht="18.399999999999999" customHeight="1">
      <c r="A3021" s="41" t="s">
        <v>1642</v>
      </c>
      <c r="B3021" s="37"/>
      <c r="C3021" s="37"/>
      <c r="D3021" s="37"/>
      <c r="E3021" s="37"/>
      <c r="F3021" s="45"/>
      <c r="K3021" s="3" t="s">
        <v>2758</v>
      </c>
    </row>
    <row r="3022" spans="1:38" ht="18.399999999999999" customHeight="1">
      <c r="A3022" s="42" t="str">
        <f>CONCATENATE("          Q=",TEXT($AB3022,"#,##0.00"))</f>
        <v xml:space="preserve">          Q=1.15</v>
      </c>
      <c r="B3022" s="37"/>
      <c r="C3022" s="37"/>
      <c r="D3022" s="37"/>
      <c r="E3022" s="37"/>
      <c r="F3022" s="45"/>
      <c r="K3022" s="10" t="str">
        <f>SUBSTITUTE(SUBSTITUTE("          Q=1.15","1.15",TEXT($AB3022,"#,##0.00"),1),"_x001D_","'")</f>
        <v xml:space="preserve">          Q=1.15</v>
      </c>
      <c r="AA3022" s="39" t="s">
        <v>4337</v>
      </c>
      <c r="AB3022" s="6">
        <v>1.1499999999999999</v>
      </c>
      <c r="AC3022" s="39" t="s">
        <v>4337</v>
      </c>
      <c r="AD3022" s="7">
        <f>$AB3022</f>
        <v>1.1499999999999999</v>
      </c>
    </row>
    <row r="3023" spans="1:38" ht="18.399999999999999" customHeight="1">
      <c r="A3023" s="41" t="s">
        <v>6232</v>
      </c>
      <c r="B3023" s="37">
        <f>SUM($C3023,$D3023,$E3023)</f>
        <v>0</v>
      </c>
      <c r="C3023" s="37">
        <f>$AB3023</f>
        <v>0</v>
      </c>
      <c r="D3023" s="37">
        <f>$AF3023</f>
        <v>0</v>
      </c>
      <c r="E3023" s="37">
        <f>$AJ3023</f>
        <v>0</v>
      </c>
      <c r="F3023" s="45"/>
      <c r="K3023" s="3" t="s">
        <v>295</v>
      </c>
      <c r="AA3023" s="40" t="s">
        <v>2660</v>
      </c>
      <c r="AB3023" s="8">
        <f>ROUND(0,2)</f>
        <v>0</v>
      </c>
      <c r="AC3023" s="40" t="s">
        <v>1650</v>
      </c>
      <c r="AD3023" s="7">
        <f>$AB3023</f>
        <v>0</v>
      </c>
      <c r="AE3023" s="40" t="s">
        <v>5305</v>
      </c>
      <c r="AF3023" s="8">
        <f>ROUND(0,2)</f>
        <v>0</v>
      </c>
      <c r="AG3023" s="40" t="s">
        <v>5439</v>
      </c>
      <c r="AH3023" s="7">
        <f>$AF3023</f>
        <v>0</v>
      </c>
      <c r="AI3023" s="40" t="s">
        <v>3519</v>
      </c>
      <c r="AJ3023" s="8">
        <f>ROUND(0,2)</f>
        <v>0</v>
      </c>
      <c r="AK3023" s="40" t="s">
        <v>4149</v>
      </c>
      <c r="AL3023" s="7">
        <f>$AJ3023</f>
        <v>0</v>
      </c>
    </row>
    <row r="3024" spans="1:38" ht="18.399999999999999" customHeight="1">
      <c r="A3024" s="41" t="s">
        <v>4464</v>
      </c>
      <c r="B3024" s="37"/>
      <c r="C3024" s="37"/>
      <c r="D3024" s="37"/>
      <c r="E3024" s="37"/>
      <c r="F3024" s="45"/>
      <c r="K3024" s="3" t="s">
        <v>311</v>
      </c>
    </row>
    <row r="3025" spans="1:38" ht="18.399999999999999" customHeight="1">
      <c r="A3025" s="41" t="s">
        <v>6232</v>
      </c>
      <c r="B3025" s="37"/>
      <c r="C3025" s="37"/>
      <c r="D3025" s="37"/>
      <c r="E3025" s="37"/>
      <c r="F3025" s="45"/>
      <c r="K3025" s="3" t="s">
        <v>6232</v>
      </c>
    </row>
    <row r="3026" spans="1:38" ht="18.399999999999999" customHeight="1">
      <c r="A3026" s="42" t="str">
        <f>CONCATENATE("  1) POLYOL :  17.52  kg  * _x001D_4,500_x001D_ = ",TEXT($AB3026,"#,##0.0"))</f>
        <v xml:space="preserve">  1) POLYOL :  17.52  kg  * _x001D_4,500_x001D_ = 78,840.0</v>
      </c>
      <c r="B3026" s="37">
        <f>SUM($C3026,$D3026,$E3026)</f>
        <v>78840</v>
      </c>
      <c r="C3026" s="37">
        <f>$AB3026</f>
        <v>78840</v>
      </c>
      <c r="D3026" s="37"/>
      <c r="E3026" s="37"/>
      <c r="F3026" s="45" t="s">
        <v>6232</v>
      </c>
      <c r="K3026" s="3" t="s">
        <v>5350</v>
      </c>
      <c r="AA3026" s="40" t="s">
        <v>2660</v>
      </c>
      <c r="AB3026" s="8">
        <f>TRUNC(17.52*자재조서!E46,1)</f>
        <v>78840</v>
      </c>
      <c r="AC3026" s="40" t="s">
        <v>1650</v>
      </c>
      <c r="AD3026" s="7">
        <f>$AD3023+$AB3026</f>
        <v>78840</v>
      </c>
    </row>
    <row r="3027" spans="1:38" ht="18.399999999999999" customHeight="1">
      <c r="A3027" s="41" t="s">
        <v>6232</v>
      </c>
      <c r="B3027" s="37"/>
      <c r="C3027" s="37"/>
      <c r="D3027" s="37"/>
      <c r="E3027" s="37"/>
      <c r="F3027" s="45"/>
      <c r="K3027" s="3" t="s">
        <v>6232</v>
      </c>
    </row>
    <row r="3028" spans="1:38" ht="18.399999999999999" customHeight="1">
      <c r="A3028" s="42" t="str">
        <f>CONCATENATE("  2) MDI :  24.36  kg  * _x001D_4,000_x001D_  = ",TEXT($AB3028,"#,##0.0"))</f>
        <v xml:space="preserve">  2) MDI :  24.36  kg  * _x001D_4,000_x001D_  = 97,440.0</v>
      </c>
      <c r="B3028" s="37">
        <f>SUM($C3028,$D3028,$E3028)</f>
        <v>97440</v>
      </c>
      <c r="C3028" s="37">
        <f>$AB3028</f>
        <v>97440</v>
      </c>
      <c r="D3028" s="37"/>
      <c r="E3028" s="37"/>
      <c r="F3028" s="45" t="s">
        <v>6232</v>
      </c>
      <c r="K3028" s="3" t="s">
        <v>1706</v>
      </c>
      <c r="AA3028" s="40" t="s">
        <v>2660</v>
      </c>
      <c r="AB3028" s="8">
        <f>TRUNC(24.36*자재조서!E47,1)</f>
        <v>97440</v>
      </c>
      <c r="AC3028" s="40" t="s">
        <v>1650</v>
      </c>
      <c r="AD3028" s="7">
        <f>$AD3026+$AB3028</f>
        <v>176280</v>
      </c>
    </row>
    <row r="3029" spans="1:38" ht="18.399999999999999" customHeight="1">
      <c r="A3029" s="41" t="s">
        <v>6232</v>
      </c>
      <c r="B3029" s="37"/>
      <c r="C3029" s="37"/>
      <c r="D3029" s="37"/>
      <c r="E3029" s="37"/>
      <c r="F3029" s="45"/>
      <c r="K3029" s="3" t="s">
        <v>6232</v>
      </c>
    </row>
    <row r="3030" spans="1:38" ht="18.399999999999999" customHeight="1">
      <c r="A3030" s="41" t="s">
        <v>337</v>
      </c>
      <c r="B3030" s="37"/>
      <c r="C3030" s="37"/>
      <c r="D3030" s="37"/>
      <c r="E3030" s="37"/>
      <c r="F3030" s="45"/>
      <c r="K3030" s="3" t="s">
        <v>3279</v>
      </c>
    </row>
    <row r="3031" spans="1:38" ht="18.399999999999999" customHeight="1">
      <c r="A3031" s="41" t="s">
        <v>6232</v>
      </c>
      <c r="B3031" s="37"/>
      <c r="C3031" s="37"/>
      <c r="D3031" s="37"/>
      <c r="E3031" s="37"/>
      <c r="F3031" s="45"/>
      <c r="K3031" s="3" t="s">
        <v>6232</v>
      </c>
    </row>
    <row r="3032" spans="1:38" ht="18.399999999999999" customHeight="1">
      <c r="A3032" s="42" t="str">
        <f>CONCATENATE("  4) PE 용접봉 :  4.56  kg  * _x001D_10,738_x001D_= ",TEXT($AB3032,"#,##0.0"))</f>
        <v xml:space="preserve">  4) PE 용접봉 :  4.56  kg  * _x001D_10,738_x001D_= 48,965.2</v>
      </c>
      <c r="B3032" s="37">
        <f>SUM($C3032,$D3032,$E3032)</f>
        <v>48965.2</v>
      </c>
      <c r="C3032" s="37">
        <f>$AB3032</f>
        <v>48965.2</v>
      </c>
      <c r="D3032" s="37"/>
      <c r="E3032" s="37"/>
      <c r="F3032" s="45" t="s">
        <v>6232</v>
      </c>
      <c r="K3032" s="3" t="s">
        <v>4808</v>
      </c>
      <c r="AA3032" s="40" t="s">
        <v>2660</v>
      </c>
      <c r="AB3032" s="8">
        <f>TRUNC(4.56*자재조서!E41,1)</f>
        <v>48965.2</v>
      </c>
      <c r="AC3032" s="40" t="s">
        <v>1650</v>
      </c>
      <c r="AD3032" s="7">
        <f>$AD3028+$AB3032</f>
        <v>225245.2</v>
      </c>
    </row>
    <row r="3033" spans="1:38" ht="18.399999999999999" customHeight="1">
      <c r="A3033" s="41" t="s">
        <v>6232</v>
      </c>
      <c r="B3033" s="37"/>
      <c r="C3033" s="37"/>
      <c r="D3033" s="37"/>
      <c r="E3033" s="37"/>
      <c r="F3033" s="45"/>
      <c r="K3033" s="3" t="s">
        <v>6232</v>
      </c>
    </row>
    <row r="3034" spans="1:38" ht="18.399999999999999" customHeight="1">
      <c r="A3034" s="42" t="str">
        <f>CONCATENATE("  5) HDPE 관 :  6.18  m  * _x001D_27,900_x001D_ = ",TEXT($AB3034,"#,##0.0"))</f>
        <v xml:space="preserve">  5) HDPE 관 :  6.18  m  * _x001D_27,900_x001D_ = 172,422.0</v>
      </c>
      <c r="B3034" s="37">
        <f>SUM($C3034,$D3034,$E3034)</f>
        <v>172422</v>
      </c>
      <c r="C3034" s="37">
        <f>$AB3034</f>
        <v>172422</v>
      </c>
      <c r="D3034" s="37"/>
      <c r="E3034" s="37"/>
      <c r="F3034" s="45" t="s">
        <v>6232</v>
      </c>
      <c r="K3034" s="3" t="s">
        <v>5795</v>
      </c>
      <c r="AA3034" s="40" t="s">
        <v>2660</v>
      </c>
      <c r="AB3034" s="8">
        <f>TRUNC(6.18*자재조서!E36,1)</f>
        <v>172422</v>
      </c>
      <c r="AC3034" s="40" t="s">
        <v>1650</v>
      </c>
      <c r="AD3034" s="7">
        <f>$AD3032+$AB3034</f>
        <v>397667.2</v>
      </c>
    </row>
    <row r="3035" spans="1:38" ht="18.399999999999999" customHeight="1">
      <c r="A3035" s="41" t="s">
        <v>6232</v>
      </c>
      <c r="B3035" s="37"/>
      <c r="C3035" s="37"/>
      <c r="D3035" s="37"/>
      <c r="E3035" s="37"/>
      <c r="F3035" s="45"/>
      <c r="K3035" s="3" t="s">
        <v>6232</v>
      </c>
    </row>
    <row r="3036" spans="1:38" ht="18.399999999999999" customHeight="1">
      <c r="A3036" s="42" t="str">
        <f>CONCATENATE("  6) 공장보온재 :  2.992  m  * _x001D_125,520_x001D_ = ",TEXT($AB3036,"#,##0.0"))</f>
        <v xml:space="preserve">  6) 공장보온재 :  2.992  m  * _x001D_125,520_x001D_ = 375,555.8</v>
      </c>
      <c r="B3036" s="37">
        <f>SUM($C3036,$D3036,$E3036)</f>
        <v>375555.8</v>
      </c>
      <c r="C3036" s="37">
        <f>$AB3036</f>
        <v>375555.8</v>
      </c>
      <c r="D3036" s="37"/>
      <c r="E3036" s="37"/>
      <c r="F3036" s="45" t="s">
        <v>6232</v>
      </c>
      <c r="K3036" s="3" t="s">
        <v>192</v>
      </c>
      <c r="AA3036" s="40" t="s">
        <v>2660</v>
      </c>
      <c r="AB3036" s="8">
        <f>TRUNC(2.992*자재조서!E77,1)</f>
        <v>375555.8</v>
      </c>
      <c r="AC3036" s="40" t="s">
        <v>1650</v>
      </c>
      <c r="AD3036" s="7">
        <f>$AD3034+$AB3036</f>
        <v>773223</v>
      </c>
    </row>
    <row r="3037" spans="1:38" ht="18.399999999999999" customHeight="1">
      <c r="A3037" s="41" t="s">
        <v>6232</v>
      </c>
      <c r="B3037" s="37"/>
      <c r="C3037" s="37"/>
      <c r="D3037" s="37"/>
      <c r="E3037" s="37"/>
      <c r="F3037" s="45"/>
      <c r="K3037" s="3" t="s">
        <v>6232</v>
      </c>
    </row>
    <row r="3038" spans="1:38" ht="18.399999999999999" customHeight="1">
      <c r="A3038" s="42" t="str">
        <f>CONCATENATE("  7) 석동선 :  15.99  m  * _x001D_16.5_x001D_ = ",TEXT($AB3038,"#,##0.0"))</f>
        <v xml:space="preserve">  7) 석동선 :  15.99  m  * _x001D_16.5_x001D_ = 263.8</v>
      </c>
      <c r="B3038" s="37">
        <f>SUM($C3038,$D3038,$E3038)</f>
        <v>263.8</v>
      </c>
      <c r="C3038" s="37">
        <f>$AB3038</f>
        <v>263.8</v>
      </c>
      <c r="D3038" s="37"/>
      <c r="E3038" s="37"/>
      <c r="F3038" s="45" t="s">
        <v>6232</v>
      </c>
      <c r="K3038" s="3" t="s">
        <v>5559</v>
      </c>
      <c r="AA3038" s="40" t="s">
        <v>2660</v>
      </c>
      <c r="AB3038" s="8">
        <f>TRUNC(15.99*자재조서!E85,1)</f>
        <v>263.8</v>
      </c>
      <c r="AC3038" s="40" t="s">
        <v>1650</v>
      </c>
      <c r="AD3038" s="7">
        <f>$AD3036+$AB3038</f>
        <v>773486.8</v>
      </c>
    </row>
    <row r="3039" spans="1:38" ht="18.399999999999999" customHeight="1">
      <c r="A3039" s="41" t="s">
        <v>6232</v>
      </c>
      <c r="B3039" s="37"/>
      <c r="C3039" s="37"/>
      <c r="D3039" s="37"/>
      <c r="E3039" s="37"/>
      <c r="F3039" s="45"/>
      <c r="K3039" s="3" t="s">
        <v>6232</v>
      </c>
    </row>
    <row r="3040" spans="1:38" ht="18.399999999999999" customHeight="1">
      <c r="A3040" s="41" t="s">
        <v>4035</v>
      </c>
      <c r="B3040" s="37">
        <f>SUM($C3040,$D3040,$E3040)</f>
        <v>773486.8</v>
      </c>
      <c r="C3040" s="37">
        <f>$AB3040</f>
        <v>773486.8</v>
      </c>
      <c r="D3040" s="37">
        <f>$AF3040</f>
        <v>0</v>
      </c>
      <c r="E3040" s="37">
        <f>$AJ3040</f>
        <v>0</v>
      </c>
      <c r="F3040" s="45"/>
      <c r="K3040" s="3" t="s">
        <v>6125</v>
      </c>
      <c r="AA3040" s="40" t="s">
        <v>4592</v>
      </c>
      <c r="AB3040" s="8">
        <f>TRUNC($AD3038,1)</f>
        <v>773486.8</v>
      </c>
      <c r="AC3040" s="40" t="s">
        <v>5149</v>
      </c>
      <c r="AD3040" s="7">
        <f>$AB3040</f>
        <v>773486.8</v>
      </c>
      <c r="AE3040" s="40" t="s">
        <v>666</v>
      </c>
      <c r="AF3040" s="8">
        <f>TRUNC($AH3023,1)</f>
        <v>0</v>
      </c>
      <c r="AG3040" s="40" t="s">
        <v>2431</v>
      </c>
      <c r="AH3040" s="7">
        <f>$AF3040</f>
        <v>0</v>
      </c>
      <c r="AI3040" s="40" t="s">
        <v>1930</v>
      </c>
      <c r="AJ3040" s="8">
        <f>TRUNC($AL3023,1)</f>
        <v>0</v>
      </c>
      <c r="AK3040" s="40" t="s">
        <v>3349</v>
      </c>
      <c r="AL3040" s="7">
        <f>$AJ3040</f>
        <v>0</v>
      </c>
    </row>
    <row r="3041" spans="1:38" ht="18.399999999999999" customHeight="1">
      <c r="A3041" s="41" t="s">
        <v>6232</v>
      </c>
      <c r="B3041" s="37">
        <f>SUM($C3041,$D3041,$E3041)</f>
        <v>0</v>
      </c>
      <c r="C3041" s="37">
        <f>$AB3041</f>
        <v>0</v>
      </c>
      <c r="D3041" s="37">
        <f>$AF3041</f>
        <v>0</v>
      </c>
      <c r="E3041" s="37">
        <f>$AJ3041</f>
        <v>0</v>
      </c>
      <c r="F3041" s="45"/>
      <c r="K3041" s="3" t="s">
        <v>5506</v>
      </c>
      <c r="AA3041" s="40" t="s">
        <v>4586</v>
      </c>
      <c r="AB3041" s="8">
        <f>ROUND(0,2)</f>
        <v>0</v>
      </c>
      <c r="AC3041" s="40" t="s">
        <v>4161</v>
      </c>
      <c r="AD3041" s="7">
        <f>$AB3041</f>
        <v>0</v>
      </c>
      <c r="AE3041" s="40" t="s">
        <v>222</v>
      </c>
      <c r="AF3041" s="8">
        <f>ROUND(0,2)</f>
        <v>0</v>
      </c>
      <c r="AG3041" s="40" t="s">
        <v>334</v>
      </c>
      <c r="AH3041" s="7">
        <f>$AF3041</f>
        <v>0</v>
      </c>
      <c r="AI3041" s="40" t="s">
        <v>1574</v>
      </c>
      <c r="AJ3041" s="8">
        <f>ROUND(0,2)</f>
        <v>0</v>
      </c>
      <c r="AK3041" s="40" t="s">
        <v>1622</v>
      </c>
      <c r="AL3041" s="7">
        <f>$AJ3041</f>
        <v>0</v>
      </c>
    </row>
    <row r="3042" spans="1:38" ht="18.399999999999999" customHeight="1">
      <c r="A3042" s="41" t="s">
        <v>231</v>
      </c>
      <c r="B3042" s="37"/>
      <c r="C3042" s="37"/>
      <c r="D3042" s="37"/>
      <c r="E3042" s="37"/>
      <c r="F3042" s="45"/>
      <c r="K3042" s="3" t="s">
        <v>268</v>
      </c>
    </row>
    <row r="3043" spans="1:38" ht="18.399999999999999" customHeight="1">
      <c r="A3043" s="41" t="s">
        <v>6232</v>
      </c>
      <c r="B3043" s="37"/>
      <c r="C3043" s="37"/>
      <c r="D3043" s="37"/>
      <c r="E3043" s="37"/>
      <c r="F3043" s="45"/>
      <c r="K3043" s="3" t="s">
        <v>6232</v>
      </c>
    </row>
    <row r="3044" spans="1:38" ht="18.399999999999999" customHeight="1">
      <c r="A3044" s="41" t="s">
        <v>5533</v>
      </c>
      <c r="B3044" s="37"/>
      <c r="C3044" s="37"/>
      <c r="D3044" s="37"/>
      <c r="E3044" s="37"/>
      <c r="F3044" s="45"/>
      <c r="K3044" s="3" t="s">
        <v>3259</v>
      </c>
    </row>
    <row r="3045" spans="1:38" ht="18.399999999999999" customHeight="1">
      <c r="A3045" s="42" t="str">
        <f>CONCATENATE("    5.142  인  * Q * _x001D_213,722_x001D_ = ",TEXT($AB3045,"#,##0.0"))</f>
        <v xml:space="preserve">    5.142  인  * Q * _x001D_213,722_x001D_ = 1,283,257.0</v>
      </c>
      <c r="B3045" s="37">
        <f>SUM($C3045,$D3045,$E3045)</f>
        <v>1283257</v>
      </c>
      <c r="C3045" s="37"/>
      <c r="D3045" s="37">
        <f>$AB3045</f>
        <v>1283257</v>
      </c>
      <c r="E3045" s="37"/>
      <c r="F3045" s="45" t="s">
        <v>6232</v>
      </c>
      <c r="K3045" s="3" t="s">
        <v>4891</v>
      </c>
      <c r="AA3045" s="40" t="s">
        <v>222</v>
      </c>
      <c r="AB3045" s="8">
        <f>TRUNC(5.142*$AD3022*노임!D10,1)</f>
        <v>1283257</v>
      </c>
      <c r="AC3045" s="40" t="s">
        <v>334</v>
      </c>
      <c r="AD3045" s="7">
        <f>$AH3041+$AB3045</f>
        <v>1283257</v>
      </c>
    </row>
    <row r="3046" spans="1:38" ht="18.399999999999999" customHeight="1">
      <c r="A3046" s="41" t="s">
        <v>6232</v>
      </c>
      <c r="B3046" s="37"/>
      <c r="C3046" s="37"/>
      <c r="D3046" s="37"/>
      <c r="E3046" s="37"/>
      <c r="F3046" s="45"/>
      <c r="K3046" s="3" t="s">
        <v>6232</v>
      </c>
    </row>
    <row r="3047" spans="1:38" ht="18.399999999999999" customHeight="1">
      <c r="A3047" s="41" t="s">
        <v>585</v>
      </c>
      <c r="B3047" s="37"/>
      <c r="C3047" s="37"/>
      <c r="D3047" s="37"/>
      <c r="E3047" s="37"/>
      <c r="F3047" s="45"/>
      <c r="K3047" s="3" t="s">
        <v>5657</v>
      </c>
    </row>
    <row r="3048" spans="1:38" ht="18.399999999999999" customHeight="1">
      <c r="A3048" s="42" t="str">
        <f>CONCATENATE("    1.794  인  * Q * _x001D_201,482_x001D_ = ",TEXT($AB3048,"#,##0.0"))</f>
        <v xml:space="preserve">    1.794  인  * Q * _x001D_201,482_x001D_ = 417,719.9</v>
      </c>
      <c r="B3048" s="37">
        <f>SUM($C3048,$D3048,$E3048)</f>
        <v>417719.9</v>
      </c>
      <c r="C3048" s="37"/>
      <c r="D3048" s="37">
        <f>$AB3048</f>
        <v>417719.9</v>
      </c>
      <c r="E3048" s="37"/>
      <c r="F3048" s="45" t="s">
        <v>6232</v>
      </c>
      <c r="K3048" s="3" t="s">
        <v>1531</v>
      </c>
      <c r="AA3048" s="40" t="s">
        <v>222</v>
      </c>
      <c r="AB3048" s="8">
        <f>TRUNC(1.794*$AD3022*노임!D9,1)</f>
        <v>417719.9</v>
      </c>
      <c r="AC3048" s="40" t="s">
        <v>334</v>
      </c>
      <c r="AD3048" s="7">
        <f>$AD3045+$AB3048</f>
        <v>1700976.9</v>
      </c>
    </row>
    <row r="3049" spans="1:38" ht="18.399999999999999" customHeight="1">
      <c r="A3049" s="41" t="s">
        <v>6232</v>
      </c>
      <c r="B3049" s="37"/>
      <c r="C3049" s="37"/>
      <c r="D3049" s="37"/>
      <c r="E3049" s="37"/>
      <c r="F3049" s="45"/>
      <c r="K3049" s="3" t="s">
        <v>6232</v>
      </c>
    </row>
    <row r="3050" spans="1:38" ht="18.399999999999999" customHeight="1">
      <c r="A3050" s="41" t="s">
        <v>3917</v>
      </c>
      <c r="B3050" s="37"/>
      <c r="C3050" s="37"/>
      <c r="D3050" s="37"/>
      <c r="E3050" s="37"/>
      <c r="F3050" s="45"/>
      <c r="K3050" s="3" t="s">
        <v>4355</v>
      </c>
    </row>
    <row r="3051" spans="1:38" ht="18.399999999999999" customHeight="1">
      <c r="A3051" s="42" t="str">
        <f>CONCATENATE("    0.502  인  * Q * _x001D_221,506_x001D_ = ",TEXT($AB3051,"#,##0.0"))</f>
        <v xml:space="preserve">    0.502  인  * Q * _x001D_221,506_x001D_ = 130,540.2</v>
      </c>
      <c r="B3051" s="37">
        <f>SUM($C3051,$D3051,$E3051)</f>
        <v>130540.2</v>
      </c>
      <c r="C3051" s="37"/>
      <c r="D3051" s="37">
        <f>$AB3051</f>
        <v>130540.2</v>
      </c>
      <c r="E3051" s="37"/>
      <c r="F3051" s="45" t="s">
        <v>6232</v>
      </c>
      <c r="K3051" s="3" t="s">
        <v>4150</v>
      </c>
      <c r="AA3051" s="40" t="s">
        <v>222</v>
      </c>
      <c r="AB3051" s="8">
        <f>TRUNC(0.502*$AD3022*노임!D4,1)</f>
        <v>130540.2</v>
      </c>
      <c r="AC3051" s="40" t="s">
        <v>334</v>
      </c>
      <c r="AD3051" s="7">
        <f>$AD3048+$AB3051</f>
        <v>1831517.0999999999</v>
      </c>
    </row>
    <row r="3052" spans="1:38" ht="18.399999999999999" customHeight="1">
      <c r="A3052" s="41" t="s">
        <v>6232</v>
      </c>
      <c r="B3052" s="37"/>
      <c r="C3052" s="37"/>
      <c r="D3052" s="37"/>
      <c r="E3052" s="37"/>
      <c r="F3052" s="45"/>
      <c r="K3052" s="3" t="s">
        <v>6232</v>
      </c>
    </row>
    <row r="3053" spans="1:38" ht="18.399999999999999" customHeight="1">
      <c r="A3053" s="41" t="s">
        <v>4277</v>
      </c>
      <c r="B3053" s="37"/>
      <c r="C3053" s="37"/>
      <c r="D3053" s="37"/>
      <c r="E3053" s="37"/>
      <c r="F3053" s="45"/>
      <c r="K3053" s="3" t="s">
        <v>4663</v>
      </c>
    </row>
    <row r="3054" spans="1:38" ht="18.399999999999999" customHeight="1">
      <c r="A3054" s="42" t="str">
        <f>CONCATENATE("    2.310  인  * Q * _x001D_169,804_x001D_ = ",TEXT($AB3054,"#,##0.0"))</f>
        <v xml:space="preserve">    2.310  인  * Q * _x001D_169,804_x001D_ = 457,098.6</v>
      </c>
      <c r="B3054" s="37">
        <f>SUM($C3054,$D3054,$E3054)</f>
        <v>457098.6</v>
      </c>
      <c r="C3054" s="37"/>
      <c r="D3054" s="37">
        <f>$AB3054</f>
        <v>457098.6</v>
      </c>
      <c r="E3054" s="37"/>
      <c r="F3054" s="45" t="s">
        <v>6232</v>
      </c>
      <c r="K3054" s="3" t="s">
        <v>502</v>
      </c>
      <c r="AA3054" s="40" t="s">
        <v>222</v>
      </c>
      <c r="AB3054" s="8">
        <f>TRUNC(2.31*$AD3022*노임!D3,1)</f>
        <v>457098.6</v>
      </c>
      <c r="AC3054" s="40" t="s">
        <v>334</v>
      </c>
      <c r="AD3054" s="7">
        <f>$AD3051+$AB3054</f>
        <v>2288615.6999999997</v>
      </c>
    </row>
    <row r="3055" spans="1:38" ht="18.399999999999999" customHeight="1">
      <c r="A3055" s="41" t="s">
        <v>6232</v>
      </c>
      <c r="B3055" s="37"/>
      <c r="C3055" s="37"/>
      <c r="D3055" s="37"/>
      <c r="E3055" s="37"/>
      <c r="F3055" s="45"/>
      <c r="K3055" s="3" t="s">
        <v>6232</v>
      </c>
    </row>
    <row r="3056" spans="1:38" ht="18.399999999999999" customHeight="1">
      <c r="A3056" s="41" t="s">
        <v>4035</v>
      </c>
      <c r="B3056" s="37">
        <f>SUM($C3056,$D3056,$E3056)</f>
        <v>2288615.7000000002</v>
      </c>
      <c r="C3056" s="37">
        <f>$AB3056</f>
        <v>0</v>
      </c>
      <c r="D3056" s="37">
        <f>$AF3056</f>
        <v>2288615.7000000002</v>
      </c>
      <c r="E3056" s="37">
        <f>$AJ3056</f>
        <v>0</v>
      </c>
      <c r="F3056" s="45"/>
      <c r="K3056" s="3" t="s">
        <v>134</v>
      </c>
      <c r="AA3056" s="40" t="s">
        <v>4592</v>
      </c>
      <c r="AB3056" s="8">
        <f>TRUNC($AD3041,1)</f>
        <v>0</v>
      </c>
      <c r="AC3056" s="40" t="s">
        <v>5149</v>
      </c>
      <c r="AD3056" s="7">
        <f>$AD3040+$AB3056</f>
        <v>773486.8</v>
      </c>
      <c r="AE3056" s="40" t="s">
        <v>666</v>
      </c>
      <c r="AF3056" s="8">
        <f>TRUNC($AD3054,1)</f>
        <v>2288615.7000000002</v>
      </c>
      <c r="AG3056" s="40" t="s">
        <v>2431</v>
      </c>
      <c r="AH3056" s="7">
        <f>$AH3040+$AF3056</f>
        <v>2288615.7000000002</v>
      </c>
      <c r="AI3056" s="40" t="s">
        <v>1930</v>
      </c>
      <c r="AJ3056" s="8">
        <f>TRUNC($AL3041,1)</f>
        <v>0</v>
      </c>
      <c r="AK3056" s="40" t="s">
        <v>3349</v>
      </c>
      <c r="AL3056" s="7">
        <f>$AL3040+$AJ3056</f>
        <v>0</v>
      </c>
    </row>
    <row r="3057" spans="1:38" ht="18.399999999999999" customHeight="1">
      <c r="A3057" s="41" t="s">
        <v>6232</v>
      </c>
      <c r="B3057" s="37">
        <f>SUM($C3057,$D3057,$E3057)</f>
        <v>0</v>
      </c>
      <c r="C3057" s="37">
        <f>$AB3057</f>
        <v>0</v>
      </c>
      <c r="D3057" s="37">
        <f>$AF3057</f>
        <v>0</v>
      </c>
      <c r="E3057" s="37">
        <f>$AJ3057</f>
        <v>0</v>
      </c>
      <c r="F3057" s="45"/>
      <c r="K3057" s="3" t="s">
        <v>3238</v>
      </c>
      <c r="AA3057" s="40" t="s">
        <v>308</v>
      </c>
      <c r="AB3057" s="8">
        <f>ROUND(0,2)</f>
        <v>0</v>
      </c>
      <c r="AC3057" s="40" t="s">
        <v>5000</v>
      </c>
      <c r="AD3057" s="7">
        <f>$AB3057</f>
        <v>0</v>
      </c>
      <c r="AE3057" s="40" t="s">
        <v>4500</v>
      </c>
      <c r="AF3057" s="8">
        <f>ROUND(0,2)</f>
        <v>0</v>
      </c>
      <c r="AG3057" s="40" t="s">
        <v>2603</v>
      </c>
      <c r="AH3057" s="7">
        <f>$AF3057</f>
        <v>0</v>
      </c>
      <c r="AI3057" s="40" t="s">
        <v>5878</v>
      </c>
      <c r="AJ3057" s="8">
        <f>ROUND(0,2)</f>
        <v>0</v>
      </c>
      <c r="AK3057" s="40" t="s">
        <v>787</v>
      </c>
      <c r="AL3057" s="7">
        <f>$AJ3057</f>
        <v>0</v>
      </c>
    </row>
    <row r="3058" spans="1:38" ht="18.399999999999999" customHeight="1">
      <c r="A3058" s="41" t="s">
        <v>760</v>
      </c>
      <c r="B3058" s="37"/>
      <c r="C3058" s="37"/>
      <c r="D3058" s="37"/>
      <c r="E3058" s="37"/>
      <c r="F3058" s="45"/>
      <c r="K3058" s="3" t="s">
        <v>5465</v>
      </c>
    </row>
    <row r="3059" spans="1:38" ht="18.399999999999999" customHeight="1">
      <c r="A3059" s="41" t="s">
        <v>6232</v>
      </c>
      <c r="B3059" s="37"/>
      <c r="C3059" s="37"/>
      <c r="D3059" s="37"/>
      <c r="E3059" s="37"/>
      <c r="F3059" s="45"/>
      <c r="K3059" s="3" t="s">
        <v>6232</v>
      </c>
    </row>
    <row r="3060" spans="1:38" ht="18.399999999999999" customHeight="1">
      <c r="A3060" s="42" t="str">
        <f>CONCATENATE("    LA2 / Q * 0.02 = ",TEXT($AB3060,"#,##0.0"))</f>
        <v xml:space="preserve">    LA2 / Q * 0.02 = 39,802.0</v>
      </c>
      <c r="B3060" s="37">
        <f>SUM($C3060,$D3060,$E3060)</f>
        <v>39802</v>
      </c>
      <c r="C3060" s="37"/>
      <c r="D3060" s="37"/>
      <c r="E3060" s="37">
        <f>$AB3060</f>
        <v>39802</v>
      </c>
      <c r="F3060" s="45"/>
      <c r="K3060" s="3" t="s">
        <v>4829</v>
      </c>
      <c r="AA3060" s="40" t="s">
        <v>5878</v>
      </c>
      <c r="AB3060" s="8">
        <f>TRUNC($AD3054/$AD3022*0.02,1)</f>
        <v>39802</v>
      </c>
      <c r="AC3060" s="40" t="s">
        <v>787</v>
      </c>
      <c r="AD3060" s="7">
        <f>$AL3057+$AB3060</f>
        <v>39802</v>
      </c>
    </row>
    <row r="3061" spans="1:38" ht="18.399999999999999" customHeight="1">
      <c r="A3061" s="41" t="s">
        <v>6232</v>
      </c>
      <c r="B3061" s="37"/>
      <c r="C3061" s="37"/>
      <c r="D3061" s="37"/>
      <c r="E3061" s="37"/>
      <c r="F3061" s="45"/>
      <c r="K3061" s="3" t="s">
        <v>6232</v>
      </c>
    </row>
    <row r="3062" spans="1:38" ht="18.399999999999999" customHeight="1">
      <c r="A3062" s="41" t="s">
        <v>4035</v>
      </c>
      <c r="B3062" s="37">
        <f>SUM($C3062,$D3062,$E3062)</f>
        <v>39802</v>
      </c>
      <c r="C3062" s="37">
        <f>$AB3062</f>
        <v>0</v>
      </c>
      <c r="D3062" s="37">
        <f>$AF3062</f>
        <v>0</v>
      </c>
      <c r="E3062" s="37">
        <f>$AJ3062</f>
        <v>39802</v>
      </c>
      <c r="F3062" s="45"/>
      <c r="K3062" s="3" t="s">
        <v>4813</v>
      </c>
      <c r="AA3062" s="40" t="s">
        <v>4592</v>
      </c>
      <c r="AB3062" s="8">
        <f>TRUNC($AD3057,1)</f>
        <v>0</v>
      </c>
      <c r="AC3062" s="40" t="s">
        <v>5149</v>
      </c>
      <c r="AD3062" s="7">
        <f>$AD3056+$AB3062</f>
        <v>773486.8</v>
      </c>
      <c r="AE3062" s="40" t="s">
        <v>666</v>
      </c>
      <c r="AF3062" s="8">
        <f>TRUNC($AH3057,1)</f>
        <v>0</v>
      </c>
      <c r="AG3062" s="40" t="s">
        <v>2431</v>
      </c>
      <c r="AH3062" s="7">
        <f>$AH3056+$AF3062</f>
        <v>2288615.7000000002</v>
      </c>
      <c r="AI3062" s="40" t="s">
        <v>1930</v>
      </c>
      <c r="AJ3062" s="8">
        <f>TRUNC($AD3060,1)</f>
        <v>39802</v>
      </c>
      <c r="AK3062" s="40" t="s">
        <v>3349</v>
      </c>
      <c r="AL3062" s="7">
        <f>$AL3056+$AJ3062</f>
        <v>39802</v>
      </c>
    </row>
    <row r="3063" spans="1:38" ht="18.399999999999999" customHeight="1">
      <c r="A3063" s="41" t="s">
        <v>6232</v>
      </c>
      <c r="B3063" s="37"/>
      <c r="C3063" s="37"/>
      <c r="D3063" s="37"/>
      <c r="E3063" s="37"/>
      <c r="F3063" s="45"/>
      <c r="K3063" s="3" t="s">
        <v>6232</v>
      </c>
    </row>
    <row r="3064" spans="1:38" ht="18.399999999999999" customHeight="1">
      <c r="A3064" s="41" t="s">
        <v>4002</v>
      </c>
      <c r="B3064" s="37">
        <v>3071203.5</v>
      </c>
      <c r="C3064" s="37">
        <v>773486.8</v>
      </c>
      <c r="D3064" s="37">
        <v>2258439.5</v>
      </c>
      <c r="E3064" s="37">
        <v>39277.199999999997</v>
      </c>
      <c r="F3064" s="45"/>
      <c r="K3064" s="3" t="s">
        <v>916</v>
      </c>
    </row>
    <row r="3065" spans="1:38" ht="18.399999999999999" customHeight="1">
      <c r="A3065" s="41"/>
      <c r="B3065" s="3"/>
      <c r="C3065" s="3"/>
      <c r="D3065" s="3"/>
      <c r="E3065" s="3"/>
      <c r="F3065" s="44"/>
    </row>
    <row r="3066" spans="1:38" ht="18.399999999999999" customHeight="1">
      <c r="A3066" s="43" t="s">
        <v>3543</v>
      </c>
      <c r="B3066" s="38">
        <f>SUM($C3066,$D3066,$E3066)</f>
        <v>3101903</v>
      </c>
      <c r="C3066" s="38">
        <f>TRUNC(SUM($AD3062),0)</f>
        <v>773486</v>
      </c>
      <c r="D3066" s="38">
        <f>TRUNC(SUM($AH3062),0)</f>
        <v>2288615</v>
      </c>
      <c r="E3066" s="38">
        <f>TRUNC(SUM($AL3062),0)</f>
        <v>39802</v>
      </c>
      <c r="F3066" s="46"/>
    </row>
    <row r="3067" spans="1:38" ht="18.399999999999999" customHeight="1">
      <c r="A3067" s="41"/>
      <c r="B3067" s="3"/>
      <c r="C3067" s="3"/>
      <c r="D3067" s="3"/>
      <c r="E3067" s="3"/>
      <c r="F3067" s="44"/>
    </row>
    <row r="3068" spans="1:38" ht="18.399999999999999" customHeight="1">
      <c r="A3068" s="41" t="s">
        <v>74</v>
      </c>
      <c r="B3068" s="36">
        <f>$B3120</f>
        <v>3551916</v>
      </c>
      <c r="C3068" s="36">
        <f>$C3120</f>
        <v>873236</v>
      </c>
      <c r="D3068" s="36">
        <f>$D3120</f>
        <v>2632891</v>
      </c>
      <c r="E3068" s="36">
        <f>$E3120</f>
        <v>45789</v>
      </c>
      <c r="F3068" s="44" t="s">
        <v>4819</v>
      </c>
      <c r="G3068" t="s">
        <v>6232</v>
      </c>
      <c r="H3068" t="s">
        <v>2314</v>
      </c>
      <c r="K3068">
        <v>1</v>
      </c>
      <c r="Y3068" s="7" t="b">
        <f>EXACT($Z3068,$B3120)</f>
        <v>0</v>
      </c>
      <c r="Z3068" s="38">
        <v>3516529</v>
      </c>
    </row>
    <row r="3069" spans="1:38" ht="18.399999999999999" customHeight="1">
      <c r="A3069" s="41"/>
      <c r="B3069" s="3"/>
      <c r="C3069" s="3"/>
      <c r="D3069" s="3"/>
      <c r="E3069" s="3"/>
      <c r="F3069" s="44"/>
    </row>
    <row r="3070" spans="1:38" ht="18.399999999999999" customHeight="1">
      <c r="A3070" s="41" t="s">
        <v>6232</v>
      </c>
      <c r="B3070" s="3"/>
      <c r="C3070" s="3"/>
      <c r="D3070" s="3"/>
      <c r="E3070" s="3"/>
      <c r="F3070" s="44"/>
      <c r="G3070" t="s">
        <v>6232</v>
      </c>
      <c r="I3070" t="s">
        <v>742</v>
      </c>
      <c r="J3070" t="s">
        <v>6232</v>
      </c>
      <c r="K3070" t="s">
        <v>5235</v>
      </c>
    </row>
    <row r="3071" spans="1:38" ht="18.399999999999999" customHeight="1">
      <c r="A3071" s="41" t="s">
        <v>3126</v>
      </c>
      <c r="B3071" s="37"/>
      <c r="C3071" s="37"/>
      <c r="D3071" s="37"/>
      <c r="E3071" s="37"/>
      <c r="F3071" s="45"/>
      <c r="K3071" s="3" t="s">
        <v>840</v>
      </c>
    </row>
    <row r="3072" spans="1:38" ht="18.399999999999999" customHeight="1">
      <c r="A3072" s="41" t="s">
        <v>6232</v>
      </c>
      <c r="B3072" s="37"/>
      <c r="C3072" s="37"/>
      <c r="D3072" s="37"/>
      <c r="E3072" s="37"/>
      <c r="F3072" s="45"/>
      <c r="K3072" s="3" t="s">
        <v>6232</v>
      </c>
    </row>
    <row r="3073" spans="1:38" ht="18.399999999999999" customHeight="1">
      <c r="A3073" s="41" t="s">
        <v>2476</v>
      </c>
      <c r="B3073" s="37"/>
      <c r="C3073" s="37"/>
      <c r="D3073" s="37"/>
      <c r="E3073" s="37"/>
      <c r="F3073" s="45"/>
      <c r="K3073" s="3" t="s">
        <v>5810</v>
      </c>
    </row>
    <row r="3074" spans="1:38" ht="18.399999999999999" customHeight="1">
      <c r="A3074" s="41" t="s">
        <v>774</v>
      </c>
      <c r="B3074" s="37"/>
      <c r="C3074" s="37"/>
      <c r="D3074" s="37"/>
      <c r="E3074" s="37"/>
      <c r="F3074" s="45"/>
      <c r="K3074" s="3" t="s">
        <v>3563</v>
      </c>
    </row>
    <row r="3075" spans="1:38" ht="18.399999999999999" customHeight="1">
      <c r="A3075" s="41" t="s">
        <v>1642</v>
      </c>
      <c r="B3075" s="37"/>
      <c r="C3075" s="37"/>
      <c r="D3075" s="37"/>
      <c r="E3075" s="37"/>
      <c r="F3075" s="45"/>
      <c r="K3075" s="3" t="s">
        <v>2758</v>
      </c>
    </row>
    <row r="3076" spans="1:38" ht="18.399999999999999" customHeight="1">
      <c r="A3076" s="42" t="str">
        <f>CONCATENATE("          Q=",TEXT($AB3076,"#,##0.00"))</f>
        <v xml:space="preserve">          Q=1.15</v>
      </c>
      <c r="B3076" s="37"/>
      <c r="C3076" s="37"/>
      <c r="D3076" s="37"/>
      <c r="E3076" s="37"/>
      <c r="F3076" s="45"/>
      <c r="K3076" s="10" t="str">
        <f>SUBSTITUTE(SUBSTITUTE("          Q=1.15","1.15",TEXT($AB3076,"#,##0.00"),1),"_x001D_","'")</f>
        <v xml:space="preserve">          Q=1.15</v>
      </c>
      <c r="AA3076" s="39" t="s">
        <v>4337</v>
      </c>
      <c r="AB3076" s="6">
        <v>1.1499999999999999</v>
      </c>
      <c r="AC3076" s="39" t="s">
        <v>4337</v>
      </c>
      <c r="AD3076" s="7">
        <f>$AB3076</f>
        <v>1.1499999999999999</v>
      </c>
    </row>
    <row r="3077" spans="1:38" ht="18.399999999999999" customHeight="1">
      <c r="A3077" s="41" t="s">
        <v>6232</v>
      </c>
      <c r="B3077" s="37">
        <f>SUM($C3077,$D3077,$E3077)</f>
        <v>0</v>
      </c>
      <c r="C3077" s="37">
        <f>$AB3077</f>
        <v>0</v>
      </c>
      <c r="D3077" s="37">
        <f>$AF3077</f>
        <v>0</v>
      </c>
      <c r="E3077" s="37">
        <f>$AJ3077</f>
        <v>0</v>
      </c>
      <c r="F3077" s="45"/>
      <c r="K3077" s="3" t="s">
        <v>295</v>
      </c>
      <c r="AA3077" s="40" t="s">
        <v>2660</v>
      </c>
      <c r="AB3077" s="8">
        <f>ROUND(0,2)</f>
        <v>0</v>
      </c>
      <c r="AC3077" s="40" t="s">
        <v>1650</v>
      </c>
      <c r="AD3077" s="7">
        <f>$AB3077</f>
        <v>0</v>
      </c>
      <c r="AE3077" s="40" t="s">
        <v>5305</v>
      </c>
      <c r="AF3077" s="8">
        <f>ROUND(0,2)</f>
        <v>0</v>
      </c>
      <c r="AG3077" s="40" t="s">
        <v>5439</v>
      </c>
      <c r="AH3077" s="7">
        <f>$AF3077</f>
        <v>0</v>
      </c>
      <c r="AI3077" s="40" t="s">
        <v>3519</v>
      </c>
      <c r="AJ3077" s="8">
        <f>ROUND(0,2)</f>
        <v>0</v>
      </c>
      <c r="AK3077" s="40" t="s">
        <v>4149</v>
      </c>
      <c r="AL3077" s="7">
        <f>$AJ3077</f>
        <v>0</v>
      </c>
    </row>
    <row r="3078" spans="1:38" ht="18.399999999999999" customHeight="1">
      <c r="A3078" s="41" t="s">
        <v>4464</v>
      </c>
      <c r="B3078" s="37"/>
      <c r="C3078" s="37"/>
      <c r="D3078" s="37"/>
      <c r="E3078" s="37"/>
      <c r="F3078" s="45"/>
      <c r="K3078" s="3" t="s">
        <v>311</v>
      </c>
    </row>
    <row r="3079" spans="1:38" ht="18.399999999999999" customHeight="1">
      <c r="A3079" s="41" t="s">
        <v>6232</v>
      </c>
      <c r="B3079" s="37"/>
      <c r="C3079" s="37"/>
      <c r="D3079" s="37"/>
      <c r="E3079" s="37"/>
      <c r="F3079" s="45"/>
      <c r="K3079" s="3" t="s">
        <v>6232</v>
      </c>
    </row>
    <row r="3080" spans="1:38" ht="18.399999999999999" customHeight="1">
      <c r="A3080" s="42" t="str">
        <f>CONCATENATE("  1) POLYOL :  22.08  kg  * _x001D_4,500_x001D_ = ",TEXT($AB3080,"#,##0.0"))</f>
        <v xml:space="preserve">  1) POLYOL :  22.08  kg  * _x001D_4,500_x001D_ = 99,360.0</v>
      </c>
      <c r="B3080" s="37">
        <f>SUM($C3080,$D3080,$E3080)</f>
        <v>99360</v>
      </c>
      <c r="C3080" s="37">
        <f>$AB3080</f>
        <v>99360</v>
      </c>
      <c r="D3080" s="37"/>
      <c r="E3080" s="37"/>
      <c r="F3080" s="45" t="s">
        <v>6232</v>
      </c>
      <c r="K3080" s="3" t="s">
        <v>2937</v>
      </c>
      <c r="AA3080" s="40" t="s">
        <v>2660</v>
      </c>
      <c r="AB3080" s="8">
        <f>TRUNC(22.08*자재조서!E46,1)</f>
        <v>99360</v>
      </c>
      <c r="AC3080" s="40" t="s">
        <v>1650</v>
      </c>
      <c r="AD3080" s="7">
        <f>$AD3077+$AB3080</f>
        <v>99360</v>
      </c>
    </row>
    <row r="3081" spans="1:38" ht="18.399999999999999" customHeight="1">
      <c r="A3081" s="41" t="s">
        <v>6232</v>
      </c>
      <c r="B3081" s="37"/>
      <c r="C3081" s="37"/>
      <c r="D3081" s="37"/>
      <c r="E3081" s="37"/>
      <c r="F3081" s="45"/>
      <c r="K3081" s="3" t="s">
        <v>6232</v>
      </c>
    </row>
    <row r="3082" spans="1:38" ht="18.399999999999999" customHeight="1">
      <c r="A3082" s="42" t="str">
        <f>CONCATENATE("  2) MDI :  30.84  kg  * _x001D_4,000_x001D_  = ",TEXT($AB3082,"#,##0.0"))</f>
        <v xml:space="preserve">  2) MDI :  30.84  kg  * _x001D_4,000_x001D_  = 123,360.0</v>
      </c>
      <c r="B3082" s="37">
        <f>SUM($C3082,$D3082,$E3082)</f>
        <v>123360</v>
      </c>
      <c r="C3082" s="37">
        <f>$AB3082</f>
        <v>123360</v>
      </c>
      <c r="D3082" s="37"/>
      <c r="E3082" s="37"/>
      <c r="F3082" s="45" t="s">
        <v>6232</v>
      </c>
      <c r="K3082" s="3" t="s">
        <v>4461</v>
      </c>
      <c r="AA3082" s="40" t="s">
        <v>2660</v>
      </c>
      <c r="AB3082" s="8">
        <f>TRUNC(30.84*자재조서!E47,1)</f>
        <v>123360</v>
      </c>
      <c r="AC3082" s="40" t="s">
        <v>1650</v>
      </c>
      <c r="AD3082" s="7">
        <f>$AD3080+$AB3082</f>
        <v>222720</v>
      </c>
    </row>
    <row r="3083" spans="1:38" ht="18.399999999999999" customHeight="1">
      <c r="A3083" s="41" t="s">
        <v>6232</v>
      </c>
      <c r="B3083" s="37"/>
      <c r="C3083" s="37"/>
      <c r="D3083" s="37"/>
      <c r="E3083" s="37"/>
      <c r="F3083" s="45"/>
      <c r="K3083" s="3" t="s">
        <v>6232</v>
      </c>
    </row>
    <row r="3084" spans="1:38" ht="18.399999999999999" customHeight="1">
      <c r="A3084" s="41" t="s">
        <v>337</v>
      </c>
      <c r="B3084" s="37"/>
      <c r="C3084" s="37"/>
      <c r="D3084" s="37"/>
      <c r="E3084" s="37"/>
      <c r="F3084" s="45"/>
      <c r="K3084" s="3" t="s">
        <v>3279</v>
      </c>
    </row>
    <row r="3085" spans="1:38" ht="18.399999999999999" customHeight="1">
      <c r="A3085" s="41" t="s">
        <v>6232</v>
      </c>
      <c r="B3085" s="37"/>
      <c r="C3085" s="37"/>
      <c r="D3085" s="37"/>
      <c r="E3085" s="37"/>
      <c r="F3085" s="45"/>
      <c r="K3085" s="3" t="s">
        <v>6232</v>
      </c>
    </row>
    <row r="3086" spans="1:38" ht="18.399999999999999" customHeight="1">
      <c r="A3086" s="42" t="str">
        <f>CONCATENATE("  4) PE 용접봉 :  5.91  kg  * _x001D_10,738_x001D_= ",TEXT($AB3086,"#,##0.0"))</f>
        <v xml:space="preserve">  4) PE 용접봉 :  5.91  kg  * _x001D_10,738_x001D_= 63,461.5</v>
      </c>
      <c r="B3086" s="37">
        <f>SUM($C3086,$D3086,$E3086)</f>
        <v>63461.5</v>
      </c>
      <c r="C3086" s="37">
        <f>$AB3086</f>
        <v>63461.5</v>
      </c>
      <c r="D3086" s="37"/>
      <c r="E3086" s="37"/>
      <c r="F3086" s="45" t="s">
        <v>6232</v>
      </c>
      <c r="K3086" s="3" t="s">
        <v>2291</v>
      </c>
      <c r="AA3086" s="40" t="s">
        <v>2660</v>
      </c>
      <c r="AB3086" s="8">
        <f>TRUNC(5.91*자재조서!E41,1)</f>
        <v>63461.5</v>
      </c>
      <c r="AC3086" s="40" t="s">
        <v>1650</v>
      </c>
      <c r="AD3086" s="7">
        <f>$AD3082+$AB3086</f>
        <v>286181.5</v>
      </c>
    </row>
    <row r="3087" spans="1:38" ht="18.399999999999999" customHeight="1">
      <c r="A3087" s="41" t="s">
        <v>6232</v>
      </c>
      <c r="B3087" s="37"/>
      <c r="C3087" s="37"/>
      <c r="D3087" s="37"/>
      <c r="E3087" s="37"/>
      <c r="F3087" s="45"/>
      <c r="K3087" s="3" t="s">
        <v>6232</v>
      </c>
    </row>
    <row r="3088" spans="1:38" ht="18.399999999999999" customHeight="1">
      <c r="A3088" s="42" t="str">
        <f>CONCATENATE("  5) HDPE 관 :  6.18  m  * _x001D_27,900_x001D_ = ",TEXT($AB3088,"#,##0.0"))</f>
        <v xml:space="preserve">  5) HDPE 관 :  6.18  m  * _x001D_27,900_x001D_ = 172,422.0</v>
      </c>
      <c r="B3088" s="37">
        <f>SUM($C3088,$D3088,$E3088)</f>
        <v>172422</v>
      </c>
      <c r="C3088" s="37">
        <f>$AB3088</f>
        <v>172422</v>
      </c>
      <c r="D3088" s="37"/>
      <c r="E3088" s="37"/>
      <c r="F3088" s="45" t="s">
        <v>6232</v>
      </c>
      <c r="K3088" s="3" t="s">
        <v>5795</v>
      </c>
      <c r="AA3088" s="40" t="s">
        <v>2660</v>
      </c>
      <c r="AB3088" s="8">
        <f>TRUNC(6.18*자재조서!E36,1)</f>
        <v>172422</v>
      </c>
      <c r="AC3088" s="40" t="s">
        <v>1650</v>
      </c>
      <c r="AD3088" s="7">
        <f>$AD3086+$AB3088</f>
        <v>458603.5</v>
      </c>
    </row>
    <row r="3089" spans="1:38" ht="18.399999999999999" customHeight="1">
      <c r="A3089" s="41" t="s">
        <v>6232</v>
      </c>
      <c r="B3089" s="37"/>
      <c r="C3089" s="37"/>
      <c r="D3089" s="37"/>
      <c r="E3089" s="37"/>
      <c r="F3089" s="45"/>
      <c r="K3089" s="3" t="s">
        <v>6232</v>
      </c>
    </row>
    <row r="3090" spans="1:38" ht="18.399999999999999" customHeight="1">
      <c r="A3090" s="42" t="str">
        <f>CONCATENATE("  6) 공장보온재 :  2.992  m  * _x001D_138,490_x001D_ = ",TEXT($AB3090,"#,##0.0"))</f>
        <v xml:space="preserve">  6) 공장보온재 :  2.992  m  * _x001D_138,490_x001D_ = 414,362.0</v>
      </c>
      <c r="B3090" s="37">
        <f>SUM($C3090,$D3090,$E3090)</f>
        <v>414362</v>
      </c>
      <c r="C3090" s="37">
        <f>$AB3090</f>
        <v>414362</v>
      </c>
      <c r="D3090" s="37"/>
      <c r="E3090" s="37"/>
      <c r="F3090" s="45" t="s">
        <v>6232</v>
      </c>
      <c r="K3090" s="3" t="s">
        <v>2702</v>
      </c>
      <c r="AA3090" s="40" t="s">
        <v>2660</v>
      </c>
      <c r="AB3090" s="8">
        <f>TRUNC(2.992*자재조서!E78,1)</f>
        <v>414362</v>
      </c>
      <c r="AC3090" s="40" t="s">
        <v>1650</v>
      </c>
      <c r="AD3090" s="7">
        <f>$AD3088+$AB3090</f>
        <v>872965.5</v>
      </c>
    </row>
    <row r="3091" spans="1:38" ht="18.399999999999999" customHeight="1">
      <c r="A3091" s="41" t="s">
        <v>6232</v>
      </c>
      <c r="B3091" s="37"/>
      <c r="C3091" s="37"/>
      <c r="D3091" s="37"/>
      <c r="E3091" s="37"/>
      <c r="F3091" s="45"/>
      <c r="K3091" s="3" t="s">
        <v>6232</v>
      </c>
    </row>
    <row r="3092" spans="1:38" ht="18.399999999999999" customHeight="1">
      <c r="A3092" s="42" t="str">
        <f>CONCATENATE("  7) 석동선 :  16.44  m  * _x001D_16.5_x001D_ = ",TEXT($AB3092,"#,##0.0"))</f>
        <v xml:space="preserve">  7) 석동선 :  16.44  m  * _x001D_16.5_x001D_ = 271.2</v>
      </c>
      <c r="B3092" s="37">
        <f>SUM($C3092,$D3092,$E3092)</f>
        <v>271.2</v>
      </c>
      <c r="C3092" s="37">
        <f>$AB3092</f>
        <v>271.2</v>
      </c>
      <c r="D3092" s="37"/>
      <c r="E3092" s="37"/>
      <c r="F3092" s="45" t="s">
        <v>6232</v>
      </c>
      <c r="K3092" s="3" t="s">
        <v>6016</v>
      </c>
      <c r="AA3092" s="40" t="s">
        <v>2660</v>
      </c>
      <c r="AB3092" s="8">
        <f>TRUNC(16.44*자재조서!E85,1)</f>
        <v>271.2</v>
      </c>
      <c r="AC3092" s="40" t="s">
        <v>1650</v>
      </c>
      <c r="AD3092" s="7">
        <f>$AD3090+$AB3092</f>
        <v>873236.7</v>
      </c>
    </row>
    <row r="3093" spans="1:38" ht="18.399999999999999" customHeight="1">
      <c r="A3093" s="41" t="s">
        <v>6232</v>
      </c>
      <c r="B3093" s="37"/>
      <c r="C3093" s="37"/>
      <c r="D3093" s="37"/>
      <c r="E3093" s="37"/>
      <c r="F3093" s="45"/>
      <c r="K3093" s="3" t="s">
        <v>6232</v>
      </c>
    </row>
    <row r="3094" spans="1:38" ht="18.399999999999999" customHeight="1">
      <c r="A3094" s="41" t="s">
        <v>4035</v>
      </c>
      <c r="B3094" s="37">
        <f>SUM($C3094,$D3094,$E3094)</f>
        <v>873236.7</v>
      </c>
      <c r="C3094" s="37">
        <f>$AB3094</f>
        <v>873236.7</v>
      </c>
      <c r="D3094" s="37">
        <f>$AF3094</f>
        <v>0</v>
      </c>
      <c r="E3094" s="37">
        <f>$AJ3094</f>
        <v>0</v>
      </c>
      <c r="F3094" s="45"/>
      <c r="K3094" s="3" t="s">
        <v>6125</v>
      </c>
      <c r="AA3094" s="40" t="s">
        <v>4592</v>
      </c>
      <c r="AB3094" s="8">
        <f>TRUNC($AD3092,1)</f>
        <v>873236.7</v>
      </c>
      <c r="AC3094" s="40" t="s">
        <v>5149</v>
      </c>
      <c r="AD3094" s="7">
        <f>$AB3094</f>
        <v>873236.7</v>
      </c>
      <c r="AE3094" s="40" t="s">
        <v>666</v>
      </c>
      <c r="AF3094" s="8">
        <f>TRUNC($AH3077,1)</f>
        <v>0</v>
      </c>
      <c r="AG3094" s="40" t="s">
        <v>2431</v>
      </c>
      <c r="AH3094" s="7">
        <f>$AF3094</f>
        <v>0</v>
      </c>
      <c r="AI3094" s="40" t="s">
        <v>1930</v>
      </c>
      <c r="AJ3094" s="8">
        <f>TRUNC($AL3077,1)</f>
        <v>0</v>
      </c>
      <c r="AK3094" s="40" t="s">
        <v>3349</v>
      </c>
      <c r="AL3094" s="7">
        <f>$AJ3094</f>
        <v>0</v>
      </c>
    </row>
    <row r="3095" spans="1:38" ht="18.399999999999999" customHeight="1">
      <c r="A3095" s="41" t="s">
        <v>6232</v>
      </c>
      <c r="B3095" s="37">
        <f>SUM($C3095,$D3095,$E3095)</f>
        <v>0</v>
      </c>
      <c r="C3095" s="37">
        <f>$AB3095</f>
        <v>0</v>
      </c>
      <c r="D3095" s="37">
        <f>$AF3095</f>
        <v>0</v>
      </c>
      <c r="E3095" s="37">
        <f>$AJ3095</f>
        <v>0</v>
      </c>
      <c r="F3095" s="45"/>
      <c r="K3095" s="3" t="s">
        <v>5506</v>
      </c>
      <c r="AA3095" s="40" t="s">
        <v>4586</v>
      </c>
      <c r="AB3095" s="8">
        <f>ROUND(0,2)</f>
        <v>0</v>
      </c>
      <c r="AC3095" s="40" t="s">
        <v>4161</v>
      </c>
      <c r="AD3095" s="7">
        <f>$AB3095</f>
        <v>0</v>
      </c>
      <c r="AE3095" s="40" t="s">
        <v>222</v>
      </c>
      <c r="AF3095" s="8">
        <f>ROUND(0,2)</f>
        <v>0</v>
      </c>
      <c r="AG3095" s="40" t="s">
        <v>334</v>
      </c>
      <c r="AH3095" s="7">
        <f>$AF3095</f>
        <v>0</v>
      </c>
      <c r="AI3095" s="40" t="s">
        <v>1574</v>
      </c>
      <c r="AJ3095" s="8">
        <f>ROUND(0,2)</f>
        <v>0</v>
      </c>
      <c r="AK3095" s="40" t="s">
        <v>1622</v>
      </c>
      <c r="AL3095" s="7">
        <f>$AJ3095</f>
        <v>0</v>
      </c>
    </row>
    <row r="3096" spans="1:38" ht="18.399999999999999" customHeight="1">
      <c r="A3096" s="41" t="s">
        <v>231</v>
      </c>
      <c r="B3096" s="37"/>
      <c r="C3096" s="37"/>
      <c r="D3096" s="37"/>
      <c r="E3096" s="37"/>
      <c r="F3096" s="45"/>
      <c r="K3096" s="3" t="s">
        <v>268</v>
      </c>
    </row>
    <row r="3097" spans="1:38" ht="18.399999999999999" customHeight="1">
      <c r="A3097" s="41" t="s">
        <v>6232</v>
      </c>
      <c r="B3097" s="37"/>
      <c r="C3097" s="37"/>
      <c r="D3097" s="37"/>
      <c r="E3097" s="37"/>
      <c r="F3097" s="45"/>
      <c r="K3097" s="3" t="s">
        <v>6232</v>
      </c>
    </row>
    <row r="3098" spans="1:38" ht="18.399999999999999" customHeight="1">
      <c r="A3098" s="41" t="s">
        <v>5533</v>
      </c>
      <c r="B3098" s="37"/>
      <c r="C3098" s="37"/>
      <c r="D3098" s="37"/>
      <c r="E3098" s="37"/>
      <c r="F3098" s="45"/>
      <c r="K3098" s="3" t="s">
        <v>3259</v>
      </c>
    </row>
    <row r="3099" spans="1:38" ht="18.399999999999999" customHeight="1">
      <c r="A3099" s="42" t="str">
        <f>CONCATENATE("    5.961  인  * Q * _x001D_213,722_x001D_ = ",TEXT($AB3099,"#,##0.0"))</f>
        <v xml:space="preserve">    5.961  인  * Q * _x001D_213,722_x001D_ = 1,487,649.8</v>
      </c>
      <c r="B3099" s="37">
        <f>SUM($C3099,$D3099,$E3099)</f>
        <v>1487649.8</v>
      </c>
      <c r="C3099" s="37"/>
      <c r="D3099" s="37">
        <f>$AB3099</f>
        <v>1487649.8</v>
      </c>
      <c r="E3099" s="37"/>
      <c r="F3099" s="45" t="s">
        <v>6232</v>
      </c>
      <c r="K3099" s="3" t="s">
        <v>2542</v>
      </c>
      <c r="AA3099" s="40" t="s">
        <v>222</v>
      </c>
      <c r="AB3099" s="8">
        <f>TRUNC(5.961*$AD3076*노임!D10,1)</f>
        <v>1487649.8</v>
      </c>
      <c r="AC3099" s="40" t="s">
        <v>334</v>
      </c>
      <c r="AD3099" s="7">
        <f>$AH3095+$AB3099</f>
        <v>1487649.8</v>
      </c>
    </row>
    <row r="3100" spans="1:38" ht="18.399999999999999" customHeight="1">
      <c r="A3100" s="41" t="s">
        <v>6232</v>
      </c>
      <c r="B3100" s="37"/>
      <c r="C3100" s="37"/>
      <c r="D3100" s="37"/>
      <c r="E3100" s="37"/>
      <c r="F3100" s="45"/>
      <c r="K3100" s="3" t="s">
        <v>6232</v>
      </c>
    </row>
    <row r="3101" spans="1:38" ht="18.399999999999999" customHeight="1">
      <c r="A3101" s="41" t="s">
        <v>585</v>
      </c>
      <c r="B3101" s="37"/>
      <c r="C3101" s="37"/>
      <c r="D3101" s="37"/>
      <c r="E3101" s="37"/>
      <c r="F3101" s="45"/>
      <c r="K3101" s="3" t="s">
        <v>5657</v>
      </c>
    </row>
    <row r="3102" spans="1:38" ht="18.399999999999999" customHeight="1">
      <c r="A3102" s="42" t="str">
        <f>CONCATENATE("    2.018  인  * Q * _x001D_201,482_x001D_ = ",TEXT($AB3102,"#,##0.0"))</f>
        <v xml:space="preserve">    2.018  인  * Q * _x001D_201,482_x001D_ = 469,876.7</v>
      </c>
      <c r="B3102" s="37">
        <f>SUM($C3102,$D3102,$E3102)</f>
        <v>469876.7</v>
      </c>
      <c r="C3102" s="37"/>
      <c r="D3102" s="37">
        <f>$AB3102</f>
        <v>469876.7</v>
      </c>
      <c r="E3102" s="37"/>
      <c r="F3102" s="45" t="s">
        <v>6232</v>
      </c>
      <c r="K3102" s="3" t="s">
        <v>658</v>
      </c>
      <c r="AA3102" s="40" t="s">
        <v>222</v>
      </c>
      <c r="AB3102" s="8">
        <f>TRUNC(2.018*$AD3076*노임!D9,1)</f>
        <v>469876.7</v>
      </c>
      <c r="AC3102" s="40" t="s">
        <v>334</v>
      </c>
      <c r="AD3102" s="7">
        <f>$AD3099+$AB3102</f>
        <v>1957526.5</v>
      </c>
    </row>
    <row r="3103" spans="1:38" ht="18.399999999999999" customHeight="1">
      <c r="A3103" s="41" t="s">
        <v>6232</v>
      </c>
      <c r="B3103" s="37"/>
      <c r="C3103" s="37"/>
      <c r="D3103" s="37"/>
      <c r="E3103" s="37"/>
      <c r="F3103" s="45"/>
      <c r="K3103" s="3" t="s">
        <v>6232</v>
      </c>
    </row>
    <row r="3104" spans="1:38" ht="18.399999999999999" customHeight="1">
      <c r="A3104" s="41" t="s">
        <v>3917</v>
      </c>
      <c r="B3104" s="37"/>
      <c r="C3104" s="37"/>
      <c r="D3104" s="37"/>
      <c r="E3104" s="37"/>
      <c r="F3104" s="45"/>
      <c r="K3104" s="3" t="s">
        <v>4355</v>
      </c>
    </row>
    <row r="3105" spans="1:38" ht="18.399999999999999" customHeight="1">
      <c r="A3105" s="42" t="str">
        <f>CONCATENATE("    0.554  인  * Q * _x001D_221,506_x001D_ = ",TEXT($AB3105,"#,##0.0"))</f>
        <v xml:space="preserve">    0.554  인  * Q * _x001D_221,506_x001D_ = 144,062.3</v>
      </c>
      <c r="B3105" s="37">
        <f>SUM($C3105,$D3105,$E3105)</f>
        <v>144062.29999999999</v>
      </c>
      <c r="C3105" s="37"/>
      <c r="D3105" s="37">
        <f>$AB3105</f>
        <v>144062.29999999999</v>
      </c>
      <c r="E3105" s="37"/>
      <c r="F3105" s="45" t="s">
        <v>6232</v>
      </c>
      <c r="K3105" s="3" t="s">
        <v>3858</v>
      </c>
      <c r="AA3105" s="40" t="s">
        <v>222</v>
      </c>
      <c r="AB3105" s="8">
        <f>TRUNC(0.554*$AD3076*노임!D4,1)</f>
        <v>144062.29999999999</v>
      </c>
      <c r="AC3105" s="40" t="s">
        <v>334</v>
      </c>
      <c r="AD3105" s="7">
        <f>$AD3102+$AB3105</f>
        <v>2101588.7999999998</v>
      </c>
    </row>
    <row r="3106" spans="1:38" ht="18.399999999999999" customHeight="1">
      <c r="A3106" s="41" t="s">
        <v>6232</v>
      </c>
      <c r="B3106" s="37"/>
      <c r="C3106" s="37"/>
      <c r="D3106" s="37"/>
      <c r="E3106" s="37"/>
      <c r="F3106" s="45"/>
      <c r="K3106" s="3" t="s">
        <v>6232</v>
      </c>
    </row>
    <row r="3107" spans="1:38" ht="18.399999999999999" customHeight="1">
      <c r="A3107" s="41" t="s">
        <v>4277</v>
      </c>
      <c r="B3107" s="37"/>
      <c r="C3107" s="37"/>
      <c r="D3107" s="37"/>
      <c r="E3107" s="37"/>
      <c r="F3107" s="45"/>
      <c r="K3107" s="3" t="s">
        <v>4663</v>
      </c>
    </row>
    <row r="3108" spans="1:38" ht="18.399999999999999" customHeight="1">
      <c r="A3108" s="42" t="str">
        <f>CONCATENATE("    2.685  인  * Q * _x001D_169,804_x001D_ = ",TEXT($AB3108,"#,##0.0"))</f>
        <v xml:space="preserve">    2.685  인  * Q * _x001D_169,804_x001D_ = 531,302.9</v>
      </c>
      <c r="B3108" s="37">
        <f>SUM($C3108,$D3108,$E3108)</f>
        <v>531302.9</v>
      </c>
      <c r="C3108" s="37"/>
      <c r="D3108" s="37">
        <f>$AB3108</f>
        <v>531302.9</v>
      </c>
      <c r="E3108" s="37"/>
      <c r="F3108" s="45" t="s">
        <v>6232</v>
      </c>
      <c r="K3108" s="3" t="s">
        <v>2162</v>
      </c>
      <c r="AA3108" s="40" t="s">
        <v>222</v>
      </c>
      <c r="AB3108" s="8">
        <f>TRUNC(2.685*$AD3076*노임!D3,1)</f>
        <v>531302.9</v>
      </c>
      <c r="AC3108" s="40" t="s">
        <v>334</v>
      </c>
      <c r="AD3108" s="7">
        <f>$AD3105+$AB3108</f>
        <v>2632891.6999999997</v>
      </c>
    </row>
    <row r="3109" spans="1:38" ht="18.399999999999999" customHeight="1">
      <c r="A3109" s="41" t="s">
        <v>6232</v>
      </c>
      <c r="B3109" s="37"/>
      <c r="C3109" s="37"/>
      <c r="D3109" s="37"/>
      <c r="E3109" s="37"/>
      <c r="F3109" s="45"/>
      <c r="K3109" s="3" t="s">
        <v>6232</v>
      </c>
    </row>
    <row r="3110" spans="1:38" ht="18.399999999999999" customHeight="1">
      <c r="A3110" s="41" t="s">
        <v>4035</v>
      </c>
      <c r="B3110" s="37">
        <f>SUM($C3110,$D3110,$E3110)</f>
        <v>2632891.7000000002</v>
      </c>
      <c r="C3110" s="37">
        <f>$AB3110</f>
        <v>0</v>
      </c>
      <c r="D3110" s="37">
        <f>$AF3110</f>
        <v>2632891.7000000002</v>
      </c>
      <c r="E3110" s="37">
        <f>$AJ3110</f>
        <v>0</v>
      </c>
      <c r="F3110" s="45"/>
      <c r="K3110" s="3" t="s">
        <v>134</v>
      </c>
      <c r="AA3110" s="40" t="s">
        <v>4592</v>
      </c>
      <c r="AB3110" s="8">
        <f>TRUNC($AD3095,1)</f>
        <v>0</v>
      </c>
      <c r="AC3110" s="40" t="s">
        <v>5149</v>
      </c>
      <c r="AD3110" s="7">
        <f>$AD3094+$AB3110</f>
        <v>873236.7</v>
      </c>
      <c r="AE3110" s="40" t="s">
        <v>666</v>
      </c>
      <c r="AF3110" s="8">
        <f>TRUNC($AD3108,1)</f>
        <v>2632891.7000000002</v>
      </c>
      <c r="AG3110" s="40" t="s">
        <v>2431</v>
      </c>
      <c r="AH3110" s="7">
        <f>$AH3094+$AF3110</f>
        <v>2632891.7000000002</v>
      </c>
      <c r="AI3110" s="40" t="s">
        <v>1930</v>
      </c>
      <c r="AJ3110" s="8">
        <f>TRUNC($AL3095,1)</f>
        <v>0</v>
      </c>
      <c r="AK3110" s="40" t="s">
        <v>3349</v>
      </c>
      <c r="AL3110" s="7">
        <f>$AL3094+$AJ3110</f>
        <v>0</v>
      </c>
    </row>
    <row r="3111" spans="1:38" ht="18.399999999999999" customHeight="1">
      <c r="A3111" s="41" t="s">
        <v>6232</v>
      </c>
      <c r="B3111" s="37">
        <f>SUM($C3111,$D3111,$E3111)</f>
        <v>0</v>
      </c>
      <c r="C3111" s="37">
        <f>$AB3111</f>
        <v>0</v>
      </c>
      <c r="D3111" s="37">
        <f>$AF3111</f>
        <v>0</v>
      </c>
      <c r="E3111" s="37">
        <f>$AJ3111</f>
        <v>0</v>
      </c>
      <c r="F3111" s="45"/>
      <c r="K3111" s="3" t="s">
        <v>3238</v>
      </c>
      <c r="AA3111" s="40" t="s">
        <v>308</v>
      </c>
      <c r="AB3111" s="8">
        <f>ROUND(0,2)</f>
        <v>0</v>
      </c>
      <c r="AC3111" s="40" t="s">
        <v>5000</v>
      </c>
      <c r="AD3111" s="7">
        <f>$AB3111</f>
        <v>0</v>
      </c>
      <c r="AE3111" s="40" t="s">
        <v>4500</v>
      </c>
      <c r="AF3111" s="8">
        <f>ROUND(0,2)</f>
        <v>0</v>
      </c>
      <c r="AG3111" s="40" t="s">
        <v>2603</v>
      </c>
      <c r="AH3111" s="7">
        <f>$AF3111</f>
        <v>0</v>
      </c>
      <c r="AI3111" s="40" t="s">
        <v>5878</v>
      </c>
      <c r="AJ3111" s="8">
        <f>ROUND(0,2)</f>
        <v>0</v>
      </c>
      <c r="AK3111" s="40" t="s">
        <v>787</v>
      </c>
      <c r="AL3111" s="7">
        <f>$AJ3111</f>
        <v>0</v>
      </c>
    </row>
    <row r="3112" spans="1:38" ht="18.399999999999999" customHeight="1">
      <c r="A3112" s="41" t="s">
        <v>760</v>
      </c>
      <c r="B3112" s="37"/>
      <c r="C3112" s="37"/>
      <c r="D3112" s="37"/>
      <c r="E3112" s="37"/>
      <c r="F3112" s="45"/>
      <c r="K3112" s="3" t="s">
        <v>5465</v>
      </c>
    </row>
    <row r="3113" spans="1:38" ht="18.399999999999999" customHeight="1">
      <c r="A3113" s="41" t="s">
        <v>6232</v>
      </c>
      <c r="B3113" s="37"/>
      <c r="C3113" s="37"/>
      <c r="D3113" s="37"/>
      <c r="E3113" s="37"/>
      <c r="F3113" s="45"/>
      <c r="K3113" s="3" t="s">
        <v>6232</v>
      </c>
    </row>
    <row r="3114" spans="1:38" ht="18.399999999999999" customHeight="1">
      <c r="A3114" s="42" t="str">
        <f>CONCATENATE("    LA2 / Q * 0.02 = ",TEXT($AB3114,"#,##0.0"))</f>
        <v xml:space="preserve">    LA2 / Q * 0.02 = 45,789.4</v>
      </c>
      <c r="B3114" s="37">
        <f>SUM($C3114,$D3114,$E3114)</f>
        <v>45789.4</v>
      </c>
      <c r="C3114" s="37"/>
      <c r="D3114" s="37"/>
      <c r="E3114" s="37">
        <f>$AB3114</f>
        <v>45789.4</v>
      </c>
      <c r="F3114" s="45"/>
      <c r="K3114" s="3" t="s">
        <v>4829</v>
      </c>
      <c r="AA3114" s="40" t="s">
        <v>5878</v>
      </c>
      <c r="AB3114" s="8">
        <f>TRUNC($AD3108/$AD3076*0.02,1)</f>
        <v>45789.4</v>
      </c>
      <c r="AC3114" s="40" t="s">
        <v>787</v>
      </c>
      <c r="AD3114" s="7">
        <f>$AL3111+$AB3114</f>
        <v>45789.4</v>
      </c>
    </row>
    <row r="3115" spans="1:38" ht="18.399999999999999" customHeight="1">
      <c r="A3115" s="41" t="s">
        <v>6232</v>
      </c>
      <c r="B3115" s="37"/>
      <c r="C3115" s="37"/>
      <c r="D3115" s="37"/>
      <c r="E3115" s="37"/>
      <c r="F3115" s="45"/>
      <c r="K3115" s="3" t="s">
        <v>6232</v>
      </c>
    </row>
    <row r="3116" spans="1:38" ht="18.399999999999999" customHeight="1">
      <c r="A3116" s="41" t="s">
        <v>4035</v>
      </c>
      <c r="B3116" s="37">
        <f>SUM($C3116,$D3116,$E3116)</f>
        <v>45789.4</v>
      </c>
      <c r="C3116" s="37">
        <f>$AB3116</f>
        <v>0</v>
      </c>
      <c r="D3116" s="37">
        <f>$AF3116</f>
        <v>0</v>
      </c>
      <c r="E3116" s="37">
        <f>$AJ3116</f>
        <v>45789.4</v>
      </c>
      <c r="F3116" s="45"/>
      <c r="K3116" s="3" t="s">
        <v>4813</v>
      </c>
      <c r="AA3116" s="40" t="s">
        <v>4592</v>
      </c>
      <c r="AB3116" s="8">
        <f>TRUNC($AD3111,1)</f>
        <v>0</v>
      </c>
      <c r="AC3116" s="40" t="s">
        <v>5149</v>
      </c>
      <c r="AD3116" s="7">
        <f>$AD3110+$AB3116</f>
        <v>873236.7</v>
      </c>
      <c r="AE3116" s="40" t="s">
        <v>666</v>
      </c>
      <c r="AF3116" s="8">
        <f>TRUNC($AH3111,1)</f>
        <v>0</v>
      </c>
      <c r="AG3116" s="40" t="s">
        <v>2431</v>
      </c>
      <c r="AH3116" s="7">
        <f>$AH3110+$AF3116</f>
        <v>2632891.7000000002</v>
      </c>
      <c r="AI3116" s="40" t="s">
        <v>1930</v>
      </c>
      <c r="AJ3116" s="8">
        <f>TRUNC($AD3114,1)</f>
        <v>45789.4</v>
      </c>
      <c r="AK3116" s="40" t="s">
        <v>3349</v>
      </c>
      <c r="AL3116" s="7">
        <f>$AL3110+$AJ3116</f>
        <v>45789.4</v>
      </c>
    </row>
    <row r="3117" spans="1:38" ht="18.399999999999999" customHeight="1">
      <c r="A3117" s="41" t="s">
        <v>6232</v>
      </c>
      <c r="B3117" s="37"/>
      <c r="C3117" s="37"/>
      <c r="D3117" s="37"/>
      <c r="E3117" s="37"/>
      <c r="F3117" s="45"/>
      <c r="K3117" s="3" t="s">
        <v>6232</v>
      </c>
    </row>
    <row r="3118" spans="1:38" ht="18.399999999999999" customHeight="1">
      <c r="A3118" s="41" t="s">
        <v>4002</v>
      </c>
      <c r="B3118" s="37">
        <v>3516530.4</v>
      </c>
      <c r="C3118" s="37">
        <v>873236.7</v>
      </c>
      <c r="D3118" s="37">
        <v>2598109.2000000002</v>
      </c>
      <c r="E3118" s="37">
        <v>45184.5</v>
      </c>
      <c r="F3118" s="45"/>
      <c r="K3118" s="3" t="s">
        <v>916</v>
      </c>
    </row>
    <row r="3119" spans="1:38" ht="18.399999999999999" customHeight="1">
      <c r="A3119" s="41"/>
      <c r="B3119" s="3"/>
      <c r="C3119" s="3"/>
      <c r="D3119" s="3"/>
      <c r="E3119" s="3"/>
      <c r="F3119" s="44"/>
    </row>
    <row r="3120" spans="1:38" ht="18.399999999999999" customHeight="1">
      <c r="A3120" s="43" t="s">
        <v>3543</v>
      </c>
      <c r="B3120" s="38">
        <f>SUM($C3120,$D3120,$E3120)</f>
        <v>3551916</v>
      </c>
      <c r="C3120" s="38">
        <f>TRUNC(SUM($AD3116),0)</f>
        <v>873236</v>
      </c>
      <c r="D3120" s="38">
        <f>TRUNC(SUM($AH3116),0)</f>
        <v>2632891</v>
      </c>
      <c r="E3120" s="38">
        <f>TRUNC(SUM($AL3116),0)</f>
        <v>45789</v>
      </c>
      <c r="F3120" s="46"/>
    </row>
    <row r="3121" spans="1:38" ht="18.399999999999999" customHeight="1">
      <c r="A3121" s="41"/>
      <c r="B3121" s="3"/>
      <c r="C3121" s="3"/>
      <c r="D3121" s="3"/>
      <c r="E3121" s="3"/>
      <c r="F3121" s="44"/>
    </row>
    <row r="3122" spans="1:38" ht="18.399999999999999" customHeight="1">
      <c r="A3122" s="41" t="s">
        <v>5315</v>
      </c>
      <c r="B3122" s="36">
        <f>$B3174</f>
        <v>4072765</v>
      </c>
      <c r="C3122" s="36">
        <f>$C3174</f>
        <v>1082686</v>
      </c>
      <c r="D3122" s="36">
        <f>$D3174</f>
        <v>2938967</v>
      </c>
      <c r="E3122" s="36">
        <f>$E3174</f>
        <v>51112</v>
      </c>
      <c r="F3122" s="44" t="s">
        <v>4819</v>
      </c>
      <c r="G3122" t="s">
        <v>6232</v>
      </c>
      <c r="H3122" t="s">
        <v>448</v>
      </c>
      <c r="K3122">
        <v>1</v>
      </c>
      <c r="Y3122" s="7" t="b">
        <f>EXACT($Z3122,$B3174)</f>
        <v>0</v>
      </c>
      <c r="Z3122" s="38">
        <v>4033411</v>
      </c>
    </row>
    <row r="3123" spans="1:38" ht="18.399999999999999" customHeight="1">
      <c r="A3123" s="41"/>
      <c r="B3123" s="3"/>
      <c r="C3123" s="3"/>
      <c r="D3123" s="3"/>
      <c r="E3123" s="3"/>
      <c r="F3123" s="44"/>
    </row>
    <row r="3124" spans="1:38" ht="18.399999999999999" customHeight="1">
      <c r="A3124" s="41" t="s">
        <v>6232</v>
      </c>
      <c r="B3124" s="3"/>
      <c r="C3124" s="3"/>
      <c r="D3124" s="3"/>
      <c r="E3124" s="3"/>
      <c r="F3124" s="44"/>
      <c r="G3124" t="s">
        <v>6232</v>
      </c>
      <c r="I3124" t="s">
        <v>742</v>
      </c>
      <c r="J3124" t="s">
        <v>6232</v>
      </c>
      <c r="K3124" t="s">
        <v>5235</v>
      </c>
    </row>
    <row r="3125" spans="1:38" ht="18.399999999999999" customHeight="1">
      <c r="A3125" s="41" t="s">
        <v>2822</v>
      </c>
      <c r="B3125" s="37"/>
      <c r="C3125" s="37"/>
      <c r="D3125" s="37"/>
      <c r="E3125" s="37"/>
      <c r="F3125" s="45"/>
      <c r="K3125" s="3" t="s">
        <v>3129</v>
      </c>
    </row>
    <row r="3126" spans="1:38" ht="18.399999999999999" customHeight="1">
      <c r="A3126" s="41" t="s">
        <v>6232</v>
      </c>
      <c r="B3126" s="37"/>
      <c r="C3126" s="37"/>
      <c r="D3126" s="37"/>
      <c r="E3126" s="37"/>
      <c r="F3126" s="45"/>
      <c r="K3126" s="3" t="s">
        <v>6232</v>
      </c>
    </row>
    <row r="3127" spans="1:38" ht="18.399999999999999" customHeight="1">
      <c r="A3127" s="41" t="s">
        <v>2476</v>
      </c>
      <c r="B3127" s="37"/>
      <c r="C3127" s="37"/>
      <c r="D3127" s="37"/>
      <c r="E3127" s="37"/>
      <c r="F3127" s="45"/>
      <c r="K3127" s="3" t="s">
        <v>5810</v>
      </c>
    </row>
    <row r="3128" spans="1:38" ht="18.399999999999999" customHeight="1">
      <c r="A3128" s="41" t="s">
        <v>774</v>
      </c>
      <c r="B3128" s="37"/>
      <c r="C3128" s="37"/>
      <c r="D3128" s="37"/>
      <c r="E3128" s="37"/>
      <c r="F3128" s="45"/>
      <c r="K3128" s="3" t="s">
        <v>3563</v>
      </c>
    </row>
    <row r="3129" spans="1:38" ht="18.399999999999999" customHeight="1">
      <c r="A3129" s="41" t="s">
        <v>1642</v>
      </c>
      <c r="B3129" s="37"/>
      <c r="C3129" s="37"/>
      <c r="D3129" s="37"/>
      <c r="E3129" s="37"/>
      <c r="F3129" s="45"/>
      <c r="K3129" s="3" t="s">
        <v>2758</v>
      </c>
    </row>
    <row r="3130" spans="1:38" ht="18.399999999999999" customHeight="1">
      <c r="A3130" s="42" t="str">
        <f>CONCATENATE("          Q=",TEXT($AB3130,"#,##0.00"))</f>
        <v xml:space="preserve">          Q=1.15</v>
      </c>
      <c r="B3130" s="37"/>
      <c r="C3130" s="37"/>
      <c r="D3130" s="37"/>
      <c r="E3130" s="37"/>
      <c r="F3130" s="45"/>
      <c r="K3130" s="10" t="str">
        <f>SUBSTITUTE(SUBSTITUTE("          Q=1.15","1.15",TEXT($AB3130,"#,##0.00"),1),"_x001D_","'")</f>
        <v xml:space="preserve">          Q=1.15</v>
      </c>
      <c r="AA3130" s="39" t="s">
        <v>4337</v>
      </c>
      <c r="AB3130" s="6">
        <v>1.1499999999999999</v>
      </c>
      <c r="AC3130" s="39" t="s">
        <v>4337</v>
      </c>
      <c r="AD3130" s="7">
        <f>$AB3130</f>
        <v>1.1499999999999999</v>
      </c>
    </row>
    <row r="3131" spans="1:38" ht="18.399999999999999" customHeight="1">
      <c r="A3131" s="41" t="s">
        <v>6232</v>
      </c>
      <c r="B3131" s="37">
        <f>SUM($C3131,$D3131,$E3131)</f>
        <v>0</v>
      </c>
      <c r="C3131" s="37">
        <f>$AB3131</f>
        <v>0</v>
      </c>
      <c r="D3131" s="37">
        <f>$AF3131</f>
        <v>0</v>
      </c>
      <c r="E3131" s="37">
        <f>$AJ3131</f>
        <v>0</v>
      </c>
      <c r="F3131" s="45"/>
      <c r="K3131" s="3" t="s">
        <v>295</v>
      </c>
      <c r="AA3131" s="40" t="s">
        <v>2660</v>
      </c>
      <c r="AB3131" s="8">
        <f>ROUND(0,2)</f>
        <v>0</v>
      </c>
      <c r="AC3131" s="40" t="s">
        <v>1650</v>
      </c>
      <c r="AD3131" s="7">
        <f>$AB3131</f>
        <v>0</v>
      </c>
      <c r="AE3131" s="40" t="s">
        <v>5305</v>
      </c>
      <c r="AF3131" s="8">
        <f>ROUND(0,2)</f>
        <v>0</v>
      </c>
      <c r="AG3131" s="40" t="s">
        <v>5439</v>
      </c>
      <c r="AH3131" s="7">
        <f>$AF3131</f>
        <v>0</v>
      </c>
      <c r="AI3131" s="40" t="s">
        <v>3519</v>
      </c>
      <c r="AJ3131" s="8">
        <f>ROUND(0,2)</f>
        <v>0</v>
      </c>
      <c r="AK3131" s="40" t="s">
        <v>4149</v>
      </c>
      <c r="AL3131" s="7">
        <f>$AJ3131</f>
        <v>0</v>
      </c>
    </row>
    <row r="3132" spans="1:38" ht="18.399999999999999" customHeight="1">
      <c r="A3132" s="41" t="s">
        <v>4464</v>
      </c>
      <c r="B3132" s="37"/>
      <c r="C3132" s="37"/>
      <c r="D3132" s="37"/>
      <c r="E3132" s="37"/>
      <c r="F3132" s="45"/>
      <c r="K3132" s="3" t="s">
        <v>311</v>
      </c>
    </row>
    <row r="3133" spans="1:38" ht="18.399999999999999" customHeight="1">
      <c r="A3133" s="41" t="s">
        <v>6232</v>
      </c>
      <c r="B3133" s="37"/>
      <c r="C3133" s="37"/>
      <c r="D3133" s="37"/>
      <c r="E3133" s="37"/>
      <c r="F3133" s="45"/>
      <c r="K3133" s="3" t="s">
        <v>6232</v>
      </c>
    </row>
    <row r="3134" spans="1:38" ht="18.399999999999999" customHeight="1">
      <c r="A3134" s="42" t="str">
        <f>CONCATENATE("  1) POLYOL :  28.92  kg  * _x001D_4,500_x001D_ = ",TEXT($AB3134,"#,##0.0"))</f>
        <v xml:space="preserve">  1) POLYOL :  28.92  kg  * _x001D_4,500_x001D_ = 130,140.0</v>
      </c>
      <c r="B3134" s="37">
        <f>SUM($C3134,$D3134,$E3134)</f>
        <v>130140</v>
      </c>
      <c r="C3134" s="37">
        <f>$AB3134</f>
        <v>130140</v>
      </c>
      <c r="D3134" s="37"/>
      <c r="E3134" s="37"/>
      <c r="F3134" s="45" t="s">
        <v>6232</v>
      </c>
      <c r="K3134" s="3" t="s">
        <v>2534</v>
      </c>
      <c r="AA3134" s="40" t="s">
        <v>2660</v>
      </c>
      <c r="AB3134" s="8">
        <f>TRUNC(28.92*자재조서!E46,1)</f>
        <v>130140</v>
      </c>
      <c r="AC3134" s="40" t="s">
        <v>1650</v>
      </c>
      <c r="AD3134" s="7">
        <f>$AD3131+$AB3134</f>
        <v>130140</v>
      </c>
    </row>
    <row r="3135" spans="1:38" ht="18.399999999999999" customHeight="1">
      <c r="A3135" s="41" t="s">
        <v>6232</v>
      </c>
      <c r="B3135" s="37"/>
      <c r="C3135" s="37"/>
      <c r="D3135" s="37"/>
      <c r="E3135" s="37"/>
      <c r="F3135" s="45"/>
      <c r="K3135" s="3" t="s">
        <v>6232</v>
      </c>
    </row>
    <row r="3136" spans="1:38" ht="18.399999999999999" customHeight="1">
      <c r="A3136" s="42" t="str">
        <f>CONCATENATE("  2) MDI :  40.44  kg  * _x001D_4,000_x001D_  = ",TEXT($AB3136,"#,##0.0"))</f>
        <v xml:space="preserve">  2) MDI :  40.44  kg  * _x001D_4,000_x001D_  = 161,760.0</v>
      </c>
      <c r="B3136" s="37">
        <f>SUM($C3136,$D3136,$E3136)</f>
        <v>161760</v>
      </c>
      <c r="C3136" s="37">
        <f>$AB3136</f>
        <v>161760</v>
      </c>
      <c r="D3136" s="37"/>
      <c r="E3136" s="37"/>
      <c r="F3136" s="45" t="s">
        <v>6232</v>
      </c>
      <c r="K3136" s="3" t="s">
        <v>1898</v>
      </c>
      <c r="AA3136" s="40" t="s">
        <v>2660</v>
      </c>
      <c r="AB3136" s="8">
        <f>TRUNC(40.44*자재조서!E47,1)</f>
        <v>161760</v>
      </c>
      <c r="AC3136" s="40" t="s">
        <v>1650</v>
      </c>
      <c r="AD3136" s="7">
        <f>$AD3134+$AB3136</f>
        <v>291900</v>
      </c>
    </row>
    <row r="3137" spans="1:38" ht="18.399999999999999" customHeight="1">
      <c r="A3137" s="41" t="s">
        <v>6232</v>
      </c>
      <c r="B3137" s="37"/>
      <c r="C3137" s="37"/>
      <c r="D3137" s="37"/>
      <c r="E3137" s="37"/>
      <c r="F3137" s="45"/>
      <c r="K3137" s="3" t="s">
        <v>6232</v>
      </c>
    </row>
    <row r="3138" spans="1:38" ht="18.399999999999999" customHeight="1">
      <c r="A3138" s="41" t="s">
        <v>337</v>
      </c>
      <c r="B3138" s="37"/>
      <c r="C3138" s="37"/>
      <c r="D3138" s="37"/>
      <c r="E3138" s="37"/>
      <c r="F3138" s="45"/>
      <c r="K3138" s="3" t="s">
        <v>3279</v>
      </c>
    </row>
    <row r="3139" spans="1:38" ht="18.399999999999999" customHeight="1">
      <c r="A3139" s="41" t="s">
        <v>6232</v>
      </c>
      <c r="B3139" s="37"/>
      <c r="C3139" s="37"/>
      <c r="D3139" s="37"/>
      <c r="E3139" s="37"/>
      <c r="F3139" s="45"/>
      <c r="K3139" s="3" t="s">
        <v>6232</v>
      </c>
    </row>
    <row r="3140" spans="1:38" ht="18.399999999999999" customHeight="1">
      <c r="A3140" s="42" t="str">
        <f>CONCATENATE("  4) PE 용접봉 :  7.81  kg  * _x001D_10,738_x001D_= ",TEXT($AB3140,"#,##0.0"))</f>
        <v xml:space="preserve">  4) PE 용접봉 :  7.81  kg  * _x001D_10,738_x001D_= 83,863.7</v>
      </c>
      <c r="B3140" s="37">
        <f>SUM($C3140,$D3140,$E3140)</f>
        <v>83863.7</v>
      </c>
      <c r="C3140" s="37">
        <f>$AB3140</f>
        <v>83863.7</v>
      </c>
      <c r="D3140" s="37"/>
      <c r="E3140" s="37"/>
      <c r="F3140" s="45" t="s">
        <v>6232</v>
      </c>
      <c r="K3140" s="3" t="s">
        <v>5022</v>
      </c>
      <c r="AA3140" s="40" t="s">
        <v>2660</v>
      </c>
      <c r="AB3140" s="8">
        <f>TRUNC(7.81*자재조서!E41,1)</f>
        <v>83863.7</v>
      </c>
      <c r="AC3140" s="40" t="s">
        <v>1650</v>
      </c>
      <c r="AD3140" s="7">
        <f>$AD3136+$AB3140</f>
        <v>375763.7</v>
      </c>
    </row>
    <row r="3141" spans="1:38" ht="18.399999999999999" customHeight="1">
      <c r="A3141" s="41" t="s">
        <v>6232</v>
      </c>
      <c r="B3141" s="37"/>
      <c r="C3141" s="37"/>
      <c r="D3141" s="37"/>
      <c r="E3141" s="37"/>
      <c r="F3141" s="45"/>
      <c r="K3141" s="3" t="s">
        <v>6232</v>
      </c>
    </row>
    <row r="3142" spans="1:38" ht="18.399999999999999" customHeight="1">
      <c r="A3142" s="42" t="str">
        <f>CONCATENATE("  5) HDPE 관 :  6.18  m  * _x001D_27,900_x001D_ = ",TEXT($AB3142,"#,##0.0"))</f>
        <v xml:space="preserve">  5) HDPE 관 :  6.18  m  * _x001D_27,900_x001D_ = 172,422.0</v>
      </c>
      <c r="B3142" s="37">
        <f>SUM($C3142,$D3142,$E3142)</f>
        <v>172422</v>
      </c>
      <c r="C3142" s="37">
        <f>$AB3142</f>
        <v>172422</v>
      </c>
      <c r="D3142" s="37"/>
      <c r="E3142" s="37"/>
      <c r="F3142" s="45" t="s">
        <v>6232</v>
      </c>
      <c r="K3142" s="3" t="s">
        <v>5795</v>
      </c>
      <c r="AA3142" s="40" t="s">
        <v>2660</v>
      </c>
      <c r="AB3142" s="8">
        <f>TRUNC(6.18*자재조서!E36,1)</f>
        <v>172422</v>
      </c>
      <c r="AC3142" s="40" t="s">
        <v>1650</v>
      </c>
      <c r="AD3142" s="7">
        <f>$AD3140+$AB3142</f>
        <v>548185.69999999995</v>
      </c>
    </row>
    <row r="3143" spans="1:38" ht="18.399999999999999" customHeight="1">
      <c r="A3143" s="41" t="s">
        <v>6232</v>
      </c>
      <c r="B3143" s="37"/>
      <c r="C3143" s="37"/>
      <c r="D3143" s="37"/>
      <c r="E3143" s="37"/>
      <c r="F3143" s="45"/>
      <c r="K3143" s="3" t="s">
        <v>6232</v>
      </c>
    </row>
    <row r="3144" spans="1:38" ht="18.399999999999999" customHeight="1">
      <c r="A3144" s="42" t="str">
        <f>CONCATENATE("  6) 공장보온재 :  2.992  m  * _x001D_178,550_x001D_ = ",TEXT($AB3144,"#,##0.0"))</f>
        <v xml:space="preserve">  6) 공장보온재 :  2.992  m  * _x001D_178,550_x001D_ = 534,221.6</v>
      </c>
      <c r="B3144" s="37">
        <f>SUM($C3144,$D3144,$E3144)</f>
        <v>534221.6</v>
      </c>
      <c r="C3144" s="37">
        <f>$AB3144</f>
        <v>534221.6</v>
      </c>
      <c r="D3144" s="37"/>
      <c r="E3144" s="37"/>
      <c r="F3144" s="45" t="s">
        <v>6232</v>
      </c>
      <c r="K3144" s="3" t="s">
        <v>3847</v>
      </c>
      <c r="AA3144" s="40" t="s">
        <v>2660</v>
      </c>
      <c r="AB3144" s="8">
        <f>TRUNC(2.992*자재조서!E79,1)</f>
        <v>534221.6</v>
      </c>
      <c r="AC3144" s="40" t="s">
        <v>1650</v>
      </c>
      <c r="AD3144" s="7">
        <f>$AD3142+$AB3144</f>
        <v>1082407.2999999998</v>
      </c>
    </row>
    <row r="3145" spans="1:38" ht="18.399999999999999" customHeight="1">
      <c r="A3145" s="41" t="s">
        <v>6232</v>
      </c>
      <c r="B3145" s="37"/>
      <c r="C3145" s="37"/>
      <c r="D3145" s="37"/>
      <c r="E3145" s="37"/>
      <c r="F3145" s="45"/>
      <c r="K3145" s="3" t="s">
        <v>6232</v>
      </c>
    </row>
    <row r="3146" spans="1:38" ht="18.399999999999999" customHeight="1">
      <c r="A3146" s="42" t="str">
        <f>CONCATENATE("  7) 석동선 :  16.95  m  * _x001D_16.5_x001D_ = ",TEXT($AB3146,"#,##0.0"))</f>
        <v xml:space="preserve">  7) 석동선 :  16.95  m  * _x001D_16.5_x001D_ = 279.6</v>
      </c>
      <c r="B3146" s="37">
        <f>SUM($C3146,$D3146,$E3146)</f>
        <v>279.60000000000002</v>
      </c>
      <c r="C3146" s="37">
        <f>$AB3146</f>
        <v>279.60000000000002</v>
      </c>
      <c r="D3146" s="37"/>
      <c r="E3146" s="37"/>
      <c r="F3146" s="45" t="s">
        <v>6232</v>
      </c>
      <c r="K3146" s="3" t="s">
        <v>3593</v>
      </c>
      <c r="AA3146" s="40" t="s">
        <v>2660</v>
      </c>
      <c r="AB3146" s="8">
        <f>TRUNC(16.95*자재조서!E85,1)</f>
        <v>279.60000000000002</v>
      </c>
      <c r="AC3146" s="40" t="s">
        <v>1650</v>
      </c>
      <c r="AD3146" s="7">
        <f>$AD3144+$AB3146</f>
        <v>1082686.8999999999</v>
      </c>
    </row>
    <row r="3147" spans="1:38" ht="18.399999999999999" customHeight="1">
      <c r="A3147" s="41" t="s">
        <v>6232</v>
      </c>
      <c r="B3147" s="37"/>
      <c r="C3147" s="37"/>
      <c r="D3147" s="37"/>
      <c r="E3147" s="37"/>
      <c r="F3147" s="45"/>
      <c r="K3147" s="3" t="s">
        <v>6232</v>
      </c>
    </row>
    <row r="3148" spans="1:38" ht="18.399999999999999" customHeight="1">
      <c r="A3148" s="41" t="s">
        <v>4035</v>
      </c>
      <c r="B3148" s="37">
        <f>SUM($C3148,$D3148,$E3148)</f>
        <v>1082686.8999999999</v>
      </c>
      <c r="C3148" s="37">
        <f>$AB3148</f>
        <v>1082686.8999999999</v>
      </c>
      <c r="D3148" s="37">
        <f>$AF3148</f>
        <v>0</v>
      </c>
      <c r="E3148" s="37">
        <f>$AJ3148</f>
        <v>0</v>
      </c>
      <c r="F3148" s="45"/>
      <c r="K3148" s="3" t="s">
        <v>6125</v>
      </c>
      <c r="AA3148" s="40" t="s">
        <v>4592</v>
      </c>
      <c r="AB3148" s="8">
        <f>TRUNC($AD3146,1)</f>
        <v>1082686.8999999999</v>
      </c>
      <c r="AC3148" s="40" t="s">
        <v>5149</v>
      </c>
      <c r="AD3148" s="7">
        <f>$AB3148</f>
        <v>1082686.8999999999</v>
      </c>
      <c r="AE3148" s="40" t="s">
        <v>666</v>
      </c>
      <c r="AF3148" s="8">
        <f>TRUNC($AH3131,1)</f>
        <v>0</v>
      </c>
      <c r="AG3148" s="40" t="s">
        <v>2431</v>
      </c>
      <c r="AH3148" s="7">
        <f>$AF3148</f>
        <v>0</v>
      </c>
      <c r="AI3148" s="40" t="s">
        <v>1930</v>
      </c>
      <c r="AJ3148" s="8">
        <f>TRUNC($AL3131,1)</f>
        <v>0</v>
      </c>
      <c r="AK3148" s="40" t="s">
        <v>3349</v>
      </c>
      <c r="AL3148" s="7">
        <f>$AJ3148</f>
        <v>0</v>
      </c>
    </row>
    <row r="3149" spans="1:38" ht="18.399999999999999" customHeight="1">
      <c r="A3149" s="41" t="s">
        <v>6232</v>
      </c>
      <c r="B3149" s="37">
        <f>SUM($C3149,$D3149,$E3149)</f>
        <v>0</v>
      </c>
      <c r="C3149" s="37">
        <f>$AB3149</f>
        <v>0</v>
      </c>
      <c r="D3149" s="37">
        <f>$AF3149</f>
        <v>0</v>
      </c>
      <c r="E3149" s="37">
        <f>$AJ3149</f>
        <v>0</v>
      </c>
      <c r="F3149" s="45"/>
      <c r="K3149" s="3" t="s">
        <v>5506</v>
      </c>
      <c r="AA3149" s="40" t="s">
        <v>4586</v>
      </c>
      <c r="AB3149" s="8">
        <f>ROUND(0,2)</f>
        <v>0</v>
      </c>
      <c r="AC3149" s="40" t="s">
        <v>4161</v>
      </c>
      <c r="AD3149" s="7">
        <f>$AB3149</f>
        <v>0</v>
      </c>
      <c r="AE3149" s="40" t="s">
        <v>222</v>
      </c>
      <c r="AF3149" s="8">
        <f>ROUND(0,2)</f>
        <v>0</v>
      </c>
      <c r="AG3149" s="40" t="s">
        <v>334</v>
      </c>
      <c r="AH3149" s="7">
        <f>$AF3149</f>
        <v>0</v>
      </c>
      <c r="AI3149" s="40" t="s">
        <v>1574</v>
      </c>
      <c r="AJ3149" s="8">
        <f>ROUND(0,2)</f>
        <v>0</v>
      </c>
      <c r="AK3149" s="40" t="s">
        <v>1622</v>
      </c>
      <c r="AL3149" s="7">
        <f>$AJ3149</f>
        <v>0</v>
      </c>
    </row>
    <row r="3150" spans="1:38" ht="18.399999999999999" customHeight="1">
      <c r="A3150" s="41" t="s">
        <v>231</v>
      </c>
      <c r="B3150" s="37"/>
      <c r="C3150" s="37"/>
      <c r="D3150" s="37"/>
      <c r="E3150" s="37"/>
      <c r="F3150" s="45"/>
      <c r="K3150" s="3" t="s">
        <v>268</v>
      </c>
    </row>
    <row r="3151" spans="1:38" ht="18.399999999999999" customHeight="1">
      <c r="A3151" s="41" t="s">
        <v>6232</v>
      </c>
      <c r="B3151" s="37"/>
      <c r="C3151" s="37"/>
      <c r="D3151" s="37"/>
      <c r="E3151" s="37"/>
      <c r="F3151" s="45"/>
      <c r="K3151" s="3" t="s">
        <v>6232</v>
      </c>
    </row>
    <row r="3152" spans="1:38" ht="18.399999999999999" customHeight="1">
      <c r="A3152" s="41" t="s">
        <v>5533</v>
      </c>
      <c r="B3152" s="37"/>
      <c r="C3152" s="37"/>
      <c r="D3152" s="37"/>
      <c r="E3152" s="37"/>
      <c r="F3152" s="45"/>
      <c r="K3152" s="3" t="s">
        <v>3259</v>
      </c>
    </row>
    <row r="3153" spans="1:38" ht="18.399999999999999" customHeight="1">
      <c r="A3153" s="42" t="str">
        <f>CONCATENATE("    6.494  인  * Q * _x001D_213,722_x001D_ = ",TEXT($AB3153,"#,##0.0"))</f>
        <v xml:space="preserve">    6.494  인  * Q * _x001D_213,722_x001D_ = 1,620,667.3</v>
      </c>
      <c r="B3153" s="37">
        <f>SUM($C3153,$D3153,$E3153)</f>
        <v>1620667.3</v>
      </c>
      <c r="C3153" s="37"/>
      <c r="D3153" s="37">
        <f>$AB3153</f>
        <v>1620667.3</v>
      </c>
      <c r="E3153" s="37"/>
      <c r="F3153" s="45" t="s">
        <v>6232</v>
      </c>
      <c r="K3153" s="3" t="s">
        <v>4671</v>
      </c>
      <c r="AA3153" s="40" t="s">
        <v>222</v>
      </c>
      <c r="AB3153" s="8">
        <f>TRUNC(6.494*$AD3130*노임!D10,1)</f>
        <v>1620667.3</v>
      </c>
      <c r="AC3153" s="40" t="s">
        <v>334</v>
      </c>
      <c r="AD3153" s="7">
        <f>$AH3149+$AB3153</f>
        <v>1620667.3</v>
      </c>
    </row>
    <row r="3154" spans="1:38" ht="18.399999999999999" customHeight="1">
      <c r="A3154" s="41" t="s">
        <v>6232</v>
      </c>
      <c r="B3154" s="37"/>
      <c r="C3154" s="37"/>
      <c r="D3154" s="37"/>
      <c r="E3154" s="37"/>
      <c r="F3154" s="45"/>
      <c r="K3154" s="3" t="s">
        <v>6232</v>
      </c>
    </row>
    <row r="3155" spans="1:38" ht="18.399999999999999" customHeight="1">
      <c r="A3155" s="41" t="s">
        <v>585</v>
      </c>
      <c r="B3155" s="37"/>
      <c r="C3155" s="37"/>
      <c r="D3155" s="37"/>
      <c r="E3155" s="37"/>
      <c r="F3155" s="45"/>
      <c r="K3155" s="3" t="s">
        <v>5657</v>
      </c>
    </row>
    <row r="3156" spans="1:38" ht="18.399999999999999" customHeight="1">
      <c r="A3156" s="42" t="str">
        <f>CONCATENATE("    2.274  인  * Q * _x001D_201,482_x001D_ = ",TEXT($AB3156,"#,##0.0"))</f>
        <v xml:space="preserve">    2.274  인  * Q * _x001D_201,482_x001D_ = 529,484.5</v>
      </c>
      <c r="B3156" s="37">
        <f>SUM($C3156,$D3156,$E3156)</f>
        <v>529484.5</v>
      </c>
      <c r="C3156" s="37"/>
      <c r="D3156" s="37">
        <f>$AB3156</f>
        <v>529484.5</v>
      </c>
      <c r="E3156" s="37"/>
      <c r="F3156" s="45" t="s">
        <v>6232</v>
      </c>
      <c r="K3156" s="3" t="s">
        <v>2343</v>
      </c>
      <c r="AA3156" s="40" t="s">
        <v>222</v>
      </c>
      <c r="AB3156" s="8">
        <f>TRUNC(2.274*$AD3130*노임!D9,1)</f>
        <v>529484.5</v>
      </c>
      <c r="AC3156" s="40" t="s">
        <v>334</v>
      </c>
      <c r="AD3156" s="7">
        <f>$AD3153+$AB3156</f>
        <v>2150151.7999999998</v>
      </c>
    </row>
    <row r="3157" spans="1:38" ht="18.399999999999999" customHeight="1">
      <c r="A3157" s="41" t="s">
        <v>6232</v>
      </c>
      <c r="B3157" s="37"/>
      <c r="C3157" s="37"/>
      <c r="D3157" s="37"/>
      <c r="E3157" s="37"/>
      <c r="F3157" s="45"/>
      <c r="K3157" s="3" t="s">
        <v>6232</v>
      </c>
    </row>
    <row r="3158" spans="1:38" ht="18.399999999999999" customHeight="1">
      <c r="A3158" s="41" t="s">
        <v>3917</v>
      </c>
      <c r="B3158" s="37"/>
      <c r="C3158" s="37"/>
      <c r="D3158" s="37"/>
      <c r="E3158" s="37"/>
      <c r="F3158" s="45"/>
      <c r="K3158" s="3" t="s">
        <v>4355</v>
      </c>
    </row>
    <row r="3159" spans="1:38" ht="18.399999999999999" customHeight="1">
      <c r="A3159" s="42" t="str">
        <f>CONCATENATE("    0.606  인  * Q * _x001D_221,506_x001D_ = ",TEXT($AB3159,"#,##0.0"))</f>
        <v xml:space="preserve">    0.606  인  * Q * _x001D_221,506_x001D_ = 157,584.4</v>
      </c>
      <c r="B3159" s="37">
        <f>SUM($C3159,$D3159,$E3159)</f>
        <v>157584.4</v>
      </c>
      <c r="C3159" s="37"/>
      <c r="D3159" s="37">
        <f>$AB3159</f>
        <v>157584.4</v>
      </c>
      <c r="E3159" s="37"/>
      <c r="F3159" s="45" t="s">
        <v>6232</v>
      </c>
      <c r="K3159" s="3" t="s">
        <v>4245</v>
      </c>
      <c r="AA3159" s="40" t="s">
        <v>222</v>
      </c>
      <c r="AB3159" s="8">
        <f>TRUNC(0.606*$AD3130*노임!D4,1)</f>
        <v>157584.4</v>
      </c>
      <c r="AC3159" s="40" t="s">
        <v>334</v>
      </c>
      <c r="AD3159" s="7">
        <f>$AD3156+$AB3159</f>
        <v>2307736.1999999997</v>
      </c>
    </row>
    <row r="3160" spans="1:38" ht="18.399999999999999" customHeight="1">
      <c r="A3160" s="41" t="s">
        <v>6232</v>
      </c>
      <c r="B3160" s="37"/>
      <c r="C3160" s="37"/>
      <c r="D3160" s="37"/>
      <c r="E3160" s="37"/>
      <c r="F3160" s="45"/>
      <c r="K3160" s="3" t="s">
        <v>6232</v>
      </c>
    </row>
    <row r="3161" spans="1:38" ht="18.399999999999999" customHeight="1">
      <c r="A3161" s="41" t="s">
        <v>4277</v>
      </c>
      <c r="B3161" s="37"/>
      <c r="C3161" s="37"/>
      <c r="D3161" s="37"/>
      <c r="E3161" s="37"/>
      <c r="F3161" s="45"/>
      <c r="K3161" s="3" t="s">
        <v>4663</v>
      </c>
    </row>
    <row r="3162" spans="1:38" ht="18.399999999999999" customHeight="1">
      <c r="A3162" s="42" t="str">
        <f>CONCATENATE("    3.190  인  * Q * _x001D_169,804_x001D_ = ",TEXT($AB3162,"#,##0.0"))</f>
        <v xml:space="preserve">    3.190  인  * Q * _x001D_169,804_x001D_ = 631,231.4</v>
      </c>
      <c r="B3162" s="37">
        <f>SUM($C3162,$D3162,$E3162)</f>
        <v>631231.4</v>
      </c>
      <c r="C3162" s="37"/>
      <c r="D3162" s="37">
        <f>$AB3162</f>
        <v>631231.4</v>
      </c>
      <c r="E3162" s="37"/>
      <c r="F3162" s="45" t="s">
        <v>6232</v>
      </c>
      <c r="K3162" s="3" t="s">
        <v>5382</v>
      </c>
      <c r="AA3162" s="40" t="s">
        <v>222</v>
      </c>
      <c r="AB3162" s="8">
        <f>TRUNC(3.19*$AD3130*노임!D3,1)</f>
        <v>631231.4</v>
      </c>
      <c r="AC3162" s="40" t="s">
        <v>334</v>
      </c>
      <c r="AD3162" s="7">
        <f>$AD3159+$AB3162</f>
        <v>2938967.5999999996</v>
      </c>
    </row>
    <row r="3163" spans="1:38" ht="18.399999999999999" customHeight="1">
      <c r="A3163" s="41" t="s">
        <v>6232</v>
      </c>
      <c r="B3163" s="37"/>
      <c r="C3163" s="37"/>
      <c r="D3163" s="37"/>
      <c r="E3163" s="37"/>
      <c r="F3163" s="45"/>
      <c r="K3163" s="3" t="s">
        <v>6232</v>
      </c>
    </row>
    <row r="3164" spans="1:38" ht="18.399999999999999" customHeight="1">
      <c r="A3164" s="41" t="s">
        <v>4035</v>
      </c>
      <c r="B3164" s="37">
        <f>SUM($C3164,$D3164,$E3164)</f>
        <v>2938967.6</v>
      </c>
      <c r="C3164" s="37">
        <f>$AB3164</f>
        <v>0</v>
      </c>
      <c r="D3164" s="37">
        <f>$AF3164</f>
        <v>2938967.6</v>
      </c>
      <c r="E3164" s="37">
        <f>$AJ3164</f>
        <v>0</v>
      </c>
      <c r="F3164" s="45"/>
      <c r="K3164" s="3" t="s">
        <v>134</v>
      </c>
      <c r="AA3164" s="40" t="s">
        <v>4592</v>
      </c>
      <c r="AB3164" s="8">
        <f>TRUNC($AD3149,1)</f>
        <v>0</v>
      </c>
      <c r="AC3164" s="40" t="s">
        <v>5149</v>
      </c>
      <c r="AD3164" s="7">
        <f>$AD3148+$AB3164</f>
        <v>1082686.8999999999</v>
      </c>
      <c r="AE3164" s="40" t="s">
        <v>666</v>
      </c>
      <c r="AF3164" s="8">
        <f>TRUNC($AD3162,1)</f>
        <v>2938967.6</v>
      </c>
      <c r="AG3164" s="40" t="s">
        <v>2431</v>
      </c>
      <c r="AH3164" s="7">
        <f>$AH3148+$AF3164</f>
        <v>2938967.6</v>
      </c>
      <c r="AI3164" s="40" t="s">
        <v>1930</v>
      </c>
      <c r="AJ3164" s="8">
        <f>TRUNC($AL3149,1)</f>
        <v>0</v>
      </c>
      <c r="AK3164" s="40" t="s">
        <v>3349</v>
      </c>
      <c r="AL3164" s="7">
        <f>$AL3148+$AJ3164</f>
        <v>0</v>
      </c>
    </row>
    <row r="3165" spans="1:38" ht="18.399999999999999" customHeight="1">
      <c r="A3165" s="41" t="s">
        <v>6232</v>
      </c>
      <c r="B3165" s="37">
        <f>SUM($C3165,$D3165,$E3165)</f>
        <v>0</v>
      </c>
      <c r="C3165" s="37">
        <f>$AB3165</f>
        <v>0</v>
      </c>
      <c r="D3165" s="37">
        <f>$AF3165</f>
        <v>0</v>
      </c>
      <c r="E3165" s="37">
        <f>$AJ3165</f>
        <v>0</v>
      </c>
      <c r="F3165" s="45"/>
      <c r="K3165" s="3" t="s">
        <v>3238</v>
      </c>
      <c r="AA3165" s="40" t="s">
        <v>308</v>
      </c>
      <c r="AB3165" s="8">
        <f>ROUND(0,2)</f>
        <v>0</v>
      </c>
      <c r="AC3165" s="40" t="s">
        <v>5000</v>
      </c>
      <c r="AD3165" s="7">
        <f>$AB3165</f>
        <v>0</v>
      </c>
      <c r="AE3165" s="40" t="s">
        <v>4500</v>
      </c>
      <c r="AF3165" s="8">
        <f>ROUND(0,2)</f>
        <v>0</v>
      </c>
      <c r="AG3165" s="40" t="s">
        <v>2603</v>
      </c>
      <c r="AH3165" s="7">
        <f>$AF3165</f>
        <v>0</v>
      </c>
      <c r="AI3165" s="40" t="s">
        <v>5878</v>
      </c>
      <c r="AJ3165" s="8">
        <f>ROUND(0,2)</f>
        <v>0</v>
      </c>
      <c r="AK3165" s="40" t="s">
        <v>787</v>
      </c>
      <c r="AL3165" s="7">
        <f>$AJ3165</f>
        <v>0</v>
      </c>
    </row>
    <row r="3166" spans="1:38" ht="18.399999999999999" customHeight="1">
      <c r="A3166" s="41" t="s">
        <v>760</v>
      </c>
      <c r="B3166" s="37"/>
      <c r="C3166" s="37"/>
      <c r="D3166" s="37"/>
      <c r="E3166" s="37"/>
      <c r="F3166" s="45"/>
      <c r="K3166" s="3" t="s">
        <v>5465</v>
      </c>
    </row>
    <row r="3167" spans="1:38" ht="18.399999999999999" customHeight="1">
      <c r="A3167" s="41" t="s">
        <v>6232</v>
      </c>
      <c r="B3167" s="37"/>
      <c r="C3167" s="37"/>
      <c r="D3167" s="37"/>
      <c r="E3167" s="37"/>
      <c r="F3167" s="45"/>
      <c r="K3167" s="3" t="s">
        <v>6232</v>
      </c>
    </row>
    <row r="3168" spans="1:38" ht="18.399999999999999" customHeight="1">
      <c r="A3168" s="42" t="str">
        <f>CONCATENATE("    LA2 / Q * 0.02 = ",TEXT($AB3168,"#,##0.0"))</f>
        <v xml:space="preserve">    LA2 / Q * 0.02 = 51,112.4</v>
      </c>
      <c r="B3168" s="37">
        <f>SUM($C3168,$D3168,$E3168)</f>
        <v>51112.4</v>
      </c>
      <c r="C3168" s="37"/>
      <c r="D3168" s="37"/>
      <c r="E3168" s="37">
        <f>$AB3168</f>
        <v>51112.4</v>
      </c>
      <c r="F3168" s="45"/>
      <c r="K3168" s="3" t="s">
        <v>4829</v>
      </c>
      <c r="AA3168" s="40" t="s">
        <v>5878</v>
      </c>
      <c r="AB3168" s="8">
        <f>TRUNC($AD3162/$AD3130*0.02,1)</f>
        <v>51112.4</v>
      </c>
      <c r="AC3168" s="40" t="s">
        <v>787</v>
      </c>
      <c r="AD3168" s="7">
        <f>$AL3165+$AB3168</f>
        <v>51112.4</v>
      </c>
    </row>
    <row r="3169" spans="1:38" ht="18.399999999999999" customHeight="1">
      <c r="A3169" s="41" t="s">
        <v>6232</v>
      </c>
      <c r="B3169" s="37"/>
      <c r="C3169" s="37"/>
      <c r="D3169" s="37"/>
      <c r="E3169" s="37"/>
      <c r="F3169" s="45"/>
      <c r="K3169" s="3" t="s">
        <v>6232</v>
      </c>
    </row>
    <row r="3170" spans="1:38" ht="18.399999999999999" customHeight="1">
      <c r="A3170" s="41" t="s">
        <v>4035</v>
      </c>
      <c r="B3170" s="37">
        <f>SUM($C3170,$D3170,$E3170)</f>
        <v>51112.4</v>
      </c>
      <c r="C3170" s="37">
        <f>$AB3170</f>
        <v>0</v>
      </c>
      <c r="D3170" s="37">
        <f>$AF3170</f>
        <v>0</v>
      </c>
      <c r="E3170" s="37">
        <f>$AJ3170</f>
        <v>51112.4</v>
      </c>
      <c r="F3170" s="45"/>
      <c r="K3170" s="3" t="s">
        <v>4813</v>
      </c>
      <c r="AA3170" s="40" t="s">
        <v>4592</v>
      </c>
      <c r="AB3170" s="8">
        <f>TRUNC($AD3165,1)</f>
        <v>0</v>
      </c>
      <c r="AC3170" s="40" t="s">
        <v>5149</v>
      </c>
      <c r="AD3170" s="7">
        <f>$AD3164+$AB3170</f>
        <v>1082686.8999999999</v>
      </c>
      <c r="AE3170" s="40" t="s">
        <v>666</v>
      </c>
      <c r="AF3170" s="8">
        <f>TRUNC($AH3165,1)</f>
        <v>0</v>
      </c>
      <c r="AG3170" s="40" t="s">
        <v>2431</v>
      </c>
      <c r="AH3170" s="7">
        <f>$AH3164+$AF3170</f>
        <v>2938967.6</v>
      </c>
      <c r="AI3170" s="40" t="s">
        <v>1930</v>
      </c>
      <c r="AJ3170" s="8">
        <f>TRUNC($AD3168,1)</f>
        <v>51112.4</v>
      </c>
      <c r="AK3170" s="40" t="s">
        <v>3349</v>
      </c>
      <c r="AL3170" s="7">
        <f>$AL3164+$AJ3170</f>
        <v>51112.4</v>
      </c>
    </row>
    <row r="3171" spans="1:38" ht="18.399999999999999" customHeight="1">
      <c r="A3171" s="41" t="s">
        <v>6232</v>
      </c>
      <c r="B3171" s="37"/>
      <c r="C3171" s="37"/>
      <c r="D3171" s="37"/>
      <c r="E3171" s="37"/>
      <c r="F3171" s="45"/>
      <c r="K3171" s="3" t="s">
        <v>6232</v>
      </c>
    </row>
    <row r="3172" spans="1:38" ht="18.399999999999999" customHeight="1">
      <c r="A3172" s="41" t="s">
        <v>4002</v>
      </c>
      <c r="B3172" s="37">
        <v>4033412.7</v>
      </c>
      <c r="C3172" s="37">
        <v>1082686.8999999999</v>
      </c>
      <c r="D3172" s="37">
        <v>2900286.1</v>
      </c>
      <c r="E3172" s="37">
        <v>50439.7</v>
      </c>
      <c r="F3172" s="45"/>
      <c r="K3172" s="3" t="s">
        <v>916</v>
      </c>
    </row>
    <row r="3173" spans="1:38" ht="18.399999999999999" customHeight="1">
      <c r="A3173" s="41"/>
      <c r="B3173" s="3"/>
      <c r="C3173" s="3"/>
      <c r="D3173" s="3"/>
      <c r="E3173" s="3"/>
      <c r="F3173" s="44"/>
    </row>
    <row r="3174" spans="1:38" ht="18.399999999999999" customHeight="1">
      <c r="A3174" s="43" t="s">
        <v>3543</v>
      </c>
      <c r="B3174" s="38">
        <f>SUM($C3174,$D3174,$E3174)</f>
        <v>4072765</v>
      </c>
      <c r="C3174" s="38">
        <f>TRUNC(SUM($AD3170),0)</f>
        <v>1082686</v>
      </c>
      <c r="D3174" s="38">
        <f>TRUNC(SUM($AH3170),0)</f>
        <v>2938967</v>
      </c>
      <c r="E3174" s="38">
        <f>TRUNC(SUM($AL3170),0)</f>
        <v>51112</v>
      </c>
      <c r="F3174" s="46"/>
    </row>
    <row r="3175" spans="1:38" ht="18.399999999999999" customHeight="1">
      <c r="A3175" s="41"/>
      <c r="B3175" s="3"/>
      <c r="C3175" s="3"/>
      <c r="D3175" s="3"/>
      <c r="E3175" s="3"/>
      <c r="F3175" s="44"/>
    </row>
    <row r="3176" spans="1:38" ht="18.399999999999999" customHeight="1">
      <c r="A3176" s="41" t="s">
        <v>2328</v>
      </c>
      <c r="B3176" s="36">
        <f>$B3228</f>
        <v>4106132</v>
      </c>
      <c r="C3176" s="36">
        <f>$C3228</f>
        <v>975821</v>
      </c>
      <c r="D3176" s="36">
        <f>$D3228</f>
        <v>3076802</v>
      </c>
      <c r="E3176" s="36">
        <f>$E3228</f>
        <v>53509</v>
      </c>
      <c r="F3176" s="44" t="s">
        <v>4819</v>
      </c>
      <c r="G3176" t="s">
        <v>6232</v>
      </c>
      <c r="H3176" t="s">
        <v>2095</v>
      </c>
      <c r="K3176">
        <v>1</v>
      </c>
      <c r="Y3176" s="7" t="b">
        <f>EXACT($Z3176,$B3228)</f>
        <v>0</v>
      </c>
      <c r="Z3176" s="38">
        <v>4064668</v>
      </c>
    </row>
    <row r="3177" spans="1:38" ht="18.399999999999999" customHeight="1">
      <c r="A3177" s="41"/>
      <c r="B3177" s="3"/>
      <c r="C3177" s="3"/>
      <c r="D3177" s="3"/>
      <c r="E3177" s="3"/>
      <c r="F3177" s="44"/>
    </row>
    <row r="3178" spans="1:38" ht="18.399999999999999" customHeight="1">
      <c r="A3178" s="41" t="s">
        <v>6232</v>
      </c>
      <c r="B3178" s="3"/>
      <c r="C3178" s="3"/>
      <c r="D3178" s="3"/>
      <c r="E3178" s="3"/>
      <c r="F3178" s="44"/>
      <c r="G3178" t="s">
        <v>6232</v>
      </c>
      <c r="I3178" t="s">
        <v>742</v>
      </c>
      <c r="J3178" t="s">
        <v>6232</v>
      </c>
      <c r="K3178" t="s">
        <v>5235</v>
      </c>
    </row>
    <row r="3179" spans="1:38" ht="18.399999999999999" customHeight="1">
      <c r="A3179" s="41" t="s">
        <v>2403</v>
      </c>
      <c r="B3179" s="37"/>
      <c r="C3179" s="37"/>
      <c r="D3179" s="37"/>
      <c r="E3179" s="37"/>
      <c r="F3179" s="45"/>
      <c r="K3179" s="3" t="s">
        <v>2450</v>
      </c>
    </row>
    <row r="3180" spans="1:38" ht="18.399999999999999" customHeight="1">
      <c r="A3180" s="41" t="s">
        <v>6232</v>
      </c>
      <c r="B3180" s="37"/>
      <c r="C3180" s="37"/>
      <c r="D3180" s="37"/>
      <c r="E3180" s="37"/>
      <c r="F3180" s="45"/>
      <c r="K3180" s="3" t="s">
        <v>6232</v>
      </c>
    </row>
    <row r="3181" spans="1:38" ht="18.399999999999999" customHeight="1">
      <c r="A3181" s="41" t="s">
        <v>2476</v>
      </c>
      <c r="B3181" s="37"/>
      <c r="C3181" s="37"/>
      <c r="D3181" s="37"/>
      <c r="E3181" s="37"/>
      <c r="F3181" s="45"/>
      <c r="K3181" s="3" t="s">
        <v>5810</v>
      </c>
    </row>
    <row r="3182" spans="1:38" ht="18.399999999999999" customHeight="1">
      <c r="A3182" s="41" t="s">
        <v>774</v>
      </c>
      <c r="B3182" s="37"/>
      <c r="C3182" s="37"/>
      <c r="D3182" s="37"/>
      <c r="E3182" s="37"/>
      <c r="F3182" s="45"/>
      <c r="K3182" s="3" t="s">
        <v>3563</v>
      </c>
    </row>
    <row r="3183" spans="1:38" ht="18.399999999999999" customHeight="1">
      <c r="A3183" s="41" t="s">
        <v>1642</v>
      </c>
      <c r="B3183" s="37"/>
      <c r="C3183" s="37"/>
      <c r="D3183" s="37"/>
      <c r="E3183" s="37"/>
      <c r="F3183" s="45"/>
      <c r="K3183" s="3" t="s">
        <v>2758</v>
      </c>
    </row>
    <row r="3184" spans="1:38" ht="18.399999999999999" customHeight="1">
      <c r="A3184" s="42" t="str">
        <f>CONCATENATE("          Q=",TEXT($AB3184,"#,##0.00"))</f>
        <v xml:space="preserve">          Q=1.15</v>
      </c>
      <c r="B3184" s="37"/>
      <c r="C3184" s="37"/>
      <c r="D3184" s="37"/>
      <c r="E3184" s="37"/>
      <c r="F3184" s="45"/>
      <c r="K3184" s="10" t="str">
        <f>SUBSTITUTE(SUBSTITUTE("          Q=1.15","1.15",TEXT($AB3184,"#,##0.00"),1),"_x001D_","'")</f>
        <v xml:space="preserve">          Q=1.15</v>
      </c>
      <c r="AA3184" s="39" t="s">
        <v>4337</v>
      </c>
      <c r="AB3184" s="6">
        <v>1.1499999999999999</v>
      </c>
      <c r="AC3184" s="39" t="s">
        <v>4337</v>
      </c>
      <c r="AD3184" s="7">
        <f>$AB3184</f>
        <v>1.1499999999999999</v>
      </c>
    </row>
    <row r="3185" spans="1:38" ht="18.399999999999999" customHeight="1">
      <c r="A3185" s="41" t="s">
        <v>6232</v>
      </c>
      <c r="B3185" s="37">
        <f>SUM($C3185,$D3185,$E3185)</f>
        <v>0</v>
      </c>
      <c r="C3185" s="37">
        <f>$AB3185</f>
        <v>0</v>
      </c>
      <c r="D3185" s="37">
        <f>$AF3185</f>
        <v>0</v>
      </c>
      <c r="E3185" s="37">
        <f>$AJ3185</f>
        <v>0</v>
      </c>
      <c r="F3185" s="45"/>
      <c r="K3185" s="3" t="s">
        <v>295</v>
      </c>
      <c r="AA3185" s="40" t="s">
        <v>2660</v>
      </c>
      <c r="AB3185" s="8">
        <f>ROUND(0,2)</f>
        <v>0</v>
      </c>
      <c r="AC3185" s="40" t="s">
        <v>1650</v>
      </c>
      <c r="AD3185" s="7">
        <f>$AB3185</f>
        <v>0</v>
      </c>
      <c r="AE3185" s="40" t="s">
        <v>5305</v>
      </c>
      <c r="AF3185" s="8">
        <f>ROUND(0,2)</f>
        <v>0</v>
      </c>
      <c r="AG3185" s="40" t="s">
        <v>5439</v>
      </c>
      <c r="AH3185" s="7">
        <f>$AF3185</f>
        <v>0</v>
      </c>
      <c r="AI3185" s="40" t="s">
        <v>3519</v>
      </c>
      <c r="AJ3185" s="8">
        <f>ROUND(0,2)</f>
        <v>0</v>
      </c>
      <c r="AK3185" s="40" t="s">
        <v>4149</v>
      </c>
      <c r="AL3185" s="7">
        <f>$AJ3185</f>
        <v>0</v>
      </c>
    </row>
    <row r="3186" spans="1:38" ht="18.399999999999999" customHeight="1">
      <c r="A3186" s="41" t="s">
        <v>4464</v>
      </c>
      <c r="B3186" s="37"/>
      <c r="C3186" s="37"/>
      <c r="D3186" s="37"/>
      <c r="E3186" s="37"/>
      <c r="F3186" s="45"/>
      <c r="K3186" s="3" t="s">
        <v>311</v>
      </c>
    </row>
    <row r="3187" spans="1:38" ht="18.399999999999999" customHeight="1">
      <c r="A3187" s="41" t="s">
        <v>6232</v>
      </c>
      <c r="B3187" s="37"/>
      <c r="C3187" s="37"/>
      <c r="D3187" s="37"/>
      <c r="E3187" s="37"/>
      <c r="F3187" s="45"/>
      <c r="K3187" s="3" t="s">
        <v>6232</v>
      </c>
    </row>
    <row r="3188" spans="1:38" ht="18.399999999999999" customHeight="1">
      <c r="A3188" s="42" t="str">
        <f>CONCATENATE("  1) POLYOL :  22.56  kg  * _x001D_4,500_x001D_ = ",TEXT($AB3188,"#,##0.0"))</f>
        <v xml:space="preserve">  1) POLYOL :  22.56  kg  * _x001D_4,500_x001D_ = 101,520.0</v>
      </c>
      <c r="B3188" s="37">
        <f>SUM($C3188,$D3188,$E3188)</f>
        <v>101520</v>
      </c>
      <c r="C3188" s="37">
        <f>$AB3188</f>
        <v>101520</v>
      </c>
      <c r="D3188" s="37"/>
      <c r="E3188" s="37"/>
      <c r="F3188" s="45" t="s">
        <v>6232</v>
      </c>
      <c r="K3188" s="3" t="s">
        <v>831</v>
      </c>
      <c r="AA3188" s="40" t="s">
        <v>2660</v>
      </c>
      <c r="AB3188" s="8">
        <f>TRUNC(22.56*자재조서!E46,1)</f>
        <v>101520</v>
      </c>
      <c r="AC3188" s="40" t="s">
        <v>1650</v>
      </c>
      <c r="AD3188" s="7">
        <f>$AD3185+$AB3188</f>
        <v>101520</v>
      </c>
    </row>
    <row r="3189" spans="1:38" ht="18.399999999999999" customHeight="1">
      <c r="A3189" s="41" t="s">
        <v>6232</v>
      </c>
      <c r="B3189" s="37"/>
      <c r="C3189" s="37"/>
      <c r="D3189" s="37"/>
      <c r="E3189" s="37"/>
      <c r="F3189" s="45"/>
      <c r="K3189" s="3" t="s">
        <v>6232</v>
      </c>
    </row>
    <row r="3190" spans="1:38" ht="18.399999999999999" customHeight="1">
      <c r="A3190" s="42" t="str">
        <f>CONCATENATE("  2) MDI :  31.56  kg  * _x001D_4,000_x001D_  = ",TEXT($AB3190,"#,##0.0"))</f>
        <v xml:space="preserve">  2) MDI :  31.56  kg  * _x001D_4,000_x001D_  = 126,240.0</v>
      </c>
      <c r="B3190" s="37">
        <f>SUM($C3190,$D3190,$E3190)</f>
        <v>126240</v>
      </c>
      <c r="C3190" s="37">
        <f>$AB3190</f>
        <v>126240</v>
      </c>
      <c r="D3190" s="37"/>
      <c r="E3190" s="37"/>
      <c r="F3190" s="45" t="s">
        <v>6232</v>
      </c>
      <c r="K3190" s="3" t="s">
        <v>3019</v>
      </c>
      <c r="AA3190" s="40" t="s">
        <v>2660</v>
      </c>
      <c r="AB3190" s="8">
        <f>TRUNC(31.56*자재조서!E47,1)</f>
        <v>126240</v>
      </c>
      <c r="AC3190" s="40" t="s">
        <v>1650</v>
      </c>
      <c r="AD3190" s="7">
        <f>$AD3188+$AB3190</f>
        <v>227760</v>
      </c>
    </row>
    <row r="3191" spans="1:38" ht="18.399999999999999" customHeight="1">
      <c r="A3191" s="41" t="s">
        <v>6232</v>
      </c>
      <c r="B3191" s="37"/>
      <c r="C3191" s="37"/>
      <c r="D3191" s="37"/>
      <c r="E3191" s="37"/>
      <c r="F3191" s="45"/>
      <c r="K3191" s="3" t="s">
        <v>6232</v>
      </c>
    </row>
    <row r="3192" spans="1:38" ht="18.399999999999999" customHeight="1">
      <c r="A3192" s="41" t="s">
        <v>337</v>
      </c>
      <c r="B3192" s="37"/>
      <c r="C3192" s="37"/>
      <c r="D3192" s="37"/>
      <c r="E3192" s="37"/>
      <c r="F3192" s="45"/>
      <c r="K3192" s="3" t="s">
        <v>3279</v>
      </c>
    </row>
    <row r="3193" spans="1:38" ht="18.399999999999999" customHeight="1">
      <c r="A3193" s="41" t="s">
        <v>6232</v>
      </c>
      <c r="B3193" s="37"/>
      <c r="C3193" s="37"/>
      <c r="D3193" s="37"/>
      <c r="E3193" s="37"/>
      <c r="F3193" s="45"/>
      <c r="K3193" s="3" t="s">
        <v>6232</v>
      </c>
    </row>
    <row r="3194" spans="1:38" ht="18.399999999999999" customHeight="1">
      <c r="A3194" s="42" t="str">
        <f>CONCATENATE("  4) PE 용접봉 :  7.81  kg  * _x001D_10,738_x001D_= ",TEXT($AB3194,"#,##0.0"))</f>
        <v xml:space="preserve">  4) PE 용접봉 :  7.81  kg  * _x001D_10,738_x001D_= 83,863.7</v>
      </c>
      <c r="B3194" s="37">
        <f>SUM($C3194,$D3194,$E3194)</f>
        <v>83863.7</v>
      </c>
      <c r="C3194" s="37">
        <f>$AB3194</f>
        <v>83863.7</v>
      </c>
      <c r="D3194" s="37"/>
      <c r="E3194" s="37"/>
      <c r="F3194" s="45" t="s">
        <v>6232</v>
      </c>
      <c r="K3194" s="3" t="s">
        <v>5022</v>
      </c>
      <c r="AA3194" s="40" t="s">
        <v>2660</v>
      </c>
      <c r="AB3194" s="8">
        <f>TRUNC(7.81*자재조서!E41,1)</f>
        <v>83863.7</v>
      </c>
      <c r="AC3194" s="40" t="s">
        <v>1650</v>
      </c>
      <c r="AD3194" s="7">
        <f>$AD3190+$AB3194</f>
        <v>311623.7</v>
      </c>
    </row>
    <row r="3195" spans="1:38" ht="18.399999999999999" customHeight="1">
      <c r="A3195" s="41" t="s">
        <v>6232</v>
      </c>
      <c r="B3195" s="37"/>
      <c r="C3195" s="37"/>
      <c r="D3195" s="37"/>
      <c r="E3195" s="37"/>
      <c r="F3195" s="45"/>
      <c r="K3195" s="3" t="s">
        <v>6232</v>
      </c>
    </row>
    <row r="3196" spans="1:38" ht="18.399999999999999" customHeight="1">
      <c r="A3196" s="42" t="str">
        <f>CONCATENATE("  5) HDPE 관 :  6.18  m  * _x001D_27,900_x001D_ = ",TEXT($AB3196,"#,##0.0"))</f>
        <v xml:space="preserve">  5) HDPE 관 :  6.18  m  * _x001D_27,900_x001D_ = 172,422.0</v>
      </c>
      <c r="B3196" s="37">
        <f>SUM($C3196,$D3196,$E3196)</f>
        <v>172422</v>
      </c>
      <c r="C3196" s="37">
        <f>$AB3196</f>
        <v>172422</v>
      </c>
      <c r="D3196" s="37"/>
      <c r="E3196" s="37"/>
      <c r="F3196" s="45" t="s">
        <v>6232</v>
      </c>
      <c r="K3196" s="3" t="s">
        <v>5795</v>
      </c>
      <c r="AA3196" s="40" t="s">
        <v>2660</v>
      </c>
      <c r="AB3196" s="8">
        <f>TRUNC(6.18*자재조서!E36,1)</f>
        <v>172422</v>
      </c>
      <c r="AC3196" s="40" t="s">
        <v>1650</v>
      </c>
      <c r="AD3196" s="7">
        <f>$AD3194+$AB3196</f>
        <v>484045.7</v>
      </c>
    </row>
    <row r="3197" spans="1:38" ht="18.399999999999999" customHeight="1">
      <c r="A3197" s="41" t="s">
        <v>6232</v>
      </c>
      <c r="B3197" s="37"/>
      <c r="C3197" s="37"/>
      <c r="D3197" s="37"/>
      <c r="E3197" s="37"/>
      <c r="F3197" s="45"/>
      <c r="K3197" s="3" t="s">
        <v>6232</v>
      </c>
    </row>
    <row r="3198" spans="1:38" ht="18.399999999999999" customHeight="1">
      <c r="A3198" s="42" t="str">
        <f>CONCATENATE("  6) 공장보온재 :  2.992  m  * _x001D_164,270_x001D_ = ",TEXT($AB3198,"#,##0.0"))</f>
        <v xml:space="preserve">  6) 공장보온재 :  2.992  m  * _x001D_164,270_x001D_ = 491,495.8</v>
      </c>
      <c r="B3198" s="37">
        <f>SUM($C3198,$D3198,$E3198)</f>
        <v>491495.8</v>
      </c>
      <c r="C3198" s="37">
        <f>$AB3198</f>
        <v>491495.8</v>
      </c>
      <c r="D3198" s="37"/>
      <c r="E3198" s="37"/>
      <c r="F3198" s="45" t="s">
        <v>6232</v>
      </c>
      <c r="K3198" s="3" t="s">
        <v>5643</v>
      </c>
      <c r="AA3198" s="40" t="s">
        <v>2660</v>
      </c>
      <c r="AB3198" s="8">
        <f>TRUNC(2.992*자재조서!E80,1)</f>
        <v>491495.8</v>
      </c>
      <c r="AC3198" s="40" t="s">
        <v>1650</v>
      </c>
      <c r="AD3198" s="7">
        <f>$AD3196+$AB3198</f>
        <v>975541.5</v>
      </c>
    </row>
    <row r="3199" spans="1:38" ht="18.399999999999999" customHeight="1">
      <c r="A3199" s="41" t="s">
        <v>6232</v>
      </c>
      <c r="B3199" s="37"/>
      <c r="C3199" s="37"/>
      <c r="D3199" s="37"/>
      <c r="E3199" s="37"/>
      <c r="F3199" s="45"/>
      <c r="K3199" s="3" t="s">
        <v>6232</v>
      </c>
    </row>
    <row r="3200" spans="1:38" ht="18.399999999999999" customHeight="1">
      <c r="A3200" s="42" t="str">
        <f>CONCATENATE("  7) 석동선 :  16.95  m  * _x001D_16.5_x001D_ = ",TEXT($AB3200,"#,##0.0"))</f>
        <v xml:space="preserve">  7) 석동선 :  16.95  m  * _x001D_16.5_x001D_ = 279.6</v>
      </c>
      <c r="B3200" s="37">
        <f>SUM($C3200,$D3200,$E3200)</f>
        <v>279.60000000000002</v>
      </c>
      <c r="C3200" s="37">
        <f>$AB3200</f>
        <v>279.60000000000002</v>
      </c>
      <c r="D3200" s="37"/>
      <c r="E3200" s="37"/>
      <c r="F3200" s="45" t="s">
        <v>6232</v>
      </c>
      <c r="K3200" s="3" t="s">
        <v>3593</v>
      </c>
      <c r="AA3200" s="40" t="s">
        <v>2660</v>
      </c>
      <c r="AB3200" s="8">
        <f>TRUNC(16.95*자재조서!E85,1)</f>
        <v>279.60000000000002</v>
      </c>
      <c r="AC3200" s="40" t="s">
        <v>1650</v>
      </c>
      <c r="AD3200" s="7">
        <f>$AD3198+$AB3200</f>
        <v>975821.1</v>
      </c>
    </row>
    <row r="3201" spans="1:38" ht="18.399999999999999" customHeight="1">
      <c r="A3201" s="41" t="s">
        <v>6232</v>
      </c>
      <c r="B3201" s="37"/>
      <c r="C3201" s="37"/>
      <c r="D3201" s="37"/>
      <c r="E3201" s="37"/>
      <c r="F3201" s="45"/>
      <c r="K3201" s="3" t="s">
        <v>6232</v>
      </c>
    </row>
    <row r="3202" spans="1:38" ht="18.399999999999999" customHeight="1">
      <c r="A3202" s="41" t="s">
        <v>4035</v>
      </c>
      <c r="B3202" s="37">
        <f>SUM($C3202,$D3202,$E3202)</f>
        <v>975821.1</v>
      </c>
      <c r="C3202" s="37">
        <f>$AB3202</f>
        <v>975821.1</v>
      </c>
      <c r="D3202" s="37">
        <f>$AF3202</f>
        <v>0</v>
      </c>
      <c r="E3202" s="37">
        <f>$AJ3202</f>
        <v>0</v>
      </c>
      <c r="F3202" s="45"/>
      <c r="K3202" s="3" t="s">
        <v>6125</v>
      </c>
      <c r="AA3202" s="40" t="s">
        <v>4592</v>
      </c>
      <c r="AB3202" s="8">
        <f>TRUNC($AD3200,1)</f>
        <v>975821.1</v>
      </c>
      <c r="AC3202" s="40" t="s">
        <v>5149</v>
      </c>
      <c r="AD3202" s="7">
        <f>$AB3202</f>
        <v>975821.1</v>
      </c>
      <c r="AE3202" s="40" t="s">
        <v>666</v>
      </c>
      <c r="AF3202" s="8">
        <f>TRUNC($AH3185,1)</f>
        <v>0</v>
      </c>
      <c r="AG3202" s="40" t="s">
        <v>2431</v>
      </c>
      <c r="AH3202" s="7">
        <f>$AF3202</f>
        <v>0</v>
      </c>
      <c r="AI3202" s="40" t="s">
        <v>1930</v>
      </c>
      <c r="AJ3202" s="8">
        <f>TRUNC($AL3185,1)</f>
        <v>0</v>
      </c>
      <c r="AK3202" s="40" t="s">
        <v>3349</v>
      </c>
      <c r="AL3202" s="7">
        <f>$AJ3202</f>
        <v>0</v>
      </c>
    </row>
    <row r="3203" spans="1:38" ht="18.399999999999999" customHeight="1">
      <c r="A3203" s="41" t="s">
        <v>6232</v>
      </c>
      <c r="B3203" s="37">
        <f>SUM($C3203,$D3203,$E3203)</f>
        <v>0</v>
      </c>
      <c r="C3203" s="37">
        <f>$AB3203</f>
        <v>0</v>
      </c>
      <c r="D3203" s="37">
        <f>$AF3203</f>
        <v>0</v>
      </c>
      <c r="E3203" s="37">
        <f>$AJ3203</f>
        <v>0</v>
      </c>
      <c r="F3203" s="45"/>
      <c r="K3203" s="3" t="s">
        <v>5506</v>
      </c>
      <c r="AA3203" s="40" t="s">
        <v>4586</v>
      </c>
      <c r="AB3203" s="8">
        <f>ROUND(0,2)</f>
        <v>0</v>
      </c>
      <c r="AC3203" s="40" t="s">
        <v>4161</v>
      </c>
      <c r="AD3203" s="7">
        <f>$AB3203</f>
        <v>0</v>
      </c>
      <c r="AE3203" s="40" t="s">
        <v>222</v>
      </c>
      <c r="AF3203" s="8">
        <f>ROUND(0,2)</f>
        <v>0</v>
      </c>
      <c r="AG3203" s="40" t="s">
        <v>334</v>
      </c>
      <c r="AH3203" s="7">
        <f>$AF3203</f>
        <v>0</v>
      </c>
      <c r="AI3203" s="40" t="s">
        <v>1574</v>
      </c>
      <c r="AJ3203" s="8">
        <f>ROUND(0,2)</f>
        <v>0</v>
      </c>
      <c r="AK3203" s="40" t="s">
        <v>1622</v>
      </c>
      <c r="AL3203" s="7">
        <f>$AJ3203</f>
        <v>0</v>
      </c>
    </row>
    <row r="3204" spans="1:38" ht="18.399999999999999" customHeight="1">
      <c r="A3204" s="41" t="s">
        <v>231</v>
      </c>
      <c r="B3204" s="37"/>
      <c r="C3204" s="37"/>
      <c r="D3204" s="37"/>
      <c r="E3204" s="37"/>
      <c r="F3204" s="45"/>
      <c r="K3204" s="3" t="s">
        <v>268</v>
      </c>
    </row>
    <row r="3205" spans="1:38" ht="18.399999999999999" customHeight="1">
      <c r="A3205" s="41" t="s">
        <v>6232</v>
      </c>
      <c r="B3205" s="37"/>
      <c r="C3205" s="37"/>
      <c r="D3205" s="37"/>
      <c r="E3205" s="37"/>
      <c r="F3205" s="45"/>
      <c r="K3205" s="3" t="s">
        <v>6232</v>
      </c>
    </row>
    <row r="3206" spans="1:38" ht="18.399999999999999" customHeight="1">
      <c r="A3206" s="41" t="s">
        <v>5533</v>
      </c>
      <c r="B3206" s="37"/>
      <c r="C3206" s="37"/>
      <c r="D3206" s="37"/>
      <c r="E3206" s="37"/>
      <c r="F3206" s="45"/>
      <c r="K3206" s="3" t="s">
        <v>3259</v>
      </c>
    </row>
    <row r="3207" spans="1:38" ht="18.399999999999999" customHeight="1">
      <c r="A3207" s="42" t="str">
        <f>CONCATENATE("    7.013  인  * Q * _x001D_213,722_x001D_ = ",TEXT($AB3207,"#,##0.0"))</f>
        <v xml:space="preserve">    7.013  인  * Q * _x001D_213,722_x001D_ = 1,750,190.9</v>
      </c>
      <c r="B3207" s="37">
        <f>SUM($C3207,$D3207,$E3207)</f>
        <v>1750190.9</v>
      </c>
      <c r="C3207" s="37"/>
      <c r="D3207" s="37">
        <f>$AB3207</f>
        <v>1750190.9</v>
      </c>
      <c r="E3207" s="37"/>
      <c r="F3207" s="45" t="s">
        <v>6232</v>
      </c>
      <c r="K3207" s="3" t="s">
        <v>1900</v>
      </c>
      <c r="AA3207" s="40" t="s">
        <v>222</v>
      </c>
      <c r="AB3207" s="8">
        <f>TRUNC(7.013*$AD3184*노임!D10,1)</f>
        <v>1750190.9</v>
      </c>
      <c r="AC3207" s="40" t="s">
        <v>334</v>
      </c>
      <c r="AD3207" s="7">
        <f>$AH3203+$AB3207</f>
        <v>1750190.9</v>
      </c>
    </row>
    <row r="3208" spans="1:38" ht="18.399999999999999" customHeight="1">
      <c r="A3208" s="41" t="s">
        <v>6232</v>
      </c>
      <c r="B3208" s="37"/>
      <c r="C3208" s="37"/>
      <c r="D3208" s="37"/>
      <c r="E3208" s="37"/>
      <c r="F3208" s="45"/>
      <c r="K3208" s="3" t="s">
        <v>6232</v>
      </c>
    </row>
    <row r="3209" spans="1:38" ht="18.399999999999999" customHeight="1">
      <c r="A3209" s="41" t="s">
        <v>585</v>
      </c>
      <c r="B3209" s="37"/>
      <c r="C3209" s="37"/>
      <c r="D3209" s="37"/>
      <c r="E3209" s="37"/>
      <c r="F3209" s="45"/>
      <c r="K3209" s="3" t="s">
        <v>5657</v>
      </c>
    </row>
    <row r="3210" spans="1:38" ht="18.399999999999999" customHeight="1">
      <c r="A3210" s="42" t="str">
        <f>CONCATENATE("    2.274  인  * Q * _x001D_201,482_x001D_ = ",TEXT($AB3210,"#,##0.0"))</f>
        <v xml:space="preserve">    2.274  인  * Q * _x001D_201,482_x001D_ = 529,484.5</v>
      </c>
      <c r="B3210" s="37">
        <f>SUM($C3210,$D3210,$E3210)</f>
        <v>529484.5</v>
      </c>
      <c r="C3210" s="37"/>
      <c r="D3210" s="37">
        <f>$AB3210</f>
        <v>529484.5</v>
      </c>
      <c r="E3210" s="37"/>
      <c r="F3210" s="45" t="s">
        <v>6232</v>
      </c>
      <c r="K3210" s="3" t="s">
        <v>2343</v>
      </c>
      <c r="AA3210" s="40" t="s">
        <v>222</v>
      </c>
      <c r="AB3210" s="8">
        <f>TRUNC(2.274*$AD3184*노임!D9,1)</f>
        <v>529484.5</v>
      </c>
      <c r="AC3210" s="40" t="s">
        <v>334</v>
      </c>
      <c r="AD3210" s="7">
        <f>$AD3207+$AB3210</f>
        <v>2279675.4</v>
      </c>
    </row>
    <row r="3211" spans="1:38" ht="18.399999999999999" customHeight="1">
      <c r="A3211" s="41" t="s">
        <v>6232</v>
      </c>
      <c r="B3211" s="37"/>
      <c r="C3211" s="37"/>
      <c r="D3211" s="37"/>
      <c r="E3211" s="37"/>
      <c r="F3211" s="45"/>
      <c r="K3211" s="3" t="s">
        <v>6232</v>
      </c>
    </row>
    <row r="3212" spans="1:38" ht="18.399999999999999" customHeight="1">
      <c r="A3212" s="41" t="s">
        <v>3917</v>
      </c>
      <c r="B3212" s="37"/>
      <c r="C3212" s="37"/>
      <c r="D3212" s="37"/>
      <c r="E3212" s="37"/>
      <c r="F3212" s="45"/>
      <c r="K3212" s="3" t="s">
        <v>4355</v>
      </c>
    </row>
    <row r="3213" spans="1:38" ht="18.399999999999999" customHeight="1">
      <c r="A3213" s="42" t="str">
        <f>CONCATENATE("    0.606  인  * Q * _x001D_221,506_x001D_ = ",TEXT($AB3213,"#,##0.0"))</f>
        <v xml:space="preserve">    0.606  인  * Q * _x001D_221,506_x001D_ = 157,584.4</v>
      </c>
      <c r="B3213" s="37">
        <f>SUM($C3213,$D3213,$E3213)</f>
        <v>157584.4</v>
      </c>
      <c r="C3213" s="37"/>
      <c r="D3213" s="37">
        <f>$AB3213</f>
        <v>157584.4</v>
      </c>
      <c r="E3213" s="37"/>
      <c r="F3213" s="45" t="s">
        <v>6232</v>
      </c>
      <c r="K3213" s="3" t="s">
        <v>4245</v>
      </c>
      <c r="AA3213" s="40" t="s">
        <v>222</v>
      </c>
      <c r="AB3213" s="8">
        <f>TRUNC(0.606*$AD3184*노임!D4,1)</f>
        <v>157584.4</v>
      </c>
      <c r="AC3213" s="40" t="s">
        <v>334</v>
      </c>
      <c r="AD3213" s="7">
        <f>$AD3210+$AB3213</f>
        <v>2437259.7999999998</v>
      </c>
    </row>
    <row r="3214" spans="1:38" ht="18.399999999999999" customHeight="1">
      <c r="A3214" s="41" t="s">
        <v>6232</v>
      </c>
      <c r="B3214" s="37"/>
      <c r="C3214" s="37"/>
      <c r="D3214" s="37"/>
      <c r="E3214" s="37"/>
      <c r="F3214" s="45"/>
      <c r="K3214" s="3" t="s">
        <v>6232</v>
      </c>
    </row>
    <row r="3215" spans="1:38" ht="18.399999999999999" customHeight="1">
      <c r="A3215" s="41" t="s">
        <v>4277</v>
      </c>
      <c r="B3215" s="37"/>
      <c r="C3215" s="37"/>
      <c r="D3215" s="37"/>
      <c r="E3215" s="37"/>
      <c r="F3215" s="45"/>
      <c r="K3215" s="3" t="s">
        <v>4663</v>
      </c>
    </row>
    <row r="3216" spans="1:38" ht="18.399999999999999" customHeight="1">
      <c r="A3216" s="42" t="str">
        <f>CONCATENATE("    3.232  인  * Q * _x001D_169,804_x001D_ = ",TEXT($AB3216,"#,##0.0"))</f>
        <v xml:space="preserve">    3.232  인  * Q * _x001D_169,804_x001D_ = 639,542.3</v>
      </c>
      <c r="B3216" s="37">
        <f>SUM($C3216,$D3216,$E3216)</f>
        <v>639542.30000000005</v>
      </c>
      <c r="C3216" s="37"/>
      <c r="D3216" s="37">
        <f>$AB3216</f>
        <v>639542.30000000005</v>
      </c>
      <c r="E3216" s="37"/>
      <c r="F3216" s="45" t="s">
        <v>6232</v>
      </c>
      <c r="K3216" s="3" t="s">
        <v>6038</v>
      </c>
      <c r="AA3216" s="40" t="s">
        <v>222</v>
      </c>
      <c r="AB3216" s="8">
        <f>TRUNC(3.232*$AD3184*노임!D3,1)</f>
        <v>639542.30000000005</v>
      </c>
      <c r="AC3216" s="40" t="s">
        <v>334</v>
      </c>
      <c r="AD3216" s="7">
        <f>$AD3213+$AB3216</f>
        <v>3076802.0999999996</v>
      </c>
    </row>
    <row r="3217" spans="1:38" ht="18.399999999999999" customHeight="1">
      <c r="A3217" s="41" t="s">
        <v>6232</v>
      </c>
      <c r="B3217" s="37"/>
      <c r="C3217" s="37"/>
      <c r="D3217" s="37"/>
      <c r="E3217" s="37"/>
      <c r="F3217" s="45"/>
      <c r="K3217" s="3" t="s">
        <v>6232</v>
      </c>
    </row>
    <row r="3218" spans="1:38" ht="18.399999999999999" customHeight="1">
      <c r="A3218" s="41" t="s">
        <v>4035</v>
      </c>
      <c r="B3218" s="37">
        <f>SUM($C3218,$D3218,$E3218)</f>
        <v>3076802.1</v>
      </c>
      <c r="C3218" s="37">
        <f>$AB3218</f>
        <v>0</v>
      </c>
      <c r="D3218" s="37">
        <f>$AF3218</f>
        <v>3076802.1</v>
      </c>
      <c r="E3218" s="37">
        <f>$AJ3218</f>
        <v>0</v>
      </c>
      <c r="F3218" s="45"/>
      <c r="K3218" s="3" t="s">
        <v>134</v>
      </c>
      <c r="AA3218" s="40" t="s">
        <v>4592</v>
      </c>
      <c r="AB3218" s="8">
        <f>TRUNC($AD3203,1)</f>
        <v>0</v>
      </c>
      <c r="AC3218" s="40" t="s">
        <v>5149</v>
      </c>
      <c r="AD3218" s="7">
        <f>$AD3202+$AB3218</f>
        <v>975821.1</v>
      </c>
      <c r="AE3218" s="40" t="s">
        <v>666</v>
      </c>
      <c r="AF3218" s="8">
        <f>TRUNC($AD3216,1)</f>
        <v>3076802.1</v>
      </c>
      <c r="AG3218" s="40" t="s">
        <v>2431</v>
      </c>
      <c r="AH3218" s="7">
        <f>$AH3202+$AF3218</f>
        <v>3076802.1</v>
      </c>
      <c r="AI3218" s="40" t="s">
        <v>1930</v>
      </c>
      <c r="AJ3218" s="8">
        <f>TRUNC($AL3203,1)</f>
        <v>0</v>
      </c>
      <c r="AK3218" s="40" t="s">
        <v>3349</v>
      </c>
      <c r="AL3218" s="7">
        <f>$AL3202+$AJ3218</f>
        <v>0</v>
      </c>
    </row>
    <row r="3219" spans="1:38" ht="18.399999999999999" customHeight="1">
      <c r="A3219" s="41" t="s">
        <v>6232</v>
      </c>
      <c r="B3219" s="37">
        <f>SUM($C3219,$D3219,$E3219)</f>
        <v>0</v>
      </c>
      <c r="C3219" s="37">
        <f>$AB3219</f>
        <v>0</v>
      </c>
      <c r="D3219" s="37">
        <f>$AF3219</f>
        <v>0</v>
      </c>
      <c r="E3219" s="37">
        <f>$AJ3219</f>
        <v>0</v>
      </c>
      <c r="F3219" s="45"/>
      <c r="K3219" s="3" t="s">
        <v>3238</v>
      </c>
      <c r="AA3219" s="40" t="s">
        <v>308</v>
      </c>
      <c r="AB3219" s="8">
        <f>ROUND(0,2)</f>
        <v>0</v>
      </c>
      <c r="AC3219" s="40" t="s">
        <v>5000</v>
      </c>
      <c r="AD3219" s="7">
        <f>$AB3219</f>
        <v>0</v>
      </c>
      <c r="AE3219" s="40" t="s">
        <v>4500</v>
      </c>
      <c r="AF3219" s="8">
        <f>ROUND(0,2)</f>
        <v>0</v>
      </c>
      <c r="AG3219" s="40" t="s">
        <v>2603</v>
      </c>
      <c r="AH3219" s="7">
        <f>$AF3219</f>
        <v>0</v>
      </c>
      <c r="AI3219" s="40" t="s">
        <v>5878</v>
      </c>
      <c r="AJ3219" s="8">
        <f>ROUND(0,2)</f>
        <v>0</v>
      </c>
      <c r="AK3219" s="40" t="s">
        <v>787</v>
      </c>
      <c r="AL3219" s="7">
        <f>$AJ3219</f>
        <v>0</v>
      </c>
    </row>
    <row r="3220" spans="1:38" ht="18.399999999999999" customHeight="1">
      <c r="A3220" s="41" t="s">
        <v>760</v>
      </c>
      <c r="B3220" s="37"/>
      <c r="C3220" s="37"/>
      <c r="D3220" s="37"/>
      <c r="E3220" s="37"/>
      <c r="F3220" s="45"/>
      <c r="K3220" s="3" t="s">
        <v>5465</v>
      </c>
    </row>
    <row r="3221" spans="1:38" ht="18.399999999999999" customHeight="1">
      <c r="A3221" s="41" t="s">
        <v>6232</v>
      </c>
      <c r="B3221" s="37"/>
      <c r="C3221" s="37"/>
      <c r="D3221" s="37"/>
      <c r="E3221" s="37"/>
      <c r="F3221" s="45"/>
      <c r="K3221" s="3" t="s">
        <v>6232</v>
      </c>
    </row>
    <row r="3222" spans="1:38" ht="18.399999999999999" customHeight="1">
      <c r="A3222" s="42" t="str">
        <f>CONCATENATE("    LA2 / Q * 0.02 = ",TEXT($AB3222,"#,##0.0"))</f>
        <v xml:space="preserve">    LA2 / Q * 0.02 = 53,509.6</v>
      </c>
      <c r="B3222" s="37">
        <f>SUM($C3222,$D3222,$E3222)</f>
        <v>53509.599999999999</v>
      </c>
      <c r="C3222" s="37"/>
      <c r="D3222" s="37"/>
      <c r="E3222" s="37">
        <f>$AB3222</f>
        <v>53509.599999999999</v>
      </c>
      <c r="F3222" s="45"/>
      <c r="K3222" s="3" t="s">
        <v>4829</v>
      </c>
      <c r="AA3222" s="40" t="s">
        <v>5878</v>
      </c>
      <c r="AB3222" s="8">
        <f>TRUNC($AD3216/$AD3184*0.02,1)</f>
        <v>53509.599999999999</v>
      </c>
      <c r="AC3222" s="40" t="s">
        <v>787</v>
      </c>
      <c r="AD3222" s="7">
        <f>$AL3219+$AB3222</f>
        <v>53509.599999999999</v>
      </c>
    </row>
    <row r="3223" spans="1:38" ht="18.399999999999999" customHeight="1">
      <c r="A3223" s="41" t="s">
        <v>6232</v>
      </c>
      <c r="B3223" s="37"/>
      <c r="C3223" s="37"/>
      <c r="D3223" s="37"/>
      <c r="E3223" s="37"/>
      <c r="F3223" s="45"/>
      <c r="K3223" s="3" t="s">
        <v>6232</v>
      </c>
    </row>
    <row r="3224" spans="1:38" ht="18.399999999999999" customHeight="1">
      <c r="A3224" s="41" t="s">
        <v>4035</v>
      </c>
      <c r="B3224" s="37">
        <f>SUM($C3224,$D3224,$E3224)</f>
        <v>53509.599999999999</v>
      </c>
      <c r="C3224" s="37">
        <f>$AB3224</f>
        <v>0</v>
      </c>
      <c r="D3224" s="37">
        <f>$AF3224</f>
        <v>0</v>
      </c>
      <c r="E3224" s="37">
        <f>$AJ3224</f>
        <v>53509.599999999999</v>
      </c>
      <c r="F3224" s="45"/>
      <c r="K3224" s="3" t="s">
        <v>4813</v>
      </c>
      <c r="AA3224" s="40" t="s">
        <v>4592</v>
      </c>
      <c r="AB3224" s="8">
        <f>TRUNC($AD3219,1)</f>
        <v>0</v>
      </c>
      <c r="AC3224" s="40" t="s">
        <v>5149</v>
      </c>
      <c r="AD3224" s="7">
        <f>$AD3218+$AB3224</f>
        <v>975821.1</v>
      </c>
      <c r="AE3224" s="40" t="s">
        <v>666</v>
      </c>
      <c r="AF3224" s="8">
        <f>TRUNC($AH3219,1)</f>
        <v>0</v>
      </c>
      <c r="AG3224" s="40" t="s">
        <v>2431</v>
      </c>
      <c r="AH3224" s="7">
        <f>$AH3218+$AF3224</f>
        <v>3076802.1</v>
      </c>
      <c r="AI3224" s="40" t="s">
        <v>1930</v>
      </c>
      <c r="AJ3224" s="8">
        <f>TRUNC($AD3222,1)</f>
        <v>53509.599999999999</v>
      </c>
      <c r="AK3224" s="40" t="s">
        <v>3349</v>
      </c>
      <c r="AL3224" s="7">
        <f>$AL3218+$AJ3224</f>
        <v>53509.599999999999</v>
      </c>
    </row>
    <row r="3225" spans="1:38" ht="18.399999999999999" customHeight="1">
      <c r="A3225" s="41" t="s">
        <v>6232</v>
      </c>
      <c r="B3225" s="37"/>
      <c r="C3225" s="37"/>
      <c r="D3225" s="37"/>
      <c r="E3225" s="37"/>
      <c r="F3225" s="45"/>
      <c r="K3225" s="3" t="s">
        <v>6232</v>
      </c>
    </row>
    <row r="3226" spans="1:38" ht="18.399999999999999" customHeight="1">
      <c r="A3226" s="41" t="s">
        <v>4002</v>
      </c>
      <c r="B3226" s="37">
        <v>4064669.5999999996</v>
      </c>
      <c r="C3226" s="37">
        <v>975821.1</v>
      </c>
      <c r="D3226" s="37">
        <v>3036047.7</v>
      </c>
      <c r="E3226" s="37">
        <v>52800.800000000003</v>
      </c>
      <c r="F3226" s="45"/>
      <c r="K3226" s="3" t="s">
        <v>916</v>
      </c>
    </row>
    <row r="3227" spans="1:38" ht="18.399999999999999" customHeight="1">
      <c r="A3227" s="41"/>
      <c r="B3227" s="3"/>
      <c r="C3227" s="3"/>
      <c r="D3227" s="3"/>
      <c r="E3227" s="3"/>
      <c r="F3227" s="44"/>
    </row>
    <row r="3228" spans="1:38" ht="18.399999999999999" customHeight="1">
      <c r="A3228" s="43" t="s">
        <v>3543</v>
      </c>
      <c r="B3228" s="38">
        <f>SUM($C3228,$D3228,$E3228)</f>
        <v>4106132</v>
      </c>
      <c r="C3228" s="38">
        <f>TRUNC(SUM($AD3224),0)</f>
        <v>975821</v>
      </c>
      <c r="D3228" s="38">
        <f>TRUNC(SUM($AH3224),0)</f>
        <v>3076802</v>
      </c>
      <c r="E3228" s="38">
        <f>TRUNC(SUM($AL3224),0)</f>
        <v>53509</v>
      </c>
      <c r="F3228" s="46"/>
    </row>
    <row r="3229" spans="1:38" ht="18.399999999999999" customHeight="1">
      <c r="A3229" s="41"/>
      <c r="B3229" s="3"/>
      <c r="C3229" s="3"/>
      <c r="D3229" s="3"/>
      <c r="E3229" s="3"/>
      <c r="F3229" s="44"/>
    </row>
    <row r="3230" spans="1:38" ht="18.399999999999999" customHeight="1">
      <c r="A3230" s="41" t="s">
        <v>2583</v>
      </c>
      <c r="B3230" s="36">
        <f>$B3282</f>
        <v>4624306</v>
      </c>
      <c r="C3230" s="36">
        <f>$C3282</f>
        <v>1221806</v>
      </c>
      <c r="D3230" s="36">
        <f>$D3282</f>
        <v>3344338</v>
      </c>
      <c r="E3230" s="36">
        <f>$E3282</f>
        <v>58162</v>
      </c>
      <c r="F3230" s="44" t="s">
        <v>4819</v>
      </c>
      <c r="G3230" t="s">
        <v>6232</v>
      </c>
      <c r="H3230" t="s">
        <v>1792</v>
      </c>
      <c r="K3230">
        <v>1</v>
      </c>
      <c r="Y3230" s="7" t="b">
        <f>EXACT($Z3230,$B3282)</f>
        <v>0</v>
      </c>
      <c r="Z3230" s="38">
        <v>4579407</v>
      </c>
    </row>
    <row r="3231" spans="1:38" ht="18.399999999999999" customHeight="1">
      <c r="A3231" s="41"/>
      <c r="B3231" s="3"/>
      <c r="C3231" s="3"/>
      <c r="D3231" s="3"/>
      <c r="E3231" s="3"/>
      <c r="F3231" s="44"/>
    </row>
    <row r="3232" spans="1:38" ht="18.399999999999999" customHeight="1">
      <c r="A3232" s="41" t="s">
        <v>6232</v>
      </c>
      <c r="B3232" s="3"/>
      <c r="C3232" s="3"/>
      <c r="D3232" s="3"/>
      <c r="E3232" s="3"/>
      <c r="F3232" s="44"/>
      <c r="G3232" t="s">
        <v>6232</v>
      </c>
      <c r="I3232" t="s">
        <v>742</v>
      </c>
      <c r="J3232" t="s">
        <v>6232</v>
      </c>
      <c r="K3232" t="s">
        <v>5235</v>
      </c>
    </row>
    <row r="3233" spans="1:38" ht="18.399999999999999" customHeight="1">
      <c r="A3233" s="41" t="s">
        <v>579</v>
      </c>
      <c r="B3233" s="37"/>
      <c r="C3233" s="37"/>
      <c r="D3233" s="37"/>
      <c r="E3233" s="37"/>
      <c r="F3233" s="45"/>
      <c r="K3233" s="3" t="s">
        <v>1711</v>
      </c>
    </row>
    <row r="3234" spans="1:38" ht="18.399999999999999" customHeight="1">
      <c r="A3234" s="41" t="s">
        <v>6232</v>
      </c>
      <c r="B3234" s="37"/>
      <c r="C3234" s="37"/>
      <c r="D3234" s="37"/>
      <c r="E3234" s="37"/>
      <c r="F3234" s="45"/>
      <c r="K3234" s="3" t="s">
        <v>6232</v>
      </c>
    </row>
    <row r="3235" spans="1:38" ht="18.399999999999999" customHeight="1">
      <c r="A3235" s="41" t="s">
        <v>2476</v>
      </c>
      <c r="B3235" s="37"/>
      <c r="C3235" s="37"/>
      <c r="D3235" s="37"/>
      <c r="E3235" s="37"/>
      <c r="F3235" s="45"/>
      <c r="K3235" s="3" t="s">
        <v>5810</v>
      </c>
    </row>
    <row r="3236" spans="1:38" ht="18.399999999999999" customHeight="1">
      <c r="A3236" s="41" t="s">
        <v>774</v>
      </c>
      <c r="B3236" s="37"/>
      <c r="C3236" s="37"/>
      <c r="D3236" s="37"/>
      <c r="E3236" s="37"/>
      <c r="F3236" s="45"/>
      <c r="K3236" s="3" t="s">
        <v>3563</v>
      </c>
    </row>
    <row r="3237" spans="1:38" ht="18.399999999999999" customHeight="1">
      <c r="A3237" s="41" t="s">
        <v>1642</v>
      </c>
      <c r="B3237" s="37"/>
      <c r="C3237" s="37"/>
      <c r="D3237" s="37"/>
      <c r="E3237" s="37"/>
      <c r="F3237" s="45"/>
      <c r="K3237" s="3" t="s">
        <v>2758</v>
      </c>
    </row>
    <row r="3238" spans="1:38" ht="18.399999999999999" customHeight="1">
      <c r="A3238" s="42" t="str">
        <f>CONCATENATE("          Q=",TEXT($AB3238,"#,##0.00"))</f>
        <v xml:space="preserve">          Q=1.15</v>
      </c>
      <c r="B3238" s="37"/>
      <c r="C3238" s="37"/>
      <c r="D3238" s="37"/>
      <c r="E3238" s="37"/>
      <c r="F3238" s="45"/>
      <c r="K3238" s="10" t="str">
        <f>SUBSTITUTE(SUBSTITUTE("          Q=1.15","1.15",TEXT($AB3238,"#,##0.00"),1),"_x001D_","'")</f>
        <v xml:space="preserve">          Q=1.15</v>
      </c>
      <c r="AA3238" s="39" t="s">
        <v>4337</v>
      </c>
      <c r="AB3238" s="6">
        <v>1.1499999999999999</v>
      </c>
      <c r="AC3238" s="39" t="s">
        <v>4337</v>
      </c>
      <c r="AD3238" s="7">
        <f>$AB3238</f>
        <v>1.1499999999999999</v>
      </c>
    </row>
    <row r="3239" spans="1:38" ht="18.399999999999999" customHeight="1">
      <c r="A3239" s="41" t="s">
        <v>6232</v>
      </c>
      <c r="B3239" s="37">
        <f>SUM($C3239,$D3239,$E3239)</f>
        <v>0</v>
      </c>
      <c r="C3239" s="37">
        <f>$AB3239</f>
        <v>0</v>
      </c>
      <c r="D3239" s="37">
        <f>$AF3239</f>
        <v>0</v>
      </c>
      <c r="E3239" s="37">
        <f>$AJ3239</f>
        <v>0</v>
      </c>
      <c r="F3239" s="45"/>
      <c r="K3239" s="3" t="s">
        <v>295</v>
      </c>
      <c r="AA3239" s="40" t="s">
        <v>2660</v>
      </c>
      <c r="AB3239" s="8">
        <f>ROUND(0,2)</f>
        <v>0</v>
      </c>
      <c r="AC3239" s="40" t="s">
        <v>1650</v>
      </c>
      <c r="AD3239" s="7">
        <f>$AB3239</f>
        <v>0</v>
      </c>
      <c r="AE3239" s="40" t="s">
        <v>5305</v>
      </c>
      <c r="AF3239" s="8">
        <f>ROUND(0,2)</f>
        <v>0</v>
      </c>
      <c r="AG3239" s="40" t="s">
        <v>5439</v>
      </c>
      <c r="AH3239" s="7">
        <f>$AF3239</f>
        <v>0</v>
      </c>
      <c r="AI3239" s="40" t="s">
        <v>3519</v>
      </c>
      <c r="AJ3239" s="8">
        <f>ROUND(0,2)</f>
        <v>0</v>
      </c>
      <c r="AK3239" s="40" t="s">
        <v>4149</v>
      </c>
      <c r="AL3239" s="7">
        <f>$AJ3239</f>
        <v>0</v>
      </c>
    </row>
    <row r="3240" spans="1:38" ht="18.399999999999999" customHeight="1">
      <c r="A3240" s="41" t="s">
        <v>4464</v>
      </c>
      <c r="B3240" s="37"/>
      <c r="C3240" s="37"/>
      <c r="D3240" s="37"/>
      <c r="E3240" s="37"/>
      <c r="F3240" s="45"/>
      <c r="K3240" s="3" t="s">
        <v>311</v>
      </c>
    </row>
    <row r="3241" spans="1:38" ht="18.399999999999999" customHeight="1">
      <c r="A3241" s="41" t="s">
        <v>6232</v>
      </c>
      <c r="B3241" s="37"/>
      <c r="C3241" s="37"/>
      <c r="D3241" s="37"/>
      <c r="E3241" s="37"/>
      <c r="F3241" s="45"/>
      <c r="K3241" s="3" t="s">
        <v>6232</v>
      </c>
    </row>
    <row r="3242" spans="1:38" ht="18.399999999999999" customHeight="1">
      <c r="A3242" s="42" t="str">
        <f>CONCATENATE("  1) POLYOL :  31.56  kg  * _x001D_4,500_x001D_ = ",TEXT($AB3242,"#,##0.0"))</f>
        <v xml:space="preserve">  1) POLYOL :  31.56  kg  * _x001D_4,500_x001D_ = 142,020.0</v>
      </c>
      <c r="B3242" s="37">
        <f>SUM($C3242,$D3242,$E3242)</f>
        <v>142020</v>
      </c>
      <c r="C3242" s="37">
        <f>$AB3242</f>
        <v>142020</v>
      </c>
      <c r="D3242" s="37"/>
      <c r="E3242" s="37"/>
      <c r="F3242" s="45" t="s">
        <v>6232</v>
      </c>
      <c r="K3242" s="3" t="s">
        <v>790</v>
      </c>
      <c r="AA3242" s="40" t="s">
        <v>2660</v>
      </c>
      <c r="AB3242" s="8">
        <f>TRUNC(31.56*자재조서!E46,1)</f>
        <v>142020</v>
      </c>
      <c r="AC3242" s="40" t="s">
        <v>1650</v>
      </c>
      <c r="AD3242" s="7">
        <f>$AD3239+$AB3242</f>
        <v>142020</v>
      </c>
    </row>
    <row r="3243" spans="1:38" ht="18.399999999999999" customHeight="1">
      <c r="A3243" s="41" t="s">
        <v>6232</v>
      </c>
      <c r="B3243" s="37"/>
      <c r="C3243" s="37"/>
      <c r="D3243" s="37"/>
      <c r="E3243" s="37"/>
      <c r="F3243" s="45"/>
      <c r="K3243" s="3" t="s">
        <v>6232</v>
      </c>
    </row>
    <row r="3244" spans="1:38" ht="18.399999999999999" customHeight="1">
      <c r="A3244" s="42" t="str">
        <f>CONCATENATE("  2) MDI :  44.04  kg  * _x001D_4,000_x001D_  = ",TEXT($AB3244,"#,##0.0"))</f>
        <v xml:space="preserve">  2) MDI :  44.04  kg  * _x001D_4,000_x001D_  = 176,160.0</v>
      </c>
      <c r="B3244" s="37">
        <f>SUM($C3244,$D3244,$E3244)</f>
        <v>176160</v>
      </c>
      <c r="C3244" s="37">
        <f>$AB3244</f>
        <v>176160</v>
      </c>
      <c r="D3244" s="37"/>
      <c r="E3244" s="37"/>
      <c r="F3244" s="45" t="s">
        <v>6232</v>
      </c>
      <c r="K3244" s="3" t="s">
        <v>5331</v>
      </c>
      <c r="AA3244" s="40" t="s">
        <v>2660</v>
      </c>
      <c r="AB3244" s="8">
        <f>TRUNC(44.04*자재조서!E47,1)</f>
        <v>176160</v>
      </c>
      <c r="AC3244" s="40" t="s">
        <v>1650</v>
      </c>
      <c r="AD3244" s="7">
        <f>$AD3242+$AB3244</f>
        <v>318180</v>
      </c>
    </row>
    <row r="3245" spans="1:38" ht="18.399999999999999" customHeight="1">
      <c r="A3245" s="41" t="s">
        <v>6232</v>
      </c>
      <c r="B3245" s="37"/>
      <c r="C3245" s="37"/>
      <c r="D3245" s="37"/>
      <c r="E3245" s="37"/>
      <c r="F3245" s="45"/>
      <c r="K3245" s="3" t="s">
        <v>6232</v>
      </c>
    </row>
    <row r="3246" spans="1:38" ht="18.399999999999999" customHeight="1">
      <c r="A3246" s="41" t="s">
        <v>337</v>
      </c>
      <c r="B3246" s="37"/>
      <c r="C3246" s="37"/>
      <c r="D3246" s="37"/>
      <c r="E3246" s="37"/>
      <c r="F3246" s="45"/>
      <c r="K3246" s="3" t="s">
        <v>3279</v>
      </c>
    </row>
    <row r="3247" spans="1:38" ht="18.399999999999999" customHeight="1">
      <c r="A3247" s="41" t="s">
        <v>6232</v>
      </c>
      <c r="B3247" s="37"/>
      <c r="C3247" s="37"/>
      <c r="D3247" s="37"/>
      <c r="E3247" s="37"/>
      <c r="F3247" s="45"/>
      <c r="K3247" s="3" t="s">
        <v>6232</v>
      </c>
    </row>
    <row r="3248" spans="1:38" ht="18.399999999999999" customHeight="1">
      <c r="A3248" s="42" t="str">
        <f>CONCATENATE("  4) PE 용접봉 :  10.29  kg  * _x001D_10,738_x001D_= ",TEXT($AB3248,"#,##0.0"))</f>
        <v xml:space="preserve">  4) PE 용접봉 :  10.29  kg  * _x001D_10,738_x001D_= 110,494.0</v>
      </c>
      <c r="B3248" s="37">
        <f>SUM($C3248,$D3248,$E3248)</f>
        <v>110494</v>
      </c>
      <c r="C3248" s="37">
        <f>$AB3248</f>
        <v>110494</v>
      </c>
      <c r="D3248" s="37"/>
      <c r="E3248" s="37"/>
      <c r="F3248" s="45" t="s">
        <v>6232</v>
      </c>
      <c r="K3248" s="3" t="s">
        <v>12</v>
      </c>
      <c r="AA3248" s="40" t="s">
        <v>2660</v>
      </c>
      <c r="AB3248" s="8">
        <f>TRUNC(10.29*자재조서!E41,1)</f>
        <v>110494</v>
      </c>
      <c r="AC3248" s="40" t="s">
        <v>1650</v>
      </c>
      <c r="AD3248" s="7">
        <f>$AD3244+$AB3248</f>
        <v>428674</v>
      </c>
    </row>
    <row r="3249" spans="1:38" ht="18.399999999999999" customHeight="1">
      <c r="A3249" s="41" t="s">
        <v>6232</v>
      </c>
      <c r="B3249" s="37"/>
      <c r="C3249" s="37"/>
      <c r="D3249" s="37"/>
      <c r="E3249" s="37"/>
      <c r="F3249" s="45"/>
      <c r="K3249" s="3" t="s">
        <v>6232</v>
      </c>
    </row>
    <row r="3250" spans="1:38" ht="18.399999999999999" customHeight="1">
      <c r="A3250" s="42" t="str">
        <f>CONCATENATE("  5) HDPE 관 :  6.18  m  * _x001D_27,900_x001D_ = ",TEXT($AB3250,"#,##0.0"))</f>
        <v xml:space="preserve">  5) HDPE 관 :  6.18  m  * _x001D_27,900_x001D_ = 172,422.0</v>
      </c>
      <c r="B3250" s="37">
        <f>SUM($C3250,$D3250,$E3250)</f>
        <v>172422</v>
      </c>
      <c r="C3250" s="37">
        <f>$AB3250</f>
        <v>172422</v>
      </c>
      <c r="D3250" s="37"/>
      <c r="E3250" s="37"/>
      <c r="F3250" s="45" t="s">
        <v>6232</v>
      </c>
      <c r="K3250" s="3" t="s">
        <v>5795</v>
      </c>
      <c r="AA3250" s="40" t="s">
        <v>2660</v>
      </c>
      <c r="AB3250" s="8">
        <f>TRUNC(6.18*자재조서!E36,1)</f>
        <v>172422</v>
      </c>
      <c r="AC3250" s="40" t="s">
        <v>1650</v>
      </c>
      <c r="AD3250" s="7">
        <f>$AD3248+$AB3250</f>
        <v>601096</v>
      </c>
    </row>
    <row r="3251" spans="1:38" ht="18.399999999999999" customHeight="1">
      <c r="A3251" s="41" t="s">
        <v>6232</v>
      </c>
      <c r="B3251" s="37"/>
      <c r="C3251" s="37"/>
      <c r="D3251" s="37"/>
      <c r="E3251" s="37"/>
      <c r="F3251" s="45"/>
      <c r="K3251" s="3" t="s">
        <v>6232</v>
      </c>
    </row>
    <row r="3252" spans="1:38" ht="18.399999999999999" customHeight="1">
      <c r="A3252" s="42" t="str">
        <f>CONCATENATE("  6) 공장보온재 :  2.992  m  * _x001D_207,360_x001D_ = ",TEXT($AB3252,"#,##0.0"))</f>
        <v xml:space="preserve">  6) 공장보온재 :  2.992  m  * _x001D_207,360_x001D_ = 620,421.1</v>
      </c>
      <c r="B3252" s="37">
        <f>SUM($C3252,$D3252,$E3252)</f>
        <v>620421.1</v>
      </c>
      <c r="C3252" s="37">
        <f>$AB3252</f>
        <v>620421.1</v>
      </c>
      <c r="D3252" s="37"/>
      <c r="E3252" s="37"/>
      <c r="F3252" s="45" t="s">
        <v>6232</v>
      </c>
      <c r="K3252" s="3" t="s">
        <v>2506</v>
      </c>
      <c r="AA3252" s="40" t="s">
        <v>2660</v>
      </c>
      <c r="AB3252" s="8">
        <f>TRUNC(2.992*자재조서!E81,1)</f>
        <v>620421.1</v>
      </c>
      <c r="AC3252" s="40" t="s">
        <v>1650</v>
      </c>
      <c r="AD3252" s="7">
        <f>$AD3250+$AB3252</f>
        <v>1221517.1000000001</v>
      </c>
    </row>
    <row r="3253" spans="1:38" ht="18.399999999999999" customHeight="1">
      <c r="A3253" s="41" t="s">
        <v>6232</v>
      </c>
      <c r="B3253" s="37"/>
      <c r="C3253" s="37"/>
      <c r="D3253" s="37"/>
      <c r="E3253" s="37"/>
      <c r="F3253" s="45"/>
      <c r="K3253" s="3" t="s">
        <v>6232</v>
      </c>
    </row>
    <row r="3254" spans="1:38" ht="18.399999999999999" customHeight="1">
      <c r="A3254" s="42" t="str">
        <f>CONCATENATE("  7) 석동선 :  17.53  m  * _x001D_16.5_x001D_ = ",TEXT($AB3254,"#,##0.0"))</f>
        <v xml:space="preserve">  7) 석동선 :  17.53  m  * _x001D_16.5_x001D_ = 289.2</v>
      </c>
      <c r="B3254" s="37">
        <f>SUM($C3254,$D3254,$E3254)</f>
        <v>289.2</v>
      </c>
      <c r="C3254" s="37">
        <f>$AB3254</f>
        <v>289.2</v>
      </c>
      <c r="D3254" s="37"/>
      <c r="E3254" s="37"/>
      <c r="F3254" s="45" t="s">
        <v>6232</v>
      </c>
      <c r="K3254" s="3" t="s">
        <v>2888</v>
      </c>
      <c r="AA3254" s="40" t="s">
        <v>2660</v>
      </c>
      <c r="AB3254" s="8">
        <f>TRUNC(17.53*자재조서!E85,1)</f>
        <v>289.2</v>
      </c>
      <c r="AC3254" s="40" t="s">
        <v>1650</v>
      </c>
      <c r="AD3254" s="7">
        <f>$AD3252+$AB3254</f>
        <v>1221806.3</v>
      </c>
    </row>
    <row r="3255" spans="1:38" ht="18.399999999999999" customHeight="1">
      <c r="A3255" s="41" t="s">
        <v>6232</v>
      </c>
      <c r="B3255" s="37"/>
      <c r="C3255" s="37"/>
      <c r="D3255" s="37"/>
      <c r="E3255" s="37"/>
      <c r="F3255" s="45"/>
      <c r="K3255" s="3" t="s">
        <v>6232</v>
      </c>
    </row>
    <row r="3256" spans="1:38" ht="18.399999999999999" customHeight="1">
      <c r="A3256" s="41" t="s">
        <v>4035</v>
      </c>
      <c r="B3256" s="37">
        <f>SUM($C3256,$D3256,$E3256)</f>
        <v>1221806.3</v>
      </c>
      <c r="C3256" s="37">
        <f>$AB3256</f>
        <v>1221806.3</v>
      </c>
      <c r="D3256" s="37">
        <f>$AF3256</f>
        <v>0</v>
      </c>
      <c r="E3256" s="37">
        <f>$AJ3256</f>
        <v>0</v>
      </c>
      <c r="F3256" s="45"/>
      <c r="K3256" s="3" t="s">
        <v>6125</v>
      </c>
      <c r="AA3256" s="40" t="s">
        <v>4592</v>
      </c>
      <c r="AB3256" s="8">
        <f>TRUNC($AD3254,1)</f>
        <v>1221806.3</v>
      </c>
      <c r="AC3256" s="40" t="s">
        <v>5149</v>
      </c>
      <c r="AD3256" s="7">
        <f>$AB3256</f>
        <v>1221806.3</v>
      </c>
      <c r="AE3256" s="40" t="s">
        <v>666</v>
      </c>
      <c r="AF3256" s="8">
        <f>TRUNC($AH3239,1)</f>
        <v>0</v>
      </c>
      <c r="AG3256" s="40" t="s">
        <v>2431</v>
      </c>
      <c r="AH3256" s="7">
        <f>$AF3256</f>
        <v>0</v>
      </c>
      <c r="AI3256" s="40" t="s">
        <v>1930</v>
      </c>
      <c r="AJ3256" s="8">
        <f>TRUNC($AL3239,1)</f>
        <v>0</v>
      </c>
      <c r="AK3256" s="40" t="s">
        <v>3349</v>
      </c>
      <c r="AL3256" s="7">
        <f>$AJ3256</f>
        <v>0</v>
      </c>
    </row>
    <row r="3257" spans="1:38" ht="18.399999999999999" customHeight="1">
      <c r="A3257" s="41" t="s">
        <v>6232</v>
      </c>
      <c r="B3257" s="37">
        <f>SUM($C3257,$D3257,$E3257)</f>
        <v>0</v>
      </c>
      <c r="C3257" s="37">
        <f>$AB3257</f>
        <v>0</v>
      </c>
      <c r="D3257" s="37">
        <f>$AF3257</f>
        <v>0</v>
      </c>
      <c r="E3257" s="37">
        <f>$AJ3257</f>
        <v>0</v>
      </c>
      <c r="F3257" s="45"/>
      <c r="K3257" s="3" t="s">
        <v>5506</v>
      </c>
      <c r="AA3257" s="40" t="s">
        <v>4586</v>
      </c>
      <c r="AB3257" s="8">
        <f>ROUND(0,2)</f>
        <v>0</v>
      </c>
      <c r="AC3257" s="40" t="s">
        <v>4161</v>
      </c>
      <c r="AD3257" s="7">
        <f>$AB3257</f>
        <v>0</v>
      </c>
      <c r="AE3257" s="40" t="s">
        <v>222</v>
      </c>
      <c r="AF3257" s="8">
        <f>ROUND(0,2)</f>
        <v>0</v>
      </c>
      <c r="AG3257" s="40" t="s">
        <v>334</v>
      </c>
      <c r="AH3257" s="7">
        <f>$AF3257</f>
        <v>0</v>
      </c>
      <c r="AI3257" s="40" t="s">
        <v>1574</v>
      </c>
      <c r="AJ3257" s="8">
        <f>ROUND(0,2)</f>
        <v>0</v>
      </c>
      <c r="AK3257" s="40" t="s">
        <v>1622</v>
      </c>
      <c r="AL3257" s="7">
        <f>$AJ3257</f>
        <v>0</v>
      </c>
    </row>
    <row r="3258" spans="1:38" ht="18.399999999999999" customHeight="1">
      <c r="A3258" s="41" t="s">
        <v>231</v>
      </c>
      <c r="B3258" s="37"/>
      <c r="C3258" s="37"/>
      <c r="D3258" s="37"/>
      <c r="E3258" s="37"/>
      <c r="F3258" s="45"/>
      <c r="K3258" s="3" t="s">
        <v>268</v>
      </c>
    </row>
    <row r="3259" spans="1:38" ht="18.399999999999999" customHeight="1">
      <c r="A3259" s="41" t="s">
        <v>6232</v>
      </c>
      <c r="B3259" s="37"/>
      <c r="C3259" s="37"/>
      <c r="D3259" s="37"/>
      <c r="E3259" s="37"/>
      <c r="F3259" s="45"/>
      <c r="K3259" s="3" t="s">
        <v>6232</v>
      </c>
    </row>
    <row r="3260" spans="1:38" ht="18.399999999999999" customHeight="1">
      <c r="A3260" s="41" t="s">
        <v>5533</v>
      </c>
      <c r="B3260" s="37"/>
      <c r="C3260" s="37"/>
      <c r="D3260" s="37"/>
      <c r="E3260" s="37"/>
      <c r="F3260" s="45"/>
      <c r="K3260" s="3" t="s">
        <v>3259</v>
      </c>
    </row>
    <row r="3261" spans="1:38" ht="18.399999999999999" customHeight="1">
      <c r="A3261" s="42" t="str">
        <f>CONCATENATE("    7.550  인  * Q * _x001D_213,722_x001D_ = ",TEXT($AB3261,"#,##0.0"))</f>
        <v xml:space="preserve">    7.550  인  * Q * _x001D_213,722_x001D_ = 1,884,206.6</v>
      </c>
      <c r="B3261" s="37">
        <f>SUM($C3261,$D3261,$E3261)</f>
        <v>1884206.6</v>
      </c>
      <c r="C3261" s="37"/>
      <c r="D3261" s="37">
        <f>$AB3261</f>
        <v>1884206.6</v>
      </c>
      <c r="E3261" s="37"/>
      <c r="F3261" s="45" t="s">
        <v>6232</v>
      </c>
      <c r="K3261" s="3" t="s">
        <v>669</v>
      </c>
      <c r="AA3261" s="40" t="s">
        <v>222</v>
      </c>
      <c r="AB3261" s="8">
        <f>TRUNC(7.55*$AD3238*노임!D10,1)</f>
        <v>1884206.6</v>
      </c>
      <c r="AC3261" s="40" t="s">
        <v>334</v>
      </c>
      <c r="AD3261" s="7">
        <f>$AH3257+$AB3261</f>
        <v>1884206.6</v>
      </c>
    </row>
    <row r="3262" spans="1:38" ht="18.399999999999999" customHeight="1">
      <c r="A3262" s="41" t="s">
        <v>6232</v>
      </c>
      <c r="B3262" s="37"/>
      <c r="C3262" s="37"/>
      <c r="D3262" s="37"/>
      <c r="E3262" s="37"/>
      <c r="F3262" s="45"/>
      <c r="K3262" s="3" t="s">
        <v>6232</v>
      </c>
    </row>
    <row r="3263" spans="1:38" ht="18.399999999999999" customHeight="1">
      <c r="A3263" s="41" t="s">
        <v>585</v>
      </c>
      <c r="B3263" s="37"/>
      <c r="C3263" s="37"/>
      <c r="D3263" s="37"/>
      <c r="E3263" s="37"/>
      <c r="F3263" s="45"/>
      <c r="K3263" s="3" t="s">
        <v>5657</v>
      </c>
    </row>
    <row r="3264" spans="1:38" ht="18.399999999999999" customHeight="1">
      <c r="A3264" s="42" t="str">
        <f>CONCATENATE("    2.562  인  * Q * _x001D_201,482_x001D_ = ",TEXT($AB3264,"#,##0.0"))</f>
        <v xml:space="preserve">    2.562  인  * Q * _x001D_201,482_x001D_ = 596,543.2</v>
      </c>
      <c r="B3264" s="37">
        <f>SUM($C3264,$D3264,$E3264)</f>
        <v>596543.19999999995</v>
      </c>
      <c r="C3264" s="37"/>
      <c r="D3264" s="37">
        <f>$AB3264</f>
        <v>596543.19999999995</v>
      </c>
      <c r="E3264" s="37"/>
      <c r="F3264" s="45" t="s">
        <v>6232</v>
      </c>
      <c r="K3264" s="3" t="s">
        <v>989</v>
      </c>
      <c r="AA3264" s="40" t="s">
        <v>222</v>
      </c>
      <c r="AB3264" s="8">
        <f>TRUNC(2.562*$AD3238*노임!D9,1)</f>
        <v>596543.19999999995</v>
      </c>
      <c r="AC3264" s="40" t="s">
        <v>334</v>
      </c>
      <c r="AD3264" s="7">
        <f>$AD3261+$AB3264</f>
        <v>2480749.7999999998</v>
      </c>
    </row>
    <row r="3265" spans="1:38" ht="18.399999999999999" customHeight="1">
      <c r="A3265" s="41" t="s">
        <v>6232</v>
      </c>
      <c r="B3265" s="37"/>
      <c r="C3265" s="37"/>
      <c r="D3265" s="37"/>
      <c r="E3265" s="37"/>
      <c r="F3265" s="45"/>
      <c r="K3265" s="3" t="s">
        <v>6232</v>
      </c>
    </row>
    <row r="3266" spans="1:38" ht="18.399999999999999" customHeight="1">
      <c r="A3266" s="41" t="s">
        <v>3917</v>
      </c>
      <c r="B3266" s="37"/>
      <c r="C3266" s="37"/>
      <c r="D3266" s="37"/>
      <c r="E3266" s="37"/>
      <c r="F3266" s="45"/>
      <c r="K3266" s="3" t="s">
        <v>4355</v>
      </c>
    </row>
    <row r="3267" spans="1:38" ht="18.399999999999999" customHeight="1">
      <c r="A3267" s="42" t="str">
        <f>CONCATENATE("    0.682  인  * Q * _x001D_221,506_x001D_ = ",TEXT($AB3267,"#,##0.0"))</f>
        <v xml:space="preserve">    0.682  인  * Q * _x001D_221,506_x001D_ = 177,347.4</v>
      </c>
      <c r="B3267" s="37">
        <f>SUM($C3267,$D3267,$E3267)</f>
        <v>177347.4</v>
      </c>
      <c r="C3267" s="37"/>
      <c r="D3267" s="37">
        <f>$AB3267</f>
        <v>177347.4</v>
      </c>
      <c r="E3267" s="37"/>
      <c r="F3267" s="45" t="s">
        <v>6232</v>
      </c>
      <c r="K3267" s="3" t="s">
        <v>4488</v>
      </c>
      <c r="AA3267" s="40" t="s">
        <v>222</v>
      </c>
      <c r="AB3267" s="8">
        <f>TRUNC(0.682*$AD3238*노임!D4,1)</f>
        <v>177347.4</v>
      </c>
      <c r="AC3267" s="40" t="s">
        <v>334</v>
      </c>
      <c r="AD3267" s="7">
        <f>$AD3264+$AB3267</f>
        <v>2658097.1999999997</v>
      </c>
    </row>
    <row r="3268" spans="1:38" ht="18.399999999999999" customHeight="1">
      <c r="A3268" s="41" t="s">
        <v>6232</v>
      </c>
      <c r="B3268" s="37"/>
      <c r="C3268" s="37"/>
      <c r="D3268" s="37"/>
      <c r="E3268" s="37"/>
      <c r="F3268" s="45"/>
      <c r="K3268" s="3" t="s">
        <v>6232</v>
      </c>
    </row>
    <row r="3269" spans="1:38" ht="18.399999999999999" customHeight="1">
      <c r="A3269" s="41" t="s">
        <v>4277</v>
      </c>
      <c r="B3269" s="37"/>
      <c r="C3269" s="37"/>
      <c r="D3269" s="37"/>
      <c r="E3269" s="37"/>
      <c r="F3269" s="45"/>
      <c r="K3269" s="3" t="s">
        <v>4663</v>
      </c>
    </row>
    <row r="3270" spans="1:38" ht="18.399999999999999" customHeight="1">
      <c r="A3270" s="42" t="str">
        <f>CONCATENATE("    3.468  인  * Q * _x001D_169,804_x001D_ = ",TEXT($AB3270,"#,##0.0"))</f>
        <v xml:space="preserve">    3.468  인  * Q * _x001D_169,804_x001D_ = 686,241.5</v>
      </c>
      <c r="B3270" s="37">
        <f>SUM($C3270,$D3270,$E3270)</f>
        <v>686241.5</v>
      </c>
      <c r="C3270" s="37"/>
      <c r="D3270" s="37">
        <f>$AB3270</f>
        <v>686241.5</v>
      </c>
      <c r="E3270" s="37"/>
      <c r="F3270" s="45" t="s">
        <v>6232</v>
      </c>
      <c r="K3270" s="3" t="s">
        <v>6192</v>
      </c>
      <c r="AA3270" s="40" t="s">
        <v>222</v>
      </c>
      <c r="AB3270" s="8">
        <f>TRUNC(3.468*$AD3238*노임!D3,1)</f>
        <v>686241.5</v>
      </c>
      <c r="AC3270" s="40" t="s">
        <v>334</v>
      </c>
      <c r="AD3270" s="7">
        <f>$AD3267+$AB3270</f>
        <v>3344338.6999999997</v>
      </c>
    </row>
    <row r="3271" spans="1:38" ht="18.399999999999999" customHeight="1">
      <c r="A3271" s="41" t="s">
        <v>6232</v>
      </c>
      <c r="B3271" s="37"/>
      <c r="C3271" s="37"/>
      <c r="D3271" s="37"/>
      <c r="E3271" s="37"/>
      <c r="F3271" s="45"/>
      <c r="K3271" s="3" t="s">
        <v>6232</v>
      </c>
    </row>
    <row r="3272" spans="1:38" ht="18.399999999999999" customHeight="1">
      <c r="A3272" s="41" t="s">
        <v>4035</v>
      </c>
      <c r="B3272" s="37">
        <f>SUM($C3272,$D3272,$E3272)</f>
        <v>3344338.7</v>
      </c>
      <c r="C3272" s="37">
        <f>$AB3272</f>
        <v>0</v>
      </c>
      <c r="D3272" s="37">
        <f>$AF3272</f>
        <v>3344338.7</v>
      </c>
      <c r="E3272" s="37">
        <f>$AJ3272</f>
        <v>0</v>
      </c>
      <c r="F3272" s="45"/>
      <c r="K3272" s="3" t="s">
        <v>134</v>
      </c>
      <c r="AA3272" s="40" t="s">
        <v>4592</v>
      </c>
      <c r="AB3272" s="8">
        <f>TRUNC($AD3257,1)</f>
        <v>0</v>
      </c>
      <c r="AC3272" s="40" t="s">
        <v>5149</v>
      </c>
      <c r="AD3272" s="7">
        <f>$AD3256+$AB3272</f>
        <v>1221806.3</v>
      </c>
      <c r="AE3272" s="40" t="s">
        <v>666</v>
      </c>
      <c r="AF3272" s="8">
        <f>TRUNC($AD3270,1)</f>
        <v>3344338.7</v>
      </c>
      <c r="AG3272" s="40" t="s">
        <v>2431</v>
      </c>
      <c r="AH3272" s="7">
        <f>$AH3256+$AF3272</f>
        <v>3344338.7</v>
      </c>
      <c r="AI3272" s="40" t="s">
        <v>1930</v>
      </c>
      <c r="AJ3272" s="8">
        <f>TRUNC($AL3257,1)</f>
        <v>0</v>
      </c>
      <c r="AK3272" s="40" t="s">
        <v>3349</v>
      </c>
      <c r="AL3272" s="7">
        <f>$AL3256+$AJ3272</f>
        <v>0</v>
      </c>
    </row>
    <row r="3273" spans="1:38" ht="18.399999999999999" customHeight="1">
      <c r="A3273" s="41" t="s">
        <v>6232</v>
      </c>
      <c r="B3273" s="37">
        <f>SUM($C3273,$D3273,$E3273)</f>
        <v>0</v>
      </c>
      <c r="C3273" s="37">
        <f>$AB3273</f>
        <v>0</v>
      </c>
      <c r="D3273" s="37">
        <f>$AF3273</f>
        <v>0</v>
      </c>
      <c r="E3273" s="37">
        <f>$AJ3273</f>
        <v>0</v>
      </c>
      <c r="F3273" s="45"/>
      <c r="K3273" s="3" t="s">
        <v>3238</v>
      </c>
      <c r="AA3273" s="40" t="s">
        <v>308</v>
      </c>
      <c r="AB3273" s="8">
        <f>ROUND(0,2)</f>
        <v>0</v>
      </c>
      <c r="AC3273" s="40" t="s">
        <v>5000</v>
      </c>
      <c r="AD3273" s="7">
        <f>$AB3273</f>
        <v>0</v>
      </c>
      <c r="AE3273" s="40" t="s">
        <v>4500</v>
      </c>
      <c r="AF3273" s="8">
        <f>ROUND(0,2)</f>
        <v>0</v>
      </c>
      <c r="AG3273" s="40" t="s">
        <v>2603</v>
      </c>
      <c r="AH3273" s="7">
        <f>$AF3273</f>
        <v>0</v>
      </c>
      <c r="AI3273" s="40" t="s">
        <v>5878</v>
      </c>
      <c r="AJ3273" s="8">
        <f>ROUND(0,2)</f>
        <v>0</v>
      </c>
      <c r="AK3273" s="40" t="s">
        <v>787</v>
      </c>
      <c r="AL3273" s="7">
        <f>$AJ3273</f>
        <v>0</v>
      </c>
    </row>
    <row r="3274" spans="1:38" ht="18.399999999999999" customHeight="1">
      <c r="A3274" s="41" t="s">
        <v>760</v>
      </c>
      <c r="B3274" s="37"/>
      <c r="C3274" s="37"/>
      <c r="D3274" s="37"/>
      <c r="E3274" s="37"/>
      <c r="F3274" s="45"/>
      <c r="K3274" s="3" t="s">
        <v>5465</v>
      </c>
    </row>
    <row r="3275" spans="1:38" ht="18.399999999999999" customHeight="1">
      <c r="A3275" s="41" t="s">
        <v>6232</v>
      </c>
      <c r="B3275" s="37"/>
      <c r="C3275" s="37"/>
      <c r="D3275" s="37"/>
      <c r="E3275" s="37"/>
      <c r="F3275" s="45"/>
      <c r="K3275" s="3" t="s">
        <v>6232</v>
      </c>
    </row>
    <row r="3276" spans="1:38" ht="18.399999999999999" customHeight="1">
      <c r="A3276" s="42" t="str">
        <f>CONCATENATE("    LA2 / Q * 0.02 = ",TEXT($AB3276,"#,##0.0"))</f>
        <v xml:space="preserve">    LA2 / Q * 0.02 = 58,162.4</v>
      </c>
      <c r="B3276" s="37">
        <f>SUM($C3276,$D3276,$E3276)</f>
        <v>58162.400000000001</v>
      </c>
      <c r="C3276" s="37"/>
      <c r="D3276" s="37"/>
      <c r="E3276" s="37">
        <f>$AB3276</f>
        <v>58162.400000000001</v>
      </c>
      <c r="F3276" s="45"/>
      <c r="K3276" s="3" t="s">
        <v>4829</v>
      </c>
      <c r="AA3276" s="40" t="s">
        <v>5878</v>
      </c>
      <c r="AB3276" s="8">
        <f>TRUNC($AD3270/$AD3238*0.02,1)</f>
        <v>58162.400000000001</v>
      </c>
      <c r="AC3276" s="40" t="s">
        <v>787</v>
      </c>
      <c r="AD3276" s="7">
        <f>$AL3273+$AB3276</f>
        <v>58162.400000000001</v>
      </c>
    </row>
    <row r="3277" spans="1:38" ht="18.399999999999999" customHeight="1">
      <c r="A3277" s="41" t="s">
        <v>6232</v>
      </c>
      <c r="B3277" s="37"/>
      <c r="C3277" s="37"/>
      <c r="D3277" s="37"/>
      <c r="E3277" s="37"/>
      <c r="F3277" s="45"/>
      <c r="K3277" s="3" t="s">
        <v>6232</v>
      </c>
    </row>
    <row r="3278" spans="1:38" ht="18.399999999999999" customHeight="1">
      <c r="A3278" s="41" t="s">
        <v>4035</v>
      </c>
      <c r="B3278" s="37">
        <f>SUM($C3278,$D3278,$E3278)</f>
        <v>58162.400000000001</v>
      </c>
      <c r="C3278" s="37">
        <f>$AB3278</f>
        <v>0</v>
      </c>
      <c r="D3278" s="37">
        <f>$AF3278</f>
        <v>0</v>
      </c>
      <c r="E3278" s="37">
        <f>$AJ3278</f>
        <v>58162.400000000001</v>
      </c>
      <c r="F3278" s="45"/>
      <c r="K3278" s="3" t="s">
        <v>4813</v>
      </c>
      <c r="AA3278" s="40" t="s">
        <v>4592</v>
      </c>
      <c r="AB3278" s="8">
        <f>TRUNC($AD3273,1)</f>
        <v>0</v>
      </c>
      <c r="AC3278" s="40" t="s">
        <v>5149</v>
      </c>
      <c r="AD3278" s="7">
        <f>$AD3272+$AB3278</f>
        <v>1221806.3</v>
      </c>
      <c r="AE3278" s="40" t="s">
        <v>666</v>
      </c>
      <c r="AF3278" s="8">
        <f>TRUNC($AH3273,1)</f>
        <v>0</v>
      </c>
      <c r="AG3278" s="40" t="s">
        <v>2431</v>
      </c>
      <c r="AH3278" s="7">
        <f>$AH3272+$AF3278</f>
        <v>3344338.7</v>
      </c>
      <c r="AI3278" s="40" t="s">
        <v>1930</v>
      </c>
      <c r="AJ3278" s="8">
        <f>TRUNC($AD3276,1)</f>
        <v>58162.400000000001</v>
      </c>
      <c r="AK3278" s="40" t="s">
        <v>3349</v>
      </c>
      <c r="AL3278" s="7">
        <f>$AL3272+$AJ3278</f>
        <v>58162.400000000001</v>
      </c>
    </row>
    <row r="3279" spans="1:38" ht="18.399999999999999" customHeight="1">
      <c r="A3279" s="41" t="s">
        <v>6232</v>
      </c>
      <c r="B3279" s="37"/>
      <c r="C3279" s="37"/>
      <c r="D3279" s="37"/>
      <c r="E3279" s="37"/>
      <c r="F3279" s="45"/>
      <c r="K3279" s="3" t="s">
        <v>6232</v>
      </c>
    </row>
    <row r="3280" spans="1:38" ht="18.399999999999999" customHeight="1">
      <c r="A3280" s="41" t="s">
        <v>4002</v>
      </c>
      <c r="B3280" s="37">
        <v>4579408.2</v>
      </c>
      <c r="C3280" s="37">
        <v>1221806.3</v>
      </c>
      <c r="D3280" s="37">
        <v>3300207</v>
      </c>
      <c r="E3280" s="37">
        <v>57394.9</v>
      </c>
      <c r="F3280" s="45"/>
      <c r="K3280" s="3" t="s">
        <v>916</v>
      </c>
    </row>
    <row r="3281" spans="1:38" ht="18.399999999999999" customHeight="1">
      <c r="A3281" s="41"/>
      <c r="B3281" s="3"/>
      <c r="C3281" s="3"/>
      <c r="D3281" s="3"/>
      <c r="E3281" s="3"/>
      <c r="F3281" s="44"/>
    </row>
    <row r="3282" spans="1:38" ht="18.399999999999999" customHeight="1">
      <c r="A3282" s="43" t="s">
        <v>3543</v>
      </c>
      <c r="B3282" s="38">
        <f>SUM($C3282,$D3282,$E3282)</f>
        <v>4624306</v>
      </c>
      <c r="C3282" s="38">
        <f>TRUNC(SUM($AD3278),0)</f>
        <v>1221806</v>
      </c>
      <c r="D3282" s="38">
        <f>TRUNC(SUM($AH3278),0)</f>
        <v>3344338</v>
      </c>
      <c r="E3282" s="38">
        <f>TRUNC(SUM($AL3278),0)</f>
        <v>58162</v>
      </c>
      <c r="F3282" s="46"/>
    </row>
    <row r="3283" spans="1:38" ht="18.399999999999999" customHeight="1">
      <c r="A3283" s="41"/>
      <c r="B3283" s="3"/>
      <c r="C3283" s="3"/>
      <c r="D3283" s="3"/>
      <c r="E3283" s="3"/>
      <c r="F3283" s="44"/>
    </row>
    <row r="3284" spans="1:38" ht="18.399999999999999" customHeight="1">
      <c r="A3284" s="41" t="s">
        <v>5047</v>
      </c>
      <c r="B3284" s="36">
        <f>$B3336</f>
        <v>4955562</v>
      </c>
      <c r="C3284" s="36">
        <f>$C3336</f>
        <v>1306712</v>
      </c>
      <c r="D3284" s="36">
        <f>$D3336</f>
        <v>3586477</v>
      </c>
      <c r="E3284" s="36">
        <f>$E3336</f>
        <v>62373</v>
      </c>
      <c r="F3284" s="44" t="s">
        <v>4819</v>
      </c>
      <c r="G3284" t="s">
        <v>6232</v>
      </c>
      <c r="H3284" t="s">
        <v>330</v>
      </c>
      <c r="K3284">
        <v>1</v>
      </c>
      <c r="Y3284" s="7" t="b">
        <f>EXACT($Z3284,$B3336)</f>
        <v>0</v>
      </c>
      <c r="Z3284" s="38">
        <v>4907346</v>
      </c>
    </row>
    <row r="3285" spans="1:38" ht="18.399999999999999" customHeight="1">
      <c r="A3285" s="41"/>
      <c r="B3285" s="3"/>
      <c r="C3285" s="3"/>
      <c r="D3285" s="3"/>
      <c r="E3285" s="3"/>
      <c r="F3285" s="44"/>
    </row>
    <row r="3286" spans="1:38" ht="18.399999999999999" customHeight="1">
      <c r="A3286" s="41" t="s">
        <v>6232</v>
      </c>
      <c r="B3286" s="3"/>
      <c r="C3286" s="3"/>
      <c r="D3286" s="3"/>
      <c r="E3286" s="3"/>
      <c r="F3286" s="44"/>
      <c r="G3286" t="s">
        <v>6232</v>
      </c>
      <c r="I3286" t="s">
        <v>742</v>
      </c>
      <c r="J3286" t="s">
        <v>6232</v>
      </c>
      <c r="K3286" t="s">
        <v>5235</v>
      </c>
    </row>
    <row r="3287" spans="1:38" ht="18.399999999999999" customHeight="1">
      <c r="A3287" s="41" t="s">
        <v>36</v>
      </c>
      <c r="B3287" s="37"/>
      <c r="C3287" s="37"/>
      <c r="D3287" s="37"/>
      <c r="E3287" s="37"/>
      <c r="F3287" s="45"/>
      <c r="K3287" s="3" t="s">
        <v>4259</v>
      </c>
    </row>
    <row r="3288" spans="1:38" ht="18.399999999999999" customHeight="1">
      <c r="A3288" s="41" t="s">
        <v>6232</v>
      </c>
      <c r="B3288" s="37"/>
      <c r="C3288" s="37"/>
      <c r="D3288" s="37"/>
      <c r="E3288" s="37"/>
      <c r="F3288" s="45"/>
      <c r="K3288" s="3" t="s">
        <v>6232</v>
      </c>
    </row>
    <row r="3289" spans="1:38" ht="18.399999999999999" customHeight="1">
      <c r="A3289" s="41" t="s">
        <v>2476</v>
      </c>
      <c r="B3289" s="37"/>
      <c r="C3289" s="37"/>
      <c r="D3289" s="37"/>
      <c r="E3289" s="37"/>
      <c r="F3289" s="45"/>
      <c r="K3289" s="3" t="s">
        <v>5810</v>
      </c>
    </row>
    <row r="3290" spans="1:38" ht="18.399999999999999" customHeight="1">
      <c r="A3290" s="41" t="s">
        <v>774</v>
      </c>
      <c r="B3290" s="37"/>
      <c r="C3290" s="37"/>
      <c r="D3290" s="37"/>
      <c r="E3290" s="37"/>
      <c r="F3290" s="45"/>
      <c r="K3290" s="3" t="s">
        <v>3563</v>
      </c>
    </row>
    <row r="3291" spans="1:38" ht="18.399999999999999" customHeight="1">
      <c r="A3291" s="41" t="s">
        <v>1642</v>
      </c>
      <c r="B3291" s="37"/>
      <c r="C3291" s="37"/>
      <c r="D3291" s="37"/>
      <c r="E3291" s="37"/>
      <c r="F3291" s="45"/>
      <c r="K3291" s="3" t="s">
        <v>2758</v>
      </c>
    </row>
    <row r="3292" spans="1:38" ht="18.399999999999999" customHeight="1">
      <c r="A3292" s="42" t="str">
        <f>CONCATENATE("          Q=",TEXT($AB3292,"#,##0.00"))</f>
        <v xml:space="preserve">          Q=1.15</v>
      </c>
      <c r="B3292" s="37"/>
      <c r="C3292" s="37"/>
      <c r="D3292" s="37"/>
      <c r="E3292" s="37"/>
      <c r="F3292" s="45"/>
      <c r="K3292" s="10" t="str">
        <f>SUBSTITUTE(SUBSTITUTE("          Q=1.15","1.15",TEXT($AB3292,"#,##0.00"),1),"_x001D_","'")</f>
        <v xml:space="preserve">          Q=1.15</v>
      </c>
      <c r="AA3292" s="39" t="s">
        <v>4337</v>
      </c>
      <c r="AB3292" s="6">
        <v>1.1499999999999999</v>
      </c>
      <c r="AC3292" s="39" t="s">
        <v>4337</v>
      </c>
      <c r="AD3292" s="7">
        <f>$AB3292</f>
        <v>1.1499999999999999</v>
      </c>
    </row>
    <row r="3293" spans="1:38" ht="18.399999999999999" customHeight="1">
      <c r="A3293" s="41" t="s">
        <v>6232</v>
      </c>
      <c r="B3293" s="37">
        <f>SUM($C3293,$D3293,$E3293)</f>
        <v>0</v>
      </c>
      <c r="C3293" s="37">
        <f>$AB3293</f>
        <v>0</v>
      </c>
      <c r="D3293" s="37">
        <f>$AF3293</f>
        <v>0</v>
      </c>
      <c r="E3293" s="37">
        <f>$AJ3293</f>
        <v>0</v>
      </c>
      <c r="F3293" s="45"/>
      <c r="K3293" s="3" t="s">
        <v>295</v>
      </c>
      <c r="AA3293" s="40" t="s">
        <v>2660</v>
      </c>
      <c r="AB3293" s="8">
        <f>ROUND(0,2)</f>
        <v>0</v>
      </c>
      <c r="AC3293" s="40" t="s">
        <v>1650</v>
      </c>
      <c r="AD3293" s="7">
        <f>$AB3293</f>
        <v>0</v>
      </c>
      <c r="AE3293" s="40" t="s">
        <v>5305</v>
      </c>
      <c r="AF3293" s="8">
        <f>ROUND(0,2)</f>
        <v>0</v>
      </c>
      <c r="AG3293" s="40" t="s">
        <v>5439</v>
      </c>
      <c r="AH3293" s="7">
        <f>$AF3293</f>
        <v>0</v>
      </c>
      <c r="AI3293" s="40" t="s">
        <v>3519</v>
      </c>
      <c r="AJ3293" s="8">
        <f>ROUND(0,2)</f>
        <v>0</v>
      </c>
      <c r="AK3293" s="40" t="s">
        <v>4149</v>
      </c>
      <c r="AL3293" s="7">
        <f>$AJ3293</f>
        <v>0</v>
      </c>
    </row>
    <row r="3294" spans="1:38" ht="18.399999999999999" customHeight="1">
      <c r="A3294" s="41" t="s">
        <v>4464</v>
      </c>
      <c r="B3294" s="37"/>
      <c r="C3294" s="37"/>
      <c r="D3294" s="37"/>
      <c r="E3294" s="37"/>
      <c r="F3294" s="45"/>
      <c r="K3294" s="3" t="s">
        <v>311</v>
      </c>
    </row>
    <row r="3295" spans="1:38" ht="18.399999999999999" customHeight="1">
      <c r="A3295" s="41" t="s">
        <v>6232</v>
      </c>
      <c r="B3295" s="37"/>
      <c r="C3295" s="37"/>
      <c r="D3295" s="37"/>
      <c r="E3295" s="37"/>
      <c r="F3295" s="45"/>
      <c r="K3295" s="3" t="s">
        <v>6232</v>
      </c>
    </row>
    <row r="3296" spans="1:38" ht="18.399999999999999" customHeight="1">
      <c r="A3296" s="42" t="str">
        <f>CONCATENATE("  1) POLYOL :  33.72  kg  * _x001D_4,500_x001D_ = ",TEXT($AB3296,"#,##0.0"))</f>
        <v xml:space="preserve">  1) POLYOL :  33.72  kg  * _x001D_4,500_x001D_ = 151,740.0</v>
      </c>
      <c r="B3296" s="37">
        <f>SUM($C3296,$D3296,$E3296)</f>
        <v>151740</v>
      </c>
      <c r="C3296" s="37">
        <f>$AB3296</f>
        <v>151740</v>
      </c>
      <c r="D3296" s="37"/>
      <c r="E3296" s="37"/>
      <c r="F3296" s="45" t="s">
        <v>6232</v>
      </c>
      <c r="K3296" s="3" t="s">
        <v>3462</v>
      </c>
      <c r="AA3296" s="40" t="s">
        <v>2660</v>
      </c>
      <c r="AB3296" s="8">
        <f>TRUNC(33.72*자재조서!E46,1)</f>
        <v>151740</v>
      </c>
      <c r="AC3296" s="40" t="s">
        <v>1650</v>
      </c>
      <c r="AD3296" s="7">
        <f>$AD3293+$AB3296</f>
        <v>151740</v>
      </c>
    </row>
    <row r="3297" spans="1:38" ht="18.399999999999999" customHeight="1">
      <c r="A3297" s="41" t="s">
        <v>6232</v>
      </c>
      <c r="B3297" s="37"/>
      <c r="C3297" s="37"/>
      <c r="D3297" s="37"/>
      <c r="E3297" s="37"/>
      <c r="F3297" s="45"/>
      <c r="K3297" s="3" t="s">
        <v>6232</v>
      </c>
    </row>
    <row r="3298" spans="1:38" ht="18.399999999999999" customHeight="1">
      <c r="A3298" s="42" t="str">
        <f>CONCATENATE("  2) MDI :  47.04  kg  * _x001D_4,000_x001D_  = ",TEXT($AB3298,"#,##0.0"))</f>
        <v xml:space="preserve">  2) MDI :  47.04  kg  * _x001D_4,000_x001D_  = 188,160.0</v>
      </c>
      <c r="B3298" s="37">
        <f>SUM($C3298,$D3298,$E3298)</f>
        <v>188160</v>
      </c>
      <c r="C3298" s="37">
        <f>$AB3298</f>
        <v>188160</v>
      </c>
      <c r="D3298" s="37"/>
      <c r="E3298" s="37"/>
      <c r="F3298" s="45" t="s">
        <v>6232</v>
      </c>
      <c r="K3298" s="3" t="s">
        <v>4447</v>
      </c>
      <c r="AA3298" s="40" t="s">
        <v>2660</v>
      </c>
      <c r="AB3298" s="8">
        <f>TRUNC(47.04*자재조서!E47,1)</f>
        <v>188160</v>
      </c>
      <c r="AC3298" s="40" t="s">
        <v>1650</v>
      </c>
      <c r="AD3298" s="7">
        <f>$AD3296+$AB3298</f>
        <v>339900</v>
      </c>
    </row>
    <row r="3299" spans="1:38" ht="18.399999999999999" customHeight="1">
      <c r="A3299" s="41" t="s">
        <v>6232</v>
      </c>
      <c r="B3299" s="37"/>
      <c r="C3299" s="37"/>
      <c r="D3299" s="37"/>
      <c r="E3299" s="37"/>
      <c r="F3299" s="45"/>
      <c r="K3299" s="3" t="s">
        <v>6232</v>
      </c>
    </row>
    <row r="3300" spans="1:38" ht="18.399999999999999" customHeight="1">
      <c r="A3300" s="41" t="s">
        <v>337</v>
      </c>
      <c r="B3300" s="37"/>
      <c r="C3300" s="37"/>
      <c r="D3300" s="37"/>
      <c r="E3300" s="37"/>
      <c r="F3300" s="45"/>
      <c r="K3300" s="3" t="s">
        <v>3279</v>
      </c>
    </row>
    <row r="3301" spans="1:38" ht="18.399999999999999" customHeight="1">
      <c r="A3301" s="41" t="s">
        <v>6232</v>
      </c>
      <c r="B3301" s="37"/>
      <c r="C3301" s="37"/>
      <c r="D3301" s="37"/>
      <c r="E3301" s="37"/>
      <c r="F3301" s="45"/>
      <c r="K3301" s="3" t="s">
        <v>6232</v>
      </c>
    </row>
    <row r="3302" spans="1:38" ht="18.399999999999999" customHeight="1">
      <c r="A3302" s="42" t="str">
        <f>CONCATENATE("  4) PE 용접봉 :  13.02  kg  * _x001D_10,738_x001D_= ",TEXT($AB3302,"#,##0.0"))</f>
        <v xml:space="preserve">  4) PE 용접봉 :  13.02  kg  * _x001D_10,738_x001D_= 139,808.7</v>
      </c>
      <c r="B3302" s="37">
        <f>SUM($C3302,$D3302,$E3302)</f>
        <v>139808.70000000001</v>
      </c>
      <c r="C3302" s="37">
        <f>$AB3302</f>
        <v>139808.70000000001</v>
      </c>
      <c r="D3302" s="37"/>
      <c r="E3302" s="37"/>
      <c r="F3302" s="45" t="s">
        <v>6232</v>
      </c>
      <c r="K3302" s="3" t="s">
        <v>885</v>
      </c>
      <c r="AA3302" s="40" t="s">
        <v>2660</v>
      </c>
      <c r="AB3302" s="8">
        <f>TRUNC(13.02*자재조서!E41,1)</f>
        <v>139808.70000000001</v>
      </c>
      <c r="AC3302" s="40" t="s">
        <v>1650</v>
      </c>
      <c r="AD3302" s="7">
        <f>$AD3298+$AB3302</f>
        <v>479708.7</v>
      </c>
    </row>
    <row r="3303" spans="1:38" ht="18.399999999999999" customHeight="1">
      <c r="A3303" s="41" t="s">
        <v>6232</v>
      </c>
      <c r="B3303" s="37"/>
      <c r="C3303" s="37"/>
      <c r="D3303" s="37"/>
      <c r="E3303" s="37"/>
      <c r="F3303" s="45"/>
      <c r="K3303" s="3" t="s">
        <v>6232</v>
      </c>
    </row>
    <row r="3304" spans="1:38" ht="18.399999999999999" customHeight="1">
      <c r="A3304" s="42" t="str">
        <f>CONCATENATE("  5) HDPE 관 :  6.18  m  * _x001D_27,900_x001D_ = ",TEXT($AB3304,"#,##0.0"))</f>
        <v xml:space="preserve">  5) HDPE 관 :  6.18  m  * _x001D_27,900_x001D_ = 172,422.0</v>
      </c>
      <c r="B3304" s="37">
        <f>SUM($C3304,$D3304,$E3304)</f>
        <v>172422</v>
      </c>
      <c r="C3304" s="37">
        <f>$AB3304</f>
        <v>172422</v>
      </c>
      <c r="D3304" s="37"/>
      <c r="E3304" s="37"/>
      <c r="F3304" s="45" t="s">
        <v>6232</v>
      </c>
      <c r="K3304" s="3" t="s">
        <v>5795</v>
      </c>
      <c r="AA3304" s="40" t="s">
        <v>2660</v>
      </c>
      <c r="AB3304" s="8">
        <f>TRUNC(6.18*자재조서!E36,1)</f>
        <v>172422</v>
      </c>
      <c r="AC3304" s="40" t="s">
        <v>1650</v>
      </c>
      <c r="AD3304" s="7">
        <f>$AD3302+$AB3304</f>
        <v>652130.69999999995</v>
      </c>
    </row>
    <row r="3305" spans="1:38" ht="18.399999999999999" customHeight="1">
      <c r="A3305" s="41" t="s">
        <v>6232</v>
      </c>
      <c r="B3305" s="37"/>
      <c r="C3305" s="37"/>
      <c r="D3305" s="37"/>
      <c r="E3305" s="37"/>
      <c r="F3305" s="45"/>
      <c r="K3305" s="3" t="s">
        <v>6232</v>
      </c>
    </row>
    <row r="3306" spans="1:38" ht="18.399999999999999" customHeight="1">
      <c r="A3306" s="42" t="str">
        <f>CONCATENATE("  6) 공장보온재 :  2.992  m  * _x001D_218,680_x001D_ = ",TEXT($AB3306,"#,##0.0"))</f>
        <v xml:space="preserve">  6) 공장보온재 :  2.992  m  * _x001D_218,680_x001D_ = 654,290.5</v>
      </c>
      <c r="B3306" s="37">
        <f>SUM($C3306,$D3306,$E3306)</f>
        <v>654290.5</v>
      </c>
      <c r="C3306" s="37">
        <f>$AB3306</f>
        <v>654290.5</v>
      </c>
      <c r="D3306" s="37"/>
      <c r="E3306" s="37"/>
      <c r="F3306" s="45" t="s">
        <v>6232</v>
      </c>
      <c r="K3306" s="3" t="s">
        <v>751</v>
      </c>
      <c r="AA3306" s="40" t="s">
        <v>2660</v>
      </c>
      <c r="AB3306" s="8">
        <f>TRUNC(2.992*자재조서!E82,1)</f>
        <v>654290.5</v>
      </c>
      <c r="AC3306" s="40" t="s">
        <v>1650</v>
      </c>
      <c r="AD3306" s="7">
        <f>$AD3304+$AB3306</f>
        <v>1306421.2</v>
      </c>
    </row>
    <row r="3307" spans="1:38" ht="18.399999999999999" customHeight="1">
      <c r="A3307" s="41" t="s">
        <v>6232</v>
      </c>
      <c r="B3307" s="37"/>
      <c r="C3307" s="37"/>
      <c r="D3307" s="37"/>
      <c r="E3307" s="37"/>
      <c r="F3307" s="45"/>
      <c r="K3307" s="3" t="s">
        <v>6232</v>
      </c>
    </row>
    <row r="3308" spans="1:38" ht="18.399999999999999" customHeight="1">
      <c r="A3308" s="42" t="str">
        <f>CONCATENATE("  7) 석동선 :  17.68  m  * _x001D_16.5_x001D_ = ",TEXT($AB3308,"#,##0.0"))</f>
        <v xml:space="preserve">  7) 석동선 :  17.68  m  * _x001D_16.5_x001D_ = 291.7</v>
      </c>
      <c r="B3308" s="37">
        <f>SUM($C3308,$D3308,$E3308)</f>
        <v>291.7</v>
      </c>
      <c r="C3308" s="37">
        <f>$AB3308</f>
        <v>291.7</v>
      </c>
      <c r="D3308" s="37"/>
      <c r="E3308" s="37"/>
      <c r="F3308" s="45" t="s">
        <v>6232</v>
      </c>
      <c r="K3308" s="3" t="s">
        <v>1246</v>
      </c>
      <c r="AA3308" s="40" t="s">
        <v>2660</v>
      </c>
      <c r="AB3308" s="8">
        <f>TRUNC(17.68*자재조서!E85,1)</f>
        <v>291.7</v>
      </c>
      <c r="AC3308" s="40" t="s">
        <v>1650</v>
      </c>
      <c r="AD3308" s="7">
        <f>$AD3306+$AB3308</f>
        <v>1306712.8999999999</v>
      </c>
    </row>
    <row r="3309" spans="1:38" ht="18.399999999999999" customHeight="1">
      <c r="A3309" s="41" t="s">
        <v>6232</v>
      </c>
      <c r="B3309" s="37"/>
      <c r="C3309" s="37"/>
      <c r="D3309" s="37"/>
      <c r="E3309" s="37"/>
      <c r="F3309" s="45"/>
      <c r="K3309" s="3" t="s">
        <v>6232</v>
      </c>
    </row>
    <row r="3310" spans="1:38" ht="18.399999999999999" customHeight="1">
      <c r="A3310" s="41" t="s">
        <v>4035</v>
      </c>
      <c r="B3310" s="37">
        <f>SUM($C3310,$D3310,$E3310)</f>
        <v>1306712.8999999999</v>
      </c>
      <c r="C3310" s="37">
        <f>$AB3310</f>
        <v>1306712.8999999999</v>
      </c>
      <c r="D3310" s="37">
        <f>$AF3310</f>
        <v>0</v>
      </c>
      <c r="E3310" s="37">
        <f>$AJ3310</f>
        <v>0</v>
      </c>
      <c r="F3310" s="45"/>
      <c r="K3310" s="3" t="s">
        <v>6125</v>
      </c>
      <c r="AA3310" s="40" t="s">
        <v>4592</v>
      </c>
      <c r="AB3310" s="8">
        <f>TRUNC($AD3308,1)</f>
        <v>1306712.8999999999</v>
      </c>
      <c r="AC3310" s="40" t="s">
        <v>5149</v>
      </c>
      <c r="AD3310" s="7">
        <f>$AB3310</f>
        <v>1306712.8999999999</v>
      </c>
      <c r="AE3310" s="40" t="s">
        <v>666</v>
      </c>
      <c r="AF3310" s="8">
        <f>TRUNC($AH3293,1)</f>
        <v>0</v>
      </c>
      <c r="AG3310" s="40" t="s">
        <v>2431</v>
      </c>
      <c r="AH3310" s="7">
        <f>$AF3310</f>
        <v>0</v>
      </c>
      <c r="AI3310" s="40" t="s">
        <v>1930</v>
      </c>
      <c r="AJ3310" s="8">
        <f>TRUNC($AL3293,1)</f>
        <v>0</v>
      </c>
      <c r="AK3310" s="40" t="s">
        <v>3349</v>
      </c>
      <c r="AL3310" s="7">
        <f>$AJ3310</f>
        <v>0</v>
      </c>
    </row>
    <row r="3311" spans="1:38" ht="18.399999999999999" customHeight="1">
      <c r="A3311" s="41" t="s">
        <v>6232</v>
      </c>
      <c r="B3311" s="37">
        <f>SUM($C3311,$D3311,$E3311)</f>
        <v>0</v>
      </c>
      <c r="C3311" s="37">
        <f>$AB3311</f>
        <v>0</v>
      </c>
      <c r="D3311" s="37">
        <f>$AF3311</f>
        <v>0</v>
      </c>
      <c r="E3311" s="37">
        <f>$AJ3311</f>
        <v>0</v>
      </c>
      <c r="F3311" s="45"/>
      <c r="K3311" s="3" t="s">
        <v>5506</v>
      </c>
      <c r="AA3311" s="40" t="s">
        <v>4586</v>
      </c>
      <c r="AB3311" s="8">
        <f>ROUND(0,2)</f>
        <v>0</v>
      </c>
      <c r="AC3311" s="40" t="s">
        <v>4161</v>
      </c>
      <c r="AD3311" s="7">
        <f>$AB3311</f>
        <v>0</v>
      </c>
      <c r="AE3311" s="40" t="s">
        <v>222</v>
      </c>
      <c r="AF3311" s="8">
        <f>ROUND(0,2)</f>
        <v>0</v>
      </c>
      <c r="AG3311" s="40" t="s">
        <v>334</v>
      </c>
      <c r="AH3311" s="7">
        <f>$AF3311</f>
        <v>0</v>
      </c>
      <c r="AI3311" s="40" t="s">
        <v>1574</v>
      </c>
      <c r="AJ3311" s="8">
        <f>ROUND(0,2)</f>
        <v>0</v>
      </c>
      <c r="AK3311" s="40" t="s">
        <v>1622</v>
      </c>
      <c r="AL3311" s="7">
        <f>$AJ3311</f>
        <v>0</v>
      </c>
    </row>
    <row r="3312" spans="1:38" ht="18.399999999999999" customHeight="1">
      <c r="A3312" s="41" t="s">
        <v>231</v>
      </c>
      <c r="B3312" s="37"/>
      <c r="C3312" s="37"/>
      <c r="D3312" s="37"/>
      <c r="E3312" s="37"/>
      <c r="F3312" s="45"/>
      <c r="K3312" s="3" t="s">
        <v>268</v>
      </c>
    </row>
    <row r="3313" spans="1:38" ht="18.399999999999999" customHeight="1">
      <c r="A3313" s="41" t="s">
        <v>6232</v>
      </c>
      <c r="B3313" s="37"/>
      <c r="C3313" s="37"/>
      <c r="D3313" s="37"/>
      <c r="E3313" s="37"/>
      <c r="F3313" s="45"/>
      <c r="K3313" s="3" t="s">
        <v>6232</v>
      </c>
    </row>
    <row r="3314" spans="1:38" ht="18.399999999999999" customHeight="1">
      <c r="A3314" s="41" t="s">
        <v>5533</v>
      </c>
      <c r="B3314" s="37"/>
      <c r="C3314" s="37"/>
      <c r="D3314" s="37"/>
      <c r="E3314" s="37"/>
      <c r="F3314" s="45"/>
      <c r="K3314" s="3" t="s">
        <v>3259</v>
      </c>
    </row>
    <row r="3315" spans="1:38" ht="18.399999999999999" customHeight="1">
      <c r="A3315" s="42" t="str">
        <f>CONCATENATE("    8.172  인  * Q * _x001D_213,722_x001D_ = ",TEXT($AB3315,"#,##0.0"))</f>
        <v xml:space="preserve">    8.172  인  * Q * _x001D_213,722_x001D_ = 2,039,435.3</v>
      </c>
      <c r="B3315" s="37">
        <f>SUM($C3315,$D3315,$E3315)</f>
        <v>2039435.3</v>
      </c>
      <c r="C3315" s="37"/>
      <c r="D3315" s="37">
        <f>$AB3315</f>
        <v>2039435.3</v>
      </c>
      <c r="E3315" s="37"/>
      <c r="F3315" s="45" t="s">
        <v>6232</v>
      </c>
      <c r="K3315" s="3" t="s">
        <v>5793</v>
      </c>
      <c r="AA3315" s="40" t="s">
        <v>222</v>
      </c>
      <c r="AB3315" s="8">
        <f>TRUNC(8.172*$AD3292*노임!D10,1)</f>
        <v>2039435.3</v>
      </c>
      <c r="AC3315" s="40" t="s">
        <v>334</v>
      </c>
      <c r="AD3315" s="7">
        <f>$AH3311+$AB3315</f>
        <v>2039435.3</v>
      </c>
    </row>
    <row r="3316" spans="1:38" ht="18.399999999999999" customHeight="1">
      <c r="A3316" s="41" t="s">
        <v>6232</v>
      </c>
      <c r="B3316" s="37"/>
      <c r="C3316" s="37"/>
      <c r="D3316" s="37"/>
      <c r="E3316" s="37"/>
      <c r="F3316" s="45"/>
      <c r="K3316" s="3" t="s">
        <v>6232</v>
      </c>
    </row>
    <row r="3317" spans="1:38" ht="18.399999999999999" customHeight="1">
      <c r="A3317" s="41" t="s">
        <v>585</v>
      </c>
      <c r="B3317" s="37"/>
      <c r="C3317" s="37"/>
      <c r="D3317" s="37"/>
      <c r="E3317" s="37"/>
      <c r="F3317" s="45"/>
      <c r="K3317" s="3" t="s">
        <v>5657</v>
      </c>
    </row>
    <row r="3318" spans="1:38" ht="18.399999999999999" customHeight="1">
      <c r="A3318" s="42" t="str">
        <f>CONCATENATE("    2.722  인  * Q * _x001D_201,482_x001D_ = ",TEXT($AB3318,"#,##0.0"))</f>
        <v xml:space="preserve">    2.722  인  * Q * _x001D_201,482_x001D_ = 633,798.1</v>
      </c>
      <c r="B3318" s="37">
        <f>SUM($C3318,$D3318,$E3318)</f>
        <v>633798.1</v>
      </c>
      <c r="C3318" s="37"/>
      <c r="D3318" s="37">
        <f>$AB3318</f>
        <v>633798.1</v>
      </c>
      <c r="E3318" s="37"/>
      <c r="F3318" s="45" t="s">
        <v>6232</v>
      </c>
      <c r="K3318" s="3" t="s">
        <v>518</v>
      </c>
      <c r="AA3318" s="40" t="s">
        <v>222</v>
      </c>
      <c r="AB3318" s="8">
        <f>TRUNC(2.722*$AD3292*노임!D9,1)</f>
        <v>633798.1</v>
      </c>
      <c r="AC3318" s="40" t="s">
        <v>334</v>
      </c>
      <c r="AD3318" s="7">
        <f>$AD3315+$AB3318</f>
        <v>2673233.4</v>
      </c>
    </row>
    <row r="3319" spans="1:38" ht="18.399999999999999" customHeight="1">
      <c r="A3319" s="41" t="s">
        <v>6232</v>
      </c>
      <c r="B3319" s="37"/>
      <c r="C3319" s="37"/>
      <c r="D3319" s="37"/>
      <c r="E3319" s="37"/>
      <c r="F3319" s="45"/>
      <c r="K3319" s="3" t="s">
        <v>6232</v>
      </c>
    </row>
    <row r="3320" spans="1:38" ht="18.399999999999999" customHeight="1">
      <c r="A3320" s="41" t="s">
        <v>3917</v>
      </c>
      <c r="B3320" s="37"/>
      <c r="C3320" s="37"/>
      <c r="D3320" s="37"/>
      <c r="E3320" s="37"/>
      <c r="F3320" s="45"/>
      <c r="K3320" s="3" t="s">
        <v>4355</v>
      </c>
    </row>
    <row r="3321" spans="1:38" ht="18.399999999999999" customHeight="1">
      <c r="A3321" s="42" t="str">
        <f>CONCATENATE("    0.720  인  * Q * _x001D_221,506_x001D_ = ",TEXT($AB3321,"#,##0.0"))</f>
        <v xml:space="preserve">    0.720  인  * Q * _x001D_221,506_x001D_ = 187,229.0</v>
      </c>
      <c r="B3321" s="37">
        <f>SUM($C3321,$D3321,$E3321)</f>
        <v>187229</v>
      </c>
      <c r="C3321" s="37"/>
      <c r="D3321" s="37">
        <f>$AB3321</f>
        <v>187229</v>
      </c>
      <c r="E3321" s="37"/>
      <c r="F3321" s="45" t="s">
        <v>6232</v>
      </c>
      <c r="K3321" s="3" t="s">
        <v>4422</v>
      </c>
      <c r="AA3321" s="40" t="s">
        <v>222</v>
      </c>
      <c r="AB3321" s="8">
        <f>TRUNC(0.72*$AD3292*노임!D4,1)</f>
        <v>187229</v>
      </c>
      <c r="AC3321" s="40" t="s">
        <v>334</v>
      </c>
      <c r="AD3321" s="7">
        <f>$AD3318+$AB3321</f>
        <v>2860462.4</v>
      </c>
    </row>
    <row r="3322" spans="1:38" ht="18.399999999999999" customHeight="1">
      <c r="A3322" s="41" t="s">
        <v>6232</v>
      </c>
      <c r="B3322" s="37"/>
      <c r="C3322" s="37"/>
      <c r="D3322" s="37"/>
      <c r="E3322" s="37"/>
      <c r="F3322" s="45"/>
      <c r="K3322" s="3" t="s">
        <v>6232</v>
      </c>
    </row>
    <row r="3323" spans="1:38" ht="18.399999999999999" customHeight="1">
      <c r="A3323" s="41" t="s">
        <v>4277</v>
      </c>
      <c r="B3323" s="37"/>
      <c r="C3323" s="37"/>
      <c r="D3323" s="37"/>
      <c r="E3323" s="37"/>
      <c r="F3323" s="45"/>
      <c r="K3323" s="3" t="s">
        <v>4663</v>
      </c>
    </row>
    <row r="3324" spans="1:38" ht="18.399999999999999" customHeight="1">
      <c r="A3324" s="42" t="str">
        <f>CONCATENATE("    3.669  인  * Q * _x001D_169,804_x001D_ = ",TEXT($AB3324,"#,##0.0"))</f>
        <v xml:space="preserve">    3.669  인  * Q * _x001D_169,804_x001D_ = 726,015.1</v>
      </c>
      <c r="B3324" s="37">
        <f>SUM($C3324,$D3324,$E3324)</f>
        <v>726015.1</v>
      </c>
      <c r="C3324" s="37"/>
      <c r="D3324" s="37">
        <f>$AB3324</f>
        <v>726015.1</v>
      </c>
      <c r="E3324" s="37"/>
      <c r="F3324" s="45" t="s">
        <v>6232</v>
      </c>
      <c r="K3324" s="3" t="s">
        <v>5699</v>
      </c>
      <c r="AA3324" s="40" t="s">
        <v>222</v>
      </c>
      <c r="AB3324" s="8">
        <f>TRUNC(3.669*$AD3292*노임!D3,1)</f>
        <v>726015.1</v>
      </c>
      <c r="AC3324" s="40" t="s">
        <v>334</v>
      </c>
      <c r="AD3324" s="7">
        <f>$AD3321+$AB3324</f>
        <v>3586477.5</v>
      </c>
    </row>
    <row r="3325" spans="1:38" ht="18.399999999999999" customHeight="1">
      <c r="A3325" s="41" t="s">
        <v>6232</v>
      </c>
      <c r="B3325" s="37"/>
      <c r="C3325" s="37"/>
      <c r="D3325" s="37"/>
      <c r="E3325" s="37"/>
      <c r="F3325" s="45"/>
      <c r="K3325" s="3" t="s">
        <v>6232</v>
      </c>
    </row>
    <row r="3326" spans="1:38" ht="18.399999999999999" customHeight="1">
      <c r="A3326" s="41" t="s">
        <v>4035</v>
      </c>
      <c r="B3326" s="37">
        <f>SUM($C3326,$D3326,$E3326)</f>
        <v>3586477.5</v>
      </c>
      <c r="C3326" s="37">
        <f>$AB3326</f>
        <v>0</v>
      </c>
      <c r="D3326" s="37">
        <f>$AF3326</f>
        <v>3586477.5</v>
      </c>
      <c r="E3326" s="37">
        <f>$AJ3326</f>
        <v>0</v>
      </c>
      <c r="F3326" s="45"/>
      <c r="K3326" s="3" t="s">
        <v>134</v>
      </c>
      <c r="AA3326" s="40" t="s">
        <v>4592</v>
      </c>
      <c r="AB3326" s="8">
        <f>TRUNC($AD3311,1)</f>
        <v>0</v>
      </c>
      <c r="AC3326" s="40" t="s">
        <v>5149</v>
      </c>
      <c r="AD3326" s="7">
        <f>$AD3310+$AB3326</f>
        <v>1306712.8999999999</v>
      </c>
      <c r="AE3326" s="40" t="s">
        <v>666</v>
      </c>
      <c r="AF3326" s="8">
        <f>TRUNC($AD3324,1)</f>
        <v>3586477.5</v>
      </c>
      <c r="AG3326" s="40" t="s">
        <v>2431</v>
      </c>
      <c r="AH3326" s="7">
        <f>$AH3310+$AF3326</f>
        <v>3586477.5</v>
      </c>
      <c r="AI3326" s="40" t="s">
        <v>1930</v>
      </c>
      <c r="AJ3326" s="8">
        <f>TRUNC($AL3311,1)</f>
        <v>0</v>
      </c>
      <c r="AK3326" s="40" t="s">
        <v>3349</v>
      </c>
      <c r="AL3326" s="7">
        <f>$AL3310+$AJ3326</f>
        <v>0</v>
      </c>
    </row>
    <row r="3327" spans="1:38" ht="18.399999999999999" customHeight="1">
      <c r="A3327" s="41" t="s">
        <v>6232</v>
      </c>
      <c r="B3327" s="37">
        <f>SUM($C3327,$D3327,$E3327)</f>
        <v>0</v>
      </c>
      <c r="C3327" s="37">
        <f>$AB3327</f>
        <v>0</v>
      </c>
      <c r="D3327" s="37">
        <f>$AF3327</f>
        <v>0</v>
      </c>
      <c r="E3327" s="37">
        <f>$AJ3327</f>
        <v>0</v>
      </c>
      <c r="F3327" s="45"/>
      <c r="K3327" s="3" t="s">
        <v>3238</v>
      </c>
      <c r="AA3327" s="40" t="s">
        <v>308</v>
      </c>
      <c r="AB3327" s="8">
        <f>ROUND(0,2)</f>
        <v>0</v>
      </c>
      <c r="AC3327" s="40" t="s">
        <v>5000</v>
      </c>
      <c r="AD3327" s="7">
        <f>$AB3327</f>
        <v>0</v>
      </c>
      <c r="AE3327" s="40" t="s">
        <v>4500</v>
      </c>
      <c r="AF3327" s="8">
        <f>ROUND(0,2)</f>
        <v>0</v>
      </c>
      <c r="AG3327" s="40" t="s">
        <v>2603</v>
      </c>
      <c r="AH3327" s="7">
        <f>$AF3327</f>
        <v>0</v>
      </c>
      <c r="AI3327" s="40" t="s">
        <v>5878</v>
      </c>
      <c r="AJ3327" s="8">
        <f>ROUND(0,2)</f>
        <v>0</v>
      </c>
      <c r="AK3327" s="40" t="s">
        <v>787</v>
      </c>
      <c r="AL3327" s="7">
        <f>$AJ3327</f>
        <v>0</v>
      </c>
    </row>
    <row r="3328" spans="1:38" ht="18.399999999999999" customHeight="1">
      <c r="A3328" s="41" t="s">
        <v>760</v>
      </c>
      <c r="B3328" s="37"/>
      <c r="C3328" s="37"/>
      <c r="D3328" s="37"/>
      <c r="E3328" s="37"/>
      <c r="F3328" s="45"/>
      <c r="K3328" s="3" t="s">
        <v>5465</v>
      </c>
    </row>
    <row r="3329" spans="1:38" ht="18.399999999999999" customHeight="1">
      <c r="A3329" s="41" t="s">
        <v>6232</v>
      </c>
      <c r="B3329" s="37"/>
      <c r="C3329" s="37"/>
      <c r="D3329" s="37"/>
      <c r="E3329" s="37"/>
      <c r="F3329" s="45"/>
      <c r="K3329" s="3" t="s">
        <v>6232</v>
      </c>
    </row>
    <row r="3330" spans="1:38" ht="18.399999999999999" customHeight="1">
      <c r="A3330" s="42" t="str">
        <f>CONCATENATE("    LA2 / Q * 0.02 = ",TEXT($AB3330,"#,##0.0"))</f>
        <v xml:space="preserve">    LA2 / Q * 0.02 = 62,373.5</v>
      </c>
      <c r="B3330" s="37">
        <f>SUM($C3330,$D3330,$E3330)</f>
        <v>62373.5</v>
      </c>
      <c r="C3330" s="37"/>
      <c r="D3330" s="37"/>
      <c r="E3330" s="37">
        <f>$AB3330</f>
        <v>62373.5</v>
      </c>
      <c r="F3330" s="45"/>
      <c r="K3330" s="3" t="s">
        <v>4829</v>
      </c>
      <c r="AA3330" s="40" t="s">
        <v>5878</v>
      </c>
      <c r="AB3330" s="8">
        <f>TRUNC($AD3324/$AD3292*0.02,1)</f>
        <v>62373.5</v>
      </c>
      <c r="AC3330" s="40" t="s">
        <v>787</v>
      </c>
      <c r="AD3330" s="7">
        <f>$AL3327+$AB3330</f>
        <v>62373.5</v>
      </c>
    </row>
    <row r="3331" spans="1:38" ht="18.399999999999999" customHeight="1">
      <c r="A3331" s="41" t="s">
        <v>6232</v>
      </c>
      <c r="B3331" s="37"/>
      <c r="C3331" s="37"/>
      <c r="D3331" s="37"/>
      <c r="E3331" s="37"/>
      <c r="F3331" s="45"/>
      <c r="K3331" s="3" t="s">
        <v>6232</v>
      </c>
    </row>
    <row r="3332" spans="1:38" ht="18.399999999999999" customHeight="1">
      <c r="A3332" s="41" t="s">
        <v>4035</v>
      </c>
      <c r="B3332" s="37">
        <f>SUM($C3332,$D3332,$E3332)</f>
        <v>62373.5</v>
      </c>
      <c r="C3332" s="37">
        <f>$AB3332</f>
        <v>0</v>
      </c>
      <c r="D3332" s="37">
        <f>$AF3332</f>
        <v>0</v>
      </c>
      <c r="E3332" s="37">
        <f>$AJ3332</f>
        <v>62373.5</v>
      </c>
      <c r="F3332" s="45"/>
      <c r="K3332" s="3" t="s">
        <v>4813</v>
      </c>
      <c r="AA3332" s="40" t="s">
        <v>4592</v>
      </c>
      <c r="AB3332" s="8">
        <f>TRUNC($AD3327,1)</f>
        <v>0</v>
      </c>
      <c r="AC3332" s="40" t="s">
        <v>5149</v>
      </c>
      <c r="AD3332" s="7">
        <f>$AD3326+$AB3332</f>
        <v>1306712.8999999999</v>
      </c>
      <c r="AE3332" s="40" t="s">
        <v>666</v>
      </c>
      <c r="AF3332" s="8">
        <f>TRUNC($AH3327,1)</f>
        <v>0</v>
      </c>
      <c r="AG3332" s="40" t="s">
        <v>2431</v>
      </c>
      <c r="AH3332" s="7">
        <f>$AH3326+$AF3332</f>
        <v>3586477.5</v>
      </c>
      <c r="AI3332" s="40" t="s">
        <v>1930</v>
      </c>
      <c r="AJ3332" s="8">
        <f>TRUNC($AD3330,1)</f>
        <v>62373.5</v>
      </c>
      <c r="AK3332" s="40" t="s">
        <v>3349</v>
      </c>
      <c r="AL3332" s="7">
        <f>$AL3326+$AJ3332</f>
        <v>62373.5</v>
      </c>
    </row>
    <row r="3333" spans="1:38" ht="18.399999999999999" customHeight="1">
      <c r="A3333" s="41" t="s">
        <v>6232</v>
      </c>
      <c r="B3333" s="37"/>
      <c r="C3333" s="37"/>
      <c r="D3333" s="37"/>
      <c r="E3333" s="37"/>
      <c r="F3333" s="45"/>
      <c r="K3333" s="3" t="s">
        <v>6232</v>
      </c>
    </row>
    <row r="3334" spans="1:38" ht="18.399999999999999" customHeight="1">
      <c r="A3334" s="41" t="s">
        <v>4002</v>
      </c>
      <c r="B3334" s="37">
        <v>4907347.3</v>
      </c>
      <c r="C3334" s="37">
        <v>1306712.8999999999</v>
      </c>
      <c r="D3334" s="37">
        <v>3539085.1</v>
      </c>
      <c r="E3334" s="37">
        <v>61549.3</v>
      </c>
      <c r="F3334" s="45"/>
      <c r="K3334" s="3" t="s">
        <v>916</v>
      </c>
    </row>
    <row r="3335" spans="1:38" ht="18.399999999999999" customHeight="1">
      <c r="A3335" s="41"/>
      <c r="B3335" s="3"/>
      <c r="C3335" s="3"/>
      <c r="D3335" s="3"/>
      <c r="E3335" s="3"/>
      <c r="F3335" s="44"/>
    </row>
    <row r="3336" spans="1:38" ht="18.399999999999999" customHeight="1">
      <c r="A3336" s="43" t="s">
        <v>3543</v>
      </c>
      <c r="B3336" s="38">
        <f>SUM($C3336,$D3336,$E3336)</f>
        <v>4955562</v>
      </c>
      <c r="C3336" s="38">
        <f>TRUNC(SUM($AD3332),0)</f>
        <v>1306712</v>
      </c>
      <c r="D3336" s="38">
        <f>TRUNC(SUM($AH3332),0)</f>
        <v>3586477</v>
      </c>
      <c r="E3336" s="38">
        <f>TRUNC(SUM($AL3332),0)</f>
        <v>62373</v>
      </c>
      <c r="F3336" s="46"/>
    </row>
    <row r="3337" spans="1:38" ht="18.399999999999999" customHeight="1">
      <c r="A3337" s="41"/>
      <c r="B3337" s="3"/>
      <c r="C3337" s="3"/>
      <c r="D3337" s="3"/>
      <c r="E3337" s="3"/>
      <c r="F3337" s="44"/>
    </row>
    <row r="3338" spans="1:38" ht="18.399999999999999" customHeight="1">
      <c r="A3338" s="41" t="s">
        <v>3041</v>
      </c>
      <c r="B3338" s="36">
        <f>$B3390</f>
        <v>5316453</v>
      </c>
      <c r="C3338" s="36">
        <f>$C3390</f>
        <v>1391346</v>
      </c>
      <c r="D3338" s="36">
        <f>$D3390</f>
        <v>3858012</v>
      </c>
      <c r="E3338" s="36">
        <f>$E3390</f>
        <v>67095</v>
      </c>
      <c r="F3338" s="44" t="s">
        <v>4819</v>
      </c>
      <c r="G3338" t="s">
        <v>6232</v>
      </c>
      <c r="H3338" t="s">
        <v>2980</v>
      </c>
      <c r="K3338">
        <v>1</v>
      </c>
      <c r="Y3338" s="7" t="b">
        <f>EXACT($Z3338,$B3390)</f>
        <v>0</v>
      </c>
      <c r="Z3338" s="38">
        <v>5264464</v>
      </c>
    </row>
    <row r="3339" spans="1:38" ht="18.399999999999999" customHeight="1">
      <c r="A3339" s="41"/>
      <c r="B3339" s="3"/>
      <c r="C3339" s="3"/>
      <c r="D3339" s="3"/>
      <c r="E3339" s="3"/>
      <c r="F3339" s="44"/>
    </row>
    <row r="3340" spans="1:38" ht="18.399999999999999" customHeight="1">
      <c r="A3340" s="41" t="s">
        <v>6232</v>
      </c>
      <c r="B3340" s="3"/>
      <c r="C3340" s="3"/>
      <c r="D3340" s="3"/>
      <c r="E3340" s="3"/>
      <c r="F3340" s="44"/>
      <c r="G3340" t="s">
        <v>6232</v>
      </c>
      <c r="I3340" t="s">
        <v>742</v>
      </c>
      <c r="J3340" t="s">
        <v>6232</v>
      </c>
      <c r="K3340" t="s">
        <v>5235</v>
      </c>
    </row>
    <row r="3341" spans="1:38" ht="18.399999999999999" customHeight="1">
      <c r="A3341" s="41" t="s">
        <v>5968</v>
      </c>
      <c r="B3341" s="37"/>
      <c r="C3341" s="37"/>
      <c r="D3341" s="37"/>
      <c r="E3341" s="37"/>
      <c r="F3341" s="45"/>
      <c r="K3341" s="3" t="s">
        <v>309</v>
      </c>
    </row>
    <row r="3342" spans="1:38" ht="18.399999999999999" customHeight="1">
      <c r="A3342" s="41" t="s">
        <v>6232</v>
      </c>
      <c r="B3342" s="37"/>
      <c r="C3342" s="37"/>
      <c r="D3342" s="37"/>
      <c r="E3342" s="37"/>
      <c r="F3342" s="45"/>
      <c r="K3342" s="3" t="s">
        <v>6232</v>
      </c>
    </row>
    <row r="3343" spans="1:38" ht="18.399999999999999" customHeight="1">
      <c r="A3343" s="41" t="s">
        <v>2476</v>
      </c>
      <c r="B3343" s="37"/>
      <c r="C3343" s="37"/>
      <c r="D3343" s="37"/>
      <c r="E3343" s="37"/>
      <c r="F3343" s="45"/>
      <c r="K3343" s="3" t="s">
        <v>5810</v>
      </c>
    </row>
    <row r="3344" spans="1:38" ht="18.399999999999999" customHeight="1">
      <c r="A3344" s="41" t="s">
        <v>774</v>
      </c>
      <c r="B3344" s="37"/>
      <c r="C3344" s="37"/>
      <c r="D3344" s="37"/>
      <c r="E3344" s="37"/>
      <c r="F3344" s="45"/>
      <c r="K3344" s="3" t="s">
        <v>3563</v>
      </c>
    </row>
    <row r="3345" spans="1:38" ht="18.399999999999999" customHeight="1">
      <c r="A3345" s="41" t="s">
        <v>1642</v>
      </c>
      <c r="B3345" s="37"/>
      <c r="C3345" s="37"/>
      <c r="D3345" s="37"/>
      <c r="E3345" s="37"/>
      <c r="F3345" s="45"/>
      <c r="K3345" s="3" t="s">
        <v>2758</v>
      </c>
    </row>
    <row r="3346" spans="1:38" ht="18.399999999999999" customHeight="1">
      <c r="A3346" s="42" t="str">
        <f>CONCATENATE("          Q=",TEXT($AB3346,"#,##0.00"))</f>
        <v xml:space="preserve">          Q=1.15</v>
      </c>
      <c r="B3346" s="37"/>
      <c r="C3346" s="37"/>
      <c r="D3346" s="37"/>
      <c r="E3346" s="37"/>
      <c r="F3346" s="45"/>
      <c r="K3346" s="10" t="str">
        <f>SUBSTITUTE(SUBSTITUTE("          Q=1.15","1.15",TEXT($AB3346,"#,##0.00"),1),"_x001D_","'")</f>
        <v xml:space="preserve">          Q=1.15</v>
      </c>
      <c r="AA3346" s="39" t="s">
        <v>4337</v>
      </c>
      <c r="AB3346" s="6">
        <v>1.1499999999999999</v>
      </c>
      <c r="AC3346" s="39" t="s">
        <v>4337</v>
      </c>
      <c r="AD3346" s="7">
        <f>$AB3346</f>
        <v>1.1499999999999999</v>
      </c>
    </row>
    <row r="3347" spans="1:38" ht="18.399999999999999" customHeight="1">
      <c r="A3347" s="41" t="s">
        <v>6232</v>
      </c>
      <c r="B3347" s="37">
        <f>SUM($C3347,$D3347,$E3347)</f>
        <v>0</v>
      </c>
      <c r="C3347" s="37">
        <f>$AB3347</f>
        <v>0</v>
      </c>
      <c r="D3347" s="37">
        <f>$AF3347</f>
        <v>0</v>
      </c>
      <c r="E3347" s="37">
        <f>$AJ3347</f>
        <v>0</v>
      </c>
      <c r="F3347" s="45"/>
      <c r="K3347" s="3" t="s">
        <v>295</v>
      </c>
      <c r="AA3347" s="40" t="s">
        <v>2660</v>
      </c>
      <c r="AB3347" s="8">
        <f>ROUND(0,2)</f>
        <v>0</v>
      </c>
      <c r="AC3347" s="40" t="s">
        <v>1650</v>
      </c>
      <c r="AD3347" s="7">
        <f>$AB3347</f>
        <v>0</v>
      </c>
      <c r="AE3347" s="40" t="s">
        <v>5305</v>
      </c>
      <c r="AF3347" s="8">
        <f>ROUND(0,2)</f>
        <v>0</v>
      </c>
      <c r="AG3347" s="40" t="s">
        <v>5439</v>
      </c>
      <c r="AH3347" s="7">
        <f>$AF3347</f>
        <v>0</v>
      </c>
      <c r="AI3347" s="40" t="s">
        <v>3519</v>
      </c>
      <c r="AJ3347" s="8">
        <f>ROUND(0,2)</f>
        <v>0</v>
      </c>
      <c r="AK3347" s="40" t="s">
        <v>4149</v>
      </c>
      <c r="AL3347" s="7">
        <f>$AJ3347</f>
        <v>0</v>
      </c>
    </row>
    <row r="3348" spans="1:38" ht="18.399999999999999" customHeight="1">
      <c r="A3348" s="41" t="s">
        <v>4464</v>
      </c>
      <c r="B3348" s="37"/>
      <c r="C3348" s="37"/>
      <c r="D3348" s="37"/>
      <c r="E3348" s="37"/>
      <c r="F3348" s="45"/>
      <c r="K3348" s="3" t="s">
        <v>311</v>
      </c>
    </row>
    <row r="3349" spans="1:38" ht="18.399999999999999" customHeight="1">
      <c r="A3349" s="41" t="s">
        <v>6232</v>
      </c>
      <c r="B3349" s="37"/>
      <c r="C3349" s="37"/>
      <c r="D3349" s="37"/>
      <c r="E3349" s="37"/>
      <c r="F3349" s="45"/>
      <c r="K3349" s="3" t="s">
        <v>6232</v>
      </c>
    </row>
    <row r="3350" spans="1:38" ht="18.399999999999999" customHeight="1">
      <c r="A3350" s="42" t="str">
        <f>CONCATENATE("  1) POLYOL :  35.76  kg  * _x001D_4,500_x001D_ = ",TEXT($AB3350,"#,##0.0"))</f>
        <v xml:space="preserve">  1) POLYOL :  35.76  kg  * _x001D_4,500_x001D_ = 160,920.0</v>
      </c>
      <c r="B3350" s="37">
        <f>SUM($C3350,$D3350,$E3350)</f>
        <v>160920</v>
      </c>
      <c r="C3350" s="37">
        <f>$AB3350</f>
        <v>160920</v>
      </c>
      <c r="D3350" s="37"/>
      <c r="E3350" s="37"/>
      <c r="F3350" s="45" t="s">
        <v>6232</v>
      </c>
      <c r="K3350" s="3" t="s">
        <v>1405</v>
      </c>
      <c r="AA3350" s="40" t="s">
        <v>2660</v>
      </c>
      <c r="AB3350" s="8">
        <f>TRUNC(35.76*자재조서!E46,1)</f>
        <v>160920</v>
      </c>
      <c r="AC3350" s="40" t="s">
        <v>1650</v>
      </c>
      <c r="AD3350" s="7">
        <f>$AD3347+$AB3350</f>
        <v>160920</v>
      </c>
    </row>
    <row r="3351" spans="1:38" ht="18.399999999999999" customHeight="1">
      <c r="A3351" s="41" t="s">
        <v>6232</v>
      </c>
      <c r="B3351" s="37"/>
      <c r="C3351" s="37"/>
      <c r="D3351" s="37"/>
      <c r="E3351" s="37"/>
      <c r="F3351" s="45"/>
      <c r="K3351" s="3" t="s">
        <v>6232</v>
      </c>
    </row>
    <row r="3352" spans="1:38" ht="18.399999999999999" customHeight="1">
      <c r="A3352" s="42" t="str">
        <f>CONCATENATE("  2) MDI :  49.92  kg  * _x001D_4,000_x001D_  = ",TEXT($AB3352,"#,##0.0"))</f>
        <v xml:space="preserve">  2) MDI :  49.92  kg  * _x001D_4,000_x001D_  = 199,680.0</v>
      </c>
      <c r="B3352" s="37">
        <f>SUM($C3352,$D3352,$E3352)</f>
        <v>199680</v>
      </c>
      <c r="C3352" s="37">
        <f>$AB3352</f>
        <v>199680</v>
      </c>
      <c r="D3352" s="37"/>
      <c r="E3352" s="37"/>
      <c r="F3352" s="45" t="s">
        <v>6232</v>
      </c>
      <c r="K3352" s="3" t="s">
        <v>5994</v>
      </c>
      <c r="AA3352" s="40" t="s">
        <v>2660</v>
      </c>
      <c r="AB3352" s="8">
        <f>TRUNC(49.92*자재조서!E47,1)</f>
        <v>199680</v>
      </c>
      <c r="AC3352" s="40" t="s">
        <v>1650</v>
      </c>
      <c r="AD3352" s="7">
        <f>$AD3350+$AB3352</f>
        <v>360600</v>
      </c>
    </row>
    <row r="3353" spans="1:38" ht="18.399999999999999" customHeight="1">
      <c r="A3353" s="41" t="s">
        <v>6232</v>
      </c>
      <c r="B3353" s="37"/>
      <c r="C3353" s="37"/>
      <c r="D3353" s="37"/>
      <c r="E3353" s="37"/>
      <c r="F3353" s="45"/>
      <c r="K3353" s="3" t="s">
        <v>6232</v>
      </c>
    </row>
    <row r="3354" spans="1:38" ht="18.399999999999999" customHeight="1">
      <c r="A3354" s="41" t="s">
        <v>337</v>
      </c>
      <c r="B3354" s="37"/>
      <c r="C3354" s="37"/>
      <c r="D3354" s="37"/>
      <c r="E3354" s="37"/>
      <c r="F3354" s="45"/>
      <c r="K3354" s="3" t="s">
        <v>3279</v>
      </c>
    </row>
    <row r="3355" spans="1:38" ht="18.399999999999999" customHeight="1">
      <c r="A3355" s="41" t="s">
        <v>6232</v>
      </c>
      <c r="B3355" s="37"/>
      <c r="C3355" s="37"/>
      <c r="D3355" s="37"/>
      <c r="E3355" s="37"/>
      <c r="F3355" s="45"/>
      <c r="K3355" s="3" t="s">
        <v>6232</v>
      </c>
    </row>
    <row r="3356" spans="1:38" ht="18.399999999999999" customHeight="1">
      <c r="A3356" s="42" t="str">
        <f>CONCATENATE("  4) PE 용접봉 :  13.25  kg  * _x001D_10,738_x001D_= ",TEXT($AB3356,"#,##0.0"))</f>
        <v xml:space="preserve">  4) PE 용접봉 :  13.25  kg  * _x001D_10,738_x001D_= 142,278.5</v>
      </c>
      <c r="B3356" s="37">
        <f>SUM($C3356,$D3356,$E3356)</f>
        <v>142278.5</v>
      </c>
      <c r="C3356" s="37">
        <f>$AB3356</f>
        <v>142278.5</v>
      </c>
      <c r="D3356" s="37"/>
      <c r="E3356" s="37"/>
      <c r="F3356" s="45" t="s">
        <v>6232</v>
      </c>
      <c r="K3356" s="3" t="s">
        <v>1013</v>
      </c>
      <c r="AA3356" s="40" t="s">
        <v>2660</v>
      </c>
      <c r="AB3356" s="8">
        <f>TRUNC(13.25*자재조서!E41,1)</f>
        <v>142278.5</v>
      </c>
      <c r="AC3356" s="40" t="s">
        <v>1650</v>
      </c>
      <c r="AD3356" s="7">
        <f>$AD3352+$AB3356</f>
        <v>502878.5</v>
      </c>
    </row>
    <row r="3357" spans="1:38" ht="18.399999999999999" customHeight="1">
      <c r="A3357" s="41" t="s">
        <v>6232</v>
      </c>
      <c r="B3357" s="37"/>
      <c r="C3357" s="37"/>
      <c r="D3357" s="37"/>
      <c r="E3357" s="37"/>
      <c r="F3357" s="45"/>
      <c r="K3357" s="3" t="s">
        <v>6232</v>
      </c>
    </row>
    <row r="3358" spans="1:38" ht="18.399999999999999" customHeight="1">
      <c r="A3358" s="42" t="str">
        <f>CONCATENATE("  5) HDPE 관 :  6.18  m  * _x001D_27,900_x001D_ = ",TEXT($AB3358,"#,##0.0"))</f>
        <v xml:space="preserve">  5) HDPE 관 :  6.18  m  * _x001D_27,900_x001D_ = 172,422.0</v>
      </c>
      <c r="B3358" s="37">
        <f>SUM($C3358,$D3358,$E3358)</f>
        <v>172422</v>
      </c>
      <c r="C3358" s="37">
        <f>$AB3358</f>
        <v>172422</v>
      </c>
      <c r="D3358" s="37"/>
      <c r="E3358" s="37"/>
      <c r="F3358" s="45" t="s">
        <v>6232</v>
      </c>
      <c r="K3358" s="3" t="s">
        <v>5795</v>
      </c>
      <c r="AA3358" s="40" t="s">
        <v>2660</v>
      </c>
      <c r="AB3358" s="8">
        <f>TRUNC(6.18*자재조서!E36,1)</f>
        <v>172422</v>
      </c>
      <c r="AC3358" s="40" t="s">
        <v>1650</v>
      </c>
      <c r="AD3358" s="7">
        <f>$AD3356+$AB3358</f>
        <v>675300.5</v>
      </c>
    </row>
    <row r="3359" spans="1:38" ht="18.399999999999999" customHeight="1">
      <c r="A3359" s="41" t="s">
        <v>6232</v>
      </c>
      <c r="B3359" s="37"/>
      <c r="C3359" s="37"/>
      <c r="D3359" s="37"/>
      <c r="E3359" s="37"/>
      <c r="F3359" s="45"/>
      <c r="K3359" s="3" t="s">
        <v>6232</v>
      </c>
    </row>
    <row r="3360" spans="1:38" ht="18.399999999999999" customHeight="1">
      <c r="A3360" s="42" t="str">
        <f>CONCATENATE("  6) 공장보온재 :  2.992  m  * _x001D_239,220_x001D_ = ",TEXT($AB3360,"#,##0.0"))</f>
        <v xml:space="preserve">  6) 공장보온재 :  2.992  m  * _x001D_239,220_x001D_ = 715,746.2</v>
      </c>
      <c r="B3360" s="37">
        <f>SUM($C3360,$D3360,$E3360)</f>
        <v>715746.2</v>
      </c>
      <c r="C3360" s="37">
        <f>$AB3360</f>
        <v>715746.2</v>
      </c>
      <c r="D3360" s="37"/>
      <c r="E3360" s="37"/>
      <c r="F3360" s="45" t="s">
        <v>6232</v>
      </c>
      <c r="K3360" s="3" t="s">
        <v>5830</v>
      </c>
      <c r="AA3360" s="40" t="s">
        <v>2660</v>
      </c>
      <c r="AB3360" s="8">
        <f>TRUNC(2.992*자재조서!E83,1)</f>
        <v>715746.2</v>
      </c>
      <c r="AC3360" s="40" t="s">
        <v>1650</v>
      </c>
      <c r="AD3360" s="7">
        <f>$AD3358+$AB3360</f>
        <v>1391046.7</v>
      </c>
    </row>
    <row r="3361" spans="1:38" ht="18.399999999999999" customHeight="1">
      <c r="A3361" s="41" t="s">
        <v>6232</v>
      </c>
      <c r="B3361" s="37"/>
      <c r="C3361" s="37"/>
      <c r="D3361" s="37"/>
      <c r="E3361" s="37"/>
      <c r="F3361" s="45"/>
      <c r="K3361" s="3" t="s">
        <v>6232</v>
      </c>
    </row>
    <row r="3362" spans="1:38" ht="18.399999999999999" customHeight="1">
      <c r="A3362" s="42" t="str">
        <f>CONCATENATE("  7) 석동선 :  18.18  m  * _x001D_16.5_x001D_ = ",TEXT($AB3362,"#,##0.0"))</f>
        <v xml:space="preserve">  7) 석동선 :  18.18  m  * _x001D_16.5_x001D_ = 299.9</v>
      </c>
      <c r="B3362" s="37">
        <f>SUM($C3362,$D3362,$E3362)</f>
        <v>299.89999999999998</v>
      </c>
      <c r="C3362" s="37">
        <f>$AB3362</f>
        <v>299.89999999999998</v>
      </c>
      <c r="D3362" s="37"/>
      <c r="E3362" s="37"/>
      <c r="F3362" s="45" t="s">
        <v>6232</v>
      </c>
      <c r="K3362" s="3" t="s">
        <v>4951</v>
      </c>
      <c r="AA3362" s="40" t="s">
        <v>2660</v>
      </c>
      <c r="AB3362" s="8">
        <f>TRUNC(18.18*자재조서!E85,1)</f>
        <v>299.89999999999998</v>
      </c>
      <c r="AC3362" s="40" t="s">
        <v>1650</v>
      </c>
      <c r="AD3362" s="7">
        <f>$AD3360+$AB3362</f>
        <v>1391346.5999999999</v>
      </c>
    </row>
    <row r="3363" spans="1:38" ht="18.399999999999999" customHeight="1">
      <c r="A3363" s="41" t="s">
        <v>6232</v>
      </c>
      <c r="B3363" s="37"/>
      <c r="C3363" s="37"/>
      <c r="D3363" s="37"/>
      <c r="E3363" s="37"/>
      <c r="F3363" s="45"/>
      <c r="K3363" s="3" t="s">
        <v>6232</v>
      </c>
    </row>
    <row r="3364" spans="1:38" ht="18.399999999999999" customHeight="1">
      <c r="A3364" s="41" t="s">
        <v>4035</v>
      </c>
      <c r="B3364" s="37">
        <f>SUM($C3364,$D3364,$E3364)</f>
        <v>1391346.6</v>
      </c>
      <c r="C3364" s="37">
        <f>$AB3364</f>
        <v>1391346.6</v>
      </c>
      <c r="D3364" s="37">
        <f>$AF3364</f>
        <v>0</v>
      </c>
      <c r="E3364" s="37">
        <f>$AJ3364</f>
        <v>0</v>
      </c>
      <c r="F3364" s="45"/>
      <c r="K3364" s="3" t="s">
        <v>6125</v>
      </c>
      <c r="AA3364" s="40" t="s">
        <v>4592</v>
      </c>
      <c r="AB3364" s="8">
        <f>TRUNC($AD3362,1)</f>
        <v>1391346.6</v>
      </c>
      <c r="AC3364" s="40" t="s">
        <v>5149</v>
      </c>
      <c r="AD3364" s="7">
        <f>$AB3364</f>
        <v>1391346.6</v>
      </c>
      <c r="AE3364" s="40" t="s">
        <v>666</v>
      </c>
      <c r="AF3364" s="8">
        <f>TRUNC($AH3347,1)</f>
        <v>0</v>
      </c>
      <c r="AG3364" s="40" t="s">
        <v>2431</v>
      </c>
      <c r="AH3364" s="7">
        <f>$AF3364</f>
        <v>0</v>
      </c>
      <c r="AI3364" s="40" t="s">
        <v>1930</v>
      </c>
      <c r="AJ3364" s="8">
        <f>TRUNC($AL3347,1)</f>
        <v>0</v>
      </c>
      <c r="AK3364" s="40" t="s">
        <v>3349</v>
      </c>
      <c r="AL3364" s="7">
        <f>$AJ3364</f>
        <v>0</v>
      </c>
    </row>
    <row r="3365" spans="1:38" ht="18.399999999999999" customHeight="1">
      <c r="A3365" s="41" t="s">
        <v>6232</v>
      </c>
      <c r="B3365" s="37">
        <f>SUM($C3365,$D3365,$E3365)</f>
        <v>0</v>
      </c>
      <c r="C3365" s="37">
        <f>$AB3365</f>
        <v>0</v>
      </c>
      <c r="D3365" s="37">
        <f>$AF3365</f>
        <v>0</v>
      </c>
      <c r="E3365" s="37">
        <f>$AJ3365</f>
        <v>0</v>
      </c>
      <c r="F3365" s="45"/>
      <c r="K3365" s="3" t="s">
        <v>5506</v>
      </c>
      <c r="AA3365" s="40" t="s">
        <v>4586</v>
      </c>
      <c r="AB3365" s="8">
        <f>ROUND(0,2)</f>
        <v>0</v>
      </c>
      <c r="AC3365" s="40" t="s">
        <v>4161</v>
      </c>
      <c r="AD3365" s="7">
        <f>$AB3365</f>
        <v>0</v>
      </c>
      <c r="AE3365" s="40" t="s">
        <v>222</v>
      </c>
      <c r="AF3365" s="8">
        <f>ROUND(0,2)</f>
        <v>0</v>
      </c>
      <c r="AG3365" s="40" t="s">
        <v>334</v>
      </c>
      <c r="AH3365" s="7">
        <f>$AF3365</f>
        <v>0</v>
      </c>
      <c r="AI3365" s="40" t="s">
        <v>1574</v>
      </c>
      <c r="AJ3365" s="8">
        <f>ROUND(0,2)</f>
        <v>0</v>
      </c>
      <c r="AK3365" s="40" t="s">
        <v>1622</v>
      </c>
      <c r="AL3365" s="7">
        <f>$AJ3365</f>
        <v>0</v>
      </c>
    </row>
    <row r="3366" spans="1:38" ht="18.399999999999999" customHeight="1">
      <c r="A3366" s="41" t="s">
        <v>231</v>
      </c>
      <c r="B3366" s="37"/>
      <c r="C3366" s="37"/>
      <c r="D3366" s="37"/>
      <c r="E3366" s="37"/>
      <c r="F3366" s="45"/>
      <c r="K3366" s="3" t="s">
        <v>268</v>
      </c>
    </row>
    <row r="3367" spans="1:38" ht="18.399999999999999" customHeight="1">
      <c r="A3367" s="41" t="s">
        <v>6232</v>
      </c>
      <c r="B3367" s="37"/>
      <c r="C3367" s="37"/>
      <c r="D3367" s="37"/>
      <c r="E3367" s="37"/>
      <c r="F3367" s="45"/>
      <c r="K3367" s="3" t="s">
        <v>6232</v>
      </c>
    </row>
    <row r="3368" spans="1:38" ht="18.399999999999999" customHeight="1">
      <c r="A3368" s="41" t="s">
        <v>5533</v>
      </c>
      <c r="B3368" s="37"/>
      <c r="C3368" s="37"/>
      <c r="D3368" s="37"/>
      <c r="E3368" s="37"/>
      <c r="F3368" s="45"/>
      <c r="K3368" s="3" t="s">
        <v>3259</v>
      </c>
    </row>
    <row r="3369" spans="1:38" ht="18.399999999999999" customHeight="1">
      <c r="A3369" s="42" t="str">
        <f>CONCATENATE("    8.923  인  * Q * _x001D_213,722_x001D_ = ",TEXT($AB3369,"#,##0.0"))</f>
        <v xml:space="preserve">    8.923  인  * Q * _x001D_213,722_x001D_ = 2,226,857.7</v>
      </c>
      <c r="B3369" s="37">
        <f>SUM($C3369,$D3369,$E3369)</f>
        <v>2226857.7000000002</v>
      </c>
      <c r="C3369" s="37"/>
      <c r="D3369" s="37">
        <f>$AB3369</f>
        <v>2226857.7000000002</v>
      </c>
      <c r="E3369" s="37"/>
      <c r="F3369" s="45" t="s">
        <v>6232</v>
      </c>
      <c r="K3369" s="3" t="s">
        <v>1802</v>
      </c>
      <c r="AA3369" s="40" t="s">
        <v>222</v>
      </c>
      <c r="AB3369" s="8">
        <f>TRUNC(8.923*$AD3346*노임!D10,1)</f>
        <v>2226857.7000000002</v>
      </c>
      <c r="AC3369" s="40" t="s">
        <v>334</v>
      </c>
      <c r="AD3369" s="7">
        <f>$AH3365+$AB3369</f>
        <v>2226857.7000000002</v>
      </c>
    </row>
    <row r="3370" spans="1:38" ht="18.399999999999999" customHeight="1">
      <c r="A3370" s="41" t="s">
        <v>6232</v>
      </c>
      <c r="B3370" s="37"/>
      <c r="C3370" s="37"/>
      <c r="D3370" s="37"/>
      <c r="E3370" s="37"/>
      <c r="F3370" s="45"/>
      <c r="K3370" s="3" t="s">
        <v>6232</v>
      </c>
    </row>
    <row r="3371" spans="1:38" ht="18.399999999999999" customHeight="1">
      <c r="A3371" s="41" t="s">
        <v>585</v>
      </c>
      <c r="B3371" s="37"/>
      <c r="C3371" s="37"/>
      <c r="D3371" s="37"/>
      <c r="E3371" s="37"/>
      <c r="F3371" s="45"/>
      <c r="K3371" s="3" t="s">
        <v>5657</v>
      </c>
    </row>
    <row r="3372" spans="1:38" ht="18.399999999999999" customHeight="1">
      <c r="A3372" s="42" t="str">
        <f>CONCATENATE("    2.883  인  * Q * _x001D_201,482_x001D_ = ",TEXT($AB3372,"#,##0.0"))</f>
        <v xml:space="preserve">    2.883  인  * Q * _x001D_201,482_x001D_ = 671,285.7</v>
      </c>
      <c r="B3372" s="37">
        <f>SUM($C3372,$D3372,$E3372)</f>
        <v>671285.7</v>
      </c>
      <c r="C3372" s="37"/>
      <c r="D3372" s="37">
        <f>$AB3372</f>
        <v>671285.7</v>
      </c>
      <c r="E3372" s="37"/>
      <c r="F3372" s="45" t="s">
        <v>6232</v>
      </c>
      <c r="K3372" s="3" t="s">
        <v>5018</v>
      </c>
      <c r="AA3372" s="40" t="s">
        <v>222</v>
      </c>
      <c r="AB3372" s="8">
        <f>TRUNC(2.883*$AD3346*노임!D9,1)</f>
        <v>671285.7</v>
      </c>
      <c r="AC3372" s="40" t="s">
        <v>334</v>
      </c>
      <c r="AD3372" s="7">
        <f>$AD3369+$AB3372</f>
        <v>2898143.4000000004</v>
      </c>
    </row>
    <row r="3373" spans="1:38" ht="18.399999999999999" customHeight="1">
      <c r="A3373" s="41" t="s">
        <v>6232</v>
      </c>
      <c r="B3373" s="37"/>
      <c r="C3373" s="37"/>
      <c r="D3373" s="37"/>
      <c r="E3373" s="37"/>
      <c r="F3373" s="45"/>
      <c r="K3373" s="3" t="s">
        <v>6232</v>
      </c>
    </row>
    <row r="3374" spans="1:38" ht="18.399999999999999" customHeight="1">
      <c r="A3374" s="41" t="s">
        <v>3917</v>
      </c>
      <c r="B3374" s="37"/>
      <c r="C3374" s="37"/>
      <c r="D3374" s="37"/>
      <c r="E3374" s="37"/>
      <c r="F3374" s="45"/>
      <c r="K3374" s="3" t="s">
        <v>4355</v>
      </c>
    </row>
    <row r="3375" spans="1:38" ht="18.399999999999999" customHeight="1">
      <c r="A3375" s="42" t="str">
        <f>CONCATENATE("    0.757  인  * Q * _x001D_221,506_x001D_ = ",TEXT($AB3375,"#,##0.0"))</f>
        <v xml:space="preserve">    0.757  인  * Q * _x001D_221,506_x001D_ = 196,850.5</v>
      </c>
      <c r="B3375" s="37">
        <f>SUM($C3375,$D3375,$E3375)</f>
        <v>196850.5</v>
      </c>
      <c r="C3375" s="37"/>
      <c r="D3375" s="37">
        <f>$AB3375</f>
        <v>196850.5</v>
      </c>
      <c r="E3375" s="37"/>
      <c r="F3375" s="45" t="s">
        <v>6232</v>
      </c>
      <c r="K3375" s="3" t="s">
        <v>4414</v>
      </c>
      <c r="AA3375" s="40" t="s">
        <v>222</v>
      </c>
      <c r="AB3375" s="8">
        <f>TRUNC(0.757*$AD3346*노임!D4,1)</f>
        <v>196850.5</v>
      </c>
      <c r="AC3375" s="40" t="s">
        <v>334</v>
      </c>
      <c r="AD3375" s="7">
        <f>$AD3372+$AB3375</f>
        <v>3094993.9000000004</v>
      </c>
    </row>
    <row r="3376" spans="1:38" ht="18.399999999999999" customHeight="1">
      <c r="A3376" s="41" t="s">
        <v>6232</v>
      </c>
      <c r="B3376" s="37"/>
      <c r="C3376" s="37"/>
      <c r="D3376" s="37"/>
      <c r="E3376" s="37"/>
      <c r="F3376" s="45"/>
      <c r="K3376" s="3" t="s">
        <v>6232</v>
      </c>
    </row>
    <row r="3377" spans="1:38" ht="18.399999999999999" customHeight="1">
      <c r="A3377" s="41" t="s">
        <v>4277</v>
      </c>
      <c r="B3377" s="37"/>
      <c r="C3377" s="37"/>
      <c r="D3377" s="37"/>
      <c r="E3377" s="37"/>
      <c r="F3377" s="45"/>
      <c r="K3377" s="3" t="s">
        <v>4663</v>
      </c>
    </row>
    <row r="3378" spans="1:38" ht="18.399999999999999" customHeight="1">
      <c r="A3378" s="42" t="str">
        <f>CONCATENATE("    3.856  인  * Q * _x001D_169,804_x001D_ = ",TEXT($AB3378,"#,##0.0"))</f>
        <v xml:space="preserve">    3.856  인  * Q * _x001D_169,804_x001D_ = 763,018.3</v>
      </c>
      <c r="B3378" s="37">
        <f>SUM($C3378,$D3378,$E3378)</f>
        <v>763018.3</v>
      </c>
      <c r="C3378" s="37"/>
      <c r="D3378" s="37">
        <f>$AB3378</f>
        <v>763018.3</v>
      </c>
      <c r="E3378" s="37"/>
      <c r="F3378" s="45" t="s">
        <v>6232</v>
      </c>
      <c r="K3378" s="3" t="s">
        <v>2234</v>
      </c>
      <c r="AA3378" s="40" t="s">
        <v>222</v>
      </c>
      <c r="AB3378" s="8">
        <f>TRUNC(3.856*$AD3346*노임!D3,1)</f>
        <v>763018.3</v>
      </c>
      <c r="AC3378" s="40" t="s">
        <v>334</v>
      </c>
      <c r="AD3378" s="7">
        <f>$AD3375+$AB3378</f>
        <v>3858012.2</v>
      </c>
    </row>
    <row r="3379" spans="1:38" ht="18.399999999999999" customHeight="1">
      <c r="A3379" s="41" t="s">
        <v>6232</v>
      </c>
      <c r="B3379" s="37"/>
      <c r="C3379" s="37"/>
      <c r="D3379" s="37"/>
      <c r="E3379" s="37"/>
      <c r="F3379" s="45"/>
      <c r="K3379" s="3" t="s">
        <v>6232</v>
      </c>
    </row>
    <row r="3380" spans="1:38" ht="18.399999999999999" customHeight="1">
      <c r="A3380" s="41" t="s">
        <v>4035</v>
      </c>
      <c r="B3380" s="37">
        <f>SUM($C3380,$D3380,$E3380)</f>
        <v>3858012.2</v>
      </c>
      <c r="C3380" s="37">
        <f>$AB3380</f>
        <v>0</v>
      </c>
      <c r="D3380" s="37">
        <f>$AF3380</f>
        <v>3858012.2</v>
      </c>
      <c r="E3380" s="37">
        <f>$AJ3380</f>
        <v>0</v>
      </c>
      <c r="F3380" s="45"/>
      <c r="K3380" s="3" t="s">
        <v>134</v>
      </c>
      <c r="AA3380" s="40" t="s">
        <v>4592</v>
      </c>
      <c r="AB3380" s="8">
        <f>TRUNC($AD3365,1)</f>
        <v>0</v>
      </c>
      <c r="AC3380" s="40" t="s">
        <v>5149</v>
      </c>
      <c r="AD3380" s="7">
        <f>$AD3364+$AB3380</f>
        <v>1391346.6</v>
      </c>
      <c r="AE3380" s="40" t="s">
        <v>666</v>
      </c>
      <c r="AF3380" s="8">
        <f>TRUNC($AD3378,1)</f>
        <v>3858012.2</v>
      </c>
      <c r="AG3380" s="40" t="s">
        <v>2431</v>
      </c>
      <c r="AH3380" s="7">
        <f>$AH3364+$AF3380</f>
        <v>3858012.2</v>
      </c>
      <c r="AI3380" s="40" t="s">
        <v>1930</v>
      </c>
      <c r="AJ3380" s="8">
        <f>TRUNC($AL3365,1)</f>
        <v>0</v>
      </c>
      <c r="AK3380" s="40" t="s">
        <v>3349</v>
      </c>
      <c r="AL3380" s="7">
        <f>$AL3364+$AJ3380</f>
        <v>0</v>
      </c>
    </row>
    <row r="3381" spans="1:38" ht="18.399999999999999" customHeight="1">
      <c r="A3381" s="41" t="s">
        <v>6232</v>
      </c>
      <c r="B3381" s="37">
        <f>SUM($C3381,$D3381,$E3381)</f>
        <v>0</v>
      </c>
      <c r="C3381" s="37">
        <f>$AB3381</f>
        <v>0</v>
      </c>
      <c r="D3381" s="37">
        <f>$AF3381</f>
        <v>0</v>
      </c>
      <c r="E3381" s="37">
        <f>$AJ3381</f>
        <v>0</v>
      </c>
      <c r="F3381" s="45"/>
      <c r="K3381" s="3" t="s">
        <v>3238</v>
      </c>
      <c r="AA3381" s="40" t="s">
        <v>308</v>
      </c>
      <c r="AB3381" s="8">
        <f>ROUND(0,2)</f>
        <v>0</v>
      </c>
      <c r="AC3381" s="40" t="s">
        <v>5000</v>
      </c>
      <c r="AD3381" s="7">
        <f>$AB3381</f>
        <v>0</v>
      </c>
      <c r="AE3381" s="40" t="s">
        <v>4500</v>
      </c>
      <c r="AF3381" s="8">
        <f>ROUND(0,2)</f>
        <v>0</v>
      </c>
      <c r="AG3381" s="40" t="s">
        <v>2603</v>
      </c>
      <c r="AH3381" s="7">
        <f>$AF3381</f>
        <v>0</v>
      </c>
      <c r="AI3381" s="40" t="s">
        <v>5878</v>
      </c>
      <c r="AJ3381" s="8">
        <f>ROUND(0,2)</f>
        <v>0</v>
      </c>
      <c r="AK3381" s="40" t="s">
        <v>787</v>
      </c>
      <c r="AL3381" s="7">
        <f>$AJ3381</f>
        <v>0</v>
      </c>
    </row>
    <row r="3382" spans="1:38" ht="18.399999999999999" customHeight="1">
      <c r="A3382" s="41" t="s">
        <v>760</v>
      </c>
      <c r="B3382" s="37"/>
      <c r="C3382" s="37"/>
      <c r="D3382" s="37"/>
      <c r="E3382" s="37"/>
      <c r="F3382" s="45"/>
      <c r="K3382" s="3" t="s">
        <v>5465</v>
      </c>
    </row>
    <row r="3383" spans="1:38" ht="18.399999999999999" customHeight="1">
      <c r="A3383" s="41" t="s">
        <v>6232</v>
      </c>
      <c r="B3383" s="37"/>
      <c r="C3383" s="37"/>
      <c r="D3383" s="37"/>
      <c r="E3383" s="37"/>
      <c r="F3383" s="45"/>
      <c r="K3383" s="3" t="s">
        <v>6232</v>
      </c>
    </row>
    <row r="3384" spans="1:38" ht="18.399999999999999" customHeight="1">
      <c r="A3384" s="42" t="str">
        <f>CONCATENATE("    LA2 / Q * 0.02 = ",TEXT($AB3384,"#,##0.0"))</f>
        <v xml:space="preserve">    LA2 / Q * 0.02 = 67,095.8</v>
      </c>
      <c r="B3384" s="37">
        <f>SUM($C3384,$D3384,$E3384)</f>
        <v>67095.8</v>
      </c>
      <c r="C3384" s="37"/>
      <c r="D3384" s="37"/>
      <c r="E3384" s="37">
        <f>$AB3384</f>
        <v>67095.8</v>
      </c>
      <c r="F3384" s="45"/>
      <c r="K3384" s="3" t="s">
        <v>4829</v>
      </c>
      <c r="AA3384" s="40" t="s">
        <v>5878</v>
      </c>
      <c r="AB3384" s="8">
        <f>TRUNC($AD3378/$AD3346*0.02,1)</f>
        <v>67095.8</v>
      </c>
      <c r="AC3384" s="40" t="s">
        <v>787</v>
      </c>
      <c r="AD3384" s="7">
        <f>$AL3381+$AB3384</f>
        <v>67095.8</v>
      </c>
    </row>
    <row r="3385" spans="1:38" ht="18.399999999999999" customHeight="1">
      <c r="A3385" s="41" t="s">
        <v>6232</v>
      </c>
      <c r="B3385" s="37"/>
      <c r="C3385" s="37"/>
      <c r="D3385" s="37"/>
      <c r="E3385" s="37"/>
      <c r="F3385" s="45"/>
      <c r="K3385" s="3" t="s">
        <v>6232</v>
      </c>
    </row>
    <row r="3386" spans="1:38" ht="18.399999999999999" customHeight="1">
      <c r="A3386" s="41" t="s">
        <v>4035</v>
      </c>
      <c r="B3386" s="37">
        <f>SUM($C3386,$D3386,$E3386)</f>
        <v>67095.8</v>
      </c>
      <c r="C3386" s="37">
        <f>$AB3386</f>
        <v>0</v>
      </c>
      <c r="D3386" s="37">
        <f>$AF3386</f>
        <v>0</v>
      </c>
      <c r="E3386" s="37">
        <f>$AJ3386</f>
        <v>67095.8</v>
      </c>
      <c r="F3386" s="45"/>
      <c r="K3386" s="3" t="s">
        <v>4813</v>
      </c>
      <c r="AA3386" s="40" t="s">
        <v>4592</v>
      </c>
      <c r="AB3386" s="8">
        <f>TRUNC($AD3381,1)</f>
        <v>0</v>
      </c>
      <c r="AC3386" s="40" t="s">
        <v>5149</v>
      </c>
      <c r="AD3386" s="7">
        <f>$AD3380+$AB3386</f>
        <v>1391346.6</v>
      </c>
      <c r="AE3386" s="40" t="s">
        <v>666</v>
      </c>
      <c r="AF3386" s="8">
        <f>TRUNC($AH3381,1)</f>
        <v>0</v>
      </c>
      <c r="AG3386" s="40" t="s">
        <v>2431</v>
      </c>
      <c r="AH3386" s="7">
        <f>$AH3380+$AF3386</f>
        <v>3858012.2</v>
      </c>
      <c r="AI3386" s="40" t="s">
        <v>1930</v>
      </c>
      <c r="AJ3386" s="8">
        <f>TRUNC($AD3384,1)</f>
        <v>67095.8</v>
      </c>
      <c r="AK3386" s="40" t="s">
        <v>3349</v>
      </c>
      <c r="AL3386" s="7">
        <f>$AL3380+$AJ3386</f>
        <v>67095.8</v>
      </c>
    </row>
    <row r="3387" spans="1:38" ht="18.399999999999999" customHeight="1">
      <c r="A3387" s="41" t="s">
        <v>6232</v>
      </c>
      <c r="B3387" s="37"/>
      <c r="C3387" s="37"/>
      <c r="D3387" s="37"/>
      <c r="E3387" s="37"/>
      <c r="F3387" s="45"/>
      <c r="K3387" s="3" t="s">
        <v>6232</v>
      </c>
    </row>
    <row r="3388" spans="1:38" ht="18.399999999999999" customHeight="1">
      <c r="A3388" s="41" t="s">
        <v>4002</v>
      </c>
      <c r="B3388" s="37">
        <v>5264465.5</v>
      </c>
      <c r="C3388" s="37">
        <v>1391346.6</v>
      </c>
      <c r="D3388" s="37">
        <v>3806911.8</v>
      </c>
      <c r="E3388" s="37">
        <v>66207.100000000006</v>
      </c>
      <c r="F3388" s="45"/>
      <c r="K3388" s="3" t="s">
        <v>916</v>
      </c>
    </row>
    <row r="3389" spans="1:38" ht="18.399999999999999" customHeight="1">
      <c r="A3389" s="41"/>
      <c r="B3389" s="3"/>
      <c r="C3389" s="3"/>
      <c r="D3389" s="3"/>
      <c r="E3389" s="3"/>
      <c r="F3389" s="44"/>
    </row>
    <row r="3390" spans="1:38" ht="18.399999999999999" customHeight="1">
      <c r="A3390" s="43" t="s">
        <v>3543</v>
      </c>
      <c r="B3390" s="38">
        <f>SUM($C3390,$D3390,$E3390)</f>
        <v>5316453</v>
      </c>
      <c r="C3390" s="38">
        <f>TRUNC(SUM($AD3386),0)</f>
        <v>1391346</v>
      </c>
      <c r="D3390" s="38">
        <f>TRUNC(SUM($AH3386),0)</f>
        <v>3858012</v>
      </c>
      <c r="E3390" s="38">
        <f>TRUNC(SUM($AL3386),0)</f>
        <v>67095</v>
      </c>
      <c r="F3390" s="46"/>
    </row>
    <row r="3391" spans="1:38" ht="18.399999999999999" customHeight="1">
      <c r="A3391" s="41"/>
      <c r="B3391" s="3"/>
      <c r="C3391" s="3"/>
      <c r="D3391" s="3"/>
      <c r="E3391" s="3"/>
      <c r="F3391" s="44"/>
    </row>
    <row r="3392" spans="1:38" ht="18.399999999999999" customHeight="1">
      <c r="A3392" s="41" t="s">
        <v>4745</v>
      </c>
      <c r="B3392" s="36">
        <f>$B3444</f>
        <v>5600684</v>
      </c>
      <c r="C3392" s="36">
        <f>$C3444</f>
        <v>1454932</v>
      </c>
      <c r="D3392" s="36">
        <f>$D3444</f>
        <v>4074885</v>
      </c>
      <c r="E3392" s="36">
        <f>$E3444</f>
        <v>70867</v>
      </c>
      <c r="F3392" s="44" t="s">
        <v>4819</v>
      </c>
      <c r="G3392" t="s">
        <v>6232</v>
      </c>
      <c r="H3392" t="s">
        <v>1376</v>
      </c>
      <c r="K3392">
        <v>1</v>
      </c>
      <c r="Y3392" s="7" t="b">
        <f>EXACT($Z3392,$B3444)</f>
        <v>0</v>
      </c>
      <c r="Z3392" s="38">
        <v>5545758</v>
      </c>
    </row>
    <row r="3393" spans="1:38" ht="18.399999999999999" customHeight="1">
      <c r="A3393" s="41"/>
      <c r="B3393" s="3"/>
      <c r="C3393" s="3"/>
      <c r="D3393" s="3"/>
      <c r="E3393" s="3"/>
      <c r="F3393" s="44"/>
    </row>
    <row r="3394" spans="1:38" ht="18.399999999999999" customHeight="1">
      <c r="A3394" s="41" t="s">
        <v>6232</v>
      </c>
      <c r="B3394" s="3"/>
      <c r="C3394" s="3"/>
      <c r="D3394" s="3"/>
      <c r="E3394" s="3"/>
      <c r="F3394" s="44"/>
      <c r="G3394" t="s">
        <v>6232</v>
      </c>
      <c r="I3394" t="s">
        <v>742</v>
      </c>
      <c r="J3394" t="s">
        <v>6232</v>
      </c>
      <c r="K3394" t="s">
        <v>5235</v>
      </c>
    </row>
    <row r="3395" spans="1:38" ht="18.399999999999999" customHeight="1">
      <c r="A3395" s="41" t="s">
        <v>5445</v>
      </c>
      <c r="B3395" s="37"/>
      <c r="C3395" s="37"/>
      <c r="D3395" s="37"/>
      <c r="E3395" s="37"/>
      <c r="F3395" s="45"/>
      <c r="K3395" s="3" t="s">
        <v>5678</v>
      </c>
    </row>
    <row r="3396" spans="1:38" ht="18.399999999999999" customHeight="1">
      <c r="A3396" s="41" t="s">
        <v>6232</v>
      </c>
      <c r="B3396" s="37"/>
      <c r="C3396" s="37"/>
      <c r="D3396" s="37"/>
      <c r="E3396" s="37"/>
      <c r="F3396" s="45"/>
      <c r="K3396" s="3" t="s">
        <v>6232</v>
      </c>
    </row>
    <row r="3397" spans="1:38" ht="18.399999999999999" customHeight="1">
      <c r="A3397" s="41" t="s">
        <v>2476</v>
      </c>
      <c r="B3397" s="37"/>
      <c r="C3397" s="37"/>
      <c r="D3397" s="37"/>
      <c r="E3397" s="37"/>
      <c r="F3397" s="45"/>
      <c r="K3397" s="3" t="s">
        <v>5810</v>
      </c>
    </row>
    <row r="3398" spans="1:38" ht="18.399999999999999" customHeight="1">
      <c r="A3398" s="41" t="s">
        <v>774</v>
      </c>
      <c r="B3398" s="37"/>
      <c r="C3398" s="37"/>
      <c r="D3398" s="37"/>
      <c r="E3398" s="37"/>
      <c r="F3398" s="45"/>
      <c r="K3398" s="3" t="s">
        <v>3563</v>
      </c>
    </row>
    <row r="3399" spans="1:38" ht="18.399999999999999" customHeight="1">
      <c r="A3399" s="41" t="s">
        <v>1642</v>
      </c>
      <c r="B3399" s="37"/>
      <c r="C3399" s="37"/>
      <c r="D3399" s="37"/>
      <c r="E3399" s="37"/>
      <c r="F3399" s="45"/>
      <c r="K3399" s="3" t="s">
        <v>2758</v>
      </c>
    </row>
    <row r="3400" spans="1:38" ht="18.399999999999999" customHeight="1">
      <c r="A3400" s="42" t="str">
        <f>CONCATENATE("          Q=",TEXT($AB3400,"#,##0.00"))</f>
        <v xml:space="preserve">          Q=1.15</v>
      </c>
      <c r="B3400" s="37"/>
      <c r="C3400" s="37"/>
      <c r="D3400" s="37"/>
      <c r="E3400" s="37"/>
      <c r="F3400" s="45"/>
      <c r="K3400" s="10" t="str">
        <f>SUBSTITUTE(SUBSTITUTE("          Q=1.15","1.15",TEXT($AB3400,"#,##0.00"),1),"_x001D_","'")</f>
        <v xml:space="preserve">          Q=1.15</v>
      </c>
      <c r="AA3400" s="39" t="s">
        <v>4337</v>
      </c>
      <c r="AB3400" s="6">
        <v>1.1499999999999999</v>
      </c>
      <c r="AC3400" s="39" t="s">
        <v>4337</v>
      </c>
      <c r="AD3400" s="7">
        <f>$AB3400</f>
        <v>1.1499999999999999</v>
      </c>
    </row>
    <row r="3401" spans="1:38" ht="18.399999999999999" customHeight="1">
      <c r="A3401" s="41" t="s">
        <v>6232</v>
      </c>
      <c r="B3401" s="37">
        <f>SUM($C3401,$D3401,$E3401)</f>
        <v>0</v>
      </c>
      <c r="C3401" s="37">
        <f>$AB3401</f>
        <v>0</v>
      </c>
      <c r="D3401" s="37">
        <f>$AF3401</f>
        <v>0</v>
      </c>
      <c r="E3401" s="37">
        <f>$AJ3401</f>
        <v>0</v>
      </c>
      <c r="F3401" s="45"/>
      <c r="K3401" s="3" t="s">
        <v>295</v>
      </c>
      <c r="AA3401" s="40" t="s">
        <v>2660</v>
      </c>
      <c r="AB3401" s="8">
        <f>ROUND(0,2)</f>
        <v>0</v>
      </c>
      <c r="AC3401" s="40" t="s">
        <v>1650</v>
      </c>
      <c r="AD3401" s="7">
        <f>$AB3401</f>
        <v>0</v>
      </c>
      <c r="AE3401" s="40" t="s">
        <v>5305</v>
      </c>
      <c r="AF3401" s="8">
        <f>ROUND(0,2)</f>
        <v>0</v>
      </c>
      <c r="AG3401" s="40" t="s">
        <v>5439</v>
      </c>
      <c r="AH3401" s="7">
        <f>$AF3401</f>
        <v>0</v>
      </c>
      <c r="AI3401" s="40" t="s">
        <v>3519</v>
      </c>
      <c r="AJ3401" s="8">
        <f>ROUND(0,2)</f>
        <v>0</v>
      </c>
      <c r="AK3401" s="40" t="s">
        <v>4149</v>
      </c>
      <c r="AL3401" s="7">
        <f>$AJ3401</f>
        <v>0</v>
      </c>
    </row>
    <row r="3402" spans="1:38" ht="18.399999999999999" customHeight="1">
      <c r="A3402" s="41" t="s">
        <v>4464</v>
      </c>
      <c r="B3402" s="37"/>
      <c r="C3402" s="37"/>
      <c r="D3402" s="37"/>
      <c r="E3402" s="37"/>
      <c r="F3402" s="45"/>
      <c r="K3402" s="3" t="s">
        <v>311</v>
      </c>
    </row>
    <row r="3403" spans="1:38" ht="18.399999999999999" customHeight="1">
      <c r="A3403" s="41" t="s">
        <v>6232</v>
      </c>
      <c r="B3403" s="37"/>
      <c r="C3403" s="37"/>
      <c r="D3403" s="37"/>
      <c r="E3403" s="37"/>
      <c r="F3403" s="45"/>
      <c r="K3403" s="3" t="s">
        <v>6232</v>
      </c>
    </row>
    <row r="3404" spans="1:38" ht="18.399999999999999" customHeight="1">
      <c r="A3404" s="42" t="str">
        <f>CONCATENATE("  1) POLYOL :  37.80  kg  * _x001D_4,500_x001D_ = ",TEXT($AB3404,"#,##0.0"))</f>
        <v xml:space="preserve">  1) POLYOL :  37.80  kg  * _x001D_4,500_x001D_ = 170,100.0</v>
      </c>
      <c r="B3404" s="37">
        <f>SUM($C3404,$D3404,$E3404)</f>
        <v>170100</v>
      </c>
      <c r="C3404" s="37">
        <f>$AB3404</f>
        <v>170100</v>
      </c>
      <c r="D3404" s="37"/>
      <c r="E3404" s="37"/>
      <c r="F3404" s="45" t="s">
        <v>6232</v>
      </c>
      <c r="K3404" s="3" t="s">
        <v>1439</v>
      </c>
      <c r="AA3404" s="40" t="s">
        <v>2660</v>
      </c>
      <c r="AB3404" s="8">
        <f>TRUNC(37.8*자재조서!E46,1)</f>
        <v>170100</v>
      </c>
      <c r="AC3404" s="40" t="s">
        <v>1650</v>
      </c>
      <c r="AD3404" s="7">
        <f>$AD3401+$AB3404</f>
        <v>170100</v>
      </c>
    </row>
    <row r="3405" spans="1:38" ht="18.399999999999999" customHeight="1">
      <c r="A3405" s="41" t="s">
        <v>6232</v>
      </c>
      <c r="B3405" s="37"/>
      <c r="C3405" s="37"/>
      <c r="D3405" s="37"/>
      <c r="E3405" s="37"/>
      <c r="F3405" s="45"/>
      <c r="K3405" s="3" t="s">
        <v>6232</v>
      </c>
    </row>
    <row r="3406" spans="1:38" ht="18.399999999999999" customHeight="1">
      <c r="A3406" s="42" t="str">
        <f>CONCATENATE("  2) MDI :  52.92  kg  * _x001D_4,000_x001D_  = ",TEXT($AB3406,"#,##0.0"))</f>
        <v xml:space="preserve">  2) MDI :  52.92  kg  * _x001D_4,000_x001D_  = 211,680.0</v>
      </c>
      <c r="B3406" s="37">
        <f>SUM($C3406,$D3406,$E3406)</f>
        <v>211680</v>
      </c>
      <c r="C3406" s="37">
        <f>$AB3406</f>
        <v>211680</v>
      </c>
      <c r="D3406" s="37"/>
      <c r="E3406" s="37"/>
      <c r="F3406" s="45" t="s">
        <v>6232</v>
      </c>
      <c r="K3406" s="3" t="s">
        <v>1157</v>
      </c>
      <c r="AA3406" s="40" t="s">
        <v>2660</v>
      </c>
      <c r="AB3406" s="8">
        <f>TRUNC(52.92*자재조서!E47,1)</f>
        <v>211680</v>
      </c>
      <c r="AC3406" s="40" t="s">
        <v>1650</v>
      </c>
      <c r="AD3406" s="7">
        <f>$AD3404+$AB3406</f>
        <v>381780</v>
      </c>
    </row>
    <row r="3407" spans="1:38" ht="18.399999999999999" customHeight="1">
      <c r="A3407" s="41" t="s">
        <v>6232</v>
      </c>
      <c r="B3407" s="37"/>
      <c r="C3407" s="37"/>
      <c r="D3407" s="37"/>
      <c r="E3407" s="37"/>
      <c r="F3407" s="45"/>
      <c r="K3407" s="3" t="s">
        <v>6232</v>
      </c>
    </row>
    <row r="3408" spans="1:38" ht="18.399999999999999" customHeight="1">
      <c r="A3408" s="41" t="s">
        <v>337</v>
      </c>
      <c r="B3408" s="37"/>
      <c r="C3408" s="37"/>
      <c r="D3408" s="37"/>
      <c r="E3408" s="37"/>
      <c r="F3408" s="45"/>
      <c r="K3408" s="3" t="s">
        <v>3279</v>
      </c>
    </row>
    <row r="3409" spans="1:38" ht="18.399999999999999" customHeight="1">
      <c r="A3409" s="41" t="s">
        <v>6232</v>
      </c>
      <c r="B3409" s="37"/>
      <c r="C3409" s="37"/>
      <c r="D3409" s="37"/>
      <c r="E3409" s="37"/>
      <c r="F3409" s="45"/>
      <c r="K3409" s="3" t="s">
        <v>6232</v>
      </c>
    </row>
    <row r="3410" spans="1:38" ht="18.399999999999999" customHeight="1">
      <c r="A3410" s="42" t="str">
        <f>CONCATENATE("  4) PE 용접봉 :  13.49  kg  * _x001D_10,738_x001D_= ",TEXT($AB3410,"#,##0.0"))</f>
        <v xml:space="preserve">  4) PE 용접봉 :  13.49  kg  * _x001D_10,738_x001D_= 144,855.6</v>
      </c>
      <c r="B3410" s="37">
        <f>SUM($C3410,$D3410,$E3410)</f>
        <v>144855.6</v>
      </c>
      <c r="C3410" s="37">
        <f>$AB3410</f>
        <v>144855.6</v>
      </c>
      <c r="D3410" s="37"/>
      <c r="E3410" s="37"/>
      <c r="F3410" s="45" t="s">
        <v>6232</v>
      </c>
      <c r="K3410" s="3" t="s">
        <v>39</v>
      </c>
      <c r="AA3410" s="40" t="s">
        <v>2660</v>
      </c>
      <c r="AB3410" s="8">
        <f>TRUNC(13.49*자재조서!E41,1)</f>
        <v>144855.6</v>
      </c>
      <c r="AC3410" s="40" t="s">
        <v>1650</v>
      </c>
      <c r="AD3410" s="7">
        <f>$AD3406+$AB3410</f>
        <v>526635.6</v>
      </c>
    </row>
    <row r="3411" spans="1:38" ht="18.399999999999999" customHeight="1">
      <c r="A3411" s="41" t="s">
        <v>6232</v>
      </c>
      <c r="B3411" s="37"/>
      <c r="C3411" s="37"/>
      <c r="D3411" s="37"/>
      <c r="E3411" s="37"/>
      <c r="F3411" s="45"/>
      <c r="K3411" s="3" t="s">
        <v>6232</v>
      </c>
    </row>
    <row r="3412" spans="1:38" ht="18.399999999999999" customHeight="1">
      <c r="A3412" s="42" t="str">
        <f>CONCATENATE("  5) HDPE 관 :  6.18  m  * _x001D_27,900_x001D_ = ",TEXT($AB3412,"#,##0.0"))</f>
        <v xml:space="preserve">  5) HDPE 관 :  6.18  m  * _x001D_27,900_x001D_ = 172,422.0</v>
      </c>
      <c r="B3412" s="37">
        <f>SUM($C3412,$D3412,$E3412)</f>
        <v>172422</v>
      </c>
      <c r="C3412" s="37">
        <f>$AB3412</f>
        <v>172422</v>
      </c>
      <c r="D3412" s="37"/>
      <c r="E3412" s="37"/>
      <c r="F3412" s="45" t="s">
        <v>6232</v>
      </c>
      <c r="K3412" s="3" t="s">
        <v>5795</v>
      </c>
      <c r="AA3412" s="40" t="s">
        <v>2660</v>
      </c>
      <c r="AB3412" s="8">
        <f>TRUNC(6.18*자재조서!E36,1)</f>
        <v>172422</v>
      </c>
      <c r="AC3412" s="40" t="s">
        <v>1650</v>
      </c>
      <c r="AD3412" s="7">
        <f>$AD3410+$AB3412</f>
        <v>699057.6</v>
      </c>
    </row>
    <row r="3413" spans="1:38" ht="18.399999999999999" customHeight="1">
      <c r="A3413" s="41" t="s">
        <v>6232</v>
      </c>
      <c r="B3413" s="37"/>
      <c r="C3413" s="37"/>
      <c r="D3413" s="37"/>
      <c r="E3413" s="37"/>
      <c r="F3413" s="45"/>
      <c r="K3413" s="3" t="s">
        <v>6232</v>
      </c>
    </row>
    <row r="3414" spans="1:38" ht="18.399999999999999" customHeight="1">
      <c r="A3414" s="42" t="str">
        <f>CONCATENATE("  6) 공장보온재 :  2.992  m  * _x001D_252,530_x001D_ = ",TEXT($AB3414,"#,##0.0"))</f>
        <v xml:space="preserve">  6) 공장보온재 :  2.992  m  * _x001D_252,530_x001D_ = 755,569.7</v>
      </c>
      <c r="B3414" s="37">
        <f>SUM($C3414,$D3414,$E3414)</f>
        <v>755569.7</v>
      </c>
      <c r="C3414" s="37">
        <f>$AB3414</f>
        <v>755569.7</v>
      </c>
      <c r="D3414" s="37"/>
      <c r="E3414" s="37"/>
      <c r="F3414" s="45" t="s">
        <v>6232</v>
      </c>
      <c r="K3414" s="3" t="s">
        <v>3297</v>
      </c>
      <c r="AA3414" s="40" t="s">
        <v>2660</v>
      </c>
      <c r="AB3414" s="8">
        <f>TRUNC(2.992*자재조서!E84,1)</f>
        <v>755569.7</v>
      </c>
      <c r="AC3414" s="40" t="s">
        <v>1650</v>
      </c>
      <c r="AD3414" s="7">
        <f>$AD3412+$AB3414</f>
        <v>1454627.2999999998</v>
      </c>
    </row>
    <row r="3415" spans="1:38" ht="18.399999999999999" customHeight="1">
      <c r="A3415" s="41" t="s">
        <v>6232</v>
      </c>
      <c r="B3415" s="37"/>
      <c r="C3415" s="37"/>
      <c r="D3415" s="37"/>
      <c r="E3415" s="37"/>
      <c r="F3415" s="45"/>
      <c r="K3415" s="3" t="s">
        <v>6232</v>
      </c>
    </row>
    <row r="3416" spans="1:38" ht="18.399999999999999" customHeight="1">
      <c r="A3416" s="42" t="str">
        <f>CONCATENATE("  7) 석동선 :  18.51  m  * _x001D_16.5_x001D_ = ",TEXT($AB3416,"#,##0.0"))</f>
        <v xml:space="preserve">  7) 석동선 :  18.51  m  * _x001D_16.5_x001D_ = 305.4</v>
      </c>
      <c r="B3416" s="37">
        <f>SUM($C3416,$D3416,$E3416)</f>
        <v>305.39999999999998</v>
      </c>
      <c r="C3416" s="37">
        <f>$AB3416</f>
        <v>305.39999999999998</v>
      </c>
      <c r="D3416" s="37"/>
      <c r="E3416" s="37"/>
      <c r="F3416" s="45" t="s">
        <v>6232</v>
      </c>
      <c r="K3416" s="3" t="s">
        <v>1692</v>
      </c>
      <c r="AA3416" s="40" t="s">
        <v>2660</v>
      </c>
      <c r="AB3416" s="8">
        <f>TRUNC(18.51*자재조서!E85,1)</f>
        <v>305.39999999999998</v>
      </c>
      <c r="AC3416" s="40" t="s">
        <v>1650</v>
      </c>
      <c r="AD3416" s="7">
        <f>$AD3414+$AB3416</f>
        <v>1454932.6999999997</v>
      </c>
    </row>
    <row r="3417" spans="1:38" ht="18.399999999999999" customHeight="1">
      <c r="A3417" s="41" t="s">
        <v>6232</v>
      </c>
      <c r="B3417" s="37"/>
      <c r="C3417" s="37"/>
      <c r="D3417" s="37"/>
      <c r="E3417" s="37"/>
      <c r="F3417" s="45"/>
      <c r="K3417" s="3" t="s">
        <v>6232</v>
      </c>
    </row>
    <row r="3418" spans="1:38" ht="18.399999999999999" customHeight="1">
      <c r="A3418" s="41" t="s">
        <v>4035</v>
      </c>
      <c r="B3418" s="37">
        <f>SUM($C3418,$D3418,$E3418)</f>
        <v>1454932.7</v>
      </c>
      <c r="C3418" s="37">
        <f>$AB3418</f>
        <v>1454932.7</v>
      </c>
      <c r="D3418" s="37">
        <f>$AF3418</f>
        <v>0</v>
      </c>
      <c r="E3418" s="37">
        <f>$AJ3418</f>
        <v>0</v>
      </c>
      <c r="F3418" s="45"/>
      <c r="K3418" s="3" t="s">
        <v>6125</v>
      </c>
      <c r="AA3418" s="40" t="s">
        <v>4592</v>
      </c>
      <c r="AB3418" s="8">
        <f>TRUNC($AD3416,1)</f>
        <v>1454932.7</v>
      </c>
      <c r="AC3418" s="40" t="s">
        <v>5149</v>
      </c>
      <c r="AD3418" s="7">
        <f>$AB3418</f>
        <v>1454932.7</v>
      </c>
      <c r="AE3418" s="40" t="s">
        <v>666</v>
      </c>
      <c r="AF3418" s="8">
        <f>TRUNC($AH3401,1)</f>
        <v>0</v>
      </c>
      <c r="AG3418" s="40" t="s">
        <v>2431</v>
      </c>
      <c r="AH3418" s="7">
        <f>$AF3418</f>
        <v>0</v>
      </c>
      <c r="AI3418" s="40" t="s">
        <v>1930</v>
      </c>
      <c r="AJ3418" s="8">
        <f>TRUNC($AL3401,1)</f>
        <v>0</v>
      </c>
      <c r="AK3418" s="40" t="s">
        <v>3349</v>
      </c>
      <c r="AL3418" s="7">
        <f>$AJ3418</f>
        <v>0</v>
      </c>
    </row>
    <row r="3419" spans="1:38" ht="18.399999999999999" customHeight="1">
      <c r="A3419" s="41" t="s">
        <v>6232</v>
      </c>
      <c r="B3419" s="37">
        <f>SUM($C3419,$D3419,$E3419)</f>
        <v>0</v>
      </c>
      <c r="C3419" s="37">
        <f>$AB3419</f>
        <v>0</v>
      </c>
      <c r="D3419" s="37">
        <f>$AF3419</f>
        <v>0</v>
      </c>
      <c r="E3419" s="37">
        <f>$AJ3419</f>
        <v>0</v>
      </c>
      <c r="F3419" s="45"/>
      <c r="K3419" s="3" t="s">
        <v>5506</v>
      </c>
      <c r="AA3419" s="40" t="s">
        <v>4586</v>
      </c>
      <c r="AB3419" s="8">
        <f>ROUND(0,2)</f>
        <v>0</v>
      </c>
      <c r="AC3419" s="40" t="s">
        <v>4161</v>
      </c>
      <c r="AD3419" s="7">
        <f>$AB3419</f>
        <v>0</v>
      </c>
      <c r="AE3419" s="40" t="s">
        <v>222</v>
      </c>
      <c r="AF3419" s="8">
        <f>ROUND(0,2)</f>
        <v>0</v>
      </c>
      <c r="AG3419" s="40" t="s">
        <v>334</v>
      </c>
      <c r="AH3419" s="7">
        <f>$AF3419</f>
        <v>0</v>
      </c>
      <c r="AI3419" s="40" t="s">
        <v>1574</v>
      </c>
      <c r="AJ3419" s="8">
        <f>ROUND(0,2)</f>
        <v>0</v>
      </c>
      <c r="AK3419" s="40" t="s">
        <v>1622</v>
      </c>
      <c r="AL3419" s="7">
        <f>$AJ3419</f>
        <v>0</v>
      </c>
    </row>
    <row r="3420" spans="1:38" ht="18.399999999999999" customHeight="1">
      <c r="A3420" s="41" t="s">
        <v>231</v>
      </c>
      <c r="B3420" s="37"/>
      <c r="C3420" s="37"/>
      <c r="D3420" s="37"/>
      <c r="E3420" s="37"/>
      <c r="F3420" s="45"/>
      <c r="K3420" s="3" t="s">
        <v>268</v>
      </c>
    </row>
    <row r="3421" spans="1:38" ht="18.399999999999999" customHeight="1">
      <c r="A3421" s="41" t="s">
        <v>6232</v>
      </c>
      <c r="B3421" s="37"/>
      <c r="C3421" s="37"/>
      <c r="D3421" s="37"/>
      <c r="E3421" s="37"/>
      <c r="F3421" s="45"/>
      <c r="K3421" s="3" t="s">
        <v>6232</v>
      </c>
    </row>
    <row r="3422" spans="1:38" ht="18.399999999999999" customHeight="1">
      <c r="A3422" s="41" t="s">
        <v>5533</v>
      </c>
      <c r="B3422" s="37"/>
      <c r="C3422" s="37"/>
      <c r="D3422" s="37"/>
      <c r="E3422" s="37"/>
      <c r="F3422" s="45"/>
      <c r="K3422" s="3" t="s">
        <v>3259</v>
      </c>
    </row>
    <row r="3423" spans="1:38" ht="18.399999999999999" customHeight="1">
      <c r="A3423" s="42" t="str">
        <f>CONCATENATE("    9.462  인  * Q * _x001D_213,722_x001D_ = ",TEXT($AB3423,"#,##0.0"))</f>
        <v xml:space="preserve">    9.462  인  * Q * _x001D_213,722_x001D_ = 2,361,372.6</v>
      </c>
      <c r="B3423" s="37">
        <f>SUM($C3423,$D3423,$E3423)</f>
        <v>2361372.6</v>
      </c>
      <c r="C3423" s="37"/>
      <c r="D3423" s="37">
        <f>$AB3423</f>
        <v>2361372.6</v>
      </c>
      <c r="E3423" s="37"/>
      <c r="F3423" s="45" t="s">
        <v>6232</v>
      </c>
      <c r="K3423" s="3" t="s">
        <v>1660</v>
      </c>
      <c r="AA3423" s="40" t="s">
        <v>222</v>
      </c>
      <c r="AB3423" s="8">
        <f>TRUNC(9.462*$AD3400*노임!D10,1)</f>
        <v>2361372.6</v>
      </c>
      <c r="AC3423" s="40" t="s">
        <v>334</v>
      </c>
      <c r="AD3423" s="7">
        <f>$AH3419+$AB3423</f>
        <v>2361372.6</v>
      </c>
    </row>
    <row r="3424" spans="1:38" ht="18.399999999999999" customHeight="1">
      <c r="A3424" s="41" t="s">
        <v>6232</v>
      </c>
      <c r="B3424" s="37"/>
      <c r="C3424" s="37"/>
      <c r="D3424" s="37"/>
      <c r="E3424" s="37"/>
      <c r="F3424" s="45"/>
      <c r="K3424" s="3" t="s">
        <v>6232</v>
      </c>
    </row>
    <row r="3425" spans="1:38" ht="18.399999999999999" customHeight="1">
      <c r="A3425" s="41" t="s">
        <v>585</v>
      </c>
      <c r="B3425" s="37"/>
      <c r="C3425" s="37"/>
      <c r="D3425" s="37"/>
      <c r="E3425" s="37"/>
      <c r="F3425" s="45"/>
      <c r="K3425" s="3" t="s">
        <v>5657</v>
      </c>
    </row>
    <row r="3426" spans="1:38" ht="18.399999999999999" customHeight="1">
      <c r="A3426" s="42" t="str">
        <f>CONCATENATE("    3.043  인  * Q * _x001D_201,482_x001D_ = ",TEXT($AB3426,"#,##0.0"))</f>
        <v xml:space="preserve">    3.043  인  * Q * _x001D_201,482_x001D_ = 708,540.6</v>
      </c>
      <c r="B3426" s="37">
        <f>SUM($C3426,$D3426,$E3426)</f>
        <v>708540.6</v>
      </c>
      <c r="C3426" s="37"/>
      <c r="D3426" s="37">
        <f>$AB3426</f>
        <v>708540.6</v>
      </c>
      <c r="E3426" s="37"/>
      <c r="F3426" s="45" t="s">
        <v>6232</v>
      </c>
      <c r="K3426" s="3" t="s">
        <v>3545</v>
      </c>
      <c r="AA3426" s="40" t="s">
        <v>222</v>
      </c>
      <c r="AB3426" s="8">
        <f>TRUNC(3.043*$AD3400*노임!D9,1)</f>
        <v>708540.6</v>
      </c>
      <c r="AC3426" s="40" t="s">
        <v>334</v>
      </c>
      <c r="AD3426" s="7">
        <f>$AD3423+$AB3426</f>
        <v>3069913.2</v>
      </c>
    </row>
    <row r="3427" spans="1:38" ht="18.399999999999999" customHeight="1">
      <c r="A3427" s="41" t="s">
        <v>6232</v>
      </c>
      <c r="B3427" s="37"/>
      <c r="C3427" s="37"/>
      <c r="D3427" s="37"/>
      <c r="E3427" s="37"/>
      <c r="F3427" s="45"/>
      <c r="K3427" s="3" t="s">
        <v>6232</v>
      </c>
    </row>
    <row r="3428" spans="1:38" ht="18.399999999999999" customHeight="1">
      <c r="A3428" s="41" t="s">
        <v>3917</v>
      </c>
      <c r="B3428" s="37"/>
      <c r="C3428" s="37"/>
      <c r="D3428" s="37"/>
      <c r="E3428" s="37"/>
      <c r="F3428" s="45"/>
      <c r="K3428" s="3" t="s">
        <v>4355</v>
      </c>
    </row>
    <row r="3429" spans="1:38" ht="18.399999999999999" customHeight="1">
      <c r="A3429" s="42" t="str">
        <f>CONCATENATE("    0.795  인  * Q * _x001D_221,506_x001D_ = ",TEXT($AB3429,"#,##0.0"))</f>
        <v xml:space="preserve">    0.795  인  * Q * _x001D_221,506_x001D_ = 206,732.0</v>
      </c>
      <c r="B3429" s="37">
        <f>SUM($C3429,$D3429,$E3429)</f>
        <v>206732</v>
      </c>
      <c r="C3429" s="37"/>
      <c r="D3429" s="37">
        <f>$AB3429</f>
        <v>206732</v>
      </c>
      <c r="E3429" s="37"/>
      <c r="F3429" s="45" t="s">
        <v>6232</v>
      </c>
      <c r="K3429" s="3" t="s">
        <v>4302</v>
      </c>
      <c r="AA3429" s="40" t="s">
        <v>222</v>
      </c>
      <c r="AB3429" s="8">
        <f>TRUNC(0.795*$AD3400*노임!D4,1)</f>
        <v>206732</v>
      </c>
      <c r="AC3429" s="40" t="s">
        <v>334</v>
      </c>
      <c r="AD3429" s="7">
        <f>$AD3426+$AB3429</f>
        <v>3276645.2</v>
      </c>
    </row>
    <row r="3430" spans="1:38" ht="18.399999999999999" customHeight="1">
      <c r="A3430" s="41" t="s">
        <v>6232</v>
      </c>
      <c r="B3430" s="37"/>
      <c r="C3430" s="37"/>
      <c r="D3430" s="37"/>
      <c r="E3430" s="37"/>
      <c r="F3430" s="45"/>
      <c r="K3430" s="3" t="s">
        <v>6232</v>
      </c>
    </row>
    <row r="3431" spans="1:38" ht="18.399999999999999" customHeight="1">
      <c r="A3431" s="41" t="s">
        <v>4277</v>
      </c>
      <c r="B3431" s="37"/>
      <c r="C3431" s="37"/>
      <c r="D3431" s="37"/>
      <c r="E3431" s="37"/>
      <c r="F3431" s="45"/>
      <c r="K3431" s="3" t="s">
        <v>4663</v>
      </c>
    </row>
    <row r="3432" spans="1:38" ht="18.399999999999999" customHeight="1">
      <c r="A3432" s="42" t="str">
        <f>CONCATENATE("    4.034  인  * Q * _x001D_169,804_x001D_ = ",TEXT($AB3432,"#,##0.0"))</f>
        <v xml:space="preserve">    4.034  인  * Q * _x001D_169,804_x001D_ = 798,240.6</v>
      </c>
      <c r="B3432" s="37">
        <f>SUM($C3432,$D3432,$E3432)</f>
        <v>798240.6</v>
      </c>
      <c r="C3432" s="37"/>
      <c r="D3432" s="37">
        <f>$AB3432</f>
        <v>798240.6</v>
      </c>
      <c r="E3432" s="37"/>
      <c r="F3432" s="45" t="s">
        <v>6232</v>
      </c>
      <c r="K3432" s="3" t="s">
        <v>6032</v>
      </c>
      <c r="AA3432" s="40" t="s">
        <v>222</v>
      </c>
      <c r="AB3432" s="8">
        <f>TRUNC(4.034*$AD3400*노임!D3,1)</f>
        <v>798240.6</v>
      </c>
      <c r="AC3432" s="40" t="s">
        <v>334</v>
      </c>
      <c r="AD3432" s="7">
        <f>$AD3429+$AB3432</f>
        <v>4074885.8000000003</v>
      </c>
    </row>
    <row r="3433" spans="1:38" ht="18.399999999999999" customHeight="1">
      <c r="A3433" s="41" t="s">
        <v>6232</v>
      </c>
      <c r="B3433" s="37"/>
      <c r="C3433" s="37"/>
      <c r="D3433" s="37"/>
      <c r="E3433" s="37"/>
      <c r="F3433" s="45"/>
      <c r="K3433" s="3" t="s">
        <v>6232</v>
      </c>
    </row>
    <row r="3434" spans="1:38" ht="18.399999999999999" customHeight="1">
      <c r="A3434" s="41" t="s">
        <v>4035</v>
      </c>
      <c r="B3434" s="37">
        <f>SUM($C3434,$D3434,$E3434)</f>
        <v>4074885.8</v>
      </c>
      <c r="C3434" s="37">
        <f>$AB3434</f>
        <v>0</v>
      </c>
      <c r="D3434" s="37">
        <f>$AF3434</f>
        <v>4074885.8</v>
      </c>
      <c r="E3434" s="37">
        <f>$AJ3434</f>
        <v>0</v>
      </c>
      <c r="F3434" s="45"/>
      <c r="K3434" s="3" t="s">
        <v>134</v>
      </c>
      <c r="AA3434" s="40" t="s">
        <v>4592</v>
      </c>
      <c r="AB3434" s="8">
        <f>TRUNC($AD3419,1)</f>
        <v>0</v>
      </c>
      <c r="AC3434" s="40" t="s">
        <v>5149</v>
      </c>
      <c r="AD3434" s="7">
        <f>$AD3418+$AB3434</f>
        <v>1454932.7</v>
      </c>
      <c r="AE3434" s="40" t="s">
        <v>666</v>
      </c>
      <c r="AF3434" s="8">
        <f>TRUNC($AD3432,1)</f>
        <v>4074885.8</v>
      </c>
      <c r="AG3434" s="40" t="s">
        <v>2431</v>
      </c>
      <c r="AH3434" s="7">
        <f>$AH3418+$AF3434</f>
        <v>4074885.8</v>
      </c>
      <c r="AI3434" s="40" t="s">
        <v>1930</v>
      </c>
      <c r="AJ3434" s="8">
        <f>TRUNC($AL3419,1)</f>
        <v>0</v>
      </c>
      <c r="AK3434" s="40" t="s">
        <v>3349</v>
      </c>
      <c r="AL3434" s="7">
        <f>$AL3418+$AJ3434</f>
        <v>0</v>
      </c>
    </row>
    <row r="3435" spans="1:38" ht="18.399999999999999" customHeight="1">
      <c r="A3435" s="41" t="s">
        <v>6232</v>
      </c>
      <c r="B3435" s="37">
        <f>SUM($C3435,$D3435,$E3435)</f>
        <v>0</v>
      </c>
      <c r="C3435" s="37">
        <f>$AB3435</f>
        <v>0</v>
      </c>
      <c r="D3435" s="37">
        <f>$AF3435</f>
        <v>0</v>
      </c>
      <c r="E3435" s="37">
        <f>$AJ3435</f>
        <v>0</v>
      </c>
      <c r="F3435" s="45"/>
      <c r="K3435" s="3" t="s">
        <v>3238</v>
      </c>
      <c r="AA3435" s="40" t="s">
        <v>308</v>
      </c>
      <c r="AB3435" s="8">
        <f>ROUND(0,2)</f>
        <v>0</v>
      </c>
      <c r="AC3435" s="40" t="s">
        <v>5000</v>
      </c>
      <c r="AD3435" s="7">
        <f>$AB3435</f>
        <v>0</v>
      </c>
      <c r="AE3435" s="40" t="s">
        <v>4500</v>
      </c>
      <c r="AF3435" s="8">
        <f>ROUND(0,2)</f>
        <v>0</v>
      </c>
      <c r="AG3435" s="40" t="s">
        <v>2603</v>
      </c>
      <c r="AH3435" s="7">
        <f>$AF3435</f>
        <v>0</v>
      </c>
      <c r="AI3435" s="40" t="s">
        <v>5878</v>
      </c>
      <c r="AJ3435" s="8">
        <f>ROUND(0,2)</f>
        <v>0</v>
      </c>
      <c r="AK3435" s="40" t="s">
        <v>787</v>
      </c>
      <c r="AL3435" s="7">
        <f>$AJ3435</f>
        <v>0</v>
      </c>
    </row>
    <row r="3436" spans="1:38" ht="18.399999999999999" customHeight="1">
      <c r="A3436" s="41" t="s">
        <v>760</v>
      </c>
      <c r="B3436" s="37"/>
      <c r="C3436" s="37"/>
      <c r="D3436" s="37"/>
      <c r="E3436" s="37"/>
      <c r="F3436" s="45"/>
      <c r="K3436" s="3" t="s">
        <v>5465</v>
      </c>
    </row>
    <row r="3437" spans="1:38" ht="18.399999999999999" customHeight="1">
      <c r="A3437" s="41" t="s">
        <v>6232</v>
      </c>
      <c r="B3437" s="37"/>
      <c r="C3437" s="37"/>
      <c r="D3437" s="37"/>
      <c r="E3437" s="37"/>
      <c r="F3437" s="45"/>
      <c r="K3437" s="3" t="s">
        <v>6232</v>
      </c>
    </row>
    <row r="3438" spans="1:38" ht="18.399999999999999" customHeight="1">
      <c r="A3438" s="42" t="str">
        <f>CONCATENATE("    LA2 / Q * 0.02 = ",TEXT($AB3438,"#,##0.0"))</f>
        <v xml:space="preserve">    LA2 / Q * 0.02 = 70,867.5</v>
      </c>
      <c r="B3438" s="37">
        <f>SUM($C3438,$D3438,$E3438)</f>
        <v>70867.5</v>
      </c>
      <c r="C3438" s="37"/>
      <c r="D3438" s="37"/>
      <c r="E3438" s="37">
        <f>$AB3438</f>
        <v>70867.5</v>
      </c>
      <c r="F3438" s="45"/>
      <c r="K3438" s="3" t="s">
        <v>4829</v>
      </c>
      <c r="AA3438" s="40" t="s">
        <v>5878</v>
      </c>
      <c r="AB3438" s="8">
        <f>TRUNC($AD3432/$AD3400*0.02,1)</f>
        <v>70867.5</v>
      </c>
      <c r="AC3438" s="40" t="s">
        <v>787</v>
      </c>
      <c r="AD3438" s="7">
        <f>$AL3435+$AB3438</f>
        <v>70867.5</v>
      </c>
    </row>
    <row r="3439" spans="1:38" ht="18.399999999999999" customHeight="1">
      <c r="A3439" s="41" t="s">
        <v>6232</v>
      </c>
      <c r="B3439" s="37"/>
      <c r="C3439" s="37"/>
      <c r="D3439" s="37"/>
      <c r="E3439" s="37"/>
      <c r="F3439" s="45"/>
      <c r="K3439" s="3" t="s">
        <v>6232</v>
      </c>
    </row>
    <row r="3440" spans="1:38" ht="18.399999999999999" customHeight="1">
      <c r="A3440" s="41" t="s">
        <v>4035</v>
      </c>
      <c r="B3440" s="37">
        <f>SUM($C3440,$D3440,$E3440)</f>
        <v>70867.5</v>
      </c>
      <c r="C3440" s="37">
        <f>$AB3440</f>
        <v>0</v>
      </c>
      <c r="D3440" s="37">
        <f>$AF3440</f>
        <v>0</v>
      </c>
      <c r="E3440" s="37">
        <f>$AJ3440</f>
        <v>70867.5</v>
      </c>
      <c r="F3440" s="45"/>
      <c r="K3440" s="3" t="s">
        <v>4813</v>
      </c>
      <c r="AA3440" s="40" t="s">
        <v>4592</v>
      </c>
      <c r="AB3440" s="8">
        <f>TRUNC($AD3435,1)</f>
        <v>0</v>
      </c>
      <c r="AC3440" s="40" t="s">
        <v>5149</v>
      </c>
      <c r="AD3440" s="7">
        <f>$AD3434+$AB3440</f>
        <v>1454932.7</v>
      </c>
      <c r="AE3440" s="40" t="s">
        <v>666</v>
      </c>
      <c r="AF3440" s="8">
        <f>TRUNC($AH3435,1)</f>
        <v>0</v>
      </c>
      <c r="AG3440" s="40" t="s">
        <v>2431</v>
      </c>
      <c r="AH3440" s="7">
        <f>$AH3434+$AF3440</f>
        <v>4074885.8</v>
      </c>
      <c r="AI3440" s="40" t="s">
        <v>1930</v>
      </c>
      <c r="AJ3440" s="8">
        <f>TRUNC($AD3438,1)</f>
        <v>70867.5</v>
      </c>
      <c r="AK3440" s="40" t="s">
        <v>3349</v>
      </c>
      <c r="AL3440" s="7">
        <f>$AL3434+$AJ3440</f>
        <v>70867.5</v>
      </c>
    </row>
    <row r="3441" spans="1:38" ht="18.399999999999999" customHeight="1">
      <c r="A3441" s="41" t="s">
        <v>6232</v>
      </c>
      <c r="B3441" s="37"/>
      <c r="C3441" s="37"/>
      <c r="D3441" s="37"/>
      <c r="E3441" s="37"/>
      <c r="F3441" s="45"/>
      <c r="K3441" s="3" t="s">
        <v>6232</v>
      </c>
    </row>
    <row r="3442" spans="1:38" ht="18.399999999999999" customHeight="1">
      <c r="A3442" s="41" t="s">
        <v>4002</v>
      </c>
      <c r="B3442" s="37">
        <v>5545760</v>
      </c>
      <c r="C3442" s="37">
        <v>1454932.7</v>
      </c>
      <c r="D3442" s="37">
        <v>4020898.7</v>
      </c>
      <c r="E3442" s="37">
        <v>69928.600000000006</v>
      </c>
      <c r="F3442" s="45"/>
      <c r="K3442" s="3" t="s">
        <v>916</v>
      </c>
    </row>
    <row r="3443" spans="1:38" ht="18.399999999999999" customHeight="1">
      <c r="A3443" s="41"/>
      <c r="B3443" s="3"/>
      <c r="C3443" s="3"/>
      <c r="D3443" s="3"/>
      <c r="E3443" s="3"/>
      <c r="F3443" s="44"/>
    </row>
    <row r="3444" spans="1:38" ht="18.399999999999999" customHeight="1">
      <c r="A3444" s="43" t="s">
        <v>3543</v>
      </c>
      <c r="B3444" s="38">
        <f>SUM($C3444,$D3444,$E3444)</f>
        <v>5600684</v>
      </c>
      <c r="C3444" s="38">
        <f>TRUNC(SUM($AD3440),0)</f>
        <v>1454932</v>
      </c>
      <c r="D3444" s="38">
        <f>TRUNC(SUM($AH3440),0)</f>
        <v>4074885</v>
      </c>
      <c r="E3444" s="38">
        <f>TRUNC(SUM($AL3440),0)</f>
        <v>70867</v>
      </c>
      <c r="F3444" s="46"/>
    </row>
    <row r="3445" spans="1:38" ht="18.399999999999999" customHeight="1">
      <c r="A3445" s="41"/>
      <c r="B3445" s="3"/>
      <c r="C3445" s="3"/>
      <c r="D3445" s="3"/>
      <c r="E3445" s="3"/>
      <c r="F3445" s="44"/>
    </row>
    <row r="3446" spans="1:38" ht="18.399999999999999" customHeight="1">
      <c r="A3446" s="41" t="s">
        <v>4165</v>
      </c>
      <c r="B3446" s="36">
        <f>$B3481</f>
        <v>10854</v>
      </c>
      <c r="C3446" s="36">
        <f>$C3481</f>
        <v>1393</v>
      </c>
      <c r="D3446" s="36">
        <f>$D3481</f>
        <v>0</v>
      </c>
      <c r="E3446" s="36">
        <f>$E3481</f>
        <v>9461</v>
      </c>
      <c r="F3446" s="44" t="s">
        <v>6232</v>
      </c>
      <c r="G3446" t="s">
        <v>6232</v>
      </c>
      <c r="H3446" t="s">
        <v>2638</v>
      </c>
      <c r="K3446">
        <v>1</v>
      </c>
      <c r="Y3446" s="7" t="b">
        <f>EXACT($Z3446,$B3481)</f>
        <v>1</v>
      </c>
      <c r="Z3446" s="38">
        <v>10854</v>
      </c>
    </row>
    <row r="3447" spans="1:38" ht="18.399999999999999" customHeight="1">
      <c r="A3447" s="41"/>
      <c r="B3447" s="3"/>
      <c r="C3447" s="3"/>
      <c r="D3447" s="3"/>
      <c r="E3447" s="3"/>
      <c r="F3447" s="44"/>
    </row>
    <row r="3448" spans="1:38" ht="18.399999999999999" customHeight="1">
      <c r="A3448" s="41" t="s">
        <v>6232</v>
      </c>
      <c r="B3448" s="3"/>
      <c r="C3448" s="3"/>
      <c r="D3448" s="3"/>
      <c r="E3448" s="3"/>
      <c r="F3448" s="44"/>
      <c r="G3448" t="s">
        <v>6232</v>
      </c>
      <c r="I3448" t="s">
        <v>742</v>
      </c>
      <c r="J3448" t="s">
        <v>6232</v>
      </c>
      <c r="K3448" t="s">
        <v>5235</v>
      </c>
    </row>
    <row r="3449" spans="1:38" ht="18.399999999999999" customHeight="1">
      <c r="A3449" s="41" t="s">
        <v>4413</v>
      </c>
      <c r="B3449" s="37"/>
      <c r="C3449" s="37"/>
      <c r="D3449" s="37"/>
      <c r="E3449" s="37"/>
      <c r="F3449" s="45"/>
      <c r="K3449" s="3" t="s">
        <v>5393</v>
      </c>
    </row>
    <row r="3450" spans="1:38" ht="18.399999999999999" customHeight="1">
      <c r="A3450" s="41" t="s">
        <v>6232</v>
      </c>
      <c r="B3450" s="37"/>
      <c r="C3450" s="37"/>
      <c r="D3450" s="37"/>
      <c r="E3450" s="37"/>
      <c r="F3450" s="45"/>
      <c r="K3450" s="3" t="s">
        <v>6232</v>
      </c>
    </row>
    <row r="3451" spans="1:38" ht="18.399999999999999" customHeight="1">
      <c r="A3451" s="41" t="s">
        <v>6232</v>
      </c>
      <c r="B3451" s="37">
        <f>SUM($C3451,$D3451,$E3451)</f>
        <v>0</v>
      </c>
      <c r="C3451" s="37">
        <f>$AB3451</f>
        <v>0</v>
      </c>
      <c r="D3451" s="37">
        <f>$AF3451</f>
        <v>0</v>
      </c>
      <c r="E3451" s="37">
        <f>$AJ3451</f>
        <v>0</v>
      </c>
      <c r="F3451" s="45"/>
      <c r="K3451" s="3" t="s">
        <v>295</v>
      </c>
      <c r="AA3451" s="40" t="s">
        <v>2660</v>
      </c>
      <c r="AB3451" s="8">
        <f>ROUND(0,2)</f>
        <v>0</v>
      </c>
      <c r="AC3451" s="40" t="s">
        <v>1650</v>
      </c>
      <c r="AD3451" s="7">
        <f>$AB3451</f>
        <v>0</v>
      </c>
      <c r="AE3451" s="40" t="s">
        <v>5305</v>
      </c>
      <c r="AF3451" s="8">
        <f>ROUND(0,2)</f>
        <v>0</v>
      </c>
      <c r="AG3451" s="40" t="s">
        <v>5439</v>
      </c>
      <c r="AH3451" s="7">
        <f>$AF3451</f>
        <v>0</v>
      </c>
      <c r="AI3451" s="40" t="s">
        <v>3519</v>
      </c>
      <c r="AJ3451" s="8">
        <f>ROUND(0,2)</f>
        <v>0</v>
      </c>
      <c r="AK3451" s="40" t="s">
        <v>4149</v>
      </c>
      <c r="AL3451" s="7">
        <f>$AJ3451</f>
        <v>0</v>
      </c>
    </row>
    <row r="3452" spans="1:38" ht="18.399999999999999" customHeight="1">
      <c r="A3452" s="41" t="s">
        <v>5729</v>
      </c>
      <c r="B3452" s="37"/>
      <c r="C3452" s="37"/>
      <c r="D3452" s="37"/>
      <c r="E3452" s="37"/>
      <c r="F3452" s="45"/>
      <c r="K3452" s="3" t="s">
        <v>3969</v>
      </c>
    </row>
    <row r="3453" spans="1:38" ht="18.399999999999999" customHeight="1">
      <c r="A3453" s="41" t="s">
        <v>6232</v>
      </c>
      <c r="B3453" s="37"/>
      <c r="C3453" s="37"/>
      <c r="D3453" s="37"/>
      <c r="E3453" s="37"/>
      <c r="F3453" s="45"/>
      <c r="K3453" s="3" t="s">
        <v>6232</v>
      </c>
    </row>
    <row r="3454" spans="1:38" ht="18.399999999999999" customHeight="1">
      <c r="A3454" s="42" t="str">
        <f>CONCATENATE("     손료:  _x001D_19,930,000_x001D_ * (1200+1067+700) * 0.0000001 * 8  hr  * 25 일 =",TEXT($AB3454,"#,##0.0")," 원/월 ")</f>
        <v xml:space="preserve">     손료:  _x001D_19,930,000_x001D_ * (1200+1067+700) * 0.0000001 * 8  hr  * 25 일 =1,182,646.2 원/월 </v>
      </c>
      <c r="B3454" s="37">
        <f>SUM($C3454,$D3454,$E3454)</f>
        <v>1182646.2</v>
      </c>
      <c r="C3454" s="37"/>
      <c r="D3454" s="37"/>
      <c r="E3454" s="37">
        <f>$AB3454</f>
        <v>1182646.2</v>
      </c>
      <c r="F3454" s="45" t="s">
        <v>6232</v>
      </c>
      <c r="K3454" s="3" t="s">
        <v>3769</v>
      </c>
      <c r="AA3454" s="40" t="s">
        <v>3519</v>
      </c>
      <c r="AB3454" s="8">
        <f>TRUNC(자재조서!E738*(1200+1067+700)*0.0000001*8*25,1)</f>
        <v>1182646.2</v>
      </c>
      <c r="AC3454" s="40" t="s">
        <v>4149</v>
      </c>
      <c r="AD3454" s="7">
        <f>$AB3454</f>
        <v>1182646.2</v>
      </c>
    </row>
    <row r="3455" spans="1:38" ht="18.399999999999999" customHeight="1">
      <c r="A3455" s="41" t="s">
        <v>6232</v>
      </c>
      <c r="B3455" s="37"/>
      <c r="C3455" s="37"/>
      <c r="D3455" s="37"/>
      <c r="E3455" s="37"/>
      <c r="F3455" s="45"/>
      <c r="K3455" s="3" t="s">
        <v>6232</v>
      </c>
    </row>
    <row r="3456" spans="1:38" ht="18.399999999999999" customHeight="1">
      <c r="A3456" s="42" t="str">
        <f>CONCATENATE("     주연료(경유):  30 (1일주행)  / 8 (hr/day)  * _x001D_1,346.364_x001D_ 원  * 25 일  =",TEXT($AB3456,"#,##0.0")," 원/월 ")</f>
        <v xml:space="preserve">     주연료(경유):  30 (1일주행)  / 8 (hr/day)  * _x001D_1,346.364_x001D_ 원  * 25 일  =126,221.6 원/월 </v>
      </c>
      <c r="B3456" s="37">
        <f>SUM($C3456,$D3456,$E3456)</f>
        <v>126221.6</v>
      </c>
      <c r="C3456" s="37">
        <f>$AB3456</f>
        <v>126221.6</v>
      </c>
      <c r="D3456" s="37"/>
      <c r="E3456" s="37"/>
      <c r="F3456" s="45" t="s">
        <v>6232</v>
      </c>
      <c r="K3456" s="3" t="s">
        <v>2378</v>
      </c>
      <c r="AA3456" s="40" t="s">
        <v>2660</v>
      </c>
      <c r="AB3456" s="8">
        <f>TRUNC(30/8*자재조서!E43*25,1)</f>
        <v>126221.6</v>
      </c>
      <c r="AC3456" s="40" t="s">
        <v>1650</v>
      </c>
      <c r="AD3456" s="7">
        <f>$AB3456</f>
        <v>126221.6</v>
      </c>
    </row>
    <row r="3457" spans="1:38" ht="18.399999999999999" customHeight="1">
      <c r="A3457" s="41" t="s">
        <v>6232</v>
      </c>
      <c r="B3457" s="37"/>
      <c r="C3457" s="37"/>
      <c r="D3457" s="37"/>
      <c r="E3457" s="37"/>
      <c r="F3457" s="45"/>
      <c r="K3457" s="3" t="s">
        <v>6232</v>
      </c>
    </row>
    <row r="3458" spans="1:38" ht="18.399999999999999" customHeight="1">
      <c r="A3458" s="41" t="s">
        <v>4035</v>
      </c>
      <c r="B3458" s="37">
        <v>1308867.8</v>
      </c>
      <c r="C3458" s="37">
        <v>126221.6</v>
      </c>
      <c r="D3458" s="37"/>
      <c r="E3458" s="37">
        <v>1182646.2</v>
      </c>
      <c r="F3458" s="45"/>
      <c r="K3458" s="3" t="s">
        <v>6070</v>
      </c>
    </row>
    <row r="3459" spans="1:38" ht="18.399999999999999" customHeight="1">
      <c r="A3459" s="41" t="s">
        <v>6232</v>
      </c>
      <c r="B3459" s="37"/>
      <c r="C3459" s="37"/>
      <c r="D3459" s="37"/>
      <c r="E3459" s="37"/>
      <c r="F3459" s="45"/>
      <c r="K3459" s="3" t="s">
        <v>6232</v>
      </c>
    </row>
    <row r="3460" spans="1:38" ht="18.399999999999999" customHeight="1">
      <c r="A3460" s="41" t="s">
        <v>6232</v>
      </c>
      <c r="B3460" s="37">
        <f>SUM($C3460,$D3460,$E3460)</f>
        <v>0</v>
      </c>
      <c r="C3460" s="37">
        <f>$AB3460</f>
        <v>0</v>
      </c>
      <c r="D3460" s="37">
        <f>$AF3460</f>
        <v>0</v>
      </c>
      <c r="E3460" s="37">
        <f>$AJ3460</f>
        <v>0</v>
      </c>
      <c r="F3460" s="45"/>
      <c r="K3460" s="3" t="s">
        <v>5506</v>
      </c>
      <c r="AA3460" s="40" t="s">
        <v>4586</v>
      </c>
      <c r="AB3460" s="8">
        <f>ROUND(0,2)</f>
        <v>0</v>
      </c>
      <c r="AC3460" s="40" t="s">
        <v>4161</v>
      </c>
      <c r="AD3460" s="7">
        <f>$AB3460</f>
        <v>0</v>
      </c>
      <c r="AE3460" s="40" t="s">
        <v>222</v>
      </c>
      <c r="AF3460" s="8">
        <f>ROUND(0,2)</f>
        <v>0</v>
      </c>
      <c r="AG3460" s="40" t="s">
        <v>334</v>
      </c>
      <c r="AH3460" s="7">
        <f>$AF3460</f>
        <v>0</v>
      </c>
      <c r="AI3460" s="40" t="s">
        <v>1574</v>
      </c>
      <c r="AJ3460" s="8">
        <f>ROUND(0,2)</f>
        <v>0</v>
      </c>
      <c r="AK3460" s="40" t="s">
        <v>1622</v>
      </c>
      <c r="AL3460" s="7">
        <f>$AJ3460</f>
        <v>0</v>
      </c>
    </row>
    <row r="3461" spans="1:38" ht="18.399999999999999" customHeight="1">
      <c r="A3461" s="41" t="s">
        <v>1770</v>
      </c>
      <c r="B3461" s="37"/>
      <c r="C3461" s="37"/>
      <c r="D3461" s="37"/>
      <c r="E3461" s="37"/>
      <c r="F3461" s="45"/>
      <c r="K3461" s="3" t="s">
        <v>4431</v>
      </c>
    </row>
    <row r="3462" spans="1:38" ht="18.399999999999999" customHeight="1">
      <c r="A3462" s="41" t="s">
        <v>6232</v>
      </c>
      <c r="B3462" s="37"/>
      <c r="C3462" s="37"/>
      <c r="D3462" s="37"/>
      <c r="E3462" s="37"/>
      <c r="F3462" s="45"/>
      <c r="K3462" s="3" t="s">
        <v>6232</v>
      </c>
    </row>
    <row r="3463" spans="1:38" ht="18.399999999999999" customHeight="1">
      <c r="A3463" s="41" t="s">
        <v>4854</v>
      </c>
      <c r="B3463" s="37"/>
      <c r="C3463" s="37"/>
      <c r="D3463" s="37"/>
      <c r="E3463" s="37"/>
      <c r="F3463" s="45"/>
      <c r="K3463" s="3" t="s">
        <v>6060</v>
      </c>
    </row>
    <row r="3464" spans="1:38" ht="18.399999999999999" customHeight="1">
      <c r="A3464" s="41" t="s">
        <v>6232</v>
      </c>
      <c r="B3464" s="37"/>
      <c r="C3464" s="37"/>
      <c r="D3464" s="37"/>
      <c r="E3464" s="37"/>
      <c r="F3464" s="45"/>
      <c r="K3464" s="3" t="s">
        <v>6232</v>
      </c>
    </row>
    <row r="3465" spans="1:38" ht="18.399999999999999" customHeight="1">
      <c r="A3465" s="42" t="str">
        <f>CONCATENATE("      :  MA1 * 0.38 = ",TEXT($AB3465,"#,##0.0"),"  원/월 ")</f>
        <v xml:space="preserve">      :  MA1 * 0.38 = 47,964.2  원/월 </v>
      </c>
      <c r="B3465" s="37">
        <f>SUM($C3465,$D3465,$E3465)</f>
        <v>47964.2</v>
      </c>
      <c r="C3465" s="37">
        <f>$AB3465</f>
        <v>47964.2</v>
      </c>
      <c r="D3465" s="37"/>
      <c r="E3465" s="37"/>
      <c r="F3465" s="45"/>
      <c r="K3465" s="3" t="s">
        <v>37</v>
      </c>
      <c r="AA3465" s="40" t="s">
        <v>4586</v>
      </c>
      <c r="AB3465" s="8">
        <f>TRUNC($AD3456*0.38,1)</f>
        <v>47964.2</v>
      </c>
      <c r="AC3465" s="40" t="s">
        <v>4161</v>
      </c>
      <c r="AD3465" s="7">
        <f>$AB3465</f>
        <v>47964.2</v>
      </c>
    </row>
    <row r="3466" spans="1:38" ht="18.399999999999999" customHeight="1">
      <c r="A3466" s="41" t="s">
        <v>6232</v>
      </c>
      <c r="B3466" s="37"/>
      <c r="C3466" s="37"/>
      <c r="D3466" s="37"/>
      <c r="E3466" s="37"/>
      <c r="F3466" s="45"/>
      <c r="K3466" s="3" t="s">
        <v>6232</v>
      </c>
    </row>
    <row r="3467" spans="1:38" ht="18.399999999999999" customHeight="1">
      <c r="A3467" s="41" t="s">
        <v>4035</v>
      </c>
      <c r="B3467" s="37">
        <v>47964.2</v>
      </c>
      <c r="C3467" s="37">
        <v>47964.2</v>
      </c>
      <c r="D3467" s="37"/>
      <c r="E3467" s="37"/>
      <c r="F3467" s="45"/>
      <c r="K3467" s="3" t="s">
        <v>193</v>
      </c>
    </row>
    <row r="3468" spans="1:38" ht="18.399999999999999" customHeight="1">
      <c r="A3468" s="41" t="s">
        <v>6232</v>
      </c>
      <c r="B3468" s="37"/>
      <c r="C3468" s="37"/>
      <c r="D3468" s="37"/>
      <c r="E3468" s="37"/>
      <c r="F3468" s="45"/>
      <c r="K3468" s="3" t="s">
        <v>6232</v>
      </c>
    </row>
    <row r="3469" spans="1:38" ht="18.399999999999999" customHeight="1">
      <c r="A3469" s="41" t="s">
        <v>6232</v>
      </c>
      <c r="B3469" s="37">
        <f>SUM($C3469,$D3469,$E3469)</f>
        <v>0</v>
      </c>
      <c r="C3469" s="37">
        <f>$AB3469</f>
        <v>0</v>
      </c>
      <c r="D3469" s="37">
        <f>$AF3469</f>
        <v>0</v>
      </c>
      <c r="E3469" s="37">
        <f>$AJ3469</f>
        <v>0</v>
      </c>
      <c r="F3469" s="45"/>
      <c r="K3469" s="3" t="s">
        <v>3238</v>
      </c>
      <c r="AA3469" s="40" t="s">
        <v>308</v>
      </c>
      <c r="AB3469" s="8">
        <f>ROUND(0,2)</f>
        <v>0</v>
      </c>
      <c r="AC3469" s="40" t="s">
        <v>5000</v>
      </c>
      <c r="AD3469" s="7">
        <f>$AB3469</f>
        <v>0</v>
      </c>
      <c r="AE3469" s="40" t="s">
        <v>4500</v>
      </c>
      <c r="AF3469" s="8">
        <f>ROUND(0,2)</f>
        <v>0</v>
      </c>
      <c r="AG3469" s="40" t="s">
        <v>2603</v>
      </c>
      <c r="AH3469" s="7">
        <f>$AF3469</f>
        <v>0</v>
      </c>
      <c r="AI3469" s="40" t="s">
        <v>5878</v>
      </c>
      <c r="AJ3469" s="8">
        <f>ROUND(0,2)</f>
        <v>0</v>
      </c>
      <c r="AK3469" s="40" t="s">
        <v>787</v>
      </c>
      <c r="AL3469" s="7">
        <f>$AJ3469</f>
        <v>0</v>
      </c>
    </row>
    <row r="3470" spans="1:38" ht="18.399999999999999" customHeight="1">
      <c r="A3470" s="41" t="s">
        <v>3156</v>
      </c>
      <c r="B3470" s="37"/>
      <c r="C3470" s="37"/>
      <c r="D3470" s="37"/>
      <c r="E3470" s="37"/>
      <c r="F3470" s="45"/>
      <c r="K3470" s="3" t="s">
        <v>5242</v>
      </c>
    </row>
    <row r="3471" spans="1:38" ht="18.399999999999999" customHeight="1">
      <c r="A3471" s="41" t="s">
        <v>6232</v>
      </c>
      <c r="B3471" s="37"/>
      <c r="C3471" s="37"/>
      <c r="D3471" s="37"/>
      <c r="E3471" s="37"/>
      <c r="F3471" s="45"/>
      <c r="K3471" s="3" t="s">
        <v>6232</v>
      </c>
    </row>
    <row r="3472" spans="1:38" ht="18.399999999999999" customHeight="1">
      <c r="A3472" s="42" t="str">
        <f>CONCATENATE("    1일 이동 재료비:  (MA1+MA2)*0.008=",TEXT($AB3472,"#,##0.0"),"  원/km ")</f>
        <v xml:space="preserve">    1일 이동 재료비:  (MA1+MA2)*0.008=1,393.4  원/km </v>
      </c>
      <c r="B3472" s="37">
        <f>SUM($C3472,$D3472,$E3472)</f>
        <v>1393.4</v>
      </c>
      <c r="C3472" s="37">
        <f>$AB3472</f>
        <v>1393.4</v>
      </c>
      <c r="D3472" s="37"/>
      <c r="E3472" s="37"/>
      <c r="F3472" s="45"/>
      <c r="K3472" s="3" t="s">
        <v>5255</v>
      </c>
      <c r="AA3472" s="40" t="s">
        <v>308</v>
      </c>
      <c r="AB3472" s="8">
        <f>TRUNC(($AD3456+$AD3465)*0.008,1)</f>
        <v>1393.4</v>
      </c>
      <c r="AC3472" s="40" t="s">
        <v>5000</v>
      </c>
      <c r="AD3472" s="7">
        <f>$AB3472</f>
        <v>1393.4</v>
      </c>
    </row>
    <row r="3473" spans="1:38" ht="18.399999999999999" customHeight="1">
      <c r="A3473" s="41" t="s">
        <v>6232</v>
      </c>
      <c r="B3473" s="37"/>
      <c r="C3473" s="37"/>
      <c r="D3473" s="37"/>
      <c r="E3473" s="37"/>
      <c r="F3473" s="45"/>
      <c r="K3473" s="3" t="s">
        <v>6232</v>
      </c>
    </row>
    <row r="3474" spans="1:38" ht="18.399999999999999" customHeight="1">
      <c r="A3474" s="42" t="str">
        <f>CONCATENATE("    1일 이동 경비:  EQ1*0.008=",TEXT($AB3474,"#,##0.0"),"  원/km ")</f>
        <v xml:space="preserve">    1일 이동 경비:  EQ1*0.008=9,461.1  원/km </v>
      </c>
      <c r="B3474" s="37">
        <f>SUM($C3474,$D3474,$E3474)</f>
        <v>9461.1</v>
      </c>
      <c r="C3474" s="37"/>
      <c r="D3474" s="37"/>
      <c r="E3474" s="37">
        <f>$AB3474</f>
        <v>9461.1</v>
      </c>
      <c r="F3474" s="45"/>
      <c r="K3474" s="3" t="s">
        <v>4457</v>
      </c>
      <c r="AA3474" s="40" t="s">
        <v>5878</v>
      </c>
      <c r="AB3474" s="8">
        <f>TRUNC($AD3454*0.008,1)</f>
        <v>9461.1</v>
      </c>
      <c r="AC3474" s="40" t="s">
        <v>787</v>
      </c>
      <c r="AD3474" s="7">
        <f>$AB3474</f>
        <v>9461.1</v>
      </c>
    </row>
    <row r="3475" spans="1:38" ht="18.399999999999999" customHeight="1">
      <c r="A3475" s="41" t="s">
        <v>6232</v>
      </c>
      <c r="B3475" s="37"/>
      <c r="C3475" s="37"/>
      <c r="D3475" s="37"/>
      <c r="E3475" s="37"/>
      <c r="F3475" s="45"/>
      <c r="K3475" s="3" t="s">
        <v>6232</v>
      </c>
    </row>
    <row r="3476" spans="1:38" ht="18.399999999999999" customHeight="1">
      <c r="A3476" s="41" t="s">
        <v>6232</v>
      </c>
      <c r="B3476" s="37"/>
      <c r="C3476" s="37"/>
      <c r="D3476" s="37"/>
      <c r="E3476" s="37"/>
      <c r="F3476" s="45"/>
      <c r="K3476" s="3" t="s">
        <v>6232</v>
      </c>
    </row>
    <row r="3477" spans="1:38" ht="18.399999999999999" customHeight="1">
      <c r="A3477" s="41" t="s">
        <v>4035</v>
      </c>
      <c r="B3477" s="37">
        <f>SUM($C3477,$D3477,$E3477)</f>
        <v>10854.5</v>
      </c>
      <c r="C3477" s="37">
        <f>$AB3477</f>
        <v>1393.4</v>
      </c>
      <c r="D3477" s="37">
        <f>$AF3477</f>
        <v>0</v>
      </c>
      <c r="E3477" s="37">
        <f>$AJ3477</f>
        <v>9461.1</v>
      </c>
      <c r="F3477" s="45"/>
      <c r="K3477" s="3" t="s">
        <v>2880</v>
      </c>
      <c r="AA3477" s="40" t="s">
        <v>4592</v>
      </c>
      <c r="AB3477" s="8">
        <f>TRUNC($AD3472,1)</f>
        <v>1393.4</v>
      </c>
      <c r="AC3477" s="40" t="s">
        <v>5149</v>
      </c>
      <c r="AD3477" s="7">
        <f>$AB3477</f>
        <v>1393.4</v>
      </c>
      <c r="AE3477" s="40" t="s">
        <v>666</v>
      </c>
      <c r="AF3477" s="8">
        <f>TRUNC($AH3469,1)</f>
        <v>0</v>
      </c>
      <c r="AG3477" s="40" t="s">
        <v>2431</v>
      </c>
      <c r="AH3477" s="7">
        <f>$AF3477</f>
        <v>0</v>
      </c>
      <c r="AI3477" s="40" t="s">
        <v>1930</v>
      </c>
      <c r="AJ3477" s="8">
        <f>TRUNC($AD3474,1)</f>
        <v>9461.1</v>
      </c>
      <c r="AK3477" s="40" t="s">
        <v>3349</v>
      </c>
      <c r="AL3477" s="7">
        <f>$AJ3477</f>
        <v>9461.1</v>
      </c>
    </row>
    <row r="3478" spans="1:38" ht="18.399999999999999" customHeight="1">
      <c r="A3478" s="41" t="s">
        <v>6232</v>
      </c>
      <c r="B3478" s="37"/>
      <c r="C3478" s="37"/>
      <c r="D3478" s="37"/>
      <c r="E3478" s="37"/>
      <c r="F3478" s="45"/>
      <c r="K3478" s="3" t="s">
        <v>6232</v>
      </c>
    </row>
    <row r="3479" spans="1:38" ht="18.399999999999999" customHeight="1">
      <c r="A3479" s="41" t="s">
        <v>6232</v>
      </c>
      <c r="B3479" s="37"/>
      <c r="C3479" s="37"/>
      <c r="D3479" s="37"/>
      <c r="E3479" s="37"/>
      <c r="F3479" s="45"/>
      <c r="K3479" s="3" t="s">
        <v>6232</v>
      </c>
    </row>
    <row r="3480" spans="1:38" ht="18.399999999999999" customHeight="1">
      <c r="A3480" s="41"/>
      <c r="B3480" s="3"/>
      <c r="C3480" s="3"/>
      <c r="D3480" s="3"/>
      <c r="E3480" s="3"/>
      <c r="F3480" s="44"/>
    </row>
    <row r="3481" spans="1:38" ht="18.399999999999999" customHeight="1">
      <c r="A3481" s="43" t="s">
        <v>3543</v>
      </c>
      <c r="B3481" s="38">
        <f>SUM($C3481,$D3481,$E3481)</f>
        <v>10854</v>
      </c>
      <c r="C3481" s="38">
        <f>TRUNC(SUM($AD3477),0)</f>
        <v>1393</v>
      </c>
      <c r="D3481" s="38">
        <f>TRUNC(SUM($AH3477),0)</f>
        <v>0</v>
      </c>
      <c r="E3481" s="38">
        <f>TRUNC(SUM($AL3477),0)</f>
        <v>9461</v>
      </c>
      <c r="F3481" s="46"/>
    </row>
    <row r="3482" spans="1:38" ht="18.399999999999999" customHeight="1">
      <c r="A3482" s="41"/>
      <c r="B3482" s="3"/>
      <c r="C3482" s="3"/>
      <c r="D3482" s="3"/>
      <c r="E3482" s="3"/>
      <c r="F3482" s="44"/>
    </row>
    <row r="3483" spans="1:38" ht="18.399999999999999" customHeight="1">
      <c r="A3483" s="41" t="s">
        <v>3488</v>
      </c>
      <c r="B3483" s="36">
        <f>$B3505</f>
        <v>6726</v>
      </c>
      <c r="C3483" s="36">
        <f>$C3505</f>
        <v>0</v>
      </c>
      <c r="D3483" s="36">
        <f>$D3505</f>
        <v>0</v>
      </c>
      <c r="E3483" s="36">
        <f>$E3505</f>
        <v>6726</v>
      </c>
      <c r="F3483" s="44" t="s">
        <v>6232</v>
      </c>
      <c r="G3483" t="s">
        <v>6232</v>
      </c>
      <c r="H3483" t="s">
        <v>2798</v>
      </c>
      <c r="K3483">
        <v>1</v>
      </c>
      <c r="Y3483" s="7" t="b">
        <f>EXACT($Z3483,$B3505)</f>
        <v>1</v>
      </c>
      <c r="Z3483" s="38">
        <v>6726</v>
      </c>
    </row>
    <row r="3484" spans="1:38" ht="18.399999999999999" customHeight="1">
      <c r="A3484" s="41"/>
      <c r="B3484" s="3"/>
      <c r="C3484" s="3"/>
      <c r="D3484" s="3"/>
      <c r="E3484" s="3"/>
      <c r="F3484" s="44"/>
    </row>
    <row r="3485" spans="1:38" ht="18.399999999999999" customHeight="1">
      <c r="A3485" s="41" t="s">
        <v>6232</v>
      </c>
      <c r="B3485" s="3"/>
      <c r="C3485" s="3"/>
      <c r="D3485" s="3"/>
      <c r="E3485" s="3"/>
      <c r="F3485" s="44"/>
      <c r="G3485" t="s">
        <v>6232</v>
      </c>
      <c r="I3485" t="s">
        <v>637</v>
      </c>
      <c r="J3485" t="s">
        <v>6232</v>
      </c>
      <c r="K3485" t="s">
        <v>5235</v>
      </c>
    </row>
    <row r="3486" spans="1:38" ht="18.399999999999999" customHeight="1">
      <c r="A3486" s="41" t="s">
        <v>1790</v>
      </c>
      <c r="B3486" s="37"/>
      <c r="C3486" s="37"/>
      <c r="D3486" s="37"/>
      <c r="E3486" s="37"/>
      <c r="F3486" s="45"/>
      <c r="K3486" s="3" t="s">
        <v>2179</v>
      </c>
    </row>
    <row r="3487" spans="1:38" ht="18.399999999999999" customHeight="1">
      <c r="A3487" s="41" t="s">
        <v>5741</v>
      </c>
      <c r="B3487" s="37"/>
      <c r="C3487" s="37"/>
      <c r="D3487" s="37"/>
      <c r="E3487" s="37"/>
      <c r="F3487" s="45"/>
      <c r="K3487" s="3" t="s">
        <v>2014</v>
      </c>
    </row>
    <row r="3488" spans="1:38" ht="18.399999999999999" customHeight="1">
      <c r="A3488" s="42" t="str">
        <f>CONCATENATE(" - 상각률 :  s=",TEXT($AB3488,"#,##0.0"))</f>
        <v xml:space="preserve"> - 상각률 :  s=0.9</v>
      </c>
      <c r="B3488" s="37"/>
      <c r="C3488" s="37"/>
      <c r="D3488" s="37"/>
      <c r="E3488" s="37"/>
      <c r="F3488" s="45"/>
      <c r="K3488" s="10" t="str">
        <f>SUBSTITUTE(SUBSTITUTE("_x001D_- 상각률 :_x001D_ s = 0.9","0.9",TEXT($AB3488,"#,##0.0"),1),"_x001D_","'")</f>
        <v>'- 상각률 :' s = 0.9</v>
      </c>
      <c r="AA3488" s="39" t="s">
        <v>1379</v>
      </c>
      <c r="AB3488" s="6">
        <v>0.9</v>
      </c>
      <c r="AC3488" s="39" t="s">
        <v>1379</v>
      </c>
      <c r="AD3488" s="7">
        <f>$AB3488</f>
        <v>0.9</v>
      </c>
    </row>
    <row r="3489" spans="1:38" ht="18.399999999999999" customHeight="1">
      <c r="A3489" s="42" t="str">
        <f>CONCATENATE(" - 상각년수 :  n=",TEXT($AB3489,"#,##0.00"))</f>
        <v xml:space="preserve"> - 상각년수 :  n=5.00</v>
      </c>
      <c r="B3489" s="37"/>
      <c r="C3489" s="37"/>
      <c r="D3489" s="37"/>
      <c r="E3489" s="37"/>
      <c r="F3489" s="45"/>
      <c r="K3489" s="10" t="str">
        <f>SUBSTITUTE(SUBSTITUTE("_x001D_- 상각년수 :_x001D_ n = 5","5",TEXT($AB3489,"#,##0"),1),"_x001D_","'")</f>
        <v>'- 상각년수 :' n = 5</v>
      </c>
      <c r="AA3489" s="39" t="s">
        <v>2949</v>
      </c>
      <c r="AB3489" s="6">
        <v>5</v>
      </c>
      <c r="AC3489" s="39" t="s">
        <v>2949</v>
      </c>
      <c r="AD3489" s="7">
        <f>$AB3489</f>
        <v>5</v>
      </c>
    </row>
    <row r="3490" spans="1:38" ht="18.399999999999999" customHeight="1">
      <c r="A3490" s="42" t="str">
        <f>CONCATENATE(" - 년간정비율 :  g=",TEXT($AB3490,"#,##0.0"))</f>
        <v xml:space="preserve"> - 년간정비율 :  g=0.1</v>
      </c>
      <c r="B3490" s="37"/>
      <c r="C3490" s="37"/>
      <c r="D3490" s="37"/>
      <c r="E3490" s="37"/>
      <c r="F3490" s="45"/>
      <c r="K3490" s="10" t="str">
        <f>SUBSTITUTE(SUBSTITUTE("_x001D_- 년간정비율 :_x001D_ g = 0.1","0.1",TEXT($AB3490,"#,##0.0"),1),"_x001D_","'")</f>
        <v>'- 년간정비율 :' g = 0.1</v>
      </c>
      <c r="AA3490" s="39" t="s">
        <v>5854</v>
      </c>
      <c r="AB3490" s="6">
        <v>0.1</v>
      </c>
      <c r="AC3490" s="39" t="s">
        <v>5854</v>
      </c>
      <c r="AD3490" s="7">
        <f>$AB3490</f>
        <v>0.1</v>
      </c>
    </row>
    <row r="3491" spans="1:38" ht="18.399999999999999" customHeight="1">
      <c r="A3491" s="42" t="str">
        <f>CONCATENATE(" - 년간사용일 :  d=",TEXT($AB3491,"#,##0.00"),"  일(상각비) , d2=",TEXT($AF3491,"#,##0.00"),"  일(정비비)")</f>
        <v xml:space="preserve"> - 년간사용일 :  d=278.00  일(상각비) , d2=365.00  일(정비비)</v>
      </c>
      <c r="B3491" s="37"/>
      <c r="C3491" s="37"/>
      <c r="D3491" s="37"/>
      <c r="E3491" s="37"/>
      <c r="F3491" s="45"/>
      <c r="K3491" s="10" t="str">
        <f>SUBSTITUTE(SUBSTITUTE(SUBSTITUTE("_x001D_- 년간사용일 :_x001D_ d = 278 _x001D_일(상각비)_x001D_, d2 = 365 _x001D_일(정비비)_x001D_","278",TEXT($AB3491,"#,##0"),1),"365",TEXT($AF3491,"#,##0"),1),"_x001D_","'")</f>
        <v>'- 년간사용일 :' d = 278 '일(상각비)', d2 = 365 '일(정비비)'</v>
      </c>
      <c r="AA3491" s="39" t="s">
        <v>759</v>
      </c>
      <c r="AB3491" s="6">
        <v>278</v>
      </c>
      <c r="AC3491" s="39" t="s">
        <v>759</v>
      </c>
      <c r="AD3491" s="7">
        <f>$AB3491</f>
        <v>278</v>
      </c>
      <c r="AE3491" s="39" t="s">
        <v>5233</v>
      </c>
      <c r="AF3491" s="6">
        <v>365</v>
      </c>
      <c r="AG3491" s="39" t="s">
        <v>5233</v>
      </c>
      <c r="AH3491" s="7">
        <f>$AF3491</f>
        <v>365</v>
      </c>
    </row>
    <row r="3492" spans="1:38" ht="18.399999999999999" customHeight="1">
      <c r="A3492" s="41" t="s">
        <v>6232</v>
      </c>
      <c r="B3492" s="37"/>
      <c r="C3492" s="37"/>
      <c r="D3492" s="37"/>
      <c r="E3492" s="37"/>
      <c r="F3492" s="45"/>
      <c r="K3492" s="3" t="s">
        <v>6232</v>
      </c>
    </row>
    <row r="3493" spans="1:38" ht="18.399999999999999" customHeight="1">
      <c r="A3493" s="41" t="s">
        <v>6232</v>
      </c>
      <c r="B3493" s="37">
        <f>SUM($C3493,$D3493,$E3493)</f>
        <v>0</v>
      </c>
      <c r="C3493" s="37">
        <f>$AB3493</f>
        <v>0</v>
      </c>
      <c r="D3493" s="37">
        <f>$AF3493</f>
        <v>0</v>
      </c>
      <c r="E3493" s="37">
        <f>$AJ3493</f>
        <v>0</v>
      </c>
      <c r="F3493" s="45"/>
      <c r="K3493" s="3" t="s">
        <v>295</v>
      </c>
      <c r="AA3493" s="40" t="s">
        <v>2660</v>
      </c>
      <c r="AB3493" s="8">
        <f>ROUND(0,2)</f>
        <v>0</v>
      </c>
      <c r="AC3493" s="40" t="s">
        <v>1650</v>
      </c>
      <c r="AD3493" s="7">
        <f>$AB3493</f>
        <v>0</v>
      </c>
      <c r="AE3493" s="40" t="s">
        <v>5305</v>
      </c>
      <c r="AF3493" s="8">
        <f>ROUND(0,2)</f>
        <v>0</v>
      </c>
      <c r="AG3493" s="40" t="s">
        <v>5439</v>
      </c>
      <c r="AH3493" s="7">
        <f>$AF3493</f>
        <v>0</v>
      </c>
      <c r="AI3493" s="40" t="s">
        <v>3519</v>
      </c>
      <c r="AJ3493" s="8">
        <f>ROUND(0,2)</f>
        <v>0</v>
      </c>
      <c r="AK3493" s="40" t="s">
        <v>4149</v>
      </c>
      <c r="AL3493" s="7">
        <f>$AJ3493</f>
        <v>0</v>
      </c>
    </row>
    <row r="3494" spans="1:38" ht="18.399999999999999" customHeight="1">
      <c r="A3494" s="41" t="s">
        <v>4965</v>
      </c>
      <c r="B3494" s="37"/>
      <c r="C3494" s="37"/>
      <c r="D3494" s="37"/>
      <c r="E3494" s="37"/>
      <c r="F3494" s="45"/>
      <c r="K3494" s="3" t="s">
        <v>5721</v>
      </c>
    </row>
    <row r="3495" spans="1:38" ht="18.399999999999999" customHeight="1">
      <c r="A3495" s="41" t="s">
        <v>6232</v>
      </c>
      <c r="B3495" s="37"/>
      <c r="C3495" s="37"/>
      <c r="D3495" s="37"/>
      <c r="E3495" s="37"/>
      <c r="F3495" s="45"/>
      <c r="K3495" s="3" t="s">
        <v>6232</v>
      </c>
    </row>
    <row r="3496" spans="1:38" ht="18.399999999999999" customHeight="1">
      <c r="A3496" s="42" t="str">
        <f>CONCATENATE("     상각비:  (_x001D_7,300,000_x001D_ * s ) / ( n * d ) =",TEXT($AB3496,"#,##0.0")," 원/일 ")</f>
        <v xml:space="preserve">     상각비:  (_x001D_7,300,000_x001D_ * s ) / ( n * d ) =4,726.6 원/일 </v>
      </c>
      <c r="B3496" s="37">
        <f>SUM($C3496,$D3496,$E3496)</f>
        <v>4726.6000000000004</v>
      </c>
      <c r="C3496" s="37"/>
      <c r="D3496" s="37"/>
      <c r="E3496" s="37">
        <f>$AB3496</f>
        <v>4726.6000000000004</v>
      </c>
      <c r="F3496" s="45" t="s">
        <v>6232</v>
      </c>
      <c r="K3496" s="3" t="s">
        <v>1095</v>
      </c>
      <c r="AA3496" s="40" t="s">
        <v>3519</v>
      </c>
      <c r="AB3496" s="8">
        <f>TRUNC((자재조서!E736*$AD3488)/($AD3489*$AD3491),1)</f>
        <v>4726.6000000000004</v>
      </c>
      <c r="AC3496" s="40" t="s">
        <v>4149</v>
      </c>
      <c r="AD3496" s="7">
        <f>$AB3496</f>
        <v>4726.6000000000004</v>
      </c>
    </row>
    <row r="3497" spans="1:38" ht="18.399999999999999" customHeight="1">
      <c r="A3497" s="41" t="s">
        <v>6232</v>
      </c>
      <c r="B3497" s="37"/>
      <c r="C3497" s="37"/>
      <c r="D3497" s="37"/>
      <c r="E3497" s="37"/>
      <c r="F3497" s="45"/>
      <c r="K3497" s="3" t="s">
        <v>6232</v>
      </c>
    </row>
    <row r="3498" spans="1:38" ht="18.399999999999999" customHeight="1">
      <c r="A3498" s="42" t="str">
        <f>CONCATENATE("     정비비:  (_x001D_7,300,000_x001D_ * g ) / d2 =",TEXT($AB3498,"#,##0.0")," 원/일 ")</f>
        <v xml:space="preserve">     정비비:  (_x001D_7,300,000_x001D_ * g ) / d2 =2,000.0 원/일 </v>
      </c>
      <c r="B3498" s="37">
        <f>SUM($C3498,$D3498,$E3498)</f>
        <v>2000</v>
      </c>
      <c r="C3498" s="37"/>
      <c r="D3498" s="37"/>
      <c r="E3498" s="37">
        <f>$AB3498</f>
        <v>2000</v>
      </c>
      <c r="F3498" s="45" t="s">
        <v>6232</v>
      </c>
      <c r="K3498" s="3" t="s">
        <v>4574</v>
      </c>
      <c r="AA3498" s="40" t="s">
        <v>3519</v>
      </c>
      <c r="AB3498" s="8">
        <f>TRUNC((자재조서!E736*$AD3490)/$AH3491,1)</f>
        <v>2000</v>
      </c>
      <c r="AC3498" s="40" t="s">
        <v>4149</v>
      </c>
      <c r="AD3498" s="7">
        <f>$AD3496+$AB3498</f>
        <v>6726.6</v>
      </c>
    </row>
    <row r="3499" spans="1:38" ht="18.399999999999999" customHeight="1">
      <c r="A3499" s="41" t="s">
        <v>6232</v>
      </c>
      <c r="B3499" s="37"/>
      <c r="C3499" s="37"/>
      <c r="D3499" s="37"/>
      <c r="E3499" s="37"/>
      <c r="F3499" s="45"/>
      <c r="K3499" s="3" t="s">
        <v>6232</v>
      </c>
    </row>
    <row r="3500" spans="1:38" ht="18.399999999999999" customHeight="1">
      <c r="A3500" s="41" t="s">
        <v>6232</v>
      </c>
      <c r="B3500" s="37"/>
      <c r="C3500" s="37"/>
      <c r="D3500" s="37"/>
      <c r="E3500" s="37"/>
      <c r="F3500" s="45"/>
      <c r="K3500" s="3" t="s">
        <v>6232</v>
      </c>
    </row>
    <row r="3501" spans="1:38" ht="18.399999999999999" customHeight="1">
      <c r="A3501" s="41" t="s">
        <v>3436</v>
      </c>
      <c r="B3501" s="37">
        <f>SUM($C3501,$D3501,$E3501)</f>
        <v>6726.6</v>
      </c>
      <c r="C3501" s="37">
        <f>$AB3501</f>
        <v>0</v>
      </c>
      <c r="D3501" s="37">
        <f>$AF3501</f>
        <v>0</v>
      </c>
      <c r="E3501" s="37">
        <f>$AJ3501</f>
        <v>6726.6</v>
      </c>
      <c r="F3501" s="45"/>
      <c r="K3501" s="3" t="s">
        <v>5884</v>
      </c>
      <c r="AA3501" s="40" t="s">
        <v>4592</v>
      </c>
      <c r="AB3501" s="8">
        <f>TRUNC($AD3493,1)</f>
        <v>0</v>
      </c>
      <c r="AC3501" s="40" t="s">
        <v>5149</v>
      </c>
      <c r="AD3501" s="7">
        <f>$AB3501</f>
        <v>0</v>
      </c>
      <c r="AE3501" s="40" t="s">
        <v>666</v>
      </c>
      <c r="AF3501" s="8">
        <f>TRUNC($AH3493,1)</f>
        <v>0</v>
      </c>
      <c r="AG3501" s="40" t="s">
        <v>2431</v>
      </c>
      <c r="AH3501" s="7">
        <f>$AF3501</f>
        <v>0</v>
      </c>
      <c r="AI3501" s="40" t="s">
        <v>1930</v>
      </c>
      <c r="AJ3501" s="8">
        <f>TRUNC($AD3498,1)</f>
        <v>6726.6</v>
      </c>
      <c r="AK3501" s="40" t="s">
        <v>3349</v>
      </c>
      <c r="AL3501" s="7">
        <f>$AJ3501</f>
        <v>6726.6</v>
      </c>
    </row>
    <row r="3502" spans="1:38" ht="18.399999999999999" customHeight="1">
      <c r="A3502" s="41" t="s">
        <v>6232</v>
      </c>
      <c r="B3502" s="37"/>
      <c r="C3502" s="37"/>
      <c r="D3502" s="37"/>
      <c r="E3502" s="37"/>
      <c r="F3502" s="45"/>
      <c r="K3502" s="3" t="s">
        <v>6232</v>
      </c>
    </row>
    <row r="3503" spans="1:38" ht="18.399999999999999" customHeight="1">
      <c r="A3503" s="41" t="s">
        <v>6232</v>
      </c>
      <c r="B3503" s="37"/>
      <c r="C3503" s="37"/>
      <c r="D3503" s="37"/>
      <c r="E3503" s="37"/>
      <c r="F3503" s="45"/>
      <c r="K3503" s="3" t="s">
        <v>6232</v>
      </c>
    </row>
    <row r="3504" spans="1:38" ht="18.399999999999999" customHeight="1">
      <c r="A3504" s="41"/>
      <c r="B3504" s="3"/>
      <c r="C3504" s="3"/>
      <c r="D3504" s="3"/>
      <c r="E3504" s="3"/>
      <c r="F3504" s="44"/>
    </row>
    <row r="3505" spans="1:38" ht="18.399999999999999" customHeight="1">
      <c r="A3505" s="43" t="s">
        <v>3543</v>
      </c>
      <c r="B3505" s="38">
        <f>SUM($C3505,$D3505,$E3505)</f>
        <v>6726</v>
      </c>
      <c r="C3505" s="38">
        <f>TRUNC(SUM($AD3501),0)</f>
        <v>0</v>
      </c>
      <c r="D3505" s="38">
        <f>TRUNC(SUM($AH3501),0)</f>
        <v>0</v>
      </c>
      <c r="E3505" s="38">
        <f>TRUNC(SUM($AL3501),0)</f>
        <v>6726</v>
      </c>
      <c r="F3505" s="46"/>
    </row>
    <row r="3506" spans="1:38" ht="18.399999999999999" customHeight="1">
      <c r="A3506" s="41"/>
      <c r="B3506" s="3"/>
      <c r="C3506" s="3"/>
      <c r="D3506" s="3"/>
      <c r="E3506" s="3"/>
      <c r="F3506" s="44"/>
    </row>
    <row r="3507" spans="1:38" ht="18.399999999999999" customHeight="1">
      <c r="A3507" s="41" t="s">
        <v>6113</v>
      </c>
      <c r="B3507" s="36">
        <f>$B3523</f>
        <v>21100</v>
      </c>
      <c r="C3507" s="36">
        <f>$C3523</f>
        <v>21100</v>
      </c>
      <c r="D3507" s="36">
        <f>$D3523</f>
        <v>0</v>
      </c>
      <c r="E3507" s="36">
        <f>$E3523</f>
        <v>0</v>
      </c>
      <c r="F3507" s="44" t="s">
        <v>6232</v>
      </c>
      <c r="G3507" t="s">
        <v>6232</v>
      </c>
      <c r="H3507" t="s">
        <v>5005</v>
      </c>
      <c r="K3507">
        <v>1</v>
      </c>
      <c r="Y3507" s="7" t="b">
        <f>EXACT($Z3507,$B3523)</f>
        <v>1</v>
      </c>
      <c r="Z3507" s="38">
        <v>21100</v>
      </c>
    </row>
    <row r="3508" spans="1:38" ht="18.399999999999999" customHeight="1">
      <c r="A3508" s="41"/>
      <c r="B3508" s="3"/>
      <c r="C3508" s="3"/>
      <c r="D3508" s="3"/>
      <c r="E3508" s="3"/>
      <c r="F3508" s="44"/>
    </row>
    <row r="3509" spans="1:38" ht="18.399999999999999" customHeight="1">
      <c r="A3509" s="41" t="s">
        <v>6232</v>
      </c>
      <c r="B3509" s="3"/>
      <c r="C3509" s="3"/>
      <c r="D3509" s="3"/>
      <c r="E3509" s="3"/>
      <c r="F3509" s="44"/>
      <c r="G3509" t="s">
        <v>6232</v>
      </c>
      <c r="I3509" t="s">
        <v>742</v>
      </c>
      <c r="J3509" t="s">
        <v>6232</v>
      </c>
      <c r="K3509" t="s">
        <v>5235</v>
      </c>
    </row>
    <row r="3510" spans="1:38" ht="18.399999999999999" customHeight="1">
      <c r="A3510" s="41" t="s">
        <v>1931</v>
      </c>
      <c r="B3510" s="37"/>
      <c r="C3510" s="37"/>
      <c r="D3510" s="37"/>
      <c r="E3510" s="37"/>
      <c r="F3510" s="45"/>
      <c r="K3510" s="3" t="s">
        <v>4366</v>
      </c>
    </row>
    <row r="3511" spans="1:38" ht="18.399999999999999" customHeight="1">
      <c r="A3511" s="41" t="s">
        <v>6232</v>
      </c>
      <c r="B3511" s="37"/>
      <c r="C3511" s="37"/>
      <c r="D3511" s="37"/>
      <c r="E3511" s="37"/>
      <c r="F3511" s="45"/>
      <c r="K3511" s="3" t="s">
        <v>6232</v>
      </c>
    </row>
    <row r="3512" spans="1:38" ht="18.399999999999999" customHeight="1">
      <c r="A3512" s="41" t="s">
        <v>6232</v>
      </c>
      <c r="B3512" s="37">
        <f>SUM($C3512,$D3512,$E3512)</f>
        <v>0</v>
      </c>
      <c r="C3512" s="37">
        <f>$AB3512</f>
        <v>0</v>
      </c>
      <c r="D3512" s="37">
        <f>$AF3512</f>
        <v>0</v>
      </c>
      <c r="E3512" s="37">
        <f>$AJ3512</f>
        <v>0</v>
      </c>
      <c r="F3512" s="45"/>
      <c r="K3512" s="3" t="s">
        <v>295</v>
      </c>
      <c r="AA3512" s="40" t="s">
        <v>2660</v>
      </c>
      <c r="AB3512" s="8">
        <f>ROUND(0,2)</f>
        <v>0</v>
      </c>
      <c r="AC3512" s="40" t="s">
        <v>1650</v>
      </c>
      <c r="AD3512" s="7">
        <f>$AB3512</f>
        <v>0</v>
      </c>
      <c r="AE3512" s="40" t="s">
        <v>5305</v>
      </c>
      <c r="AF3512" s="8">
        <f>ROUND(0,2)</f>
        <v>0</v>
      </c>
      <c r="AG3512" s="40" t="s">
        <v>5439</v>
      </c>
      <c r="AH3512" s="7">
        <f>$AF3512</f>
        <v>0</v>
      </c>
      <c r="AI3512" s="40" t="s">
        <v>3519</v>
      </c>
      <c r="AJ3512" s="8">
        <f>ROUND(0,2)</f>
        <v>0</v>
      </c>
      <c r="AK3512" s="40" t="s">
        <v>4149</v>
      </c>
      <c r="AL3512" s="7">
        <f>$AJ3512</f>
        <v>0</v>
      </c>
    </row>
    <row r="3513" spans="1:38" ht="18.399999999999999" customHeight="1">
      <c r="A3513" s="41" t="s">
        <v>3759</v>
      </c>
      <c r="B3513" s="37"/>
      <c r="C3513" s="37"/>
      <c r="D3513" s="37"/>
      <c r="E3513" s="37"/>
      <c r="F3513" s="45"/>
      <c r="K3513" s="3" t="s">
        <v>6040</v>
      </c>
    </row>
    <row r="3514" spans="1:38" ht="18.399999999999999" customHeight="1">
      <c r="A3514" s="41" t="s">
        <v>6232</v>
      </c>
      <c r="B3514" s="37"/>
      <c r="C3514" s="37"/>
      <c r="D3514" s="37"/>
      <c r="E3514" s="37"/>
      <c r="F3514" s="45"/>
      <c r="K3514" s="3" t="s">
        <v>6232</v>
      </c>
    </row>
    <row r="3515" spans="1:38" ht="18.399999999999999" customHeight="1">
      <c r="A3515" s="42" t="str">
        <f>CONCATENATE("     수소+질소:  (_x001D_24,000_x001D_ + _x001D_18,200_x001D_ ) / ( 2 ) =",TEXT($AB3515,"#,##0.0")," 원/병 ")</f>
        <v xml:space="preserve">     수소+질소:  (_x001D_24,000_x001D_ + _x001D_18,200_x001D_ ) / ( 2 ) =21,100.0 원/병 </v>
      </c>
      <c r="B3515" s="37">
        <f>SUM($C3515,$D3515,$E3515)</f>
        <v>21100</v>
      </c>
      <c r="C3515" s="37">
        <f>$AB3515</f>
        <v>21100</v>
      </c>
      <c r="D3515" s="37"/>
      <c r="E3515" s="37"/>
      <c r="F3515" s="45" t="s">
        <v>6232</v>
      </c>
      <c r="K3515" s="3" t="s">
        <v>6018</v>
      </c>
      <c r="AA3515" s="40" t="s">
        <v>2660</v>
      </c>
      <c r="AB3515" s="8">
        <f>TRUNC((자재조서!E734+자재조서!E735)/(2),1)</f>
        <v>21100</v>
      </c>
      <c r="AC3515" s="40" t="s">
        <v>1650</v>
      </c>
      <c r="AD3515" s="7">
        <f>$AB3515</f>
        <v>21100</v>
      </c>
    </row>
    <row r="3516" spans="1:38" ht="18.399999999999999" customHeight="1">
      <c r="A3516" s="41" t="s">
        <v>6232</v>
      </c>
      <c r="B3516" s="37"/>
      <c r="C3516" s="37"/>
      <c r="D3516" s="37"/>
      <c r="E3516" s="37"/>
      <c r="F3516" s="45"/>
      <c r="K3516" s="3" t="s">
        <v>6232</v>
      </c>
    </row>
    <row r="3517" spans="1:38" ht="18.399999999999999" customHeight="1">
      <c r="A3517" s="41" t="s">
        <v>6232</v>
      </c>
      <c r="B3517" s="37"/>
      <c r="C3517" s="37"/>
      <c r="D3517" s="37"/>
      <c r="E3517" s="37"/>
      <c r="F3517" s="45"/>
      <c r="K3517" s="3" t="s">
        <v>6232</v>
      </c>
    </row>
    <row r="3518" spans="1:38" ht="18.399999999999999" customHeight="1">
      <c r="A3518" s="41" t="s">
        <v>6232</v>
      </c>
      <c r="B3518" s="37"/>
      <c r="C3518" s="37"/>
      <c r="D3518" s="37"/>
      <c r="E3518" s="37"/>
      <c r="F3518" s="45"/>
      <c r="K3518" s="3" t="s">
        <v>6232</v>
      </c>
    </row>
    <row r="3519" spans="1:38" ht="18.399999999999999" customHeight="1">
      <c r="A3519" s="41" t="s">
        <v>3436</v>
      </c>
      <c r="B3519" s="37">
        <f>SUM($C3519,$D3519,$E3519)</f>
        <v>21100</v>
      </c>
      <c r="C3519" s="37">
        <f>$AB3519</f>
        <v>21100</v>
      </c>
      <c r="D3519" s="37">
        <f>$AF3519</f>
        <v>0</v>
      </c>
      <c r="E3519" s="37">
        <f>$AJ3519</f>
        <v>0</v>
      </c>
      <c r="F3519" s="45"/>
      <c r="K3519" s="3" t="s">
        <v>5884</v>
      </c>
      <c r="AA3519" s="40" t="s">
        <v>4592</v>
      </c>
      <c r="AB3519" s="8">
        <f>TRUNC($AD3515,1)</f>
        <v>21100</v>
      </c>
      <c r="AC3519" s="40" t="s">
        <v>5149</v>
      </c>
      <c r="AD3519" s="7">
        <f>$AB3519</f>
        <v>21100</v>
      </c>
      <c r="AE3519" s="40" t="s">
        <v>666</v>
      </c>
      <c r="AF3519" s="8">
        <f>TRUNC($AH3512,1)</f>
        <v>0</v>
      </c>
      <c r="AG3519" s="40" t="s">
        <v>2431</v>
      </c>
      <c r="AH3519" s="7">
        <f>$AF3519</f>
        <v>0</v>
      </c>
      <c r="AI3519" s="40" t="s">
        <v>1930</v>
      </c>
      <c r="AJ3519" s="8">
        <f>TRUNC($AL3512,1)</f>
        <v>0</v>
      </c>
      <c r="AK3519" s="40" t="s">
        <v>3349</v>
      </c>
      <c r="AL3519" s="7">
        <f>$AJ3519</f>
        <v>0</v>
      </c>
    </row>
    <row r="3520" spans="1:38" ht="18.399999999999999" customHeight="1">
      <c r="A3520" s="41" t="s">
        <v>6232</v>
      </c>
      <c r="B3520" s="37"/>
      <c r="C3520" s="37"/>
      <c r="D3520" s="37"/>
      <c r="E3520" s="37"/>
      <c r="F3520" s="45"/>
      <c r="K3520" s="3" t="s">
        <v>6232</v>
      </c>
    </row>
    <row r="3521" spans="1:38" ht="18.399999999999999" customHeight="1">
      <c r="A3521" s="41" t="s">
        <v>6232</v>
      </c>
      <c r="B3521" s="37"/>
      <c r="C3521" s="37"/>
      <c r="D3521" s="37"/>
      <c r="E3521" s="37"/>
      <c r="F3521" s="45"/>
      <c r="K3521" s="3" t="s">
        <v>6232</v>
      </c>
    </row>
    <row r="3522" spans="1:38" ht="18.399999999999999" customHeight="1">
      <c r="A3522" s="41"/>
      <c r="B3522" s="3"/>
      <c r="C3522" s="3"/>
      <c r="D3522" s="3"/>
      <c r="E3522" s="3"/>
      <c r="F3522" s="44"/>
    </row>
    <row r="3523" spans="1:38" ht="18.399999999999999" customHeight="1">
      <c r="A3523" s="43" t="s">
        <v>3543</v>
      </c>
      <c r="B3523" s="38">
        <f>SUM($C3523,$D3523,$E3523)</f>
        <v>21100</v>
      </c>
      <c r="C3523" s="38">
        <f>TRUNC(SUM($AD3519),0)</f>
        <v>21100</v>
      </c>
      <c r="D3523" s="38">
        <f>TRUNC(SUM($AH3519),0)</f>
        <v>0</v>
      </c>
      <c r="E3523" s="38">
        <f>TRUNC(SUM($AL3519),0)</f>
        <v>0</v>
      </c>
      <c r="F3523" s="46"/>
    </row>
    <row r="3524" spans="1:38" ht="18.399999999999999" customHeight="1">
      <c r="A3524" s="41"/>
      <c r="B3524" s="3"/>
      <c r="C3524" s="3"/>
      <c r="D3524" s="3"/>
      <c r="E3524" s="3"/>
      <c r="F3524" s="44"/>
    </row>
    <row r="3525" spans="1:38" ht="18.399999999999999" customHeight="1">
      <c r="A3525" s="41" t="s">
        <v>4061</v>
      </c>
      <c r="B3525" s="36">
        <f>$B3543</f>
        <v>19039</v>
      </c>
      <c r="C3525" s="36">
        <f>$C3543</f>
        <v>19039</v>
      </c>
      <c r="D3525" s="36">
        <f>$D3543</f>
        <v>0</v>
      </c>
      <c r="E3525" s="36">
        <f>$E3543</f>
        <v>0</v>
      </c>
      <c r="F3525" s="44" t="s">
        <v>6232</v>
      </c>
      <c r="G3525" t="s">
        <v>6232</v>
      </c>
      <c r="H3525" t="s">
        <v>2139</v>
      </c>
      <c r="K3525">
        <v>1</v>
      </c>
      <c r="Y3525" s="7" t="b">
        <f>EXACT($Z3525,$B3543)</f>
        <v>1</v>
      </c>
      <c r="Z3525" s="38">
        <v>19039</v>
      </c>
    </row>
    <row r="3526" spans="1:38" ht="18.399999999999999" customHeight="1">
      <c r="A3526" s="41"/>
      <c r="B3526" s="3"/>
      <c r="C3526" s="3"/>
      <c r="D3526" s="3"/>
      <c r="E3526" s="3"/>
      <c r="F3526" s="44"/>
    </row>
    <row r="3527" spans="1:38" ht="18.399999999999999" customHeight="1">
      <c r="A3527" s="41" t="s">
        <v>6232</v>
      </c>
      <c r="B3527" s="3"/>
      <c r="C3527" s="3"/>
      <c r="D3527" s="3"/>
      <c r="E3527" s="3"/>
      <c r="F3527" s="44"/>
      <c r="G3527" t="s">
        <v>6232</v>
      </c>
      <c r="I3527" t="s">
        <v>742</v>
      </c>
      <c r="J3527" t="s">
        <v>6232</v>
      </c>
      <c r="K3527" t="s">
        <v>5235</v>
      </c>
    </row>
    <row r="3528" spans="1:38" ht="18.399999999999999" customHeight="1">
      <c r="A3528" s="41" t="s">
        <v>3248</v>
      </c>
      <c r="B3528" s="37"/>
      <c r="C3528" s="37"/>
      <c r="D3528" s="37"/>
      <c r="E3528" s="37"/>
      <c r="F3528" s="45"/>
      <c r="K3528" s="3" t="s">
        <v>554</v>
      </c>
    </row>
    <row r="3529" spans="1:38" ht="18.399999999999999" customHeight="1">
      <c r="A3529" s="41" t="s">
        <v>6232</v>
      </c>
      <c r="B3529" s="37"/>
      <c r="C3529" s="37"/>
      <c r="D3529" s="37"/>
      <c r="E3529" s="37"/>
      <c r="F3529" s="45"/>
      <c r="K3529" s="3" t="s">
        <v>6232</v>
      </c>
    </row>
    <row r="3530" spans="1:38" ht="18.399999999999999" customHeight="1">
      <c r="A3530" s="41" t="s">
        <v>6232</v>
      </c>
      <c r="B3530" s="37">
        <f>SUM($C3530,$D3530,$E3530)</f>
        <v>0</v>
      </c>
      <c r="C3530" s="37">
        <f>$AB3530</f>
        <v>0</v>
      </c>
      <c r="D3530" s="37">
        <f>$AF3530</f>
        <v>0</v>
      </c>
      <c r="E3530" s="37">
        <f>$AJ3530</f>
        <v>0</v>
      </c>
      <c r="F3530" s="45"/>
      <c r="K3530" s="3" t="s">
        <v>295</v>
      </c>
      <c r="AA3530" s="40" t="s">
        <v>2660</v>
      </c>
      <c r="AB3530" s="8">
        <f>ROUND(0,2)</f>
        <v>0</v>
      </c>
      <c r="AC3530" s="40" t="s">
        <v>1650</v>
      </c>
      <c r="AD3530" s="7">
        <f>$AB3530</f>
        <v>0</v>
      </c>
      <c r="AE3530" s="40" t="s">
        <v>5305</v>
      </c>
      <c r="AF3530" s="8">
        <f>ROUND(0,2)</f>
        <v>0</v>
      </c>
      <c r="AG3530" s="40" t="s">
        <v>5439</v>
      </c>
      <c r="AH3530" s="7">
        <f>$AF3530</f>
        <v>0</v>
      </c>
      <c r="AI3530" s="40" t="s">
        <v>3519</v>
      </c>
      <c r="AJ3530" s="8">
        <f>ROUND(0,2)</f>
        <v>0</v>
      </c>
      <c r="AK3530" s="40" t="s">
        <v>4149</v>
      </c>
      <c r="AL3530" s="7">
        <f>$AJ3530</f>
        <v>0</v>
      </c>
    </row>
    <row r="3531" spans="1:38" ht="18.399999999999999" customHeight="1">
      <c r="A3531" s="41" t="s">
        <v>1839</v>
      </c>
      <c r="B3531" s="37"/>
      <c r="C3531" s="37"/>
      <c r="D3531" s="37"/>
      <c r="E3531" s="37"/>
      <c r="F3531" s="45"/>
      <c r="K3531" s="3" t="s">
        <v>2170</v>
      </c>
    </row>
    <row r="3532" spans="1:38" ht="18.399999999999999" customHeight="1">
      <c r="A3532" s="41" t="s">
        <v>6232</v>
      </c>
      <c r="B3532" s="37"/>
      <c r="C3532" s="37"/>
      <c r="D3532" s="37"/>
      <c r="E3532" s="37"/>
      <c r="F3532" s="45"/>
      <c r="K3532" s="3" t="s">
        <v>6232</v>
      </c>
    </row>
    <row r="3533" spans="1:38" ht="18.399999999999999" customHeight="1">
      <c r="A3533" s="42" t="str">
        <f>CONCATENATE("     1일 임대료:  _x001D_15,000_x001D_ =",TEXT($AB3533,"#,##0.0")," 원/일 ")</f>
        <v xml:space="preserve">     1일 임대료:  _x001D_15,000_x001D_ =15,000.0 원/일 </v>
      </c>
      <c r="B3533" s="37">
        <f>SUM($C3533,$D3533,$E3533)</f>
        <v>15000</v>
      </c>
      <c r="C3533" s="37">
        <f>$AB3533</f>
        <v>15000</v>
      </c>
      <c r="D3533" s="37"/>
      <c r="E3533" s="37"/>
      <c r="F3533" s="45" t="s">
        <v>6232</v>
      </c>
      <c r="K3533" s="3" t="s">
        <v>3199</v>
      </c>
      <c r="AA3533" s="40" t="s">
        <v>2660</v>
      </c>
      <c r="AB3533" s="8">
        <f>TRUNC(자재조서!E737,1)</f>
        <v>15000</v>
      </c>
      <c r="AC3533" s="40" t="s">
        <v>1650</v>
      </c>
      <c r="AD3533" s="7">
        <f>$AB3533</f>
        <v>15000</v>
      </c>
    </row>
    <row r="3534" spans="1:38" ht="18.399999999999999" customHeight="1">
      <c r="A3534" s="41" t="s">
        <v>6232</v>
      </c>
      <c r="B3534" s="37"/>
      <c r="C3534" s="37"/>
      <c r="D3534" s="37"/>
      <c r="E3534" s="37"/>
      <c r="F3534" s="45"/>
      <c r="K3534" s="3" t="s">
        <v>2111</v>
      </c>
    </row>
    <row r="3535" spans="1:38" ht="18.399999999999999" customHeight="1">
      <c r="A3535" s="42" t="str">
        <f>CONCATENATE("     경유:  _x001D_1,346.364_x001D_ * 3 =",TEXT($AB3535,"#,##0.0")," 원/일 ")</f>
        <v xml:space="preserve">     경유:  _x001D_1,346.364_x001D_ * 3 =4,039.0 원/일 </v>
      </c>
      <c r="B3535" s="37">
        <f>SUM($C3535,$D3535,$E3535)</f>
        <v>4039</v>
      </c>
      <c r="C3535" s="37">
        <f>$AB3535</f>
        <v>4039</v>
      </c>
      <c r="D3535" s="37"/>
      <c r="E3535" s="37"/>
      <c r="F3535" s="45" t="s">
        <v>6232</v>
      </c>
      <c r="K3535" s="3" t="s">
        <v>4116</v>
      </c>
      <c r="AA3535" s="40" t="s">
        <v>2660</v>
      </c>
      <c r="AB3535" s="8">
        <f>TRUNC(자재조서!E43*3,1)</f>
        <v>4039</v>
      </c>
      <c r="AC3535" s="40" t="s">
        <v>1650</v>
      </c>
      <c r="AD3535" s="7">
        <f>$AD3533+$AB3535</f>
        <v>19039</v>
      </c>
    </row>
    <row r="3536" spans="1:38" ht="18.399999999999999" customHeight="1">
      <c r="A3536" s="41" t="s">
        <v>6232</v>
      </c>
      <c r="B3536" s="37"/>
      <c r="C3536" s="37"/>
      <c r="D3536" s="37"/>
      <c r="E3536" s="37"/>
      <c r="F3536" s="45"/>
      <c r="K3536" s="3" t="s">
        <v>6232</v>
      </c>
    </row>
    <row r="3537" spans="1:38" ht="18.399999999999999" customHeight="1">
      <c r="A3537" s="41" t="s">
        <v>6232</v>
      </c>
      <c r="B3537" s="37"/>
      <c r="C3537" s="37"/>
      <c r="D3537" s="37"/>
      <c r="E3537" s="37"/>
      <c r="F3537" s="45"/>
      <c r="K3537" s="3" t="s">
        <v>6232</v>
      </c>
    </row>
    <row r="3538" spans="1:38" ht="18.399999999999999" customHeight="1">
      <c r="A3538" s="41" t="s">
        <v>6232</v>
      </c>
      <c r="B3538" s="37"/>
      <c r="C3538" s="37"/>
      <c r="D3538" s="37"/>
      <c r="E3538" s="37"/>
      <c r="F3538" s="45"/>
      <c r="K3538" s="3" t="s">
        <v>6232</v>
      </c>
    </row>
    <row r="3539" spans="1:38" ht="18.399999999999999" customHeight="1">
      <c r="A3539" s="41" t="s">
        <v>3436</v>
      </c>
      <c r="B3539" s="37">
        <f>SUM($C3539,$D3539,$E3539)</f>
        <v>19039</v>
      </c>
      <c r="C3539" s="37">
        <f>$AB3539</f>
        <v>19039</v>
      </c>
      <c r="D3539" s="37">
        <f>$AF3539</f>
        <v>0</v>
      </c>
      <c r="E3539" s="37">
        <f>$AJ3539</f>
        <v>0</v>
      </c>
      <c r="F3539" s="45"/>
      <c r="K3539" s="3" t="s">
        <v>5884</v>
      </c>
      <c r="AA3539" s="40" t="s">
        <v>4592</v>
      </c>
      <c r="AB3539" s="8">
        <f>TRUNC($AD3535,1)</f>
        <v>19039</v>
      </c>
      <c r="AC3539" s="40" t="s">
        <v>5149</v>
      </c>
      <c r="AD3539" s="7">
        <f>$AB3539</f>
        <v>19039</v>
      </c>
      <c r="AE3539" s="40" t="s">
        <v>666</v>
      </c>
      <c r="AF3539" s="8">
        <f>TRUNC($AH3530,1)</f>
        <v>0</v>
      </c>
      <c r="AG3539" s="40" t="s">
        <v>2431</v>
      </c>
      <c r="AH3539" s="7">
        <f>$AF3539</f>
        <v>0</v>
      </c>
      <c r="AI3539" s="40" t="s">
        <v>1930</v>
      </c>
      <c r="AJ3539" s="8">
        <f>TRUNC($AL3530,1)</f>
        <v>0</v>
      </c>
      <c r="AK3539" s="40" t="s">
        <v>3349</v>
      </c>
      <c r="AL3539" s="7">
        <f>$AJ3539</f>
        <v>0</v>
      </c>
    </row>
    <row r="3540" spans="1:38" ht="18.399999999999999" customHeight="1">
      <c r="A3540" s="41" t="s">
        <v>6232</v>
      </c>
      <c r="B3540" s="37"/>
      <c r="C3540" s="37"/>
      <c r="D3540" s="37"/>
      <c r="E3540" s="37"/>
      <c r="F3540" s="45"/>
      <c r="K3540" s="3" t="s">
        <v>6232</v>
      </c>
    </row>
    <row r="3541" spans="1:38" ht="18.399999999999999" customHeight="1">
      <c r="A3541" s="41" t="s">
        <v>6232</v>
      </c>
      <c r="B3541" s="37"/>
      <c r="C3541" s="37"/>
      <c r="D3541" s="37"/>
      <c r="E3541" s="37"/>
      <c r="F3541" s="45"/>
      <c r="K3541" s="3" t="s">
        <v>6232</v>
      </c>
    </row>
    <row r="3542" spans="1:38" ht="18.399999999999999" customHeight="1">
      <c r="A3542" s="41"/>
      <c r="B3542" s="3"/>
      <c r="C3542" s="3"/>
      <c r="D3542" s="3"/>
      <c r="E3542" s="3"/>
      <c r="F3542" s="44"/>
    </row>
    <row r="3543" spans="1:38" ht="18.399999999999999" customHeight="1">
      <c r="A3543" s="43" t="s">
        <v>3543</v>
      </c>
      <c r="B3543" s="38">
        <f>SUM($C3543,$D3543,$E3543)</f>
        <v>19039</v>
      </c>
      <c r="C3543" s="38">
        <f>TRUNC(SUM($AD3539),0)</f>
        <v>19039</v>
      </c>
      <c r="D3543" s="38">
        <f>TRUNC(SUM($AH3539),0)</f>
        <v>0</v>
      </c>
      <c r="E3543" s="38">
        <f>TRUNC(SUM($AL3539),0)</f>
        <v>0</v>
      </c>
      <c r="F3543" s="46"/>
    </row>
    <row r="3544" spans="1:38" ht="18.399999999999999" customHeight="1">
      <c r="A3544" s="41"/>
      <c r="B3544" s="3"/>
      <c r="C3544" s="3"/>
      <c r="D3544" s="3"/>
      <c r="E3544" s="3"/>
      <c r="F3544" s="44"/>
    </row>
    <row r="3545" spans="1:38" ht="18.399999999999999" customHeight="1">
      <c r="A3545" s="41" t="s">
        <v>891</v>
      </c>
      <c r="B3545" s="36">
        <f>$B3580</f>
        <v>54272</v>
      </c>
      <c r="C3545" s="36">
        <f>$C3580</f>
        <v>6967</v>
      </c>
      <c r="D3545" s="36">
        <f>$D3580</f>
        <v>0</v>
      </c>
      <c r="E3545" s="36">
        <f>$E3580</f>
        <v>47305</v>
      </c>
      <c r="F3545" s="44" t="s">
        <v>6232</v>
      </c>
      <c r="G3545" t="s">
        <v>6232</v>
      </c>
      <c r="H3545" t="s">
        <v>6118</v>
      </c>
      <c r="K3545">
        <v>1</v>
      </c>
      <c r="Y3545" s="7" t="b">
        <f>EXACT($Z3545,$B3580)</f>
        <v>1</v>
      </c>
      <c r="Z3545" s="38">
        <v>54272</v>
      </c>
    </row>
    <row r="3546" spans="1:38" ht="18.399999999999999" customHeight="1">
      <c r="A3546" s="41"/>
      <c r="B3546" s="3"/>
      <c r="C3546" s="3"/>
      <c r="D3546" s="3"/>
      <c r="E3546" s="3"/>
      <c r="F3546" s="44"/>
    </row>
    <row r="3547" spans="1:38" ht="18.399999999999999" customHeight="1">
      <c r="A3547" s="41" t="s">
        <v>6232</v>
      </c>
      <c r="B3547" s="3"/>
      <c r="C3547" s="3"/>
      <c r="D3547" s="3"/>
      <c r="E3547" s="3"/>
      <c r="F3547" s="44"/>
      <c r="G3547" t="s">
        <v>6232</v>
      </c>
      <c r="I3547" t="s">
        <v>742</v>
      </c>
      <c r="J3547" t="s">
        <v>6232</v>
      </c>
      <c r="K3547" t="s">
        <v>5235</v>
      </c>
    </row>
    <row r="3548" spans="1:38" ht="18.399999999999999" customHeight="1">
      <c r="A3548" s="41" t="s">
        <v>5992</v>
      </c>
      <c r="B3548" s="37"/>
      <c r="C3548" s="37"/>
      <c r="D3548" s="37"/>
      <c r="E3548" s="37"/>
      <c r="F3548" s="45"/>
      <c r="K3548" s="3" t="s">
        <v>2079</v>
      </c>
    </row>
    <row r="3549" spans="1:38" ht="18.399999999999999" customHeight="1">
      <c r="A3549" s="41" t="s">
        <v>6232</v>
      </c>
      <c r="B3549" s="37"/>
      <c r="C3549" s="37"/>
      <c r="D3549" s="37"/>
      <c r="E3549" s="37"/>
      <c r="F3549" s="45"/>
      <c r="K3549" s="3" t="s">
        <v>6232</v>
      </c>
    </row>
    <row r="3550" spans="1:38" ht="18.399999999999999" customHeight="1">
      <c r="A3550" s="41" t="s">
        <v>6232</v>
      </c>
      <c r="B3550" s="37">
        <f>SUM($C3550,$D3550,$E3550)</f>
        <v>0</v>
      </c>
      <c r="C3550" s="37">
        <f>$AB3550</f>
        <v>0</v>
      </c>
      <c r="D3550" s="37">
        <f>$AF3550</f>
        <v>0</v>
      </c>
      <c r="E3550" s="37">
        <f>$AJ3550</f>
        <v>0</v>
      </c>
      <c r="F3550" s="45"/>
      <c r="K3550" s="3" t="s">
        <v>295</v>
      </c>
      <c r="AA3550" s="40" t="s">
        <v>2660</v>
      </c>
      <c r="AB3550" s="8">
        <f>ROUND(0,2)</f>
        <v>0</v>
      </c>
      <c r="AC3550" s="40" t="s">
        <v>1650</v>
      </c>
      <c r="AD3550" s="7">
        <f>$AB3550</f>
        <v>0</v>
      </c>
      <c r="AE3550" s="40" t="s">
        <v>5305</v>
      </c>
      <c r="AF3550" s="8">
        <f>ROUND(0,2)</f>
        <v>0</v>
      </c>
      <c r="AG3550" s="40" t="s">
        <v>5439</v>
      </c>
      <c r="AH3550" s="7">
        <f>$AF3550</f>
        <v>0</v>
      </c>
      <c r="AI3550" s="40" t="s">
        <v>3519</v>
      </c>
      <c r="AJ3550" s="8">
        <f>ROUND(0,2)</f>
        <v>0</v>
      </c>
      <c r="AK3550" s="40" t="s">
        <v>4149</v>
      </c>
      <c r="AL3550" s="7">
        <f>$AJ3550</f>
        <v>0</v>
      </c>
    </row>
    <row r="3551" spans="1:38" ht="18.399999999999999" customHeight="1">
      <c r="A3551" s="41" t="s">
        <v>5729</v>
      </c>
      <c r="B3551" s="37"/>
      <c r="C3551" s="37"/>
      <c r="D3551" s="37"/>
      <c r="E3551" s="37"/>
      <c r="F3551" s="45"/>
      <c r="K3551" s="3" t="s">
        <v>3969</v>
      </c>
    </row>
    <row r="3552" spans="1:38" ht="18.399999999999999" customHeight="1">
      <c r="A3552" s="41" t="s">
        <v>6232</v>
      </c>
      <c r="B3552" s="37"/>
      <c r="C3552" s="37"/>
      <c r="D3552" s="37"/>
      <c r="E3552" s="37"/>
      <c r="F3552" s="45"/>
      <c r="K3552" s="3" t="s">
        <v>6232</v>
      </c>
    </row>
    <row r="3553" spans="1:38" ht="18.399999999999999" customHeight="1">
      <c r="A3553" s="42" t="str">
        <f>CONCATENATE("     손료:  _x001D_19,930,000_x001D_ * (1200+1067+700) * 0.0000001 * 8  hr  * 25 일 =",TEXT($AB3553,"#,##0.0")," 원/월 ")</f>
        <v xml:space="preserve">     손료:  _x001D_19,930,000_x001D_ * (1200+1067+700) * 0.0000001 * 8  hr  * 25 일 =1,182,646.2 원/월 </v>
      </c>
      <c r="B3553" s="37">
        <f>SUM($C3553,$D3553,$E3553)</f>
        <v>1182646.2</v>
      </c>
      <c r="C3553" s="37"/>
      <c r="D3553" s="37"/>
      <c r="E3553" s="37">
        <f>$AB3553</f>
        <v>1182646.2</v>
      </c>
      <c r="F3553" s="45" t="s">
        <v>6232</v>
      </c>
      <c r="K3553" s="3" t="s">
        <v>3769</v>
      </c>
      <c r="AA3553" s="40" t="s">
        <v>3519</v>
      </c>
      <c r="AB3553" s="8">
        <f>TRUNC(자재조서!E738*(1200+1067+700)*0.0000001*8*25,1)</f>
        <v>1182646.2</v>
      </c>
      <c r="AC3553" s="40" t="s">
        <v>4149</v>
      </c>
      <c r="AD3553" s="7">
        <f>$AB3553</f>
        <v>1182646.2</v>
      </c>
    </row>
    <row r="3554" spans="1:38" ht="18.399999999999999" customHeight="1">
      <c r="A3554" s="41" t="s">
        <v>6232</v>
      </c>
      <c r="B3554" s="37"/>
      <c r="C3554" s="37"/>
      <c r="D3554" s="37"/>
      <c r="E3554" s="37"/>
      <c r="F3554" s="45"/>
      <c r="K3554" s="3" t="s">
        <v>6232</v>
      </c>
    </row>
    <row r="3555" spans="1:38" ht="18.399999999999999" customHeight="1">
      <c r="A3555" s="42" t="str">
        <f>CONCATENATE("     주연료(경유):  30 (1일주행)  / 8 (hr/day)  * _x001D_1,346.364_x001D_ 원  * 25 일  =",TEXT($AB3555,"#,##0.0")," 원/월 ")</f>
        <v xml:space="preserve">     주연료(경유):  30 (1일주행)  / 8 (hr/day)  * _x001D_1,346.364_x001D_ 원  * 25 일  =126,221.6 원/월 </v>
      </c>
      <c r="B3555" s="37">
        <f>SUM($C3555,$D3555,$E3555)</f>
        <v>126221.6</v>
      </c>
      <c r="C3555" s="37">
        <f>$AB3555</f>
        <v>126221.6</v>
      </c>
      <c r="D3555" s="37"/>
      <c r="E3555" s="37"/>
      <c r="F3555" s="45" t="s">
        <v>6232</v>
      </c>
      <c r="K3555" s="3" t="s">
        <v>2378</v>
      </c>
      <c r="AA3555" s="40" t="s">
        <v>2660</v>
      </c>
      <c r="AB3555" s="8">
        <f>TRUNC(30/8*자재조서!E43*25,1)</f>
        <v>126221.6</v>
      </c>
      <c r="AC3555" s="40" t="s">
        <v>1650</v>
      </c>
      <c r="AD3555" s="7">
        <f>$AB3555</f>
        <v>126221.6</v>
      </c>
    </row>
    <row r="3556" spans="1:38" ht="18.399999999999999" customHeight="1">
      <c r="A3556" s="41" t="s">
        <v>6232</v>
      </c>
      <c r="B3556" s="37"/>
      <c r="C3556" s="37"/>
      <c r="D3556" s="37"/>
      <c r="E3556" s="37"/>
      <c r="F3556" s="45"/>
      <c r="K3556" s="3" t="s">
        <v>2111</v>
      </c>
    </row>
    <row r="3557" spans="1:38" ht="18.399999999999999" customHeight="1">
      <c r="A3557" s="41" t="s">
        <v>4035</v>
      </c>
      <c r="B3557" s="37">
        <v>1308867.8</v>
      </c>
      <c r="C3557" s="37">
        <v>126221.6</v>
      </c>
      <c r="D3557" s="37"/>
      <c r="E3557" s="37">
        <v>1182646.2</v>
      </c>
      <c r="F3557" s="45"/>
      <c r="K3557" s="3" t="s">
        <v>6070</v>
      </c>
    </row>
    <row r="3558" spans="1:38" ht="18.399999999999999" customHeight="1">
      <c r="A3558" s="41" t="s">
        <v>6232</v>
      </c>
      <c r="B3558" s="37"/>
      <c r="C3558" s="37"/>
      <c r="D3558" s="37"/>
      <c r="E3558" s="37"/>
      <c r="F3558" s="45"/>
      <c r="K3558" s="3" t="s">
        <v>6232</v>
      </c>
    </row>
    <row r="3559" spans="1:38" ht="18.399999999999999" customHeight="1">
      <c r="A3559" s="41" t="s">
        <v>6232</v>
      </c>
      <c r="B3559" s="37">
        <f>SUM($C3559,$D3559,$E3559)</f>
        <v>0</v>
      </c>
      <c r="C3559" s="37">
        <f>$AB3559</f>
        <v>0</v>
      </c>
      <c r="D3559" s="37">
        <f>$AF3559</f>
        <v>0</v>
      </c>
      <c r="E3559" s="37">
        <f>$AJ3559</f>
        <v>0</v>
      </c>
      <c r="F3559" s="45"/>
      <c r="K3559" s="3" t="s">
        <v>5506</v>
      </c>
      <c r="AA3559" s="40" t="s">
        <v>4586</v>
      </c>
      <c r="AB3559" s="8">
        <f>ROUND(0,2)</f>
        <v>0</v>
      </c>
      <c r="AC3559" s="40" t="s">
        <v>4161</v>
      </c>
      <c r="AD3559" s="7">
        <f>$AB3559</f>
        <v>0</v>
      </c>
      <c r="AE3559" s="40" t="s">
        <v>222</v>
      </c>
      <c r="AF3559" s="8">
        <f>ROUND(0,2)</f>
        <v>0</v>
      </c>
      <c r="AG3559" s="40" t="s">
        <v>334</v>
      </c>
      <c r="AH3559" s="7">
        <f>$AF3559</f>
        <v>0</v>
      </c>
      <c r="AI3559" s="40" t="s">
        <v>1574</v>
      </c>
      <c r="AJ3559" s="8">
        <f>ROUND(0,2)</f>
        <v>0</v>
      </c>
      <c r="AK3559" s="40" t="s">
        <v>1622</v>
      </c>
      <c r="AL3559" s="7">
        <f>$AJ3559</f>
        <v>0</v>
      </c>
    </row>
    <row r="3560" spans="1:38" ht="18.399999999999999" customHeight="1">
      <c r="A3560" s="41" t="s">
        <v>1770</v>
      </c>
      <c r="B3560" s="37"/>
      <c r="C3560" s="37"/>
      <c r="D3560" s="37"/>
      <c r="E3560" s="37"/>
      <c r="F3560" s="45"/>
      <c r="K3560" s="3" t="s">
        <v>4431</v>
      </c>
    </row>
    <row r="3561" spans="1:38" ht="18.399999999999999" customHeight="1">
      <c r="A3561" s="41" t="s">
        <v>6232</v>
      </c>
      <c r="B3561" s="37"/>
      <c r="C3561" s="37"/>
      <c r="D3561" s="37"/>
      <c r="E3561" s="37"/>
      <c r="F3561" s="45"/>
      <c r="K3561" s="3" t="s">
        <v>6232</v>
      </c>
    </row>
    <row r="3562" spans="1:38" ht="18.399999999999999" customHeight="1">
      <c r="A3562" s="41" t="s">
        <v>4854</v>
      </c>
      <c r="B3562" s="37"/>
      <c r="C3562" s="37"/>
      <c r="D3562" s="37"/>
      <c r="E3562" s="37"/>
      <c r="F3562" s="45"/>
      <c r="K3562" s="3" t="s">
        <v>6060</v>
      </c>
    </row>
    <row r="3563" spans="1:38" ht="18.399999999999999" customHeight="1">
      <c r="A3563" s="41" t="s">
        <v>6232</v>
      </c>
      <c r="B3563" s="37"/>
      <c r="C3563" s="37"/>
      <c r="D3563" s="37"/>
      <c r="E3563" s="37"/>
      <c r="F3563" s="45"/>
      <c r="K3563" s="3" t="s">
        <v>6232</v>
      </c>
    </row>
    <row r="3564" spans="1:38" ht="18.399999999999999" customHeight="1">
      <c r="A3564" s="42" t="str">
        <f>CONCATENATE("      :  MA1 * 0.38 = ",TEXT($AB3564,"#,##0.0"),"  원/월 ")</f>
        <v xml:space="preserve">      :  MA1 * 0.38 = 47,964.2  원/월 </v>
      </c>
      <c r="B3564" s="37">
        <f>SUM($C3564,$D3564,$E3564)</f>
        <v>47964.2</v>
      </c>
      <c r="C3564" s="37">
        <f>$AB3564</f>
        <v>47964.2</v>
      </c>
      <c r="D3564" s="37"/>
      <c r="E3564" s="37"/>
      <c r="F3564" s="45"/>
      <c r="K3564" s="3" t="s">
        <v>37</v>
      </c>
      <c r="AA3564" s="40" t="s">
        <v>4586</v>
      </c>
      <c r="AB3564" s="8">
        <f>TRUNC($AD3555*0.38,1)</f>
        <v>47964.2</v>
      </c>
      <c r="AC3564" s="40" t="s">
        <v>4161</v>
      </c>
      <c r="AD3564" s="7">
        <f>$AB3564</f>
        <v>47964.2</v>
      </c>
    </row>
    <row r="3565" spans="1:38" ht="18.399999999999999" customHeight="1">
      <c r="A3565" s="41" t="s">
        <v>6232</v>
      </c>
      <c r="B3565" s="37"/>
      <c r="C3565" s="37"/>
      <c r="D3565" s="37"/>
      <c r="E3565" s="37"/>
      <c r="F3565" s="45"/>
      <c r="K3565" s="3" t="s">
        <v>6232</v>
      </c>
    </row>
    <row r="3566" spans="1:38" ht="18.399999999999999" customHeight="1">
      <c r="A3566" s="41" t="s">
        <v>4035</v>
      </c>
      <c r="B3566" s="37">
        <v>47964.2</v>
      </c>
      <c r="C3566" s="37">
        <v>47964.2</v>
      </c>
      <c r="D3566" s="37"/>
      <c r="E3566" s="37"/>
      <c r="F3566" s="45"/>
      <c r="K3566" s="3" t="s">
        <v>193</v>
      </c>
    </row>
    <row r="3567" spans="1:38" ht="18.399999999999999" customHeight="1">
      <c r="A3567" s="41" t="s">
        <v>6232</v>
      </c>
      <c r="B3567" s="37"/>
      <c r="C3567" s="37"/>
      <c r="D3567" s="37"/>
      <c r="E3567" s="37"/>
      <c r="F3567" s="45"/>
      <c r="K3567" s="3" t="s">
        <v>6232</v>
      </c>
    </row>
    <row r="3568" spans="1:38" ht="18.399999999999999" customHeight="1">
      <c r="A3568" s="41" t="s">
        <v>6232</v>
      </c>
      <c r="B3568" s="37">
        <f>SUM($C3568,$D3568,$E3568)</f>
        <v>0</v>
      </c>
      <c r="C3568" s="37">
        <f>$AB3568</f>
        <v>0</v>
      </c>
      <c r="D3568" s="37">
        <f>$AF3568</f>
        <v>0</v>
      </c>
      <c r="E3568" s="37">
        <f>$AJ3568</f>
        <v>0</v>
      </c>
      <c r="F3568" s="45"/>
      <c r="K3568" s="3" t="s">
        <v>3238</v>
      </c>
      <c r="AA3568" s="40" t="s">
        <v>308</v>
      </c>
      <c r="AB3568" s="8">
        <f>ROUND(0,2)</f>
        <v>0</v>
      </c>
      <c r="AC3568" s="40" t="s">
        <v>5000</v>
      </c>
      <c r="AD3568" s="7">
        <f>$AB3568</f>
        <v>0</v>
      </c>
      <c r="AE3568" s="40" t="s">
        <v>4500</v>
      </c>
      <c r="AF3568" s="8">
        <f>ROUND(0,2)</f>
        <v>0</v>
      </c>
      <c r="AG3568" s="40" t="s">
        <v>2603</v>
      </c>
      <c r="AH3568" s="7">
        <f>$AF3568</f>
        <v>0</v>
      </c>
      <c r="AI3568" s="40" t="s">
        <v>5878</v>
      </c>
      <c r="AJ3568" s="8">
        <f>ROUND(0,2)</f>
        <v>0</v>
      </c>
      <c r="AK3568" s="40" t="s">
        <v>787</v>
      </c>
      <c r="AL3568" s="7">
        <f>$AJ3568</f>
        <v>0</v>
      </c>
    </row>
    <row r="3569" spans="1:38" ht="18.399999999999999" customHeight="1">
      <c r="A3569" s="41" t="s">
        <v>4744</v>
      </c>
      <c r="B3569" s="37"/>
      <c r="C3569" s="37"/>
      <c r="D3569" s="37"/>
      <c r="E3569" s="37"/>
      <c r="F3569" s="45"/>
      <c r="K3569" s="3" t="s">
        <v>2954</v>
      </c>
    </row>
    <row r="3570" spans="1:38" ht="18.399999999999999" customHeight="1">
      <c r="A3570" s="41" t="s">
        <v>6232</v>
      </c>
      <c r="B3570" s="37"/>
      <c r="C3570" s="37"/>
      <c r="D3570" s="37"/>
      <c r="E3570" s="37"/>
      <c r="F3570" s="45"/>
      <c r="K3570" s="3" t="s">
        <v>6232</v>
      </c>
    </row>
    <row r="3571" spans="1:38" ht="18.399999999999999" customHeight="1">
      <c r="A3571" s="42" t="str">
        <f>CONCATENATE("    1일 이동 재료비:  (MA1+MA2)*0.04=",TEXT($AB3571,"#,##0.0"),"  원/일 ")</f>
        <v xml:space="preserve">    1일 이동 재료비:  (MA1+MA2)*0.04=6,967.4  원/일 </v>
      </c>
      <c r="B3571" s="37">
        <f>SUM($C3571,$D3571,$E3571)</f>
        <v>6967.4</v>
      </c>
      <c r="C3571" s="37">
        <f>$AB3571</f>
        <v>6967.4</v>
      </c>
      <c r="D3571" s="37"/>
      <c r="E3571" s="37"/>
      <c r="F3571" s="45"/>
      <c r="K3571" s="3" t="s">
        <v>5960</v>
      </c>
      <c r="AA3571" s="40" t="s">
        <v>308</v>
      </c>
      <c r="AB3571" s="8">
        <f>TRUNC(($AD3555+$AD3564)*0.04,1)</f>
        <v>6967.4</v>
      </c>
      <c r="AC3571" s="40" t="s">
        <v>5000</v>
      </c>
      <c r="AD3571" s="7">
        <f>$AB3571</f>
        <v>6967.4</v>
      </c>
    </row>
    <row r="3572" spans="1:38" ht="18.399999999999999" customHeight="1">
      <c r="A3572" s="41" t="s">
        <v>6232</v>
      </c>
      <c r="B3572" s="37"/>
      <c r="C3572" s="37"/>
      <c r="D3572" s="37"/>
      <c r="E3572" s="37"/>
      <c r="F3572" s="45"/>
      <c r="K3572" s="3" t="s">
        <v>6232</v>
      </c>
    </row>
    <row r="3573" spans="1:38" ht="18.399999999999999" customHeight="1">
      <c r="A3573" s="42" t="str">
        <f>CONCATENATE("    1일 이동 경비:  EQ1*0.04=",TEXT($AB3573,"#,##0.0"),"  원/일 ")</f>
        <v xml:space="preserve">    1일 이동 경비:  EQ1*0.04=47,305.8  원/일 </v>
      </c>
      <c r="B3573" s="37">
        <f>SUM($C3573,$D3573,$E3573)</f>
        <v>47305.8</v>
      </c>
      <c r="C3573" s="37"/>
      <c r="D3573" s="37"/>
      <c r="E3573" s="37">
        <f>$AB3573</f>
        <v>47305.8</v>
      </c>
      <c r="F3573" s="45"/>
      <c r="K3573" s="3" t="s">
        <v>2538</v>
      </c>
      <c r="AA3573" s="40" t="s">
        <v>5878</v>
      </c>
      <c r="AB3573" s="8">
        <f>TRUNC($AD3553*0.04,1)</f>
        <v>47305.8</v>
      </c>
      <c r="AC3573" s="40" t="s">
        <v>787</v>
      </c>
      <c r="AD3573" s="7">
        <f>$AB3573</f>
        <v>47305.8</v>
      </c>
    </row>
    <row r="3574" spans="1:38" ht="18.399999999999999" customHeight="1">
      <c r="A3574" s="41" t="s">
        <v>6232</v>
      </c>
      <c r="B3574" s="37"/>
      <c r="C3574" s="37"/>
      <c r="D3574" s="37"/>
      <c r="E3574" s="37"/>
      <c r="F3574" s="45"/>
      <c r="K3574" s="3" t="s">
        <v>6232</v>
      </c>
    </row>
    <row r="3575" spans="1:38" ht="18.399999999999999" customHeight="1">
      <c r="A3575" s="41" t="s">
        <v>6232</v>
      </c>
      <c r="B3575" s="37"/>
      <c r="C3575" s="37"/>
      <c r="D3575" s="37"/>
      <c r="E3575" s="37"/>
      <c r="F3575" s="45"/>
      <c r="K3575" s="3" t="s">
        <v>6232</v>
      </c>
    </row>
    <row r="3576" spans="1:38" ht="18.399999999999999" customHeight="1">
      <c r="A3576" s="41" t="s">
        <v>4035</v>
      </c>
      <c r="B3576" s="37">
        <f>SUM($C3576,$D3576,$E3576)</f>
        <v>54273.200000000004</v>
      </c>
      <c r="C3576" s="37">
        <f>$AB3576</f>
        <v>6967.4</v>
      </c>
      <c r="D3576" s="37">
        <f>$AF3576</f>
        <v>0</v>
      </c>
      <c r="E3576" s="37">
        <f>$AJ3576</f>
        <v>47305.8</v>
      </c>
      <c r="F3576" s="45"/>
      <c r="K3576" s="3" t="s">
        <v>2880</v>
      </c>
      <c r="AA3576" s="40" t="s">
        <v>4592</v>
      </c>
      <c r="AB3576" s="8">
        <f>TRUNC($AD3571,1)</f>
        <v>6967.4</v>
      </c>
      <c r="AC3576" s="40" t="s">
        <v>5149</v>
      </c>
      <c r="AD3576" s="7">
        <f>$AB3576</f>
        <v>6967.4</v>
      </c>
      <c r="AE3576" s="40" t="s">
        <v>666</v>
      </c>
      <c r="AF3576" s="8">
        <f>TRUNC($AH3568,1)</f>
        <v>0</v>
      </c>
      <c r="AG3576" s="40" t="s">
        <v>2431</v>
      </c>
      <c r="AH3576" s="7">
        <f>$AF3576</f>
        <v>0</v>
      </c>
      <c r="AI3576" s="40" t="s">
        <v>1930</v>
      </c>
      <c r="AJ3576" s="8">
        <f>TRUNC($AD3573,1)</f>
        <v>47305.8</v>
      </c>
      <c r="AK3576" s="40" t="s">
        <v>3349</v>
      </c>
      <c r="AL3576" s="7">
        <f>$AJ3576</f>
        <v>47305.8</v>
      </c>
    </row>
    <row r="3577" spans="1:38" ht="18.399999999999999" customHeight="1">
      <c r="A3577" s="41" t="s">
        <v>6232</v>
      </c>
      <c r="B3577" s="37"/>
      <c r="C3577" s="37"/>
      <c r="D3577" s="37"/>
      <c r="E3577" s="37"/>
      <c r="F3577" s="45"/>
      <c r="K3577" s="3" t="s">
        <v>6232</v>
      </c>
    </row>
    <row r="3578" spans="1:38" ht="18.399999999999999" customHeight="1">
      <c r="A3578" s="41" t="s">
        <v>6232</v>
      </c>
      <c r="B3578" s="37"/>
      <c r="C3578" s="37"/>
      <c r="D3578" s="37"/>
      <c r="E3578" s="37"/>
      <c r="F3578" s="45"/>
      <c r="K3578" s="3" t="s">
        <v>6232</v>
      </c>
    </row>
    <row r="3579" spans="1:38" ht="18.399999999999999" customHeight="1">
      <c r="A3579" s="41"/>
      <c r="B3579" s="3"/>
      <c r="C3579" s="3"/>
      <c r="D3579" s="3"/>
      <c r="E3579" s="3"/>
      <c r="F3579" s="44"/>
    </row>
    <row r="3580" spans="1:38" ht="18.399999999999999" customHeight="1">
      <c r="A3580" s="43" t="s">
        <v>3543</v>
      </c>
      <c r="B3580" s="38">
        <f>SUM($C3580,$D3580,$E3580)</f>
        <v>54272</v>
      </c>
      <c r="C3580" s="38">
        <f>TRUNC(SUM($AD3576),0)</f>
        <v>6967</v>
      </c>
      <c r="D3580" s="38">
        <f>TRUNC(SUM($AH3576),0)</f>
        <v>0</v>
      </c>
      <c r="E3580" s="38">
        <f>TRUNC(SUM($AL3576),0)</f>
        <v>47305</v>
      </c>
      <c r="F3580" s="46"/>
    </row>
  </sheetData>
  <mergeCells count="2">
    <mergeCell ref="AA3:AG3"/>
    <mergeCell ref="AA4:AG4"/>
  </mergeCells>
  <phoneticPr fontId="7" type="noConversion"/>
  <pageMargins left="0.31496062992125984" right="0.31496062992125984" top="1" bottom="0.59055118110236215" header="0.5" footer="0.5"/>
  <pageSetup paperSize="9" scale="74" orientation="portrait" r:id="rId1"/>
  <headerFooter alignWithMargins="0">
    <oddHeader>&amp;RPage : &amp;P/&amp;N</oddHeader>
  </headerFooter>
  <rowBreaks count="77" manualBreakCount="77">
    <brk id="78" max="22" man="1"/>
    <brk id="154" max="22" man="1"/>
    <brk id="230" max="22" man="1"/>
    <brk id="306" max="22" man="1"/>
    <brk id="382" max="22" man="1"/>
    <brk id="458" max="22" man="1"/>
    <brk id="534" max="22" man="1"/>
    <brk id="610" max="22" man="1"/>
    <brk id="686" max="22" man="1"/>
    <brk id="762" max="22" man="1"/>
    <brk id="838" max="22" man="1"/>
    <brk id="914" max="22" man="1"/>
    <brk id="989" max="22" man="1"/>
    <brk id="1065" max="22" man="1"/>
    <brk id="1141" max="22" man="1"/>
    <brk id="1217" max="22" man="1"/>
    <brk id="1292" max="22" man="1"/>
    <brk id="1367" max="22" man="1"/>
    <brk id="1442" max="22" man="1"/>
    <brk id="1517" max="22" man="1"/>
    <brk id="1592" max="22" man="1"/>
    <brk id="1667" max="22" man="1"/>
    <brk id="1707" max="22" man="1"/>
    <brk id="1747" max="22" man="1"/>
    <brk id="1787" max="22" man="1"/>
    <brk id="1860" max="22" man="1"/>
    <brk id="1933" max="22" man="1"/>
    <brk id="1946" max="22" man="1"/>
    <brk id="1959" max="22" man="1"/>
    <brk id="1972" max="22" man="1"/>
    <brk id="1985" max="22" man="1"/>
    <brk id="1998" max="22" man="1"/>
    <brk id="2011" max="22" man="1"/>
    <brk id="2024" max="22" man="1"/>
    <brk id="2037" max="22" man="1"/>
    <brk id="2050" max="22" man="1"/>
    <brk id="2063" max="22" man="1"/>
    <brk id="2100" max="22" man="1"/>
    <brk id="2113" max="22" man="1"/>
    <brk id="2126" max="22" man="1"/>
    <brk id="2139" max="22" man="1"/>
    <brk id="2152" max="22" man="1"/>
    <brk id="2165" max="22" man="1"/>
    <brk id="2178" max="22" man="1"/>
    <brk id="2191" max="22" man="1"/>
    <brk id="2204" max="22" man="1"/>
    <brk id="2217" max="22" man="1"/>
    <brk id="2230" max="22" man="1"/>
    <brk id="2243" max="22" man="1"/>
    <brk id="2256" max="22" man="1"/>
    <brk id="2310" max="22" man="1"/>
    <brk id="2364" max="22" man="1"/>
    <brk id="2418" max="22" man="1"/>
    <brk id="2472" max="22" man="1"/>
    <brk id="2526" max="22" man="1"/>
    <brk id="2580" max="22" man="1"/>
    <brk id="2634" max="22" man="1"/>
    <brk id="2688" max="22" man="1"/>
    <brk id="2742" max="22" man="1"/>
    <brk id="2796" max="22" man="1"/>
    <brk id="2850" max="22" man="1"/>
    <brk id="2904" max="22" man="1"/>
    <brk id="2958" max="22" man="1"/>
    <brk id="3012" max="22" man="1"/>
    <brk id="3066" max="22" man="1"/>
    <brk id="3120" max="22" man="1"/>
    <brk id="3174" max="22" man="1"/>
    <brk id="3228" max="22" man="1"/>
    <brk id="3282" max="22" man="1"/>
    <brk id="3336" max="22" man="1"/>
    <brk id="3390" max="22" man="1"/>
    <brk id="3444" max="22" man="1"/>
    <brk id="3481" max="22" man="1"/>
    <brk id="3505" max="22" man="1"/>
    <brk id="3523" max="22" man="1"/>
    <brk id="3543" max="22" man="1"/>
    <brk id="3580" min="1" max="256" man="1"/>
  </rowBreaks>
  <colBreaks count="1" manualBreakCount="1">
    <brk id="6" max="357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9"/>
  <sheetViews>
    <sheetView view="pageBreakPreview" zoomScale="190" zoomScaleNormal="100" zoomScaleSheetLayoutView="190" workbookViewId="0"/>
  </sheetViews>
  <sheetFormatPr defaultRowHeight="18.399999999999999" customHeight="1"/>
  <cols>
    <col min="1" max="1" width="28.33203125" bestFit="1" customWidth="1"/>
    <col min="2" max="2" width="18" customWidth="1"/>
    <col min="3" max="3" width="8" customWidth="1"/>
    <col min="4" max="4" width="5" customWidth="1"/>
    <col min="5" max="8" width="13" customWidth="1"/>
    <col min="9" max="9" width="19" customWidth="1"/>
    <col min="10" max="13" width="0" hidden="1" customWidth="1"/>
  </cols>
  <sheetData>
    <row r="1" spans="1:15" ht="18.399999999999999" customHeight="1" thickBot="1">
      <c r="A1" t="s">
        <v>4874</v>
      </c>
    </row>
    <row r="2" spans="1:15" ht="18.399999999999999" customHeight="1" thickBot="1">
      <c r="A2" s="16" t="s">
        <v>995</v>
      </c>
      <c r="B2" s="17" t="s">
        <v>2290</v>
      </c>
      <c r="C2" s="17" t="s">
        <v>174</v>
      </c>
      <c r="D2" s="17" t="s">
        <v>5786</v>
      </c>
      <c r="E2" s="17" t="s">
        <v>4254</v>
      </c>
      <c r="F2" s="17" t="s">
        <v>2493</v>
      </c>
      <c r="G2" s="17" t="s">
        <v>422</v>
      </c>
      <c r="H2" s="17" t="s">
        <v>6011</v>
      </c>
      <c r="I2" s="19" t="s">
        <v>1571</v>
      </c>
    </row>
    <row r="3" spans="1:15" ht="18.399999999999999" customHeight="1">
      <c r="A3" s="208" t="s">
        <v>1188</v>
      </c>
      <c r="B3" s="209" t="s">
        <v>4440</v>
      </c>
      <c r="C3" s="209">
        <v>1</v>
      </c>
      <c r="D3" s="209" t="s">
        <v>1593</v>
      </c>
      <c r="E3" s="210"/>
      <c r="F3" s="210"/>
      <c r="G3" s="210">
        <f>중기사용료!G13</f>
        <v>97487</v>
      </c>
      <c r="H3" s="210">
        <f t="shared" ref="H3:H9" si="0">E3+F3+G3</f>
        <v>97487</v>
      </c>
      <c r="I3" s="262" t="s">
        <v>6549</v>
      </c>
      <c r="J3" t="s">
        <v>6232</v>
      </c>
      <c r="K3" t="s">
        <v>2528</v>
      </c>
      <c r="O3" s="33" t="str">
        <f>HYPERLINK("#중기사용료!A15","E00002104001000000 →")</f>
        <v>E00002104001000000 →</v>
      </c>
    </row>
    <row r="4" spans="1:15" ht="18.399999999999999" customHeight="1">
      <c r="A4" s="208" t="s">
        <v>1188</v>
      </c>
      <c r="B4" s="209" t="s">
        <v>4840</v>
      </c>
      <c r="C4" s="209">
        <v>1</v>
      </c>
      <c r="D4" s="209" t="s">
        <v>1593</v>
      </c>
      <c r="E4" s="210"/>
      <c r="F4" s="210"/>
      <c r="G4" s="210">
        <f>중기사용료!G25</f>
        <v>110678</v>
      </c>
      <c r="H4" s="210">
        <f t="shared" si="0"/>
        <v>110678</v>
      </c>
      <c r="I4" s="262" t="s">
        <v>6549</v>
      </c>
      <c r="J4" t="s">
        <v>6232</v>
      </c>
      <c r="K4" t="s">
        <v>5294</v>
      </c>
      <c r="O4" s="33" t="str">
        <f>HYPERLINK("#중기사용료!A27","E00002104001500000 →")</f>
        <v>E00002104001500000 →</v>
      </c>
    </row>
    <row r="5" spans="1:15" ht="18.399999999999999" customHeight="1">
      <c r="A5" s="208" t="s">
        <v>1188</v>
      </c>
      <c r="B5" s="209" t="s">
        <v>6197</v>
      </c>
      <c r="C5" s="209">
        <v>1</v>
      </c>
      <c r="D5" s="209" t="s">
        <v>1593</v>
      </c>
      <c r="E5" s="210"/>
      <c r="F5" s="210"/>
      <c r="G5" s="210">
        <f>중기사용료!G37</f>
        <v>122917</v>
      </c>
      <c r="H5" s="210">
        <f t="shared" si="0"/>
        <v>122917</v>
      </c>
      <c r="I5" s="262" t="s">
        <v>6549</v>
      </c>
      <c r="J5" t="s">
        <v>6232</v>
      </c>
      <c r="K5" t="s">
        <v>5927</v>
      </c>
      <c r="O5" s="33" t="str">
        <f>HYPERLINK("#중기사용료!A39","E00002104002000000 →")</f>
        <v>E00002104002000000 →</v>
      </c>
    </row>
    <row r="6" spans="1:15" ht="18.399999999999999" customHeight="1">
      <c r="A6" s="208" t="s">
        <v>1188</v>
      </c>
      <c r="B6" s="209" t="s">
        <v>2552</v>
      </c>
      <c r="C6" s="209">
        <v>1</v>
      </c>
      <c r="D6" s="209" t="s">
        <v>1593</v>
      </c>
      <c r="E6" s="210"/>
      <c r="F6" s="210"/>
      <c r="G6" s="210">
        <f>중기사용료!G49</f>
        <v>129893</v>
      </c>
      <c r="H6" s="210">
        <f t="shared" si="0"/>
        <v>129893</v>
      </c>
      <c r="I6" s="262" t="s">
        <v>6549</v>
      </c>
      <c r="J6" t="s">
        <v>6232</v>
      </c>
      <c r="K6" t="s">
        <v>1693</v>
      </c>
      <c r="O6" s="33" t="str">
        <f>HYPERLINK("#중기사용료!A51","E00002104002500000 →")</f>
        <v>E00002104002500000 →</v>
      </c>
    </row>
    <row r="7" spans="1:15" ht="18.399999999999999" customHeight="1">
      <c r="A7" s="208" t="s">
        <v>5072</v>
      </c>
      <c r="B7" s="209" t="s">
        <v>628</v>
      </c>
      <c r="C7" s="209">
        <v>1</v>
      </c>
      <c r="D7" s="209" t="s">
        <v>1593</v>
      </c>
      <c r="E7" s="210"/>
      <c r="F7" s="210"/>
      <c r="G7" s="210">
        <f>중기사용료!G61</f>
        <v>111635</v>
      </c>
      <c r="H7" s="210">
        <f t="shared" si="0"/>
        <v>111635</v>
      </c>
      <c r="I7" s="262" t="s">
        <v>6549</v>
      </c>
      <c r="J7" t="s">
        <v>6232</v>
      </c>
      <c r="K7" t="s">
        <v>1987</v>
      </c>
      <c r="O7" s="33" t="str">
        <f>HYPERLINK("#중기사용료!A87","E00002702002000000 →")</f>
        <v>E00002702002000000 →</v>
      </c>
    </row>
    <row r="8" spans="1:15" ht="18.399999999999999" customHeight="1">
      <c r="A8" s="208" t="s">
        <v>638</v>
      </c>
      <c r="B8" s="209" t="s">
        <v>4952</v>
      </c>
      <c r="C8" s="209">
        <v>1</v>
      </c>
      <c r="D8" s="209" t="s">
        <v>1593</v>
      </c>
      <c r="E8" s="210">
        <f>중기사용료!G70</f>
        <v>17152</v>
      </c>
      <c r="F8" s="210">
        <f>중기사용료!G72</f>
        <v>35913</v>
      </c>
      <c r="G8" s="210">
        <f>중기사용료!G67</f>
        <v>4585</v>
      </c>
      <c r="H8" s="210">
        <f t="shared" si="0"/>
        <v>57650</v>
      </c>
      <c r="I8" s="211" t="s">
        <v>6232</v>
      </c>
      <c r="J8" t="s">
        <v>6232</v>
      </c>
      <c r="K8" t="s">
        <v>974</v>
      </c>
      <c r="O8" s="33" t="str">
        <f>HYPERLINK("#중기사용료!A123","E00007505005000000 →")</f>
        <v>E00007505005000000 →</v>
      </c>
    </row>
    <row r="9" spans="1:15" ht="18.399999999999999" customHeight="1">
      <c r="A9" s="208" t="s">
        <v>3528</v>
      </c>
      <c r="B9" s="209" t="s">
        <v>365</v>
      </c>
      <c r="C9" s="209">
        <v>1</v>
      </c>
      <c r="D9" s="209" t="s">
        <v>1593</v>
      </c>
      <c r="E9" s="210">
        <v>0</v>
      </c>
      <c r="F9" s="210">
        <v>0</v>
      </c>
      <c r="G9" s="210">
        <f>중기사용료!G79</f>
        <v>116</v>
      </c>
      <c r="H9" s="210">
        <f t="shared" si="0"/>
        <v>116</v>
      </c>
      <c r="I9" s="211" t="s">
        <v>6232</v>
      </c>
      <c r="J9" t="s">
        <v>6232</v>
      </c>
      <c r="K9" t="s">
        <v>921</v>
      </c>
      <c r="O9" s="33" t="str">
        <f>HYPERLINK("#중기사용료!A159","E00007611030000000 →")</f>
        <v>E00007611030000000 →</v>
      </c>
    </row>
  </sheetData>
  <phoneticPr fontId="7" type="noConversion"/>
  <pageMargins left="0.31496062992125984" right="0.31496062992125984" top="1" bottom="0.59055118110236215" header="0.5" footer="0.5"/>
  <pageSetup paperSize="9" scale="92" orientation="portrait" r:id="rId1"/>
  <headerFooter alignWithMargins="0">
    <oddHeader>&amp;RPage : &amp;P/&amp;N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G85"/>
  <sheetViews>
    <sheetView view="pageBreakPreview" zoomScale="190" zoomScaleNormal="100" zoomScaleSheetLayoutView="190" workbookViewId="0"/>
  </sheetViews>
  <sheetFormatPr defaultRowHeight="18.399999999999999" customHeight="1"/>
  <cols>
    <col min="1" max="1" width="10" customWidth="1"/>
    <col min="2" max="2" width="25" customWidth="1"/>
    <col min="3" max="3" width="20" customWidth="1"/>
    <col min="4" max="4" width="8" customWidth="1"/>
    <col min="5" max="5" width="6" customWidth="1"/>
    <col min="6" max="7" width="13" customWidth="1"/>
    <col min="8" max="8" width="10" customWidth="1"/>
    <col min="9" max="31" width="0" hidden="1" customWidth="1"/>
  </cols>
  <sheetData>
    <row r="1" spans="1:33" ht="18.399999999999999" customHeight="1">
      <c r="A1" t="s">
        <v>4982</v>
      </c>
    </row>
    <row r="2" spans="1:33" ht="18.399999999999999" customHeight="1" thickBot="1"/>
    <row r="3" spans="1:33" ht="18.399999999999999" customHeight="1" thickTop="1" thickBot="1">
      <c r="A3" s="4" t="s">
        <v>5475</v>
      </c>
      <c r="B3" s="4" t="s">
        <v>2611</v>
      </c>
      <c r="C3" s="4"/>
      <c r="D3" s="4"/>
      <c r="E3" s="4"/>
      <c r="F3" s="4"/>
      <c r="G3" s="4"/>
      <c r="H3" s="4"/>
      <c r="I3" s="9" t="s">
        <v>6232</v>
      </c>
      <c r="J3" s="9" t="s">
        <v>2528</v>
      </c>
    </row>
    <row r="4" spans="1:33" ht="18.399999999999999" customHeight="1" thickTop="1">
      <c r="A4" s="4" t="s">
        <v>1675</v>
      </c>
      <c r="B4" s="4" t="s">
        <v>1403</v>
      </c>
      <c r="C4" s="4"/>
      <c r="D4" s="4"/>
      <c r="E4" s="4"/>
      <c r="F4" s="4"/>
      <c r="G4" s="4"/>
      <c r="H4" s="4"/>
    </row>
    <row r="5" spans="1:33" ht="18.399999999999999" customHeight="1">
      <c r="A5" s="31" t="s">
        <v>4797</v>
      </c>
      <c r="B5" s="31"/>
      <c r="C5" s="31" t="s">
        <v>3002</v>
      </c>
      <c r="D5" s="31" t="s">
        <v>174</v>
      </c>
      <c r="E5" s="31" t="s">
        <v>5786</v>
      </c>
      <c r="F5" s="31" t="s">
        <v>1407</v>
      </c>
      <c r="G5" s="31" t="s">
        <v>792</v>
      </c>
      <c r="H5" s="31" t="s">
        <v>1571</v>
      </c>
    </row>
    <row r="6" spans="1:33" ht="18.399999999999999" customHeight="1">
      <c r="A6" s="9" t="s">
        <v>422</v>
      </c>
      <c r="B6" s="9" t="s">
        <v>1188</v>
      </c>
      <c r="C6" s="9" t="s">
        <v>4440</v>
      </c>
      <c r="D6" s="9">
        <f>(1071 + 536 + 691)*10^-4</f>
        <v>0.2298</v>
      </c>
      <c r="E6" s="32" t="s">
        <v>753</v>
      </c>
      <c r="F6" s="32">
        <f>중기기초자료!F3</f>
        <v>134000</v>
      </c>
      <c r="G6" s="34">
        <f>TRUNC(F6*D6, 1)</f>
        <v>30793.200000000001</v>
      </c>
      <c r="H6" s="9" t="s">
        <v>6232</v>
      </c>
      <c r="I6" s="9" t="s">
        <v>6232</v>
      </c>
      <c r="K6" s="9" t="s">
        <v>746</v>
      </c>
      <c r="L6" s="9" t="s">
        <v>6232</v>
      </c>
      <c r="M6" s="9" t="s">
        <v>1413</v>
      </c>
      <c r="N6" s="9" t="s">
        <v>468</v>
      </c>
      <c r="AG6" s="33" t="str">
        <f>HYPERLINK("#중기기초자료!A4","G0000210400100000 →")</f>
        <v>G0000210400100000 →</v>
      </c>
    </row>
    <row r="7" spans="1:33" ht="18.399999999999999" customHeight="1">
      <c r="B7" s="9" t="s">
        <v>5295</v>
      </c>
      <c r="G7" s="32">
        <f>TRUNC(G6, 0)</f>
        <v>30793</v>
      </c>
    </row>
    <row r="8" spans="1:33" ht="18.399999999999999" customHeight="1">
      <c r="A8" s="9" t="s">
        <v>4254</v>
      </c>
      <c r="B8" s="9" t="str">
        <f>중기기초자료!A13</f>
        <v>경유</v>
      </c>
      <c r="C8" s="9" t="str">
        <f>중기기초자료!B13</f>
        <v>저유황(0.001%) 주유소</v>
      </c>
      <c r="D8" s="9">
        <v>3.8</v>
      </c>
      <c r="E8" s="35" t="s">
        <v>6116</v>
      </c>
      <c r="F8" s="35">
        <f>TRUNC(중기기초자료!D13 * 1 / 1, 2)</f>
        <v>1590</v>
      </c>
      <c r="G8" s="34">
        <f>TRUNC(F8*D8, 1)</f>
        <v>6042</v>
      </c>
      <c r="H8" s="9" t="s">
        <v>6232</v>
      </c>
      <c r="I8" s="9" t="s">
        <v>6232</v>
      </c>
      <c r="K8" s="9" t="s">
        <v>3801</v>
      </c>
      <c r="L8" s="9" t="s">
        <v>6232</v>
      </c>
      <c r="M8" s="9" t="s">
        <v>2276</v>
      </c>
      <c r="AG8" s="33" t="str">
        <f>HYPERLINK("#중기기초자료!A29","M9366017 →")</f>
        <v>M9366017 →</v>
      </c>
    </row>
    <row r="9" spans="1:33" ht="18.399999999999999" customHeight="1">
      <c r="B9" s="9" t="s">
        <v>479</v>
      </c>
      <c r="C9" s="9" t="s">
        <v>6232</v>
      </c>
      <c r="D9" s="9">
        <v>39</v>
      </c>
      <c r="E9" s="35" t="s">
        <v>2530</v>
      </c>
      <c r="F9" s="35">
        <v>0</v>
      </c>
      <c r="G9" s="34">
        <f>TRUNC((G8) * D9/100, 1)</f>
        <v>2356.3000000000002</v>
      </c>
      <c r="H9" s="9" t="s">
        <v>6232</v>
      </c>
      <c r="I9" s="9" t="s">
        <v>6232</v>
      </c>
      <c r="K9" s="9" t="s">
        <v>2205</v>
      </c>
      <c r="L9" s="9" t="s">
        <v>6232</v>
      </c>
      <c r="M9" s="9" t="s">
        <v>4203</v>
      </c>
      <c r="N9" s="9" t="s">
        <v>6232</v>
      </c>
    </row>
    <row r="10" spans="1:33" ht="18.399999999999999" customHeight="1">
      <c r="B10" s="9" t="s">
        <v>5295</v>
      </c>
      <c r="G10" s="32">
        <f>TRUNC(G8+G9, 0)</f>
        <v>8398</v>
      </c>
    </row>
    <row r="11" spans="1:33" ht="18.399999999999999" customHeight="1">
      <c r="A11" s="9" t="s">
        <v>2493</v>
      </c>
      <c r="B11" s="9" t="s">
        <v>1423</v>
      </c>
      <c r="C11" s="9" t="s">
        <v>6232</v>
      </c>
      <c r="D11" s="9">
        <v>1</v>
      </c>
      <c r="E11" s="34" t="s">
        <v>3712</v>
      </c>
      <c r="F11" s="34">
        <f>TRUNC(중기기초자료!E10 * 중기전역변수!C18, 1)</f>
        <v>58296.6</v>
      </c>
      <c r="G11" s="34">
        <f>TRUNC(F11*D11, 1)</f>
        <v>58296.6</v>
      </c>
      <c r="H11" s="9" t="s">
        <v>6232</v>
      </c>
      <c r="I11" s="9" t="s">
        <v>6232</v>
      </c>
      <c r="K11" s="9" t="s">
        <v>5387</v>
      </c>
      <c r="L11" s="9" t="s">
        <v>6232</v>
      </c>
      <c r="M11" s="9" t="s">
        <v>4998</v>
      </c>
      <c r="AG11" s="33" t="str">
        <f>HYPERLINK("#중기기초자료!A25","L001010101000048 →")</f>
        <v>L001010101000048 →</v>
      </c>
    </row>
    <row r="12" spans="1:33" ht="18.399999999999999" customHeight="1">
      <c r="B12" s="9" t="s">
        <v>5295</v>
      </c>
      <c r="G12" s="32">
        <f>TRUNC(G11, 0)</f>
        <v>58296</v>
      </c>
    </row>
    <row r="13" spans="1:33" ht="18.399999999999999" customHeight="1" thickBot="1">
      <c r="B13" s="9" t="s">
        <v>620</v>
      </c>
      <c r="G13" s="32">
        <f>TRUNC(G7+G10+G12, 0)</f>
        <v>97487</v>
      </c>
    </row>
    <row r="14" spans="1:33" ht="18.399999999999999" customHeight="1" thickTop="1" thickBot="1">
      <c r="A14" s="4"/>
      <c r="B14" s="4"/>
      <c r="C14" s="4"/>
      <c r="D14" s="4"/>
      <c r="E14" s="4"/>
      <c r="F14" s="4"/>
      <c r="G14" s="4"/>
      <c r="H14" s="4"/>
    </row>
    <row r="15" spans="1:33" ht="18.399999999999999" customHeight="1" thickTop="1" thickBot="1">
      <c r="A15" s="4" t="s">
        <v>5475</v>
      </c>
      <c r="B15" s="4" t="s">
        <v>1131</v>
      </c>
      <c r="C15" s="4"/>
      <c r="D15" s="4"/>
      <c r="E15" s="4"/>
      <c r="F15" s="4"/>
      <c r="G15" s="4"/>
      <c r="H15" s="4"/>
      <c r="I15" s="9" t="s">
        <v>6232</v>
      </c>
      <c r="J15" s="9" t="s">
        <v>5294</v>
      </c>
    </row>
    <row r="16" spans="1:33" ht="18.399999999999999" customHeight="1" thickTop="1">
      <c r="A16" s="4" t="s">
        <v>1675</v>
      </c>
      <c r="B16" s="4" t="s">
        <v>1914</v>
      </c>
      <c r="C16" s="4"/>
      <c r="D16" s="4"/>
      <c r="E16" s="4"/>
      <c r="F16" s="4"/>
      <c r="G16" s="4"/>
      <c r="H16" s="4"/>
    </row>
    <row r="17" spans="1:33" ht="18.399999999999999" customHeight="1">
      <c r="A17" s="31" t="s">
        <v>4797</v>
      </c>
      <c r="B17" s="31"/>
      <c r="C17" s="31" t="s">
        <v>3002</v>
      </c>
      <c r="D17" s="31" t="s">
        <v>174</v>
      </c>
      <c r="E17" s="31" t="s">
        <v>5786</v>
      </c>
      <c r="F17" s="31" t="s">
        <v>1407</v>
      </c>
      <c r="G17" s="31" t="s">
        <v>792</v>
      </c>
      <c r="H17" s="31" t="s">
        <v>1571</v>
      </c>
    </row>
    <row r="18" spans="1:33" ht="18.399999999999999" customHeight="1">
      <c r="A18" s="9" t="s">
        <v>422</v>
      </c>
      <c r="B18" s="9" t="s">
        <v>1188</v>
      </c>
      <c r="C18" s="9" t="s">
        <v>4840</v>
      </c>
      <c r="D18" s="9">
        <f>(1071 + 536 + 691)*10^-4</f>
        <v>0.2298</v>
      </c>
      <c r="E18" s="32" t="s">
        <v>753</v>
      </c>
      <c r="F18" s="32">
        <f>중기기초자료!F4</f>
        <v>182749</v>
      </c>
      <c r="G18" s="34">
        <f>TRUNC(F18*D18, 1)</f>
        <v>41995.7</v>
      </c>
      <c r="H18" s="9" t="s">
        <v>6232</v>
      </c>
      <c r="I18" s="9" t="s">
        <v>6232</v>
      </c>
      <c r="K18" s="9" t="s">
        <v>746</v>
      </c>
      <c r="L18" s="9" t="s">
        <v>6232</v>
      </c>
      <c r="M18" s="9" t="s">
        <v>1763</v>
      </c>
      <c r="N18" s="9" t="s">
        <v>468</v>
      </c>
      <c r="AG18" s="33" t="str">
        <f>HYPERLINK("#중기기초자료!A5","G0000210400150000 →")</f>
        <v>G0000210400150000 →</v>
      </c>
    </row>
    <row r="19" spans="1:33" ht="18.399999999999999" customHeight="1">
      <c r="B19" s="9" t="s">
        <v>5295</v>
      </c>
      <c r="G19" s="32">
        <f>TRUNC(G18, 0)</f>
        <v>41995</v>
      </c>
    </row>
    <row r="20" spans="1:33" ht="18.399999999999999" customHeight="1">
      <c r="A20" s="9" t="s">
        <v>4254</v>
      </c>
      <c r="B20" s="9" t="str">
        <f>중기기초자료!A13</f>
        <v>경유</v>
      </c>
      <c r="C20" s="9" t="str">
        <f>중기기초자료!B13</f>
        <v>저유황(0.001%) 주유소</v>
      </c>
      <c r="D20" s="9">
        <v>4.7</v>
      </c>
      <c r="E20" s="35" t="s">
        <v>6116</v>
      </c>
      <c r="F20" s="35">
        <f>TRUNC(중기기초자료!D13 * 1 / 1, 2)</f>
        <v>1590</v>
      </c>
      <c r="G20" s="34">
        <f>TRUNC(F20*D20, 1)</f>
        <v>7473</v>
      </c>
      <c r="H20" s="9" t="s">
        <v>6232</v>
      </c>
      <c r="I20" s="9" t="s">
        <v>6232</v>
      </c>
      <c r="K20" s="9" t="s">
        <v>3801</v>
      </c>
      <c r="L20" s="9" t="s">
        <v>6232</v>
      </c>
      <c r="M20" s="9" t="s">
        <v>2276</v>
      </c>
      <c r="AG20" s="33" t="str">
        <f>HYPERLINK("#중기기초자료!A29","M9366017 →")</f>
        <v>M9366017 →</v>
      </c>
    </row>
    <row r="21" spans="1:33" ht="18.399999999999999" customHeight="1">
      <c r="B21" s="9" t="s">
        <v>479</v>
      </c>
      <c r="C21" s="9" t="s">
        <v>6232</v>
      </c>
      <c r="D21" s="9">
        <v>39</v>
      </c>
      <c r="E21" s="35" t="s">
        <v>2530</v>
      </c>
      <c r="F21" s="35">
        <v>0</v>
      </c>
      <c r="G21" s="34">
        <f>TRUNC((G20) * D21/100, 1)</f>
        <v>2914.4</v>
      </c>
      <c r="H21" s="9" t="s">
        <v>6232</v>
      </c>
      <c r="I21" s="9" t="s">
        <v>6232</v>
      </c>
      <c r="K21" s="9" t="s">
        <v>2205</v>
      </c>
      <c r="L21" s="9" t="s">
        <v>6232</v>
      </c>
      <c r="M21" s="9" t="s">
        <v>4203</v>
      </c>
      <c r="N21" s="9" t="s">
        <v>6232</v>
      </c>
    </row>
    <row r="22" spans="1:33" ht="18.399999999999999" customHeight="1">
      <c r="B22" s="9" t="s">
        <v>5295</v>
      </c>
      <c r="G22" s="32">
        <f>TRUNC(G20+G21, 0)</f>
        <v>10387</v>
      </c>
    </row>
    <row r="23" spans="1:33" ht="18.399999999999999" customHeight="1">
      <c r="A23" s="9" t="s">
        <v>2493</v>
      </c>
      <c r="B23" s="9" t="s">
        <v>1423</v>
      </c>
      <c r="C23" s="9" t="s">
        <v>6232</v>
      </c>
      <c r="D23" s="9">
        <v>1</v>
      </c>
      <c r="E23" s="34" t="s">
        <v>3712</v>
      </c>
      <c r="F23" s="34">
        <f>TRUNC(중기기초자료!E10 * 중기전역변수!C18, 1)</f>
        <v>58296.6</v>
      </c>
      <c r="G23" s="34">
        <f>TRUNC(F23*D23, 1)</f>
        <v>58296.6</v>
      </c>
      <c r="H23" s="9" t="s">
        <v>6232</v>
      </c>
      <c r="I23" s="9" t="s">
        <v>6232</v>
      </c>
      <c r="K23" s="9" t="s">
        <v>5387</v>
      </c>
      <c r="L23" s="9" t="s">
        <v>6232</v>
      </c>
      <c r="M23" s="9" t="s">
        <v>4998</v>
      </c>
      <c r="AG23" s="33" t="str">
        <f>HYPERLINK("#중기기초자료!A25","L001010101000048 →")</f>
        <v>L001010101000048 →</v>
      </c>
    </row>
    <row r="24" spans="1:33" ht="18.399999999999999" customHeight="1">
      <c r="B24" s="9" t="s">
        <v>5295</v>
      </c>
      <c r="G24" s="32">
        <f>TRUNC(G23, 0)</f>
        <v>58296</v>
      </c>
    </row>
    <row r="25" spans="1:33" ht="18.399999999999999" customHeight="1" thickBot="1">
      <c r="B25" s="9" t="s">
        <v>620</v>
      </c>
      <c r="G25" s="32">
        <f>TRUNC(G19+G22+G24, 0)</f>
        <v>110678</v>
      </c>
    </row>
    <row r="26" spans="1:33" ht="18.399999999999999" customHeight="1" thickTop="1" thickBot="1">
      <c r="A26" s="4"/>
      <c r="B26" s="4"/>
      <c r="C26" s="4"/>
      <c r="D26" s="4"/>
      <c r="E26" s="4"/>
      <c r="F26" s="4"/>
      <c r="G26" s="4"/>
      <c r="H26" s="4"/>
    </row>
    <row r="27" spans="1:33" ht="18.399999999999999" customHeight="1" thickTop="1" thickBot="1">
      <c r="A27" s="4" t="s">
        <v>5475</v>
      </c>
      <c r="B27" s="4" t="s">
        <v>437</v>
      </c>
      <c r="C27" s="4"/>
      <c r="D27" s="4"/>
      <c r="E27" s="4"/>
      <c r="F27" s="4"/>
      <c r="G27" s="4"/>
      <c r="H27" s="4"/>
      <c r="I27" s="9" t="s">
        <v>6232</v>
      </c>
      <c r="J27" s="9" t="s">
        <v>5927</v>
      </c>
    </row>
    <row r="28" spans="1:33" ht="18.399999999999999" customHeight="1" thickTop="1">
      <c r="A28" s="4" t="s">
        <v>1675</v>
      </c>
      <c r="B28" s="4" t="s">
        <v>1448</v>
      </c>
      <c r="C28" s="4"/>
      <c r="D28" s="4"/>
      <c r="E28" s="4"/>
      <c r="F28" s="4"/>
      <c r="G28" s="4"/>
      <c r="H28" s="4"/>
    </row>
    <row r="29" spans="1:33" ht="18.399999999999999" customHeight="1">
      <c r="A29" s="31" t="s">
        <v>4797</v>
      </c>
      <c r="B29" s="31"/>
      <c r="C29" s="31" t="s">
        <v>3002</v>
      </c>
      <c r="D29" s="31" t="s">
        <v>174</v>
      </c>
      <c r="E29" s="31" t="s">
        <v>5786</v>
      </c>
      <c r="F29" s="31" t="s">
        <v>1407</v>
      </c>
      <c r="G29" s="31" t="s">
        <v>792</v>
      </c>
      <c r="H29" s="31" t="s">
        <v>1571</v>
      </c>
    </row>
    <row r="30" spans="1:33" ht="18.399999999999999" customHeight="1">
      <c r="A30" s="9" t="s">
        <v>422</v>
      </c>
      <c r="B30" s="9" t="s">
        <v>1188</v>
      </c>
      <c r="C30" s="9" t="s">
        <v>6197</v>
      </c>
      <c r="D30" s="9">
        <f>(1071 + 536 + 691)*10^-4</f>
        <v>0.2298</v>
      </c>
      <c r="E30" s="32" t="s">
        <v>753</v>
      </c>
      <c r="F30" s="32">
        <f>중기기초자료!F5</f>
        <v>229276</v>
      </c>
      <c r="G30" s="34">
        <f>TRUNC(F30*D30, 1)</f>
        <v>52687.6</v>
      </c>
      <c r="H30" s="9" t="s">
        <v>6232</v>
      </c>
      <c r="I30" s="9" t="s">
        <v>6232</v>
      </c>
      <c r="K30" s="9" t="s">
        <v>746</v>
      </c>
      <c r="L30" s="9" t="s">
        <v>6232</v>
      </c>
      <c r="M30" s="9" t="s">
        <v>3598</v>
      </c>
      <c r="N30" s="9" t="s">
        <v>2068</v>
      </c>
      <c r="AG30" s="33" t="str">
        <f>HYPERLINK("#중기기초자료!A6","G0000210400200000 →")</f>
        <v>G0000210400200000 →</v>
      </c>
    </row>
    <row r="31" spans="1:33" ht="18.399999999999999" customHeight="1">
      <c r="B31" s="9" t="s">
        <v>5295</v>
      </c>
      <c r="G31" s="32">
        <f>TRUNC(G30, 0)</f>
        <v>52687</v>
      </c>
    </row>
    <row r="32" spans="1:33" ht="18.399999999999999" customHeight="1">
      <c r="A32" s="9" t="s">
        <v>4254</v>
      </c>
      <c r="B32" s="9" t="str">
        <f>중기기초자료!A13</f>
        <v>경유</v>
      </c>
      <c r="C32" s="9" t="str">
        <f>중기기초자료!B13</f>
        <v>저유황(0.001%) 주유소</v>
      </c>
      <c r="D32" s="9">
        <v>5.4</v>
      </c>
      <c r="E32" s="35" t="s">
        <v>6116</v>
      </c>
      <c r="F32" s="35">
        <f>TRUNC(중기기초자료!D13 * 1 / 1, 2)</f>
        <v>1590</v>
      </c>
      <c r="G32" s="34">
        <f>TRUNC(F32*D32, 1)</f>
        <v>8586</v>
      </c>
      <c r="H32" s="9" t="s">
        <v>6232</v>
      </c>
      <c r="I32" s="9" t="s">
        <v>6232</v>
      </c>
      <c r="K32" s="9" t="s">
        <v>3801</v>
      </c>
      <c r="L32" s="9" t="s">
        <v>6232</v>
      </c>
      <c r="M32" s="9" t="s">
        <v>2276</v>
      </c>
      <c r="AG32" s="33" t="str">
        <f>HYPERLINK("#중기기초자료!A29","M9366017 →")</f>
        <v>M9366017 →</v>
      </c>
    </row>
    <row r="33" spans="1:33" ht="18.399999999999999" customHeight="1">
      <c r="B33" s="9" t="s">
        <v>479</v>
      </c>
      <c r="C33" s="9" t="s">
        <v>6232</v>
      </c>
      <c r="D33" s="9">
        <v>39</v>
      </c>
      <c r="E33" s="35" t="s">
        <v>2530</v>
      </c>
      <c r="F33" s="35">
        <v>0</v>
      </c>
      <c r="G33" s="34">
        <f>TRUNC((G32) * D33/100, 1)</f>
        <v>3348.5</v>
      </c>
      <c r="H33" s="9" t="s">
        <v>6232</v>
      </c>
      <c r="I33" s="9" t="s">
        <v>6232</v>
      </c>
      <c r="K33" s="9" t="s">
        <v>2205</v>
      </c>
      <c r="L33" s="9" t="s">
        <v>6232</v>
      </c>
      <c r="M33" s="9" t="s">
        <v>4203</v>
      </c>
      <c r="N33" s="9" t="s">
        <v>6232</v>
      </c>
    </row>
    <row r="34" spans="1:33" ht="18.399999999999999" customHeight="1">
      <c r="B34" s="9" t="s">
        <v>5295</v>
      </c>
      <c r="G34" s="32">
        <f>TRUNC(G32+G33, 0)</f>
        <v>11934</v>
      </c>
    </row>
    <row r="35" spans="1:33" ht="18.399999999999999" customHeight="1">
      <c r="A35" s="9" t="s">
        <v>2493</v>
      </c>
      <c r="B35" s="9" t="s">
        <v>1423</v>
      </c>
      <c r="C35" s="9" t="s">
        <v>6232</v>
      </c>
      <c r="D35" s="9">
        <v>1</v>
      </c>
      <c r="E35" s="34" t="s">
        <v>3712</v>
      </c>
      <c r="F35" s="34">
        <f>TRUNC(중기기초자료!E10 * 중기전역변수!C18, 1)</f>
        <v>58296.6</v>
      </c>
      <c r="G35" s="34">
        <f>TRUNC(F35*D35, 1)</f>
        <v>58296.6</v>
      </c>
      <c r="H35" s="9" t="s">
        <v>6232</v>
      </c>
      <c r="I35" s="9" t="s">
        <v>6232</v>
      </c>
      <c r="K35" s="9" t="s">
        <v>5387</v>
      </c>
      <c r="L35" s="9" t="s">
        <v>6232</v>
      </c>
      <c r="M35" s="9" t="s">
        <v>4998</v>
      </c>
      <c r="AG35" s="33" t="str">
        <f>HYPERLINK("#중기기초자료!A25","L001010101000048 →")</f>
        <v>L001010101000048 →</v>
      </c>
    </row>
    <row r="36" spans="1:33" ht="18.399999999999999" customHeight="1">
      <c r="B36" s="9" t="s">
        <v>5295</v>
      </c>
      <c r="G36" s="32">
        <f>TRUNC(G35, 0)</f>
        <v>58296</v>
      </c>
    </row>
    <row r="37" spans="1:33" ht="18.399999999999999" customHeight="1" thickBot="1">
      <c r="B37" s="9" t="s">
        <v>620</v>
      </c>
      <c r="G37" s="32">
        <f>TRUNC(G31+G34+G36, 0)</f>
        <v>122917</v>
      </c>
    </row>
    <row r="38" spans="1:33" ht="18.399999999999999" customHeight="1" thickTop="1" thickBot="1">
      <c r="A38" s="4"/>
      <c r="B38" s="4"/>
      <c r="C38" s="4"/>
      <c r="D38" s="4"/>
      <c r="E38" s="4"/>
      <c r="F38" s="4"/>
      <c r="G38" s="4"/>
      <c r="H38" s="4"/>
    </row>
    <row r="39" spans="1:33" ht="18.399999999999999" customHeight="1" thickTop="1" thickBot="1">
      <c r="A39" s="4" t="s">
        <v>5475</v>
      </c>
      <c r="B39" s="4" t="s">
        <v>5422</v>
      </c>
      <c r="C39" s="4"/>
      <c r="D39" s="4"/>
      <c r="E39" s="4"/>
      <c r="F39" s="4"/>
      <c r="G39" s="4"/>
      <c r="H39" s="4"/>
      <c r="I39" s="9" t="s">
        <v>6232</v>
      </c>
      <c r="J39" s="9" t="s">
        <v>1693</v>
      </c>
    </row>
    <row r="40" spans="1:33" ht="18.399999999999999" customHeight="1" thickTop="1">
      <c r="A40" s="4" t="s">
        <v>1675</v>
      </c>
      <c r="B40" s="4" t="s">
        <v>5182</v>
      </c>
      <c r="C40" s="4"/>
      <c r="D40" s="4"/>
      <c r="E40" s="4"/>
      <c r="F40" s="4"/>
      <c r="G40" s="4"/>
      <c r="H40" s="4"/>
    </row>
    <row r="41" spans="1:33" ht="18.399999999999999" customHeight="1">
      <c r="A41" s="31" t="s">
        <v>4797</v>
      </c>
      <c r="B41" s="31"/>
      <c r="C41" s="31" t="s">
        <v>3002</v>
      </c>
      <c r="D41" s="31" t="s">
        <v>174</v>
      </c>
      <c r="E41" s="31" t="s">
        <v>5786</v>
      </c>
      <c r="F41" s="31" t="s">
        <v>1407</v>
      </c>
      <c r="G41" s="31" t="s">
        <v>792</v>
      </c>
      <c r="H41" s="31" t="s">
        <v>1571</v>
      </c>
    </row>
    <row r="42" spans="1:33" ht="18.399999999999999" customHeight="1">
      <c r="A42" s="9" t="s">
        <v>422</v>
      </c>
      <c r="B42" s="9" t="s">
        <v>1188</v>
      </c>
      <c r="C42" s="9" t="s">
        <v>2552</v>
      </c>
      <c r="D42" s="9">
        <f>(918 + 459 + 680)*10^-4</f>
        <v>0.20570000000000002</v>
      </c>
      <c r="E42" s="32" t="s">
        <v>753</v>
      </c>
      <c r="F42" s="32">
        <f>중기기초자료!F6</f>
        <v>282532</v>
      </c>
      <c r="G42" s="34">
        <f>TRUNC(F42*D42, 1)</f>
        <v>58116.800000000003</v>
      </c>
      <c r="H42" s="9" t="s">
        <v>6232</v>
      </c>
      <c r="I42" s="9" t="s">
        <v>6232</v>
      </c>
      <c r="K42" s="9" t="s">
        <v>746</v>
      </c>
      <c r="L42" s="9" t="s">
        <v>6232</v>
      </c>
      <c r="M42" s="9" t="s">
        <v>5538</v>
      </c>
      <c r="N42" s="9" t="s">
        <v>5967</v>
      </c>
      <c r="AG42" s="33" t="str">
        <f>HYPERLINK("#중기기초자료!A7","G0000210400250000 →")</f>
        <v>G0000210400250000 →</v>
      </c>
    </row>
    <row r="43" spans="1:33" ht="18.399999999999999" customHeight="1">
      <c r="B43" s="9" t="s">
        <v>5295</v>
      </c>
      <c r="G43" s="32">
        <f>TRUNC(G42, 0)</f>
        <v>58116</v>
      </c>
    </row>
    <row r="44" spans="1:33" ht="18.399999999999999" customHeight="1">
      <c r="A44" s="9" t="s">
        <v>4254</v>
      </c>
      <c r="B44" s="9" t="str">
        <f>중기기초자료!A13</f>
        <v>경유</v>
      </c>
      <c r="C44" s="9" t="str">
        <f>중기기초자료!B13</f>
        <v>저유황(0.001%) 주유소</v>
      </c>
      <c r="D44" s="9">
        <v>6.1</v>
      </c>
      <c r="E44" s="35" t="s">
        <v>6116</v>
      </c>
      <c r="F44" s="35">
        <f>TRUNC(중기기초자료!D13 * 1 / 1, 2)</f>
        <v>1590</v>
      </c>
      <c r="G44" s="34">
        <f>TRUNC(F44*D44, 1)</f>
        <v>9699</v>
      </c>
      <c r="H44" s="9" t="s">
        <v>6232</v>
      </c>
      <c r="I44" s="9" t="s">
        <v>6232</v>
      </c>
      <c r="K44" s="9" t="s">
        <v>3801</v>
      </c>
      <c r="L44" s="9" t="s">
        <v>6232</v>
      </c>
      <c r="M44" s="9" t="s">
        <v>2276</v>
      </c>
      <c r="AG44" s="33" t="str">
        <f>HYPERLINK("#중기기초자료!A29","M9366017 →")</f>
        <v>M9366017 →</v>
      </c>
    </row>
    <row r="45" spans="1:33" ht="18.399999999999999" customHeight="1">
      <c r="B45" s="9" t="s">
        <v>479</v>
      </c>
      <c r="C45" s="9" t="s">
        <v>6232</v>
      </c>
      <c r="D45" s="9">
        <v>39</v>
      </c>
      <c r="E45" s="35" t="s">
        <v>2530</v>
      </c>
      <c r="F45" s="35">
        <v>0</v>
      </c>
      <c r="G45" s="34">
        <f>TRUNC((G44) * D45/100, 1)</f>
        <v>3782.6</v>
      </c>
      <c r="H45" s="9" t="s">
        <v>6232</v>
      </c>
      <c r="I45" s="9" t="s">
        <v>6232</v>
      </c>
      <c r="K45" s="9" t="s">
        <v>2205</v>
      </c>
      <c r="L45" s="9" t="s">
        <v>6232</v>
      </c>
      <c r="M45" s="9" t="s">
        <v>4203</v>
      </c>
      <c r="N45" s="9" t="s">
        <v>6232</v>
      </c>
    </row>
    <row r="46" spans="1:33" ht="18.399999999999999" customHeight="1">
      <c r="B46" s="9" t="s">
        <v>5295</v>
      </c>
      <c r="G46" s="32">
        <f>TRUNC(G44+G45, 0)</f>
        <v>13481</v>
      </c>
    </row>
    <row r="47" spans="1:33" ht="18.399999999999999" customHeight="1">
      <c r="A47" s="9" t="s">
        <v>2493</v>
      </c>
      <c r="B47" s="9" t="s">
        <v>1423</v>
      </c>
      <c r="C47" s="9" t="s">
        <v>6232</v>
      </c>
      <c r="D47" s="9">
        <v>1</v>
      </c>
      <c r="E47" s="34" t="s">
        <v>3712</v>
      </c>
      <c r="F47" s="34">
        <f>TRUNC(중기기초자료!E10 * 중기전역변수!C18, 1)</f>
        <v>58296.6</v>
      </c>
      <c r="G47" s="34">
        <f>TRUNC(F47*D47, 1)</f>
        <v>58296.6</v>
      </c>
      <c r="H47" s="9" t="s">
        <v>6232</v>
      </c>
      <c r="I47" s="9" t="s">
        <v>6232</v>
      </c>
      <c r="K47" s="9" t="s">
        <v>5387</v>
      </c>
      <c r="L47" s="9" t="s">
        <v>6232</v>
      </c>
      <c r="M47" s="9" t="s">
        <v>4998</v>
      </c>
      <c r="AG47" s="33" t="str">
        <f>HYPERLINK("#중기기초자료!A25","L001010101000048 →")</f>
        <v>L001010101000048 →</v>
      </c>
    </row>
    <row r="48" spans="1:33" ht="18.399999999999999" customHeight="1">
      <c r="B48" s="9" t="s">
        <v>5295</v>
      </c>
      <c r="G48" s="32">
        <f>TRUNC(G47, 0)</f>
        <v>58296</v>
      </c>
    </row>
    <row r="49" spans="1:33" ht="18.399999999999999" customHeight="1" thickBot="1">
      <c r="B49" s="9" t="s">
        <v>620</v>
      </c>
      <c r="G49" s="32">
        <f>TRUNC(G43+G46+G48, 0)</f>
        <v>129893</v>
      </c>
    </row>
    <row r="50" spans="1:33" ht="18.399999999999999" customHeight="1" thickTop="1" thickBot="1">
      <c r="A50" s="4"/>
      <c r="B50" s="4"/>
      <c r="C50" s="4"/>
      <c r="D50" s="4"/>
      <c r="E50" s="4"/>
      <c r="F50" s="4"/>
      <c r="G50" s="4"/>
      <c r="H50" s="4"/>
    </row>
    <row r="51" spans="1:33" ht="18.399999999999999" customHeight="1" thickTop="1" thickBot="1">
      <c r="A51" s="4" t="s">
        <v>5475</v>
      </c>
      <c r="B51" s="4" t="s">
        <v>2900</v>
      </c>
      <c r="C51" s="4"/>
      <c r="D51" s="4"/>
      <c r="E51" s="4"/>
      <c r="F51" s="4"/>
      <c r="G51" s="4"/>
      <c r="H51" s="4"/>
      <c r="I51" s="9" t="s">
        <v>6232</v>
      </c>
      <c r="J51" s="9" t="s">
        <v>1987</v>
      </c>
    </row>
    <row r="52" spans="1:33" ht="18.399999999999999" customHeight="1" thickTop="1">
      <c r="A52" s="4" t="s">
        <v>1675</v>
      </c>
      <c r="B52" s="4" t="s">
        <v>2817</v>
      </c>
      <c r="C52" s="4"/>
      <c r="D52" s="4"/>
      <c r="E52" s="4"/>
      <c r="F52" s="4"/>
      <c r="G52" s="4"/>
      <c r="H52" s="4"/>
    </row>
    <row r="53" spans="1:33" ht="18.399999999999999" customHeight="1">
      <c r="A53" s="31" t="s">
        <v>4797</v>
      </c>
      <c r="B53" s="31"/>
      <c r="C53" s="31" t="s">
        <v>3002</v>
      </c>
      <c r="D53" s="31" t="s">
        <v>174</v>
      </c>
      <c r="E53" s="31" t="s">
        <v>5786</v>
      </c>
      <c r="F53" s="31" t="s">
        <v>1407</v>
      </c>
      <c r="G53" s="31" t="s">
        <v>792</v>
      </c>
      <c r="H53" s="31" t="s">
        <v>1571</v>
      </c>
    </row>
    <row r="54" spans="1:33" ht="18.399999999999999" customHeight="1">
      <c r="A54" s="9" t="s">
        <v>422</v>
      </c>
      <c r="B54" s="9" t="s">
        <v>5072</v>
      </c>
      <c r="C54" s="9" t="s">
        <v>628</v>
      </c>
      <c r="D54" s="9">
        <f>(1286 + 786 + 504)*10^-4</f>
        <v>0.2576</v>
      </c>
      <c r="E54" s="32" t="s">
        <v>753</v>
      </c>
      <c r="F54" s="32">
        <f>중기기초자료!F7</f>
        <v>65504</v>
      </c>
      <c r="G54" s="34">
        <f>TRUNC(F54*D54, 1)</f>
        <v>16873.8</v>
      </c>
      <c r="H54" s="9" t="s">
        <v>6232</v>
      </c>
      <c r="I54" s="9" t="s">
        <v>6232</v>
      </c>
      <c r="K54" s="9" t="s">
        <v>746</v>
      </c>
      <c r="L54" s="9" t="s">
        <v>6232</v>
      </c>
      <c r="M54" s="9" t="s">
        <v>2241</v>
      </c>
      <c r="N54" s="9" t="s">
        <v>3956</v>
      </c>
      <c r="AG54" s="33" t="str">
        <f>HYPERLINK("#중기기초자료!A10","G0000270200200000 →")</f>
        <v>G0000270200200000 →</v>
      </c>
    </row>
    <row r="55" spans="1:33" ht="18.399999999999999" customHeight="1">
      <c r="B55" s="9" t="s">
        <v>5295</v>
      </c>
      <c r="G55" s="32">
        <f>TRUNC(G54, 0)</f>
        <v>16873</v>
      </c>
    </row>
    <row r="56" spans="1:33" ht="18.399999999999999" customHeight="1">
      <c r="A56" s="9" t="s">
        <v>4254</v>
      </c>
      <c r="B56" s="9" t="str">
        <f>중기기초자료!A13</f>
        <v>경유</v>
      </c>
      <c r="C56" s="9" t="str">
        <f>중기기초자료!B13</f>
        <v>저유황(0.001%) 주유소</v>
      </c>
      <c r="D56" s="9">
        <v>16.5</v>
      </c>
      <c r="E56" s="35" t="s">
        <v>6116</v>
      </c>
      <c r="F56" s="35">
        <f>TRUNC(중기기초자료!D13 * 1 / 1, 2)</f>
        <v>1590</v>
      </c>
      <c r="G56" s="34">
        <f>TRUNC(F56*D56, 1)</f>
        <v>26235</v>
      </c>
      <c r="H56" s="9" t="s">
        <v>6232</v>
      </c>
      <c r="I56" s="9" t="s">
        <v>6232</v>
      </c>
      <c r="K56" s="9" t="s">
        <v>3801</v>
      </c>
      <c r="L56" s="9" t="s">
        <v>6232</v>
      </c>
      <c r="M56" s="9" t="s">
        <v>2276</v>
      </c>
      <c r="AG56" s="33" t="str">
        <f>HYPERLINK("#중기기초자료!A29","M9366017 →")</f>
        <v>M9366017 →</v>
      </c>
    </row>
    <row r="57" spans="1:33" ht="18.399999999999999" customHeight="1">
      <c r="B57" s="9" t="s">
        <v>479</v>
      </c>
      <c r="C57" s="9" t="s">
        <v>6232</v>
      </c>
      <c r="D57" s="9">
        <v>39</v>
      </c>
      <c r="E57" s="35" t="s">
        <v>2530</v>
      </c>
      <c r="F57" s="35">
        <v>0</v>
      </c>
      <c r="G57" s="34">
        <f>TRUNC((G56) * D57/100, 1)</f>
        <v>10231.6</v>
      </c>
      <c r="H57" s="9" t="s">
        <v>6232</v>
      </c>
      <c r="I57" s="9" t="s">
        <v>6232</v>
      </c>
      <c r="K57" s="9" t="s">
        <v>2205</v>
      </c>
      <c r="L57" s="9" t="s">
        <v>6232</v>
      </c>
      <c r="M57" s="9" t="s">
        <v>4203</v>
      </c>
      <c r="N57" s="9" t="s">
        <v>6232</v>
      </c>
    </row>
    <row r="58" spans="1:33" ht="18.399999999999999" customHeight="1">
      <c r="B58" s="9" t="s">
        <v>5295</v>
      </c>
      <c r="G58" s="32">
        <f>TRUNC(G56+G57, 0)</f>
        <v>36466</v>
      </c>
    </row>
    <row r="59" spans="1:33" ht="18.399999999999999" customHeight="1">
      <c r="A59" s="9" t="s">
        <v>2493</v>
      </c>
      <c r="B59" s="9" t="s">
        <v>1423</v>
      </c>
      <c r="C59" s="9" t="s">
        <v>6232</v>
      </c>
      <c r="D59" s="9">
        <v>1</v>
      </c>
      <c r="E59" s="34" t="s">
        <v>3712</v>
      </c>
      <c r="F59" s="34">
        <f>TRUNC(중기기초자료!E10 * 중기전역변수!C18, 1)</f>
        <v>58296.6</v>
      </c>
      <c r="G59" s="34">
        <f>TRUNC(F59*D59, 1)</f>
        <v>58296.6</v>
      </c>
      <c r="H59" s="9" t="s">
        <v>6232</v>
      </c>
      <c r="I59" s="9" t="s">
        <v>6232</v>
      </c>
      <c r="K59" s="9" t="s">
        <v>5387</v>
      </c>
      <c r="L59" s="9" t="s">
        <v>6232</v>
      </c>
      <c r="M59" s="9" t="s">
        <v>4998</v>
      </c>
      <c r="AG59" s="33" t="str">
        <f>HYPERLINK("#중기기초자료!A25","L001010101000048 →")</f>
        <v>L001010101000048 →</v>
      </c>
    </row>
    <row r="60" spans="1:33" ht="18.399999999999999" customHeight="1">
      <c r="B60" s="9" t="s">
        <v>5295</v>
      </c>
      <c r="G60" s="32">
        <f>TRUNC(G59, 0)</f>
        <v>58296</v>
      </c>
    </row>
    <row r="61" spans="1:33" ht="18.399999999999999" customHeight="1" thickBot="1">
      <c r="B61" s="9" t="s">
        <v>620</v>
      </c>
      <c r="G61" s="32">
        <f>TRUNC(G55+G58+G60, 0)</f>
        <v>111635</v>
      </c>
    </row>
    <row r="62" spans="1:33" ht="18.399999999999999" customHeight="1" thickTop="1" thickBot="1">
      <c r="A62" s="4"/>
      <c r="B62" s="4"/>
      <c r="C62" s="4"/>
      <c r="D62" s="4"/>
      <c r="E62" s="4"/>
      <c r="F62" s="4"/>
      <c r="G62" s="4"/>
      <c r="H62" s="4"/>
    </row>
    <row r="63" spans="1:33" ht="18.399999999999999" customHeight="1" thickTop="1" thickBot="1">
      <c r="A63" s="4" t="s">
        <v>5475</v>
      </c>
      <c r="B63" s="4" t="s">
        <v>4897</v>
      </c>
      <c r="C63" s="4"/>
      <c r="D63" s="4"/>
      <c r="E63" s="4"/>
      <c r="F63" s="4"/>
      <c r="G63" s="4"/>
      <c r="H63" s="4"/>
      <c r="I63" s="9" t="s">
        <v>6232</v>
      </c>
      <c r="J63" s="9" t="s">
        <v>974</v>
      </c>
    </row>
    <row r="64" spans="1:33" ht="18.399999999999999" customHeight="1" thickTop="1">
      <c r="A64" s="4" t="s">
        <v>1675</v>
      </c>
      <c r="B64" s="4" t="s">
        <v>2077</v>
      </c>
      <c r="C64" s="4"/>
      <c r="D64" s="4"/>
      <c r="E64" s="4"/>
      <c r="F64" s="4"/>
      <c r="G64" s="4"/>
      <c r="H64" s="4"/>
    </row>
    <row r="65" spans="1:33" ht="18.399999999999999" customHeight="1">
      <c r="A65" s="31" t="s">
        <v>4797</v>
      </c>
      <c r="B65" s="31"/>
      <c r="C65" s="31" t="s">
        <v>3002</v>
      </c>
      <c r="D65" s="31" t="s">
        <v>174</v>
      </c>
      <c r="E65" s="31" t="s">
        <v>5786</v>
      </c>
      <c r="F65" s="31" t="s">
        <v>1407</v>
      </c>
      <c r="G65" s="31" t="s">
        <v>792</v>
      </c>
      <c r="H65" s="31" t="s">
        <v>1571</v>
      </c>
    </row>
    <row r="66" spans="1:33" ht="18.399999999999999" customHeight="1">
      <c r="A66" s="9" t="s">
        <v>422</v>
      </c>
      <c r="B66" s="9" t="s">
        <v>638</v>
      </c>
      <c r="C66" s="9" t="s">
        <v>4952</v>
      </c>
      <c r="D66" s="9">
        <f>(1125 + 563 + 674)*10^-4</f>
        <v>0.23620000000000002</v>
      </c>
      <c r="E66" s="32" t="s">
        <v>753</v>
      </c>
      <c r="F66" s="32">
        <f>중기기초자료!F8</f>
        <v>19415</v>
      </c>
      <c r="G66" s="34">
        <f>TRUNC(F66*D66, 1)</f>
        <v>4585.8</v>
      </c>
      <c r="H66" s="9" t="s">
        <v>6232</v>
      </c>
      <c r="I66" s="9" t="s">
        <v>6232</v>
      </c>
      <c r="K66" s="9" t="s">
        <v>746</v>
      </c>
      <c r="L66" s="9" t="s">
        <v>6232</v>
      </c>
      <c r="M66" s="9" t="s">
        <v>6180</v>
      </c>
      <c r="N66" s="9" t="s">
        <v>878</v>
      </c>
      <c r="AG66" s="33" t="str">
        <f>HYPERLINK("#중기기초자료!A13","G0000750500500000 →")</f>
        <v>G0000750500500000 →</v>
      </c>
    </row>
    <row r="67" spans="1:33" ht="18.399999999999999" customHeight="1">
      <c r="B67" s="9" t="s">
        <v>5295</v>
      </c>
      <c r="G67" s="32">
        <f>TRUNC(G66, 0)</f>
        <v>4585</v>
      </c>
    </row>
    <row r="68" spans="1:33" ht="18.399999999999999" customHeight="1">
      <c r="A68" s="9" t="s">
        <v>4254</v>
      </c>
      <c r="B68" s="9" t="s">
        <v>408</v>
      </c>
      <c r="C68" s="9" t="s">
        <v>4123</v>
      </c>
      <c r="D68" s="9">
        <v>8.6999999999999993</v>
      </c>
      <c r="E68" s="35" t="s">
        <v>6116</v>
      </c>
      <c r="F68" s="35">
        <f>TRUNC(중기기초자료!D13 * 1 / 1, 2)</f>
        <v>1590</v>
      </c>
      <c r="G68" s="34">
        <f>TRUNC(F68*D68, 1)</f>
        <v>13833</v>
      </c>
      <c r="H68" s="9" t="s">
        <v>6232</v>
      </c>
      <c r="I68" s="9" t="s">
        <v>6232</v>
      </c>
      <c r="K68" s="9" t="s">
        <v>3801</v>
      </c>
      <c r="L68" s="9" t="s">
        <v>6232</v>
      </c>
      <c r="M68" s="9" t="s">
        <v>2276</v>
      </c>
      <c r="AG68" s="33" t="str">
        <f>HYPERLINK("#중기기초자료!A29","M9366017 →")</f>
        <v>M9366017 →</v>
      </c>
    </row>
    <row r="69" spans="1:33" ht="18.399999999999999" customHeight="1">
      <c r="B69" s="9" t="s">
        <v>479</v>
      </c>
      <c r="C69" s="9" t="s">
        <v>6232</v>
      </c>
      <c r="D69" s="9">
        <v>24</v>
      </c>
      <c r="E69" s="35" t="s">
        <v>2530</v>
      </c>
      <c r="F69" s="35">
        <v>0</v>
      </c>
      <c r="G69" s="34">
        <f>TRUNC((G68) * D69/100, 1)</f>
        <v>3319.9</v>
      </c>
      <c r="H69" s="9" t="s">
        <v>6232</v>
      </c>
      <c r="I69" s="9" t="s">
        <v>6232</v>
      </c>
      <c r="K69" s="9" t="s">
        <v>2205</v>
      </c>
      <c r="L69" s="9" t="s">
        <v>6232</v>
      </c>
      <c r="M69" s="9" t="s">
        <v>4203</v>
      </c>
      <c r="N69" s="9" t="s">
        <v>6232</v>
      </c>
    </row>
    <row r="70" spans="1:33" ht="18.399999999999999" customHeight="1">
      <c r="B70" s="9" t="s">
        <v>5295</v>
      </c>
      <c r="G70" s="32">
        <f>TRUNC(G68+G69, 0)</f>
        <v>17152</v>
      </c>
    </row>
    <row r="71" spans="1:33" ht="18.399999999999999" customHeight="1">
      <c r="A71" s="9" t="s">
        <v>2493</v>
      </c>
      <c r="B71" s="9" t="s">
        <v>3115</v>
      </c>
      <c r="C71" s="9" t="s">
        <v>6232</v>
      </c>
      <c r="D71" s="9">
        <v>1</v>
      </c>
      <c r="E71" s="34" t="s">
        <v>3712</v>
      </c>
      <c r="F71" s="34">
        <f>TRUNC(중기기초자료!E12 * 중기전역변수!C18, 1)</f>
        <v>35913.9</v>
      </c>
      <c r="G71" s="34">
        <f>TRUNC(F71*D71, 1)</f>
        <v>35913.9</v>
      </c>
      <c r="H71" s="9" t="s">
        <v>6232</v>
      </c>
      <c r="I71" s="9" t="s">
        <v>6232</v>
      </c>
      <c r="K71" s="9" t="s">
        <v>5387</v>
      </c>
      <c r="L71" s="9" t="s">
        <v>6232</v>
      </c>
      <c r="M71" s="9" t="s">
        <v>4578</v>
      </c>
      <c r="AG71" s="33" t="str">
        <f>HYPERLINK("#중기기초자료!A27","L001010101000050 →")</f>
        <v>L001010101000050 →</v>
      </c>
    </row>
    <row r="72" spans="1:33" ht="18.399999999999999" customHeight="1">
      <c r="B72" s="9" t="s">
        <v>5295</v>
      </c>
      <c r="G72" s="32">
        <f>TRUNC(G71, 0)</f>
        <v>35913</v>
      </c>
    </row>
    <row r="73" spans="1:33" ht="18.399999999999999" customHeight="1" thickBot="1">
      <c r="B73" s="9" t="s">
        <v>620</v>
      </c>
      <c r="G73" s="32">
        <f>TRUNC(G67+G70+G72, 0)</f>
        <v>57650</v>
      </c>
    </row>
    <row r="74" spans="1:33" ht="18.399999999999999" customHeight="1" thickTop="1" thickBot="1">
      <c r="A74" s="4"/>
      <c r="B74" s="4"/>
      <c r="C74" s="4"/>
      <c r="D74" s="4"/>
      <c r="E74" s="4"/>
      <c r="F74" s="4"/>
      <c r="G74" s="4"/>
      <c r="H74" s="4"/>
    </row>
    <row r="75" spans="1:33" ht="18.399999999999999" customHeight="1" thickTop="1" thickBot="1">
      <c r="A75" s="4" t="s">
        <v>5475</v>
      </c>
      <c r="B75" s="4" t="s">
        <v>718</v>
      </c>
      <c r="C75" s="4"/>
      <c r="D75" s="4"/>
      <c r="E75" s="4"/>
      <c r="F75" s="4"/>
      <c r="G75" s="4"/>
      <c r="H75" s="4"/>
      <c r="I75" s="9" t="s">
        <v>6232</v>
      </c>
      <c r="J75" s="9" t="s">
        <v>921</v>
      </c>
    </row>
    <row r="76" spans="1:33" ht="18.399999999999999" customHeight="1" thickTop="1">
      <c r="A76" s="4" t="s">
        <v>1675</v>
      </c>
      <c r="B76" s="4" t="s">
        <v>2876</v>
      </c>
      <c r="C76" s="4"/>
      <c r="D76" s="4"/>
      <c r="E76" s="4"/>
      <c r="F76" s="4"/>
      <c r="G76" s="4"/>
      <c r="H76" s="4"/>
    </row>
    <row r="77" spans="1:33" ht="18.399999999999999" customHeight="1">
      <c r="A77" s="31" t="s">
        <v>4797</v>
      </c>
      <c r="B77" s="31"/>
      <c r="C77" s="31" t="s">
        <v>3002</v>
      </c>
      <c r="D77" s="31" t="s">
        <v>174</v>
      </c>
      <c r="E77" s="31" t="s">
        <v>5786</v>
      </c>
      <c r="F77" s="31" t="s">
        <v>1407</v>
      </c>
      <c r="G77" s="31" t="s">
        <v>792</v>
      </c>
      <c r="H77" s="31" t="s">
        <v>1571</v>
      </c>
    </row>
    <row r="78" spans="1:33" ht="18.399999999999999" customHeight="1">
      <c r="A78" s="9" t="s">
        <v>422</v>
      </c>
      <c r="B78" s="9" t="s">
        <v>3528</v>
      </c>
      <c r="C78" s="9" t="s">
        <v>365</v>
      </c>
      <c r="D78" s="9">
        <f>(1125 + 563 + 674)*10^-4</f>
        <v>0.23620000000000002</v>
      </c>
      <c r="E78" s="32" t="s">
        <v>753</v>
      </c>
      <c r="F78" s="32">
        <f>중기기초자료!F9</f>
        <v>495</v>
      </c>
      <c r="G78" s="34">
        <f>TRUNC(F78*D78, 1)</f>
        <v>116.9</v>
      </c>
      <c r="H78" s="9" t="s">
        <v>6232</v>
      </c>
      <c r="I78" s="9" t="s">
        <v>6232</v>
      </c>
      <c r="K78" s="9" t="s">
        <v>746</v>
      </c>
      <c r="L78" s="9" t="s">
        <v>6232</v>
      </c>
      <c r="M78" s="9" t="s">
        <v>5446</v>
      </c>
      <c r="N78" s="9" t="s">
        <v>878</v>
      </c>
      <c r="AG78" s="33" t="str">
        <f>HYPERLINK("#중기기초자료!A16","G0000761103000000 →")</f>
        <v>G0000761103000000 →</v>
      </c>
    </row>
    <row r="79" spans="1:33" ht="18.399999999999999" customHeight="1">
      <c r="B79" s="9" t="s">
        <v>5295</v>
      </c>
      <c r="G79" s="32">
        <f>TRUNC(G78, 0)</f>
        <v>116</v>
      </c>
    </row>
    <row r="80" spans="1:33" ht="18.399999999999999" customHeight="1">
      <c r="A80" s="9" t="s">
        <v>4254</v>
      </c>
    </row>
    <row r="81" spans="1:8" ht="18.399999999999999" customHeight="1">
      <c r="B81" s="9" t="s">
        <v>5295</v>
      </c>
    </row>
    <row r="82" spans="1:8" ht="18.399999999999999" customHeight="1">
      <c r="A82" s="9" t="s">
        <v>2493</v>
      </c>
    </row>
    <row r="83" spans="1:8" ht="18.399999999999999" customHeight="1">
      <c r="B83" s="9" t="s">
        <v>5295</v>
      </c>
    </row>
    <row r="84" spans="1:8" ht="18.399999999999999" customHeight="1" thickBot="1">
      <c r="B84" s="9" t="s">
        <v>620</v>
      </c>
      <c r="G84" s="32">
        <f>TRUNC(G79+G81+G83, 0)</f>
        <v>116</v>
      </c>
    </row>
    <row r="85" spans="1:8" ht="18.399999999999999" customHeight="1" thickTop="1">
      <c r="A85" s="4"/>
      <c r="B85" s="4"/>
      <c r="C85" s="4"/>
      <c r="D85" s="4"/>
      <c r="E85" s="4"/>
      <c r="F85" s="4"/>
      <c r="G85" s="4"/>
      <c r="H85" s="4"/>
    </row>
  </sheetData>
  <phoneticPr fontId="7" type="noConversion"/>
  <pageMargins left="0.31496062992125984" right="0.31496062992125984" top="1" bottom="0.59055118110236215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J13"/>
  <sheetViews>
    <sheetView view="pageBreakPreview" zoomScale="160" zoomScaleNormal="100" zoomScaleSheetLayoutView="160" workbookViewId="0"/>
  </sheetViews>
  <sheetFormatPr defaultRowHeight="18.399999999999999" customHeight="1"/>
  <cols>
    <col min="1" max="1" width="25" customWidth="1"/>
    <col min="2" max="2" width="20" customWidth="1"/>
    <col min="3" max="3" width="5" customWidth="1"/>
    <col min="4" max="7" width="15" customWidth="1"/>
    <col min="8" max="8" width="10" customWidth="1"/>
    <col min="9" max="10" width="0" hidden="1" customWidth="1"/>
  </cols>
  <sheetData>
    <row r="1" spans="1:10" ht="18.399999999999999" customHeight="1" thickBot="1">
      <c r="A1" t="s">
        <v>2428</v>
      </c>
    </row>
    <row r="2" spans="1:10" ht="18.399999999999999" customHeight="1" thickBot="1">
      <c r="A2" s="16" t="s">
        <v>4375</v>
      </c>
      <c r="B2" s="17" t="s">
        <v>2290</v>
      </c>
      <c r="C2" s="17" t="s">
        <v>5786</v>
      </c>
      <c r="D2" s="17" t="s">
        <v>4254</v>
      </c>
      <c r="E2" s="17" t="s">
        <v>2493</v>
      </c>
      <c r="F2" s="17" t="s">
        <v>422</v>
      </c>
      <c r="G2" s="17" t="s">
        <v>6011</v>
      </c>
      <c r="H2" s="19" t="s">
        <v>1571</v>
      </c>
    </row>
    <row r="3" spans="1:10" ht="18.399999999999999" customHeight="1">
      <c r="A3" s="208" t="s">
        <v>1188</v>
      </c>
      <c r="B3" s="209" t="s">
        <v>4440</v>
      </c>
      <c r="C3" s="209" t="s">
        <v>753</v>
      </c>
      <c r="D3" s="210">
        <v>0</v>
      </c>
      <c r="E3" s="210">
        <v>0</v>
      </c>
      <c r="F3" s="210">
        <v>134000</v>
      </c>
      <c r="G3" s="210">
        <f>SUM(D3:F3)</f>
        <v>134000</v>
      </c>
      <c r="H3" s="211" t="s">
        <v>6232</v>
      </c>
      <c r="I3" t="s">
        <v>6232</v>
      </c>
      <c r="J3" t="s">
        <v>1400</v>
      </c>
    </row>
    <row r="4" spans="1:10" ht="18.399999999999999" customHeight="1">
      <c r="A4" s="208" t="s">
        <v>1188</v>
      </c>
      <c r="B4" s="209" t="s">
        <v>4840</v>
      </c>
      <c r="C4" s="209" t="s">
        <v>753</v>
      </c>
      <c r="D4" s="210">
        <v>0</v>
      </c>
      <c r="E4" s="210">
        <v>0</v>
      </c>
      <c r="F4" s="210">
        <v>182749</v>
      </c>
      <c r="G4" s="210">
        <f t="shared" ref="G4:G13" si="0">SUM(D4:F4)</f>
        <v>182749</v>
      </c>
      <c r="H4" s="211" t="s">
        <v>6232</v>
      </c>
      <c r="I4" t="s">
        <v>6232</v>
      </c>
      <c r="J4" t="s">
        <v>1763</v>
      </c>
    </row>
    <row r="5" spans="1:10" ht="18.399999999999999" customHeight="1">
      <c r="A5" s="208" t="s">
        <v>1188</v>
      </c>
      <c r="B5" s="209" t="s">
        <v>628</v>
      </c>
      <c r="C5" s="209" t="s">
        <v>753</v>
      </c>
      <c r="D5" s="210">
        <v>0</v>
      </c>
      <c r="E5" s="210">
        <v>0</v>
      </c>
      <c r="F5" s="210">
        <v>229276</v>
      </c>
      <c r="G5" s="210">
        <f t="shared" si="0"/>
        <v>229276</v>
      </c>
      <c r="H5" s="211" t="s">
        <v>6232</v>
      </c>
      <c r="I5" t="s">
        <v>6232</v>
      </c>
      <c r="J5" t="s">
        <v>3598</v>
      </c>
    </row>
    <row r="6" spans="1:10" ht="18.399999999999999" customHeight="1">
      <c r="A6" s="208" t="s">
        <v>1188</v>
      </c>
      <c r="B6" s="209" t="s">
        <v>2552</v>
      </c>
      <c r="C6" s="209" t="s">
        <v>753</v>
      </c>
      <c r="D6" s="210">
        <v>0</v>
      </c>
      <c r="E6" s="210">
        <v>0</v>
      </c>
      <c r="F6" s="210">
        <v>282532</v>
      </c>
      <c r="G6" s="210">
        <f t="shared" si="0"/>
        <v>282532</v>
      </c>
      <c r="H6" s="211" t="s">
        <v>6232</v>
      </c>
      <c r="I6" t="s">
        <v>6232</v>
      </c>
      <c r="J6" t="s">
        <v>5538</v>
      </c>
    </row>
    <row r="7" spans="1:10" ht="18.399999999999999" customHeight="1">
      <c r="A7" s="208" t="s">
        <v>1713</v>
      </c>
      <c r="B7" s="209" t="s">
        <v>628</v>
      </c>
      <c r="C7" s="209" t="s">
        <v>753</v>
      </c>
      <c r="D7" s="210">
        <v>0</v>
      </c>
      <c r="E7" s="210">
        <v>0</v>
      </c>
      <c r="F7" s="210">
        <v>65504</v>
      </c>
      <c r="G7" s="210">
        <f t="shared" si="0"/>
        <v>65504</v>
      </c>
      <c r="H7" s="211" t="s">
        <v>6232</v>
      </c>
      <c r="I7" t="s">
        <v>6232</v>
      </c>
      <c r="J7" t="s">
        <v>2241</v>
      </c>
    </row>
    <row r="8" spans="1:10" ht="18.399999999999999" customHeight="1">
      <c r="A8" s="208" t="s">
        <v>638</v>
      </c>
      <c r="B8" s="209" t="s">
        <v>4952</v>
      </c>
      <c r="C8" s="209" t="s">
        <v>753</v>
      </c>
      <c r="D8" s="210">
        <v>0</v>
      </c>
      <c r="E8" s="210">
        <v>0</v>
      </c>
      <c r="F8" s="210">
        <v>19415</v>
      </c>
      <c r="G8" s="210">
        <f t="shared" si="0"/>
        <v>19415</v>
      </c>
      <c r="H8" s="211" t="s">
        <v>6232</v>
      </c>
      <c r="I8" t="s">
        <v>6232</v>
      </c>
      <c r="J8" t="s">
        <v>6180</v>
      </c>
    </row>
    <row r="9" spans="1:10" ht="18.399999999999999" customHeight="1">
      <c r="A9" s="208" t="s">
        <v>3528</v>
      </c>
      <c r="B9" s="209" t="s">
        <v>4344</v>
      </c>
      <c r="C9" s="209" t="s">
        <v>753</v>
      </c>
      <c r="D9" s="210">
        <v>0</v>
      </c>
      <c r="E9" s="210">
        <v>0</v>
      </c>
      <c r="F9" s="210">
        <v>495</v>
      </c>
      <c r="G9" s="210">
        <f t="shared" si="0"/>
        <v>495</v>
      </c>
      <c r="H9" s="211" t="s">
        <v>6232</v>
      </c>
      <c r="I9" t="s">
        <v>6232</v>
      </c>
      <c r="J9" t="s">
        <v>5446</v>
      </c>
    </row>
    <row r="10" spans="1:10" ht="18.399999999999999" customHeight="1">
      <c r="A10" s="11" t="s">
        <v>1423</v>
      </c>
      <c r="B10" s="2" t="s">
        <v>3311</v>
      </c>
      <c r="C10" s="2" t="s">
        <v>3712</v>
      </c>
      <c r="D10" s="29">
        <v>0</v>
      </c>
      <c r="E10" s="29">
        <f>279824</f>
        <v>279824</v>
      </c>
      <c r="F10" s="29">
        <v>0</v>
      </c>
      <c r="G10" s="29">
        <f t="shared" si="0"/>
        <v>279824</v>
      </c>
      <c r="H10" s="20" t="s">
        <v>6232</v>
      </c>
      <c r="I10" t="s">
        <v>6232</v>
      </c>
      <c r="J10" t="s">
        <v>4998</v>
      </c>
    </row>
    <row r="11" spans="1:10" ht="18.399999999999999" customHeight="1">
      <c r="A11" s="11" t="s">
        <v>455</v>
      </c>
      <c r="B11" s="2" t="s">
        <v>3311</v>
      </c>
      <c r="C11" s="2" t="s">
        <v>3712</v>
      </c>
      <c r="D11" s="29">
        <v>0</v>
      </c>
      <c r="E11" s="29">
        <f>240685</f>
        <v>240685</v>
      </c>
      <c r="F11" s="29">
        <v>0</v>
      </c>
      <c r="G11" s="29">
        <f t="shared" si="0"/>
        <v>240685</v>
      </c>
      <c r="H11" s="20" t="s">
        <v>6232</v>
      </c>
      <c r="I11" t="s">
        <v>6232</v>
      </c>
      <c r="J11" t="s">
        <v>2129</v>
      </c>
    </row>
    <row r="12" spans="1:10" ht="18.399999999999999" customHeight="1">
      <c r="A12" s="11" t="s">
        <v>3115</v>
      </c>
      <c r="B12" s="2" t="s">
        <v>3311</v>
      </c>
      <c r="C12" s="2" t="s">
        <v>3712</v>
      </c>
      <c r="D12" s="29">
        <v>0</v>
      </c>
      <c r="E12" s="29">
        <f>172387</f>
        <v>172387</v>
      </c>
      <c r="F12" s="29">
        <v>0</v>
      </c>
      <c r="G12" s="29">
        <f t="shared" si="0"/>
        <v>172387</v>
      </c>
      <c r="H12" s="20" t="s">
        <v>6232</v>
      </c>
      <c r="I12" t="s">
        <v>6232</v>
      </c>
      <c r="J12" t="s">
        <v>4578</v>
      </c>
    </row>
    <row r="13" spans="1:10" ht="18.399999999999999" customHeight="1" thickBot="1">
      <c r="A13" s="13" t="s">
        <v>408</v>
      </c>
      <c r="B13" s="14" t="s">
        <v>6546</v>
      </c>
      <c r="C13" s="14" t="s">
        <v>3051</v>
      </c>
      <c r="D13" s="30">
        <f>1590</f>
        <v>1590</v>
      </c>
      <c r="E13" s="30">
        <v>0</v>
      </c>
      <c r="F13" s="30">
        <v>0</v>
      </c>
      <c r="G13" s="30">
        <f t="shared" si="0"/>
        <v>1590</v>
      </c>
      <c r="H13" s="21" t="s">
        <v>6232</v>
      </c>
      <c r="I13" t="s">
        <v>6232</v>
      </c>
      <c r="J13" t="s">
        <v>2276</v>
      </c>
    </row>
  </sheetData>
  <phoneticPr fontId="7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H797"/>
  <sheetViews>
    <sheetView view="pageBreakPreview" zoomScale="130" zoomScaleNormal="100" zoomScaleSheetLayoutView="130" workbookViewId="0"/>
  </sheetViews>
  <sheetFormatPr defaultRowHeight="18.399999999999999" customHeight="1"/>
  <cols>
    <col min="1" max="1" width="38.5" bestFit="1" customWidth="1"/>
    <col min="2" max="2" width="36.83203125" bestFit="1" customWidth="1"/>
    <col min="3" max="3" width="8.33203125" bestFit="1" customWidth="1"/>
    <col min="4" max="4" width="16.1640625" bestFit="1" customWidth="1"/>
    <col min="5" max="5" width="19.5" bestFit="1" customWidth="1"/>
    <col min="6" max="13" width="0" hidden="1" customWidth="1"/>
  </cols>
  <sheetData>
    <row r="1" spans="1:8" ht="18.399999999999999" customHeight="1">
      <c r="A1" t="s">
        <v>2785</v>
      </c>
    </row>
    <row r="2" spans="1:8" ht="18.399999999999999" customHeight="1">
      <c r="A2" s="16" t="s">
        <v>4375</v>
      </c>
      <c r="B2" s="17" t="s">
        <v>2290</v>
      </c>
      <c r="C2" s="17" t="s">
        <v>5786</v>
      </c>
      <c r="D2" s="17" t="s">
        <v>3322</v>
      </c>
      <c r="E2" s="19" t="s">
        <v>1571</v>
      </c>
    </row>
    <row r="3" spans="1:8" ht="18.399999999999999" hidden="1" customHeight="1">
      <c r="A3" s="11" t="s">
        <v>2039</v>
      </c>
      <c r="B3" s="2" t="s">
        <v>557</v>
      </c>
      <c r="C3" s="2" t="s">
        <v>1636</v>
      </c>
      <c r="D3" s="25">
        <f>자재조서!E4</f>
        <v>1060000</v>
      </c>
      <c r="E3" s="20" t="s">
        <v>5129</v>
      </c>
      <c r="F3" t="s">
        <v>6232</v>
      </c>
      <c r="G3" t="s">
        <v>539</v>
      </c>
      <c r="H3" t="s">
        <v>539</v>
      </c>
    </row>
    <row r="4" spans="1:8" ht="18.399999999999999" hidden="1" customHeight="1">
      <c r="A4" s="11" t="s">
        <v>2039</v>
      </c>
      <c r="B4" s="2" t="s">
        <v>399</v>
      </c>
      <c r="C4" s="2" t="s">
        <v>1636</v>
      </c>
      <c r="D4" s="25">
        <f>자재조서!E5</f>
        <v>1010000</v>
      </c>
      <c r="E4" s="20" t="s">
        <v>5129</v>
      </c>
      <c r="F4" t="s">
        <v>6232</v>
      </c>
      <c r="G4" t="s">
        <v>452</v>
      </c>
      <c r="H4" t="s">
        <v>452</v>
      </c>
    </row>
    <row r="5" spans="1:8" ht="18.399999999999999" hidden="1" customHeight="1">
      <c r="A5" s="11" t="s">
        <v>4706</v>
      </c>
      <c r="B5" s="2" t="s">
        <v>2924</v>
      </c>
      <c r="C5" s="2" t="s">
        <v>4542</v>
      </c>
      <c r="D5" s="25">
        <f>자재조서!E6</f>
        <v>3726.732</v>
      </c>
      <c r="E5" s="20" t="s">
        <v>2133</v>
      </c>
      <c r="F5" t="s">
        <v>6232</v>
      </c>
      <c r="G5" t="s">
        <v>5473</v>
      </c>
      <c r="H5" t="s">
        <v>5473</v>
      </c>
    </row>
    <row r="6" spans="1:8" ht="18.399999999999999" hidden="1" customHeight="1">
      <c r="A6" s="11" t="s">
        <v>5849</v>
      </c>
      <c r="B6" s="2" t="s">
        <v>1443</v>
      </c>
      <c r="C6" s="2" t="s">
        <v>2272</v>
      </c>
      <c r="D6" s="25">
        <f>자재조서!E7</f>
        <v>21.492000000000001</v>
      </c>
      <c r="E6" s="20" t="s">
        <v>3567</v>
      </c>
      <c r="F6" t="s">
        <v>4110</v>
      </c>
      <c r="G6" t="s">
        <v>5965</v>
      </c>
      <c r="H6" t="s">
        <v>5965</v>
      </c>
    </row>
    <row r="7" spans="1:8" ht="18.399999999999999" hidden="1" customHeight="1">
      <c r="A7" s="11" t="s">
        <v>4297</v>
      </c>
      <c r="B7" s="2" t="s">
        <v>4674</v>
      </c>
      <c r="C7" s="2" t="s">
        <v>5013</v>
      </c>
      <c r="D7" s="25">
        <f>자재조서!E8</f>
        <v>51.9</v>
      </c>
      <c r="E7" s="20" t="s">
        <v>6145</v>
      </c>
      <c r="F7" t="s">
        <v>6232</v>
      </c>
      <c r="G7" t="s">
        <v>411</v>
      </c>
      <c r="H7" t="s">
        <v>411</v>
      </c>
    </row>
    <row r="8" spans="1:8" ht="18.399999999999999" hidden="1" customHeight="1">
      <c r="A8" s="11" t="s">
        <v>4153</v>
      </c>
      <c r="B8" s="2" t="s">
        <v>1689</v>
      </c>
      <c r="C8" s="2" t="s">
        <v>6116</v>
      </c>
      <c r="D8" s="25">
        <f>자재조서!E9</f>
        <v>8400</v>
      </c>
      <c r="E8" s="20" t="s">
        <v>1828</v>
      </c>
      <c r="F8" t="s">
        <v>6232</v>
      </c>
      <c r="G8" t="s">
        <v>2489</v>
      </c>
      <c r="H8" t="s">
        <v>2489</v>
      </c>
    </row>
    <row r="9" spans="1:8" ht="18.399999999999999" hidden="1" customHeight="1">
      <c r="A9" s="11" t="s">
        <v>2558</v>
      </c>
      <c r="B9" s="2" t="s">
        <v>345</v>
      </c>
      <c r="C9" s="2" t="s">
        <v>6116</v>
      </c>
      <c r="D9" s="25">
        <f>자재조서!E10</f>
        <v>3750</v>
      </c>
      <c r="E9" s="20" t="s">
        <v>1828</v>
      </c>
      <c r="F9" t="s">
        <v>6232</v>
      </c>
      <c r="G9" t="s">
        <v>1519</v>
      </c>
      <c r="H9" t="s">
        <v>1519</v>
      </c>
    </row>
    <row r="10" spans="1:8" ht="18.399999999999999" hidden="1" customHeight="1">
      <c r="A10" s="11" t="s">
        <v>2587</v>
      </c>
      <c r="B10" s="2" t="s">
        <v>2475</v>
      </c>
      <c r="C10" s="2" t="s">
        <v>6116</v>
      </c>
      <c r="D10" s="25">
        <f>자재조서!E11</f>
        <v>2700</v>
      </c>
      <c r="E10" s="20" t="s">
        <v>2740</v>
      </c>
      <c r="F10" t="s">
        <v>5947</v>
      </c>
      <c r="G10" t="s">
        <v>5340</v>
      </c>
      <c r="H10" t="s">
        <v>5340</v>
      </c>
    </row>
    <row r="11" spans="1:8" ht="18.399999999999999" hidden="1" customHeight="1">
      <c r="A11" s="11" t="s">
        <v>2597</v>
      </c>
      <c r="B11" s="2" t="s">
        <v>5612</v>
      </c>
      <c r="C11" s="2" t="s">
        <v>1112</v>
      </c>
      <c r="D11" s="25">
        <f>자재조서!E12</f>
        <v>24120</v>
      </c>
      <c r="E11" s="20" t="s">
        <v>3216</v>
      </c>
      <c r="F11" t="s">
        <v>6232</v>
      </c>
      <c r="G11" t="s">
        <v>745</v>
      </c>
      <c r="H11" t="s">
        <v>745</v>
      </c>
    </row>
    <row r="12" spans="1:8" ht="18.399999999999999" hidden="1" customHeight="1">
      <c r="A12" s="11" t="s">
        <v>2597</v>
      </c>
      <c r="B12" s="2" t="s">
        <v>3978</v>
      </c>
      <c r="C12" s="2" t="s">
        <v>1112</v>
      </c>
      <c r="D12" s="25">
        <f>자재조서!E13</f>
        <v>25320</v>
      </c>
      <c r="E12" s="20" t="s">
        <v>3216</v>
      </c>
      <c r="F12" t="s">
        <v>6232</v>
      </c>
      <c r="G12" t="s">
        <v>3511</v>
      </c>
      <c r="H12" t="s">
        <v>3511</v>
      </c>
    </row>
    <row r="13" spans="1:8" ht="18.399999999999999" hidden="1" customHeight="1">
      <c r="A13" s="11" t="s">
        <v>2597</v>
      </c>
      <c r="B13" s="2" t="s">
        <v>1993</v>
      </c>
      <c r="C13" s="2" t="s">
        <v>1112</v>
      </c>
      <c r="D13" s="25">
        <f>자재조서!E14</f>
        <v>28540</v>
      </c>
      <c r="E13" s="20" t="s">
        <v>3216</v>
      </c>
      <c r="F13" t="s">
        <v>6232</v>
      </c>
      <c r="G13" t="s">
        <v>23</v>
      </c>
      <c r="H13" t="s">
        <v>23</v>
      </c>
    </row>
    <row r="14" spans="1:8" ht="18.399999999999999" hidden="1" customHeight="1">
      <c r="A14" s="11" t="s">
        <v>2597</v>
      </c>
      <c r="B14" s="2" t="s">
        <v>2037</v>
      </c>
      <c r="C14" s="2" t="s">
        <v>1112</v>
      </c>
      <c r="D14" s="25">
        <f>자재조서!E15</f>
        <v>29450</v>
      </c>
      <c r="E14" s="20" t="s">
        <v>3216</v>
      </c>
      <c r="F14" t="s">
        <v>6232</v>
      </c>
      <c r="G14" t="s">
        <v>4899</v>
      </c>
      <c r="H14" t="s">
        <v>4899</v>
      </c>
    </row>
    <row r="15" spans="1:8" ht="18.399999999999999" hidden="1" customHeight="1">
      <c r="A15" s="11" t="s">
        <v>2597</v>
      </c>
      <c r="B15" s="2" t="s">
        <v>2412</v>
      </c>
      <c r="C15" s="2" t="s">
        <v>1112</v>
      </c>
      <c r="D15" s="25">
        <f>자재조서!E16</f>
        <v>33020</v>
      </c>
      <c r="E15" s="20" t="s">
        <v>3216</v>
      </c>
      <c r="F15" t="s">
        <v>6232</v>
      </c>
      <c r="G15" t="s">
        <v>2576</v>
      </c>
      <c r="H15" t="s">
        <v>2576</v>
      </c>
    </row>
    <row r="16" spans="1:8" ht="18.399999999999999" hidden="1" customHeight="1">
      <c r="A16" s="11" t="s">
        <v>2597</v>
      </c>
      <c r="B16" s="2" t="s">
        <v>3074</v>
      </c>
      <c r="C16" s="2" t="s">
        <v>1112</v>
      </c>
      <c r="D16" s="25">
        <f>자재조서!E17</f>
        <v>40020</v>
      </c>
      <c r="E16" s="20" t="s">
        <v>3216</v>
      </c>
      <c r="F16" t="s">
        <v>6232</v>
      </c>
      <c r="G16" t="s">
        <v>5239</v>
      </c>
      <c r="H16" t="s">
        <v>5239</v>
      </c>
    </row>
    <row r="17" spans="1:8" ht="18.399999999999999" hidden="1" customHeight="1">
      <c r="A17" s="11" t="s">
        <v>2597</v>
      </c>
      <c r="B17" s="2" t="s">
        <v>1165</v>
      </c>
      <c r="C17" s="2" t="s">
        <v>1112</v>
      </c>
      <c r="D17" s="25">
        <f>자재조서!E18</f>
        <v>45620</v>
      </c>
      <c r="E17" s="20" t="s">
        <v>3216</v>
      </c>
      <c r="F17" t="s">
        <v>6232</v>
      </c>
      <c r="G17" t="s">
        <v>4301</v>
      </c>
      <c r="H17" t="s">
        <v>4301</v>
      </c>
    </row>
    <row r="18" spans="1:8" ht="18.399999999999999" hidden="1" customHeight="1">
      <c r="A18" s="11" t="s">
        <v>2597</v>
      </c>
      <c r="B18" s="2" t="s">
        <v>1572</v>
      </c>
      <c r="C18" s="2" t="s">
        <v>1112</v>
      </c>
      <c r="D18" s="25">
        <f>자재조서!E19</f>
        <v>54600</v>
      </c>
      <c r="E18" s="20" t="s">
        <v>3216</v>
      </c>
      <c r="F18" t="s">
        <v>6232</v>
      </c>
      <c r="G18" t="s">
        <v>1520</v>
      </c>
      <c r="H18" t="s">
        <v>1520</v>
      </c>
    </row>
    <row r="19" spans="1:8" ht="18.399999999999999" hidden="1" customHeight="1">
      <c r="A19" s="11" t="s">
        <v>2597</v>
      </c>
      <c r="B19" s="2" t="s">
        <v>2531</v>
      </c>
      <c r="C19" s="2" t="s">
        <v>1112</v>
      </c>
      <c r="D19" s="25">
        <f>자재조서!E20</f>
        <v>53670</v>
      </c>
      <c r="E19" s="20" t="s">
        <v>341</v>
      </c>
      <c r="F19" t="s">
        <v>6232</v>
      </c>
      <c r="G19" t="s">
        <v>3226</v>
      </c>
      <c r="H19" t="s">
        <v>3226</v>
      </c>
    </row>
    <row r="20" spans="1:8" ht="18.399999999999999" hidden="1" customHeight="1">
      <c r="A20" s="11" t="s">
        <v>2597</v>
      </c>
      <c r="B20" s="2" t="s">
        <v>4124</v>
      </c>
      <c r="C20" s="2" t="s">
        <v>1112</v>
      </c>
      <c r="D20" s="25">
        <f>자재조서!E21</f>
        <v>69220</v>
      </c>
      <c r="E20" s="20" t="s">
        <v>3216</v>
      </c>
      <c r="F20" t="s">
        <v>6232</v>
      </c>
      <c r="G20" t="s">
        <v>2510</v>
      </c>
      <c r="H20" t="s">
        <v>2510</v>
      </c>
    </row>
    <row r="21" spans="1:8" ht="18.399999999999999" hidden="1" customHeight="1">
      <c r="A21" s="11" t="s">
        <v>2597</v>
      </c>
      <c r="B21" s="2" t="s">
        <v>4184</v>
      </c>
      <c r="C21" s="2" t="s">
        <v>1112</v>
      </c>
      <c r="D21" s="25">
        <f>자재조서!E22</f>
        <v>92290</v>
      </c>
      <c r="E21" s="20" t="s">
        <v>341</v>
      </c>
      <c r="F21" t="s">
        <v>6232</v>
      </c>
      <c r="G21" t="s">
        <v>5385</v>
      </c>
      <c r="H21" t="s">
        <v>5385</v>
      </c>
    </row>
    <row r="22" spans="1:8" ht="18.399999999999999" hidden="1" customHeight="1">
      <c r="A22" s="11" t="s">
        <v>2597</v>
      </c>
      <c r="B22" s="2" t="s">
        <v>1695</v>
      </c>
      <c r="C22" s="2" t="s">
        <v>1112</v>
      </c>
      <c r="D22" s="25">
        <f>자재조서!E23</f>
        <v>125740</v>
      </c>
      <c r="E22" s="20" t="s">
        <v>341</v>
      </c>
      <c r="F22" t="s">
        <v>6232</v>
      </c>
      <c r="G22" t="s">
        <v>1979</v>
      </c>
      <c r="H22" t="s">
        <v>1979</v>
      </c>
    </row>
    <row r="23" spans="1:8" ht="18.399999999999999" hidden="1" customHeight="1">
      <c r="A23" s="11" t="s">
        <v>2597</v>
      </c>
      <c r="B23" s="2" t="s">
        <v>4869</v>
      </c>
      <c r="C23" s="2" t="s">
        <v>1112</v>
      </c>
      <c r="D23" s="25">
        <f>자재조서!E24</f>
        <v>151600</v>
      </c>
      <c r="E23" s="20" t="s">
        <v>341</v>
      </c>
      <c r="F23" t="s">
        <v>6232</v>
      </c>
      <c r="G23" t="s">
        <v>4743</v>
      </c>
      <c r="H23" t="s">
        <v>4743</v>
      </c>
    </row>
    <row r="24" spans="1:8" ht="18.399999999999999" hidden="1" customHeight="1">
      <c r="A24" s="11" t="s">
        <v>2597</v>
      </c>
      <c r="B24" s="2" t="s">
        <v>809</v>
      </c>
      <c r="C24" s="2" t="s">
        <v>1112</v>
      </c>
      <c r="D24" s="25">
        <f>자재조서!E25</f>
        <v>173320</v>
      </c>
      <c r="E24" s="20" t="s">
        <v>341</v>
      </c>
      <c r="F24" t="s">
        <v>6232</v>
      </c>
      <c r="G24" t="s">
        <v>3400</v>
      </c>
      <c r="H24" t="s">
        <v>3400</v>
      </c>
    </row>
    <row r="25" spans="1:8" ht="18.399999999999999" hidden="1" customHeight="1">
      <c r="A25" s="11" t="s">
        <v>2597</v>
      </c>
      <c r="B25" s="2" t="s">
        <v>2695</v>
      </c>
      <c r="C25" s="2" t="s">
        <v>1112</v>
      </c>
      <c r="D25" s="25">
        <f>자재조서!E26</f>
        <v>203770</v>
      </c>
      <c r="E25" s="20" t="s">
        <v>341</v>
      </c>
      <c r="F25" t="s">
        <v>6232</v>
      </c>
      <c r="G25" t="s">
        <v>1142</v>
      </c>
      <c r="H25" t="s">
        <v>1142</v>
      </c>
    </row>
    <row r="26" spans="1:8" ht="18.399999999999999" hidden="1" customHeight="1">
      <c r="A26" s="11" t="s">
        <v>2597</v>
      </c>
      <c r="B26" s="2" t="s">
        <v>3762</v>
      </c>
      <c r="C26" s="2" t="s">
        <v>1112</v>
      </c>
      <c r="D26" s="25">
        <f>자재조서!E27</f>
        <v>241550</v>
      </c>
      <c r="E26" s="20" t="s">
        <v>341</v>
      </c>
      <c r="F26" t="s">
        <v>6232</v>
      </c>
      <c r="G26" t="s">
        <v>3544</v>
      </c>
      <c r="H26" t="s">
        <v>3544</v>
      </c>
    </row>
    <row r="27" spans="1:8" ht="18.399999999999999" hidden="1" customHeight="1">
      <c r="A27" s="11" t="s">
        <v>2597</v>
      </c>
      <c r="B27" s="2" t="s">
        <v>512</v>
      </c>
      <c r="C27" s="2" t="s">
        <v>1112</v>
      </c>
      <c r="D27" s="25">
        <f>자재조서!E28</f>
        <v>294420</v>
      </c>
      <c r="E27" s="20" t="s">
        <v>341</v>
      </c>
      <c r="F27" t="s">
        <v>6232</v>
      </c>
      <c r="G27" t="s">
        <v>2866</v>
      </c>
      <c r="H27" t="s">
        <v>2866</v>
      </c>
    </row>
    <row r="28" spans="1:8" ht="18.399999999999999" hidden="1" customHeight="1">
      <c r="A28" s="11" t="s">
        <v>2597</v>
      </c>
      <c r="B28" s="2" t="s">
        <v>6186</v>
      </c>
      <c r="C28" s="2" t="s">
        <v>1112</v>
      </c>
      <c r="D28" s="25">
        <f>자재조서!E29</f>
        <v>353670</v>
      </c>
      <c r="E28" s="20" t="s">
        <v>341</v>
      </c>
      <c r="F28" t="s">
        <v>6232</v>
      </c>
      <c r="G28" t="s">
        <v>820</v>
      </c>
      <c r="H28" t="s">
        <v>2866</v>
      </c>
    </row>
    <row r="29" spans="1:8" ht="18.399999999999999" hidden="1" customHeight="1">
      <c r="A29" s="11" t="s">
        <v>2597</v>
      </c>
      <c r="B29" s="2" t="s">
        <v>6105</v>
      </c>
      <c r="C29" s="2" t="s">
        <v>1112</v>
      </c>
      <c r="D29" s="25">
        <f>자재조서!E30</f>
        <v>411280</v>
      </c>
      <c r="E29" s="20" t="s">
        <v>341</v>
      </c>
      <c r="F29" t="s">
        <v>6232</v>
      </c>
      <c r="G29" t="s">
        <v>1487</v>
      </c>
      <c r="H29" t="s">
        <v>2866</v>
      </c>
    </row>
    <row r="30" spans="1:8" ht="18.399999999999999" hidden="1" customHeight="1">
      <c r="A30" s="11" t="s">
        <v>2597</v>
      </c>
      <c r="B30" s="2" t="s">
        <v>397</v>
      </c>
      <c r="C30" s="2" t="s">
        <v>1112</v>
      </c>
      <c r="D30" s="25">
        <f>자재조서!E31</f>
        <v>427050</v>
      </c>
      <c r="E30" s="20" t="s">
        <v>341</v>
      </c>
      <c r="F30" t="s">
        <v>6232</v>
      </c>
      <c r="G30" t="s">
        <v>2952</v>
      </c>
      <c r="H30" t="s">
        <v>2866</v>
      </c>
    </row>
    <row r="31" spans="1:8" ht="18.399999999999999" hidden="1" customHeight="1">
      <c r="A31" s="11" t="s">
        <v>2597</v>
      </c>
      <c r="B31" s="2" t="s">
        <v>3821</v>
      </c>
      <c r="C31" s="2" t="s">
        <v>1112</v>
      </c>
      <c r="D31" s="25">
        <f>자재조서!E32</f>
        <v>460760</v>
      </c>
      <c r="E31" s="20" t="s">
        <v>341</v>
      </c>
      <c r="F31" t="s">
        <v>6232</v>
      </c>
      <c r="G31" t="s">
        <v>213</v>
      </c>
      <c r="H31" t="s">
        <v>2866</v>
      </c>
    </row>
    <row r="32" spans="1:8" ht="18.399999999999999" hidden="1" customHeight="1">
      <c r="A32" s="11" t="s">
        <v>2597</v>
      </c>
      <c r="B32" s="2" t="s">
        <v>2812</v>
      </c>
      <c r="C32" s="2" t="s">
        <v>1112</v>
      </c>
      <c r="D32" s="25">
        <f>자재조서!E33</f>
        <v>493130</v>
      </c>
      <c r="E32" s="20" t="s">
        <v>341</v>
      </c>
      <c r="F32" t="s">
        <v>6232</v>
      </c>
      <c r="G32" t="s">
        <v>1816</v>
      </c>
      <c r="H32" t="s">
        <v>2866</v>
      </c>
    </row>
    <row r="33" spans="1:8" ht="18.399999999999999" hidden="1" customHeight="1">
      <c r="A33" s="11" t="s">
        <v>3167</v>
      </c>
      <c r="B33" s="2" t="s">
        <v>6190</v>
      </c>
      <c r="C33" s="2" t="s">
        <v>1112</v>
      </c>
      <c r="D33" s="25">
        <f>자재조서!E34</f>
        <v>13430</v>
      </c>
      <c r="E33" s="20" t="s">
        <v>1401</v>
      </c>
      <c r="F33" t="s">
        <v>6232</v>
      </c>
      <c r="G33" t="s">
        <v>65</v>
      </c>
      <c r="H33" t="s">
        <v>65</v>
      </c>
    </row>
    <row r="34" spans="1:8" ht="18.399999999999999" hidden="1" customHeight="1">
      <c r="A34" s="11" t="s">
        <v>3167</v>
      </c>
      <c r="B34" s="2" t="s">
        <v>5417</v>
      </c>
      <c r="C34" s="2" t="s">
        <v>1112</v>
      </c>
      <c r="D34" s="25">
        <f>자재조서!E35</f>
        <v>20100</v>
      </c>
      <c r="E34" s="20" t="s">
        <v>1401</v>
      </c>
      <c r="F34" t="s">
        <v>6232</v>
      </c>
      <c r="G34" t="s">
        <v>1111</v>
      </c>
      <c r="H34" t="s">
        <v>1111</v>
      </c>
    </row>
    <row r="35" spans="1:8" ht="18.399999999999999" hidden="1" customHeight="1">
      <c r="A35" s="11" t="s">
        <v>3167</v>
      </c>
      <c r="B35" s="2" t="s">
        <v>2836</v>
      </c>
      <c r="C35" s="2" t="s">
        <v>1112</v>
      </c>
      <c r="D35" s="25">
        <f>자재조서!E36</f>
        <v>27900</v>
      </c>
      <c r="E35" s="20" t="s">
        <v>1401</v>
      </c>
      <c r="F35" t="s">
        <v>6232</v>
      </c>
      <c r="G35" t="s">
        <v>998</v>
      </c>
      <c r="H35" t="s">
        <v>998</v>
      </c>
    </row>
    <row r="36" spans="1:8" ht="18.399999999999999" hidden="1" customHeight="1">
      <c r="A36" s="11" t="s">
        <v>2125</v>
      </c>
      <c r="B36" s="2" t="s">
        <v>3377</v>
      </c>
      <c r="C36" s="2" t="s">
        <v>1112</v>
      </c>
      <c r="D36" s="25">
        <f>자재조서!E37</f>
        <v>47676</v>
      </c>
      <c r="E36" s="20" t="s">
        <v>81</v>
      </c>
      <c r="F36" t="s">
        <v>4329</v>
      </c>
      <c r="G36" t="s">
        <v>1729</v>
      </c>
      <c r="H36" t="s">
        <v>1729</v>
      </c>
    </row>
    <row r="37" spans="1:8" ht="18.399999999999999" hidden="1" customHeight="1">
      <c r="A37" s="11" t="s">
        <v>5526</v>
      </c>
      <c r="B37" s="2" t="s">
        <v>1044</v>
      </c>
      <c r="C37" s="2" t="s">
        <v>5013</v>
      </c>
      <c r="D37" s="25">
        <f>자재조서!E38</f>
        <v>681.81799999999998</v>
      </c>
      <c r="E37" s="20" t="s">
        <v>3221</v>
      </c>
      <c r="F37" t="s">
        <v>6232</v>
      </c>
      <c r="G37" t="s">
        <v>5966</v>
      </c>
      <c r="H37" t="s">
        <v>5966</v>
      </c>
    </row>
    <row r="38" spans="1:8" ht="18.399999999999999" hidden="1" customHeight="1">
      <c r="A38" s="11" t="s">
        <v>2999</v>
      </c>
      <c r="B38" s="2" t="s">
        <v>5053</v>
      </c>
      <c r="C38" s="2" t="s">
        <v>5803</v>
      </c>
      <c r="D38" s="25">
        <f>자재조서!E39</f>
        <v>3886</v>
      </c>
      <c r="E38" s="20" t="s">
        <v>5328</v>
      </c>
      <c r="F38" t="s">
        <v>6232</v>
      </c>
      <c r="G38" t="s">
        <v>1736</v>
      </c>
      <c r="H38" t="s">
        <v>1736</v>
      </c>
    </row>
    <row r="39" spans="1:8" ht="18.399999999999999" hidden="1" customHeight="1">
      <c r="A39" s="11" t="s">
        <v>2999</v>
      </c>
      <c r="B39" s="2" t="s">
        <v>3177</v>
      </c>
      <c r="C39" s="2" t="s">
        <v>1054</v>
      </c>
      <c r="D39" s="25">
        <f>자재조서!E40</f>
        <v>4802</v>
      </c>
      <c r="E39" s="20" t="s">
        <v>4929</v>
      </c>
      <c r="F39" t="s">
        <v>6232</v>
      </c>
      <c r="G39" t="s">
        <v>335</v>
      </c>
      <c r="H39" t="s">
        <v>335</v>
      </c>
    </row>
    <row r="40" spans="1:8" ht="18.399999999999999" hidden="1" customHeight="1">
      <c r="A40" s="11" t="s">
        <v>3776</v>
      </c>
      <c r="B40" s="2" t="s">
        <v>2135</v>
      </c>
      <c r="C40" s="2" t="s">
        <v>1054</v>
      </c>
      <c r="D40" s="25">
        <f>자재조서!E41</f>
        <v>10738</v>
      </c>
      <c r="E40" s="20" t="s">
        <v>5328</v>
      </c>
      <c r="F40" t="s">
        <v>3048</v>
      </c>
      <c r="G40" t="s">
        <v>5034</v>
      </c>
      <c r="H40" t="s">
        <v>5034</v>
      </c>
    </row>
    <row r="41" spans="1:8" ht="18.399999999999999" hidden="1" customHeight="1">
      <c r="A41" s="11" t="s">
        <v>2121</v>
      </c>
      <c r="B41" s="2" t="s">
        <v>3392</v>
      </c>
      <c r="C41" s="2" t="s">
        <v>6116</v>
      </c>
      <c r="D41" s="25">
        <f>자재조서!E42</f>
        <v>2.3170000000000002</v>
      </c>
      <c r="E41" s="20" t="s">
        <v>2358</v>
      </c>
      <c r="F41" t="s">
        <v>6232</v>
      </c>
      <c r="G41" t="s">
        <v>3980</v>
      </c>
      <c r="H41" t="s">
        <v>3980</v>
      </c>
    </row>
    <row r="42" spans="1:8" ht="18.399999999999999" hidden="1" customHeight="1">
      <c r="A42" s="11" t="s">
        <v>408</v>
      </c>
      <c r="B42" s="2" t="s">
        <v>4123</v>
      </c>
      <c r="C42" s="2" t="s">
        <v>3051</v>
      </c>
      <c r="D42" s="25">
        <f>자재조서!E43</f>
        <v>1346.364</v>
      </c>
      <c r="E42" s="20" t="s">
        <v>5512</v>
      </c>
      <c r="F42" t="s">
        <v>6232</v>
      </c>
      <c r="G42" t="s">
        <v>2276</v>
      </c>
      <c r="H42" t="s">
        <v>2276</v>
      </c>
    </row>
    <row r="43" spans="1:8" ht="18.399999999999999" hidden="1" customHeight="1">
      <c r="A43" s="11" t="s">
        <v>2078</v>
      </c>
      <c r="B43" s="2" t="s">
        <v>6232</v>
      </c>
      <c r="C43" s="2" t="s">
        <v>1054</v>
      </c>
      <c r="D43" s="25">
        <f>자재조서!E44</f>
        <v>1482.7270000000001</v>
      </c>
      <c r="E43" s="20" t="s">
        <v>5512</v>
      </c>
      <c r="F43" t="s">
        <v>1809</v>
      </c>
      <c r="G43" t="s">
        <v>5404</v>
      </c>
      <c r="H43" t="s">
        <v>5404</v>
      </c>
    </row>
    <row r="44" spans="1:8" ht="18.399999999999999" hidden="1" customHeight="1">
      <c r="A44" s="11" t="s">
        <v>5652</v>
      </c>
      <c r="B44" s="2" t="s">
        <v>489</v>
      </c>
      <c r="C44" s="2" t="s">
        <v>5803</v>
      </c>
      <c r="D44" s="25">
        <f>자재조서!E45</f>
        <v>290</v>
      </c>
      <c r="E44" s="20" t="s">
        <v>1303</v>
      </c>
      <c r="F44" t="s">
        <v>6232</v>
      </c>
      <c r="G44" t="s">
        <v>5111</v>
      </c>
      <c r="H44" t="s">
        <v>5111</v>
      </c>
    </row>
    <row r="45" spans="1:8" ht="18.399999999999999" hidden="1" customHeight="1">
      <c r="A45" s="11" t="s">
        <v>6045</v>
      </c>
      <c r="B45" s="2" t="s">
        <v>6232</v>
      </c>
      <c r="C45" s="2" t="s">
        <v>1054</v>
      </c>
      <c r="D45" s="25">
        <f>자재조서!E46</f>
        <v>4500</v>
      </c>
      <c r="E45" s="20" t="s">
        <v>1533</v>
      </c>
      <c r="F45" t="s">
        <v>6232</v>
      </c>
      <c r="G45" t="s">
        <v>5809</v>
      </c>
      <c r="H45" t="s">
        <v>6232</v>
      </c>
    </row>
    <row r="46" spans="1:8" ht="18.399999999999999" hidden="1" customHeight="1">
      <c r="A46" s="11" t="s">
        <v>1807</v>
      </c>
      <c r="B46" s="2" t="s">
        <v>5114</v>
      </c>
      <c r="C46" s="2" t="s">
        <v>1054</v>
      </c>
      <c r="D46" s="25">
        <f>자재조서!E47</f>
        <v>4000</v>
      </c>
      <c r="E46" s="20" t="s">
        <v>1533</v>
      </c>
      <c r="F46" t="s">
        <v>6232</v>
      </c>
      <c r="G46" t="s">
        <v>2046</v>
      </c>
      <c r="H46" t="s">
        <v>6232</v>
      </c>
    </row>
    <row r="47" spans="1:8" ht="18.399999999999999" hidden="1" customHeight="1">
      <c r="A47" s="11" t="s">
        <v>3565</v>
      </c>
      <c r="B47" s="2" t="s">
        <v>6232</v>
      </c>
      <c r="C47" s="2" t="s">
        <v>6141</v>
      </c>
      <c r="D47" s="25">
        <f>자재조서!E48</f>
        <v>800</v>
      </c>
      <c r="E47" s="20" t="s">
        <v>206</v>
      </c>
      <c r="F47" t="s">
        <v>6232</v>
      </c>
      <c r="G47" t="s">
        <v>2317</v>
      </c>
      <c r="H47" t="s">
        <v>6232</v>
      </c>
    </row>
    <row r="48" spans="1:8" ht="18.399999999999999" hidden="1" customHeight="1">
      <c r="A48" s="11" t="s">
        <v>1299</v>
      </c>
      <c r="B48" s="2" t="s">
        <v>6232</v>
      </c>
      <c r="C48" s="2" t="s">
        <v>2701</v>
      </c>
      <c r="D48" s="25">
        <v>85</v>
      </c>
      <c r="E48" s="20" t="s">
        <v>3213</v>
      </c>
      <c r="F48" t="s">
        <v>6232</v>
      </c>
      <c r="G48" t="s">
        <v>5971</v>
      </c>
      <c r="H48" t="s">
        <v>6232</v>
      </c>
    </row>
    <row r="49" spans="1:8" ht="18.399999999999999" hidden="1" customHeight="1">
      <c r="A49" s="11" t="s">
        <v>2248</v>
      </c>
      <c r="B49" s="2" t="s">
        <v>3074</v>
      </c>
      <c r="C49" s="2" t="s">
        <v>6141</v>
      </c>
      <c r="D49" s="25">
        <f>자재조서!E50</f>
        <v>5580</v>
      </c>
      <c r="E49" s="20" t="s">
        <v>559</v>
      </c>
      <c r="F49" t="s">
        <v>6232</v>
      </c>
      <c r="G49" t="s">
        <v>1435</v>
      </c>
      <c r="H49" t="s">
        <v>6232</v>
      </c>
    </row>
    <row r="50" spans="1:8" ht="18.399999999999999" hidden="1" customHeight="1">
      <c r="A50" s="11" t="s">
        <v>2248</v>
      </c>
      <c r="B50" s="2" t="s">
        <v>1165</v>
      </c>
      <c r="C50" s="2" t="s">
        <v>6141</v>
      </c>
      <c r="D50" s="25">
        <f>자재조서!E51</f>
        <v>7580</v>
      </c>
      <c r="E50" s="20" t="s">
        <v>559</v>
      </c>
      <c r="F50" t="s">
        <v>6232</v>
      </c>
      <c r="G50" t="s">
        <v>1414</v>
      </c>
      <c r="H50" t="s">
        <v>6232</v>
      </c>
    </row>
    <row r="51" spans="1:8" ht="18.399999999999999" hidden="1" customHeight="1">
      <c r="A51" s="11" t="s">
        <v>2248</v>
      </c>
      <c r="B51" s="2" t="s">
        <v>1572</v>
      </c>
      <c r="C51" s="2" t="s">
        <v>6141</v>
      </c>
      <c r="D51" s="25">
        <f>자재조서!E52</f>
        <v>10960</v>
      </c>
      <c r="E51" s="20" t="s">
        <v>559</v>
      </c>
      <c r="F51" t="s">
        <v>6232</v>
      </c>
      <c r="G51" t="s">
        <v>131</v>
      </c>
      <c r="H51" t="s">
        <v>6232</v>
      </c>
    </row>
    <row r="52" spans="1:8" ht="18.399999999999999" hidden="1" customHeight="1">
      <c r="A52" s="11" t="s">
        <v>2248</v>
      </c>
      <c r="B52" s="2" t="s">
        <v>2531</v>
      </c>
      <c r="C52" s="2" t="s">
        <v>6141</v>
      </c>
      <c r="D52" s="25">
        <f>자재조서!E53</f>
        <v>15530</v>
      </c>
      <c r="E52" s="20" t="s">
        <v>559</v>
      </c>
      <c r="F52" t="s">
        <v>6232</v>
      </c>
      <c r="G52" t="s">
        <v>202</v>
      </c>
      <c r="H52" t="s">
        <v>6232</v>
      </c>
    </row>
    <row r="53" spans="1:8" ht="18.399999999999999" hidden="1" customHeight="1">
      <c r="A53" s="11" t="s">
        <v>2248</v>
      </c>
      <c r="B53" s="2" t="s">
        <v>4124</v>
      </c>
      <c r="C53" s="2" t="s">
        <v>6141</v>
      </c>
      <c r="D53" s="25">
        <f>자재조서!E54</f>
        <v>25480</v>
      </c>
      <c r="E53" s="20" t="s">
        <v>559</v>
      </c>
      <c r="F53" t="s">
        <v>6232</v>
      </c>
      <c r="G53" t="s">
        <v>1542</v>
      </c>
      <c r="H53" t="s">
        <v>6232</v>
      </c>
    </row>
    <row r="54" spans="1:8" ht="18.399999999999999" hidden="1" customHeight="1">
      <c r="A54" s="11" t="s">
        <v>2248</v>
      </c>
      <c r="B54" s="2" t="s">
        <v>4184</v>
      </c>
      <c r="C54" s="2" t="s">
        <v>6141</v>
      </c>
      <c r="D54" s="25">
        <f>자재조서!E55</f>
        <v>42980</v>
      </c>
      <c r="E54" s="20" t="s">
        <v>559</v>
      </c>
      <c r="F54" t="s">
        <v>6232</v>
      </c>
      <c r="G54" t="s">
        <v>2231</v>
      </c>
      <c r="H54" t="s">
        <v>6232</v>
      </c>
    </row>
    <row r="55" spans="1:8" ht="18.399999999999999" hidden="1" customHeight="1">
      <c r="A55" s="11" t="s">
        <v>2248</v>
      </c>
      <c r="B55" s="2" t="s">
        <v>1695</v>
      </c>
      <c r="C55" s="2" t="s">
        <v>6141</v>
      </c>
      <c r="D55" s="25">
        <f>자재조서!E56</f>
        <v>71630</v>
      </c>
      <c r="E55" s="20" t="s">
        <v>559</v>
      </c>
      <c r="F55" t="s">
        <v>6232</v>
      </c>
      <c r="G55" t="s">
        <v>631</v>
      </c>
      <c r="H55" t="s">
        <v>6232</v>
      </c>
    </row>
    <row r="56" spans="1:8" ht="18.399999999999999" hidden="1" customHeight="1">
      <c r="A56" s="11" t="s">
        <v>2248</v>
      </c>
      <c r="B56" s="2" t="s">
        <v>4869</v>
      </c>
      <c r="C56" s="2" t="s">
        <v>6141</v>
      </c>
      <c r="D56" s="25">
        <f>자재조서!E57</f>
        <v>103740</v>
      </c>
      <c r="E56" s="20" t="s">
        <v>559</v>
      </c>
      <c r="F56" t="s">
        <v>6232</v>
      </c>
      <c r="G56" t="s">
        <v>2614</v>
      </c>
      <c r="H56" t="s">
        <v>6232</v>
      </c>
    </row>
    <row r="57" spans="1:8" ht="18.399999999999999" hidden="1" customHeight="1">
      <c r="A57" s="11" t="s">
        <v>2248</v>
      </c>
      <c r="B57" s="2" t="s">
        <v>809</v>
      </c>
      <c r="C57" s="2" t="s">
        <v>6141</v>
      </c>
      <c r="D57" s="25">
        <f>자재조서!E58</f>
        <v>145620</v>
      </c>
      <c r="E57" s="20" t="s">
        <v>559</v>
      </c>
      <c r="F57" t="s">
        <v>6232</v>
      </c>
      <c r="G57" t="s">
        <v>1109</v>
      </c>
      <c r="H57" t="s">
        <v>6232</v>
      </c>
    </row>
    <row r="58" spans="1:8" ht="18.399999999999999" hidden="1" customHeight="1">
      <c r="A58" s="11" t="s">
        <v>2248</v>
      </c>
      <c r="B58" s="2" t="s">
        <v>2695</v>
      </c>
      <c r="C58" s="2" t="s">
        <v>6141</v>
      </c>
      <c r="D58" s="25">
        <f>자재조서!E59</f>
        <v>200620</v>
      </c>
      <c r="E58" s="20" t="s">
        <v>559</v>
      </c>
      <c r="F58" t="s">
        <v>6232</v>
      </c>
      <c r="G58" t="s">
        <v>5802</v>
      </c>
      <c r="H58" t="s">
        <v>6232</v>
      </c>
    </row>
    <row r="59" spans="1:8" ht="18.399999999999999" hidden="1" customHeight="1">
      <c r="A59" s="11" t="s">
        <v>2248</v>
      </c>
      <c r="B59" s="2" t="s">
        <v>3762</v>
      </c>
      <c r="C59" s="2" t="s">
        <v>6141</v>
      </c>
      <c r="D59" s="25">
        <f>자재조서!E60</f>
        <v>275050</v>
      </c>
      <c r="E59" s="20" t="s">
        <v>559</v>
      </c>
      <c r="F59" t="s">
        <v>6232</v>
      </c>
      <c r="G59" t="s">
        <v>4177</v>
      </c>
      <c r="H59" t="s">
        <v>6232</v>
      </c>
    </row>
    <row r="60" spans="1:8" ht="18.399999999999999" hidden="1" customHeight="1">
      <c r="A60" s="11" t="s">
        <v>2248</v>
      </c>
      <c r="B60" s="2" t="s">
        <v>512</v>
      </c>
      <c r="C60" s="2" t="s">
        <v>6141</v>
      </c>
      <c r="D60" s="25">
        <f>자재조서!E61</f>
        <v>339760</v>
      </c>
      <c r="E60" s="20" t="s">
        <v>559</v>
      </c>
      <c r="F60" t="s">
        <v>6232</v>
      </c>
      <c r="G60" t="s">
        <v>5288</v>
      </c>
      <c r="H60" t="s">
        <v>6232</v>
      </c>
    </row>
    <row r="61" spans="1:8" ht="18.399999999999999" hidden="1" customHeight="1">
      <c r="A61" s="11" t="s">
        <v>2248</v>
      </c>
      <c r="B61" s="2" t="s">
        <v>6105</v>
      </c>
      <c r="C61" s="2" t="s">
        <v>6141</v>
      </c>
      <c r="D61" s="25">
        <f>자재조서!E62</f>
        <v>1067796</v>
      </c>
      <c r="E61" s="20" t="s">
        <v>559</v>
      </c>
      <c r="F61" t="s">
        <v>6232</v>
      </c>
      <c r="G61" t="s">
        <v>3096</v>
      </c>
      <c r="H61" t="s">
        <v>6232</v>
      </c>
    </row>
    <row r="62" spans="1:8" ht="18.399999999999999" hidden="1" customHeight="1">
      <c r="A62" s="11" t="s">
        <v>3433</v>
      </c>
      <c r="B62" s="2" t="s">
        <v>5612</v>
      </c>
      <c r="C62" s="2" t="s">
        <v>2272</v>
      </c>
      <c r="D62" s="25">
        <f>자재조서!E63</f>
        <v>6520</v>
      </c>
      <c r="E62" s="20" t="s">
        <v>439</v>
      </c>
      <c r="F62" t="s">
        <v>6232</v>
      </c>
      <c r="G62" t="s">
        <v>4714</v>
      </c>
      <c r="H62" t="s">
        <v>6232</v>
      </c>
    </row>
    <row r="63" spans="1:8" ht="18.399999999999999" hidden="1" customHeight="1">
      <c r="A63" s="11" t="s">
        <v>3433</v>
      </c>
      <c r="B63" s="2" t="s">
        <v>3978</v>
      </c>
      <c r="C63" s="2" t="s">
        <v>2272</v>
      </c>
      <c r="D63" s="25">
        <f>자재조서!E64</f>
        <v>7280</v>
      </c>
      <c r="E63" s="20" t="s">
        <v>439</v>
      </c>
      <c r="F63" t="s">
        <v>6232</v>
      </c>
      <c r="G63" t="s">
        <v>3261</v>
      </c>
      <c r="H63" t="s">
        <v>6232</v>
      </c>
    </row>
    <row r="64" spans="1:8" ht="18.399999999999999" hidden="1" customHeight="1">
      <c r="A64" s="11" t="s">
        <v>3433</v>
      </c>
      <c r="B64" s="2" t="s">
        <v>1993</v>
      </c>
      <c r="C64" s="2" t="s">
        <v>2272</v>
      </c>
      <c r="D64" s="25">
        <f>자재조서!E65</f>
        <v>8280</v>
      </c>
      <c r="E64" s="20" t="s">
        <v>439</v>
      </c>
      <c r="F64" t="s">
        <v>6232</v>
      </c>
      <c r="G64" t="s">
        <v>2871</v>
      </c>
      <c r="H64" t="s">
        <v>6232</v>
      </c>
    </row>
    <row r="65" spans="1:8" ht="18.399999999999999" hidden="1" customHeight="1">
      <c r="A65" s="11" t="s">
        <v>3433</v>
      </c>
      <c r="B65" s="2" t="s">
        <v>2037</v>
      </c>
      <c r="C65" s="2" t="s">
        <v>2272</v>
      </c>
      <c r="D65" s="25">
        <f>자재조서!E66</f>
        <v>8920</v>
      </c>
      <c r="E65" s="20" t="s">
        <v>439</v>
      </c>
      <c r="F65" t="s">
        <v>6232</v>
      </c>
      <c r="G65" t="s">
        <v>2703</v>
      </c>
      <c r="H65" t="s">
        <v>6232</v>
      </c>
    </row>
    <row r="66" spans="1:8" ht="18.399999999999999" hidden="1" customHeight="1">
      <c r="A66" s="11" t="s">
        <v>3433</v>
      </c>
      <c r="B66" s="2" t="s">
        <v>2412</v>
      </c>
      <c r="C66" s="2" t="s">
        <v>2272</v>
      </c>
      <c r="D66" s="25">
        <f>자재조서!E67</f>
        <v>10270</v>
      </c>
      <c r="E66" s="20" t="s">
        <v>439</v>
      </c>
      <c r="F66" t="s">
        <v>6232</v>
      </c>
      <c r="G66" t="s">
        <v>1699</v>
      </c>
      <c r="H66" t="s">
        <v>6232</v>
      </c>
    </row>
    <row r="67" spans="1:8" ht="18.399999999999999" hidden="1" customHeight="1">
      <c r="A67" s="11" t="s">
        <v>3433</v>
      </c>
      <c r="B67" s="2" t="s">
        <v>3074</v>
      </c>
      <c r="C67" s="2" t="s">
        <v>2272</v>
      </c>
      <c r="D67" s="25">
        <f>자재조서!E68</f>
        <v>12030</v>
      </c>
      <c r="E67" s="20" t="s">
        <v>439</v>
      </c>
      <c r="F67" t="s">
        <v>6232</v>
      </c>
      <c r="G67" t="s">
        <v>2190</v>
      </c>
      <c r="H67" t="s">
        <v>6232</v>
      </c>
    </row>
    <row r="68" spans="1:8" ht="18.399999999999999" hidden="1" customHeight="1">
      <c r="A68" s="11" t="s">
        <v>3433</v>
      </c>
      <c r="B68" s="2" t="s">
        <v>1165</v>
      </c>
      <c r="C68" s="2" t="s">
        <v>2272</v>
      </c>
      <c r="D68" s="25">
        <f>자재조서!E69</f>
        <v>13480</v>
      </c>
      <c r="E68" s="20" t="s">
        <v>439</v>
      </c>
      <c r="F68" t="s">
        <v>6232</v>
      </c>
      <c r="G68" t="s">
        <v>492</v>
      </c>
      <c r="H68" t="s">
        <v>6232</v>
      </c>
    </row>
    <row r="69" spans="1:8" ht="18.399999999999999" hidden="1" customHeight="1">
      <c r="A69" s="11" t="s">
        <v>3433</v>
      </c>
      <c r="B69" s="2" t="s">
        <v>1572</v>
      </c>
      <c r="C69" s="2" t="s">
        <v>2272</v>
      </c>
      <c r="D69" s="25">
        <f>자재조서!E70</f>
        <v>22930</v>
      </c>
      <c r="E69" s="20" t="s">
        <v>439</v>
      </c>
      <c r="F69" t="s">
        <v>6232</v>
      </c>
      <c r="G69" t="s">
        <v>4878</v>
      </c>
      <c r="H69" t="s">
        <v>6232</v>
      </c>
    </row>
    <row r="70" spans="1:8" ht="18.399999999999999" hidden="1" customHeight="1">
      <c r="A70" s="11" t="s">
        <v>3433</v>
      </c>
      <c r="B70" s="2" t="s">
        <v>2531</v>
      </c>
      <c r="C70" s="2" t="s">
        <v>2272</v>
      </c>
      <c r="D70" s="25">
        <f>자재조서!E71</f>
        <v>26590</v>
      </c>
      <c r="E70" s="20" t="s">
        <v>439</v>
      </c>
      <c r="F70" t="s">
        <v>6232</v>
      </c>
      <c r="G70" t="s">
        <v>5484</v>
      </c>
      <c r="H70" t="s">
        <v>6232</v>
      </c>
    </row>
    <row r="71" spans="1:8" ht="18.399999999999999" hidden="1" customHeight="1">
      <c r="A71" s="11" t="s">
        <v>3433</v>
      </c>
      <c r="B71" s="2" t="s">
        <v>4124</v>
      </c>
      <c r="C71" s="2" t="s">
        <v>2272</v>
      </c>
      <c r="D71" s="25">
        <f>자재조서!E72</f>
        <v>30350</v>
      </c>
      <c r="E71" s="20" t="s">
        <v>439</v>
      </c>
      <c r="F71" t="s">
        <v>6232</v>
      </c>
      <c r="G71" t="s">
        <v>823</v>
      </c>
      <c r="H71" t="s">
        <v>6232</v>
      </c>
    </row>
    <row r="72" spans="1:8" ht="18.399999999999999" hidden="1" customHeight="1">
      <c r="A72" s="11" t="s">
        <v>3433</v>
      </c>
      <c r="B72" s="2" t="s">
        <v>4184</v>
      </c>
      <c r="C72" s="2" t="s">
        <v>2272</v>
      </c>
      <c r="D72" s="25">
        <f>자재조서!E73</f>
        <v>37910</v>
      </c>
      <c r="E72" s="20" t="s">
        <v>439</v>
      </c>
      <c r="F72" t="s">
        <v>6232</v>
      </c>
      <c r="G72" t="s">
        <v>951</v>
      </c>
      <c r="H72" t="s">
        <v>6232</v>
      </c>
    </row>
    <row r="73" spans="1:8" ht="18.399999999999999" hidden="1" customHeight="1">
      <c r="A73" s="11" t="s">
        <v>3433</v>
      </c>
      <c r="B73" s="2" t="s">
        <v>1695</v>
      </c>
      <c r="C73" s="2" t="s">
        <v>2272</v>
      </c>
      <c r="D73" s="25">
        <f>자재조서!E74</f>
        <v>55500</v>
      </c>
      <c r="E73" s="20" t="s">
        <v>439</v>
      </c>
      <c r="F73" t="s">
        <v>6232</v>
      </c>
      <c r="G73" t="s">
        <v>4942</v>
      </c>
      <c r="H73" t="s">
        <v>6232</v>
      </c>
    </row>
    <row r="74" spans="1:8" ht="18.399999999999999" hidden="1" customHeight="1">
      <c r="A74" s="11" t="s">
        <v>3433</v>
      </c>
      <c r="B74" s="2" t="s">
        <v>4869</v>
      </c>
      <c r="C74" s="2" t="s">
        <v>2272</v>
      </c>
      <c r="D74" s="25">
        <f>자재조서!E75</f>
        <v>64310</v>
      </c>
      <c r="E74" s="20" t="s">
        <v>439</v>
      </c>
      <c r="F74" t="s">
        <v>6232</v>
      </c>
      <c r="G74" t="s">
        <v>1585</v>
      </c>
      <c r="H74" t="s">
        <v>6232</v>
      </c>
    </row>
    <row r="75" spans="1:8" ht="18.399999999999999" hidden="1" customHeight="1">
      <c r="A75" s="11" t="s">
        <v>3433</v>
      </c>
      <c r="B75" s="2" t="s">
        <v>809</v>
      </c>
      <c r="C75" s="2" t="s">
        <v>2272</v>
      </c>
      <c r="D75" s="25">
        <f>자재조서!E76</f>
        <v>70640</v>
      </c>
      <c r="E75" s="20" t="s">
        <v>439</v>
      </c>
      <c r="F75" t="s">
        <v>6232</v>
      </c>
      <c r="G75" t="s">
        <v>4118</v>
      </c>
      <c r="H75" t="s">
        <v>6232</v>
      </c>
    </row>
    <row r="76" spans="1:8" ht="18.399999999999999" hidden="1" customHeight="1">
      <c r="A76" s="11" t="s">
        <v>3433</v>
      </c>
      <c r="B76" s="2" t="s">
        <v>2695</v>
      </c>
      <c r="C76" s="2" t="s">
        <v>2272</v>
      </c>
      <c r="D76" s="25">
        <f>자재조서!E77</f>
        <v>125520</v>
      </c>
      <c r="E76" s="20" t="s">
        <v>439</v>
      </c>
      <c r="F76" t="s">
        <v>6232</v>
      </c>
      <c r="G76" t="s">
        <v>6110</v>
      </c>
      <c r="H76" t="s">
        <v>6232</v>
      </c>
    </row>
    <row r="77" spans="1:8" ht="18.399999999999999" hidden="1" customHeight="1">
      <c r="A77" s="11" t="s">
        <v>3433</v>
      </c>
      <c r="B77" s="2" t="s">
        <v>3762</v>
      </c>
      <c r="C77" s="2" t="s">
        <v>2272</v>
      </c>
      <c r="D77" s="25">
        <f>자재조서!E78</f>
        <v>138490</v>
      </c>
      <c r="E77" s="20" t="s">
        <v>439</v>
      </c>
      <c r="F77" t="s">
        <v>6232</v>
      </c>
      <c r="G77" t="s">
        <v>386</v>
      </c>
      <c r="H77" t="s">
        <v>6232</v>
      </c>
    </row>
    <row r="78" spans="1:8" ht="18.399999999999999" hidden="1" customHeight="1">
      <c r="A78" s="11" t="s">
        <v>3433</v>
      </c>
      <c r="B78" s="2" t="s">
        <v>512</v>
      </c>
      <c r="C78" s="2" t="s">
        <v>2272</v>
      </c>
      <c r="D78" s="25">
        <f>자재조서!E79</f>
        <v>178550</v>
      </c>
      <c r="E78" s="20" t="s">
        <v>439</v>
      </c>
      <c r="F78" t="s">
        <v>6232</v>
      </c>
      <c r="G78" t="s">
        <v>3830</v>
      </c>
      <c r="H78" t="s">
        <v>6232</v>
      </c>
    </row>
    <row r="79" spans="1:8" ht="18.399999999999999" hidden="1" customHeight="1">
      <c r="A79" s="11" t="s">
        <v>3433</v>
      </c>
      <c r="B79" s="2" t="s">
        <v>6186</v>
      </c>
      <c r="C79" s="2" t="s">
        <v>2272</v>
      </c>
      <c r="D79" s="25">
        <f>자재조서!E80</f>
        <v>164270</v>
      </c>
      <c r="E79" s="20" t="s">
        <v>439</v>
      </c>
      <c r="F79" t="s">
        <v>6232</v>
      </c>
      <c r="G79" t="s">
        <v>2819</v>
      </c>
      <c r="H79" t="s">
        <v>6232</v>
      </c>
    </row>
    <row r="80" spans="1:8" ht="18.399999999999999" hidden="1" customHeight="1">
      <c r="A80" s="11" t="s">
        <v>3433</v>
      </c>
      <c r="B80" s="2" t="s">
        <v>6105</v>
      </c>
      <c r="C80" s="2" t="s">
        <v>2272</v>
      </c>
      <c r="D80" s="25">
        <f>자재조서!E81</f>
        <v>207360</v>
      </c>
      <c r="E80" s="20" t="s">
        <v>439</v>
      </c>
      <c r="F80" t="s">
        <v>6232</v>
      </c>
      <c r="G80" t="s">
        <v>2704</v>
      </c>
      <c r="H80" t="s">
        <v>6232</v>
      </c>
    </row>
    <row r="81" spans="1:8" ht="18.399999999999999" hidden="1" customHeight="1">
      <c r="A81" s="11" t="s">
        <v>3433</v>
      </c>
      <c r="B81" s="2" t="s">
        <v>397</v>
      </c>
      <c r="C81" s="2" t="s">
        <v>2272</v>
      </c>
      <c r="D81" s="25">
        <f>자재조서!E82</f>
        <v>218680</v>
      </c>
      <c r="E81" s="20" t="s">
        <v>439</v>
      </c>
      <c r="F81" t="s">
        <v>6232</v>
      </c>
      <c r="G81" t="s">
        <v>3767</v>
      </c>
      <c r="H81" t="s">
        <v>6232</v>
      </c>
    </row>
    <row r="82" spans="1:8" ht="18.399999999999999" hidden="1" customHeight="1">
      <c r="A82" s="11" t="s">
        <v>3433</v>
      </c>
      <c r="B82" s="2" t="s">
        <v>3821</v>
      </c>
      <c r="C82" s="2" t="s">
        <v>2272</v>
      </c>
      <c r="D82" s="25">
        <f>자재조서!E83</f>
        <v>239220</v>
      </c>
      <c r="E82" s="20" t="s">
        <v>439</v>
      </c>
      <c r="F82" t="s">
        <v>6232</v>
      </c>
      <c r="G82" t="s">
        <v>519</v>
      </c>
      <c r="H82" t="s">
        <v>6232</v>
      </c>
    </row>
    <row r="83" spans="1:8" ht="18.399999999999999" hidden="1" customHeight="1">
      <c r="A83" s="11" t="s">
        <v>3433</v>
      </c>
      <c r="B83" s="2" t="s">
        <v>2812</v>
      </c>
      <c r="C83" s="2" t="s">
        <v>2272</v>
      </c>
      <c r="D83" s="25">
        <f>자재조서!E84</f>
        <v>252530</v>
      </c>
      <c r="E83" s="20" t="s">
        <v>439</v>
      </c>
      <c r="F83" t="s">
        <v>6232</v>
      </c>
      <c r="G83" t="s">
        <v>6193</v>
      </c>
      <c r="H83" t="s">
        <v>6232</v>
      </c>
    </row>
    <row r="84" spans="1:8" ht="18.399999999999999" hidden="1" customHeight="1">
      <c r="A84" s="11" t="s">
        <v>4189</v>
      </c>
      <c r="B84" s="2" t="s">
        <v>6232</v>
      </c>
      <c r="C84" s="2" t="s">
        <v>2272</v>
      </c>
      <c r="D84" s="25">
        <f>자재조서!E85</f>
        <v>16.5</v>
      </c>
      <c r="E84" s="20" t="s">
        <v>166</v>
      </c>
      <c r="F84" t="s">
        <v>6232</v>
      </c>
      <c r="G84" t="s">
        <v>4996</v>
      </c>
      <c r="H84" t="s">
        <v>6232</v>
      </c>
    </row>
    <row r="85" spans="1:8" ht="18.399999999999999" hidden="1" customHeight="1">
      <c r="A85" s="11" t="s">
        <v>3485</v>
      </c>
      <c r="B85" s="2" t="s">
        <v>6232</v>
      </c>
      <c r="C85" s="2" t="s">
        <v>2515</v>
      </c>
      <c r="D85" s="25">
        <f>자재조서!E86</f>
        <v>3600</v>
      </c>
      <c r="E85" s="20" t="s">
        <v>166</v>
      </c>
      <c r="F85" t="s">
        <v>6232</v>
      </c>
      <c r="G85" t="s">
        <v>1843</v>
      </c>
      <c r="H85" t="s">
        <v>6232</v>
      </c>
    </row>
    <row r="86" spans="1:8" ht="18.399999999999999" hidden="1" customHeight="1">
      <c r="A86" s="11" t="s">
        <v>2569</v>
      </c>
      <c r="B86" s="2" t="s">
        <v>5612</v>
      </c>
      <c r="C86" s="2" t="s">
        <v>6141</v>
      </c>
      <c r="D86" s="25">
        <f>자재조서!E87</f>
        <v>129120</v>
      </c>
      <c r="E86" s="20" t="s">
        <v>3216</v>
      </c>
      <c r="F86" t="s">
        <v>6232</v>
      </c>
      <c r="G86" t="s">
        <v>1926</v>
      </c>
      <c r="H86" t="s">
        <v>6232</v>
      </c>
    </row>
    <row r="87" spans="1:8" ht="18.399999999999999" hidden="1" customHeight="1">
      <c r="A87" s="11" t="s">
        <v>2569</v>
      </c>
      <c r="B87" s="2" t="s">
        <v>3978</v>
      </c>
      <c r="C87" s="2" t="s">
        <v>6141</v>
      </c>
      <c r="D87" s="25">
        <f>자재조서!E88</f>
        <v>146300</v>
      </c>
      <c r="E87" s="20" t="s">
        <v>3216</v>
      </c>
      <c r="F87" t="s">
        <v>6232</v>
      </c>
      <c r="G87" t="s">
        <v>5430</v>
      </c>
      <c r="H87" t="s">
        <v>6232</v>
      </c>
    </row>
    <row r="88" spans="1:8" ht="18.399999999999999" hidden="1" customHeight="1">
      <c r="A88" s="11" t="s">
        <v>2569</v>
      </c>
      <c r="B88" s="2" t="s">
        <v>1993</v>
      </c>
      <c r="C88" s="2" t="s">
        <v>6141</v>
      </c>
      <c r="D88" s="25">
        <f>자재조서!E89</f>
        <v>163480</v>
      </c>
      <c r="E88" s="20" t="s">
        <v>3216</v>
      </c>
      <c r="F88" t="s">
        <v>6232</v>
      </c>
      <c r="G88" t="s">
        <v>1479</v>
      </c>
      <c r="H88" t="s">
        <v>6232</v>
      </c>
    </row>
    <row r="89" spans="1:8" ht="18.399999999999999" hidden="1" customHeight="1">
      <c r="A89" s="11" t="s">
        <v>2569</v>
      </c>
      <c r="B89" s="2" t="s">
        <v>2037</v>
      </c>
      <c r="C89" s="2" t="s">
        <v>6141</v>
      </c>
      <c r="D89" s="25">
        <f>자재조서!E90</f>
        <v>173210</v>
      </c>
      <c r="E89" s="20" t="s">
        <v>3216</v>
      </c>
      <c r="F89" t="s">
        <v>6232</v>
      </c>
      <c r="G89" t="s">
        <v>5213</v>
      </c>
      <c r="H89" t="s">
        <v>6232</v>
      </c>
    </row>
    <row r="90" spans="1:8" ht="18.399999999999999" hidden="1" customHeight="1">
      <c r="A90" s="11" t="s">
        <v>2569</v>
      </c>
      <c r="B90" s="2" t="s">
        <v>2412</v>
      </c>
      <c r="C90" s="2" t="s">
        <v>6141</v>
      </c>
      <c r="D90" s="25">
        <f>자재조서!E91</f>
        <v>182460</v>
      </c>
      <c r="E90" s="20" t="s">
        <v>3216</v>
      </c>
      <c r="F90" t="s">
        <v>6232</v>
      </c>
      <c r="G90" t="s">
        <v>3697</v>
      </c>
      <c r="H90" t="s">
        <v>6232</v>
      </c>
    </row>
    <row r="91" spans="1:8" ht="18.399999999999999" hidden="1" customHeight="1">
      <c r="A91" s="11" t="s">
        <v>2569</v>
      </c>
      <c r="B91" s="2" t="s">
        <v>3074</v>
      </c>
      <c r="C91" s="2" t="s">
        <v>6141</v>
      </c>
      <c r="D91" s="25">
        <f>자재조서!E92</f>
        <v>219040</v>
      </c>
      <c r="E91" s="20" t="s">
        <v>3216</v>
      </c>
      <c r="F91" t="s">
        <v>6232</v>
      </c>
      <c r="G91" t="s">
        <v>5339</v>
      </c>
      <c r="H91" t="s">
        <v>6232</v>
      </c>
    </row>
    <row r="92" spans="1:8" ht="18.399999999999999" hidden="1" customHeight="1">
      <c r="A92" s="11" t="s">
        <v>2569</v>
      </c>
      <c r="B92" s="2" t="s">
        <v>1165</v>
      </c>
      <c r="C92" s="2" t="s">
        <v>6141</v>
      </c>
      <c r="D92" s="25">
        <f>자재조서!E93</f>
        <v>246310</v>
      </c>
      <c r="E92" s="20" t="s">
        <v>3216</v>
      </c>
      <c r="F92" t="s">
        <v>6232</v>
      </c>
      <c r="G92" t="s">
        <v>5318</v>
      </c>
      <c r="H92" t="s">
        <v>6232</v>
      </c>
    </row>
    <row r="93" spans="1:8" ht="18.399999999999999" hidden="1" customHeight="1">
      <c r="A93" s="11" t="s">
        <v>2569</v>
      </c>
      <c r="B93" s="2" t="s">
        <v>1572</v>
      </c>
      <c r="C93" s="2" t="s">
        <v>6141</v>
      </c>
      <c r="D93" s="25">
        <f>자재조서!E94</f>
        <v>321270</v>
      </c>
      <c r="E93" s="20" t="s">
        <v>3216</v>
      </c>
      <c r="F93" t="s">
        <v>6232</v>
      </c>
      <c r="G93" t="s">
        <v>5587</v>
      </c>
      <c r="H93" t="s">
        <v>6232</v>
      </c>
    </row>
    <row r="94" spans="1:8" ht="18.399999999999999" hidden="1" customHeight="1">
      <c r="A94" s="11" t="s">
        <v>2569</v>
      </c>
      <c r="B94" s="2" t="s">
        <v>2531</v>
      </c>
      <c r="C94" s="2" t="s">
        <v>6141</v>
      </c>
      <c r="D94" s="25">
        <f>자재조서!E95</f>
        <v>399980</v>
      </c>
      <c r="E94" s="20" t="s">
        <v>3216</v>
      </c>
      <c r="F94" t="s">
        <v>6232</v>
      </c>
      <c r="G94" t="s">
        <v>5671</v>
      </c>
      <c r="H94" t="s">
        <v>6232</v>
      </c>
    </row>
    <row r="95" spans="1:8" ht="18.399999999999999" hidden="1" customHeight="1">
      <c r="A95" s="11" t="s">
        <v>2569</v>
      </c>
      <c r="B95" s="2" t="s">
        <v>4124</v>
      </c>
      <c r="C95" s="2" t="s">
        <v>6141</v>
      </c>
      <c r="D95" s="25">
        <f>자재조서!E96</f>
        <v>489990</v>
      </c>
      <c r="E95" s="20" t="s">
        <v>3216</v>
      </c>
      <c r="F95" t="s">
        <v>6232</v>
      </c>
      <c r="G95" t="s">
        <v>3900</v>
      </c>
      <c r="H95" t="s">
        <v>6232</v>
      </c>
    </row>
    <row r="96" spans="1:8" ht="18.399999999999999" hidden="1" customHeight="1">
      <c r="A96" s="11" t="s">
        <v>2569</v>
      </c>
      <c r="B96" s="2" t="s">
        <v>4184</v>
      </c>
      <c r="C96" s="2" t="s">
        <v>6141</v>
      </c>
      <c r="D96" s="25">
        <f>자재조서!E97</f>
        <v>662470</v>
      </c>
      <c r="E96" s="20" t="s">
        <v>341</v>
      </c>
      <c r="F96" t="s">
        <v>6232</v>
      </c>
      <c r="G96" t="s">
        <v>4556</v>
      </c>
      <c r="H96" t="s">
        <v>6232</v>
      </c>
    </row>
    <row r="97" spans="1:8" ht="18.399999999999999" hidden="1" customHeight="1">
      <c r="A97" s="11" t="s">
        <v>2569</v>
      </c>
      <c r="B97" s="2" t="s">
        <v>1695</v>
      </c>
      <c r="C97" s="2" t="s">
        <v>6141</v>
      </c>
      <c r="D97" s="25">
        <f>자재조서!E98</f>
        <v>911880</v>
      </c>
      <c r="E97" s="20" t="s">
        <v>3216</v>
      </c>
      <c r="F97" t="s">
        <v>6232</v>
      </c>
      <c r="G97" t="s">
        <v>6067</v>
      </c>
      <c r="H97" t="s">
        <v>6232</v>
      </c>
    </row>
    <row r="98" spans="1:8" ht="18.399999999999999" hidden="1" customHeight="1">
      <c r="A98" s="11" t="s">
        <v>5554</v>
      </c>
      <c r="B98" s="2" t="s">
        <v>4869</v>
      </c>
      <c r="C98" s="2" t="s">
        <v>6141</v>
      </c>
      <c r="D98" s="25">
        <f>자재조서!E99</f>
        <v>1031010</v>
      </c>
      <c r="E98" s="20" t="s">
        <v>3216</v>
      </c>
      <c r="F98" t="s">
        <v>6232</v>
      </c>
      <c r="G98" t="s">
        <v>3384</v>
      </c>
      <c r="H98" t="s">
        <v>6232</v>
      </c>
    </row>
    <row r="99" spans="1:8" ht="18.399999999999999" hidden="1" customHeight="1">
      <c r="A99" s="11" t="s">
        <v>5554</v>
      </c>
      <c r="B99" s="2" t="s">
        <v>809</v>
      </c>
      <c r="C99" s="2" t="s">
        <v>6141</v>
      </c>
      <c r="D99" s="25">
        <f>자재조서!E100</f>
        <v>1336960</v>
      </c>
      <c r="E99" s="20" t="s">
        <v>3216</v>
      </c>
      <c r="F99" t="s">
        <v>6232</v>
      </c>
      <c r="G99" t="s">
        <v>5011</v>
      </c>
      <c r="H99" t="s">
        <v>6232</v>
      </c>
    </row>
    <row r="100" spans="1:8" ht="18.399999999999999" hidden="1" customHeight="1">
      <c r="A100" s="11" t="s">
        <v>5554</v>
      </c>
      <c r="B100" s="2" t="s">
        <v>2695</v>
      </c>
      <c r="C100" s="2" t="s">
        <v>6141</v>
      </c>
      <c r="D100" s="25">
        <f>자재조서!E101</f>
        <v>1570310</v>
      </c>
      <c r="E100" s="20" t="s">
        <v>341</v>
      </c>
      <c r="F100" t="s">
        <v>6232</v>
      </c>
      <c r="G100" t="s">
        <v>333</v>
      </c>
      <c r="H100" t="s">
        <v>6232</v>
      </c>
    </row>
    <row r="101" spans="1:8" ht="18.399999999999999" hidden="1" customHeight="1">
      <c r="A101" s="11" t="s">
        <v>5554</v>
      </c>
      <c r="B101" s="2" t="s">
        <v>3762</v>
      </c>
      <c r="C101" s="2" t="s">
        <v>6141</v>
      </c>
      <c r="D101" s="25">
        <f>자재조서!E102</f>
        <v>1758020</v>
      </c>
      <c r="E101" s="20" t="s">
        <v>3216</v>
      </c>
      <c r="F101" t="s">
        <v>6232</v>
      </c>
      <c r="G101" t="s">
        <v>1810</v>
      </c>
      <c r="H101" t="s">
        <v>6232</v>
      </c>
    </row>
    <row r="102" spans="1:8" ht="18.399999999999999" hidden="1" customHeight="1">
      <c r="A102" s="11" t="s">
        <v>5554</v>
      </c>
      <c r="B102" s="2" t="s">
        <v>512</v>
      </c>
      <c r="C102" s="2" t="s">
        <v>6141</v>
      </c>
      <c r="D102" s="25">
        <f>자재조서!E103</f>
        <v>2353140</v>
      </c>
      <c r="E102" s="20" t="s">
        <v>341</v>
      </c>
      <c r="F102" t="s">
        <v>6232</v>
      </c>
      <c r="G102" t="s">
        <v>1387</v>
      </c>
      <c r="H102" t="s">
        <v>6232</v>
      </c>
    </row>
    <row r="103" spans="1:8" ht="18.399999999999999" hidden="1" customHeight="1">
      <c r="A103" s="11" t="s">
        <v>5554</v>
      </c>
      <c r="B103" s="2" t="s">
        <v>6186</v>
      </c>
      <c r="C103" s="2" t="s">
        <v>6141</v>
      </c>
      <c r="D103" s="25">
        <f>자재조서!E104</f>
        <v>2850940</v>
      </c>
      <c r="E103" s="20" t="s">
        <v>3216</v>
      </c>
      <c r="F103" t="s">
        <v>6232</v>
      </c>
      <c r="G103" t="s">
        <v>2998</v>
      </c>
      <c r="H103" t="s">
        <v>6232</v>
      </c>
    </row>
    <row r="104" spans="1:8" ht="18.399999999999999" hidden="1" customHeight="1">
      <c r="A104" s="11" t="s">
        <v>5554</v>
      </c>
      <c r="B104" s="2" t="s">
        <v>6105</v>
      </c>
      <c r="C104" s="2" t="s">
        <v>6141</v>
      </c>
      <c r="D104" s="25">
        <f>자재조서!E105</f>
        <v>3260260</v>
      </c>
      <c r="E104" s="20" t="s">
        <v>3216</v>
      </c>
      <c r="F104" t="s">
        <v>6232</v>
      </c>
      <c r="G104" t="s">
        <v>2336</v>
      </c>
      <c r="H104" t="s">
        <v>6232</v>
      </c>
    </row>
    <row r="105" spans="1:8" ht="18.399999999999999" hidden="1" customHeight="1">
      <c r="A105" s="11" t="s">
        <v>5554</v>
      </c>
      <c r="B105" s="2" t="s">
        <v>397</v>
      </c>
      <c r="C105" s="2" t="s">
        <v>6141</v>
      </c>
      <c r="D105" s="25">
        <f>자재조서!E106</f>
        <v>3609920</v>
      </c>
      <c r="E105" s="20" t="s">
        <v>341</v>
      </c>
      <c r="F105" t="s">
        <v>6232</v>
      </c>
      <c r="G105" t="s">
        <v>908</v>
      </c>
      <c r="H105" t="s">
        <v>6232</v>
      </c>
    </row>
    <row r="106" spans="1:8" ht="18.399999999999999" hidden="1" customHeight="1">
      <c r="A106" s="11" t="s">
        <v>5554</v>
      </c>
      <c r="B106" s="2" t="s">
        <v>3821</v>
      </c>
      <c r="C106" s="2" t="s">
        <v>6141</v>
      </c>
      <c r="D106" s="25">
        <f>자재조서!E107</f>
        <v>3905740</v>
      </c>
      <c r="E106" s="20" t="s">
        <v>341</v>
      </c>
      <c r="F106" t="s">
        <v>6232</v>
      </c>
      <c r="G106" t="s">
        <v>2117</v>
      </c>
      <c r="H106" t="s">
        <v>6232</v>
      </c>
    </row>
    <row r="107" spans="1:8" ht="18.399999999999999" hidden="1" customHeight="1">
      <c r="A107" s="11" t="s">
        <v>5554</v>
      </c>
      <c r="B107" s="2" t="s">
        <v>2812</v>
      </c>
      <c r="C107" s="2" t="s">
        <v>6141</v>
      </c>
      <c r="D107" s="25">
        <f>자재조서!E108</f>
        <v>4160250</v>
      </c>
      <c r="E107" s="20" t="s">
        <v>341</v>
      </c>
      <c r="F107" t="s">
        <v>6232</v>
      </c>
      <c r="G107" t="s">
        <v>451</v>
      </c>
      <c r="H107" t="s">
        <v>6232</v>
      </c>
    </row>
    <row r="108" spans="1:8" ht="18.399999999999999" hidden="1" customHeight="1">
      <c r="A108" s="11" t="s">
        <v>3722</v>
      </c>
      <c r="B108" s="2" t="s">
        <v>5612</v>
      </c>
      <c r="C108" s="2" t="s">
        <v>6141</v>
      </c>
      <c r="D108" s="25">
        <f>자재조서!E109</f>
        <v>122960</v>
      </c>
      <c r="E108" s="20" t="s">
        <v>3216</v>
      </c>
      <c r="F108" t="s">
        <v>6232</v>
      </c>
      <c r="G108" t="s">
        <v>5560</v>
      </c>
      <c r="H108" t="s">
        <v>6232</v>
      </c>
    </row>
    <row r="109" spans="1:8" ht="18.399999999999999" hidden="1" customHeight="1">
      <c r="A109" s="11" t="s">
        <v>3722</v>
      </c>
      <c r="B109" s="2" t="s">
        <v>3978</v>
      </c>
      <c r="C109" s="2" t="s">
        <v>6141</v>
      </c>
      <c r="D109" s="25">
        <f>자재조서!E110</f>
        <v>139820</v>
      </c>
      <c r="E109" s="20" t="s">
        <v>3216</v>
      </c>
      <c r="F109" t="s">
        <v>6232</v>
      </c>
      <c r="G109" t="s">
        <v>2615</v>
      </c>
      <c r="H109" t="s">
        <v>6232</v>
      </c>
    </row>
    <row r="110" spans="1:8" ht="18.399999999999999" hidden="1" customHeight="1">
      <c r="A110" s="11" t="s">
        <v>3722</v>
      </c>
      <c r="B110" s="2" t="s">
        <v>1993</v>
      </c>
      <c r="C110" s="2" t="s">
        <v>6141</v>
      </c>
      <c r="D110" s="25">
        <f>자재조서!E111</f>
        <v>154920</v>
      </c>
      <c r="E110" s="20" t="s">
        <v>3216</v>
      </c>
      <c r="F110" t="s">
        <v>6232</v>
      </c>
      <c r="G110" t="s">
        <v>3319</v>
      </c>
      <c r="H110" t="s">
        <v>6232</v>
      </c>
    </row>
    <row r="111" spans="1:8" ht="18.399999999999999" hidden="1" customHeight="1">
      <c r="A111" s="11" t="s">
        <v>3722</v>
      </c>
      <c r="B111" s="2" t="s">
        <v>2037</v>
      </c>
      <c r="C111" s="2" t="s">
        <v>6141</v>
      </c>
      <c r="D111" s="25">
        <f>자재조서!E112</f>
        <v>164360</v>
      </c>
      <c r="E111" s="20" t="s">
        <v>3216</v>
      </c>
      <c r="F111" t="s">
        <v>6232</v>
      </c>
      <c r="G111" t="s">
        <v>2382</v>
      </c>
      <c r="H111" t="s">
        <v>6232</v>
      </c>
    </row>
    <row r="112" spans="1:8" ht="18.399999999999999" hidden="1" customHeight="1">
      <c r="A112" s="11" t="s">
        <v>3722</v>
      </c>
      <c r="B112" s="2" t="s">
        <v>2412</v>
      </c>
      <c r="C112" s="2" t="s">
        <v>6141</v>
      </c>
      <c r="D112" s="25">
        <f>자재조서!E113</f>
        <v>173550</v>
      </c>
      <c r="E112" s="20" t="s">
        <v>3216</v>
      </c>
      <c r="F112" t="s">
        <v>6232</v>
      </c>
      <c r="G112" t="s">
        <v>859</v>
      </c>
      <c r="H112" t="s">
        <v>6232</v>
      </c>
    </row>
    <row r="113" spans="1:8" ht="18.399999999999999" hidden="1" customHeight="1">
      <c r="A113" s="11" t="s">
        <v>3722</v>
      </c>
      <c r="B113" s="2" t="s">
        <v>3074</v>
      </c>
      <c r="C113" s="2" t="s">
        <v>6141</v>
      </c>
      <c r="D113" s="25">
        <f>자재조서!E114</f>
        <v>206070</v>
      </c>
      <c r="E113" s="20" t="s">
        <v>3216</v>
      </c>
      <c r="F113" t="s">
        <v>6232</v>
      </c>
      <c r="G113" t="s">
        <v>2692</v>
      </c>
      <c r="H113" t="s">
        <v>6232</v>
      </c>
    </row>
    <row r="114" spans="1:8" ht="18.399999999999999" hidden="1" customHeight="1">
      <c r="A114" s="11" t="s">
        <v>3722</v>
      </c>
      <c r="B114" s="2" t="s">
        <v>1165</v>
      </c>
      <c r="C114" s="2" t="s">
        <v>6141</v>
      </c>
      <c r="D114" s="25">
        <f>자재조서!E115</f>
        <v>234540</v>
      </c>
      <c r="E114" s="20" t="s">
        <v>3216</v>
      </c>
      <c r="F114" t="s">
        <v>6232</v>
      </c>
      <c r="G114" t="s">
        <v>2669</v>
      </c>
      <c r="H114" t="s">
        <v>6232</v>
      </c>
    </row>
    <row r="115" spans="1:8" ht="18.399999999999999" hidden="1" customHeight="1">
      <c r="A115" s="11" t="s">
        <v>3722</v>
      </c>
      <c r="B115" s="2" t="s">
        <v>1572</v>
      </c>
      <c r="C115" s="2" t="s">
        <v>6141</v>
      </c>
      <c r="D115" s="25">
        <f>자재조서!E116</f>
        <v>300880</v>
      </c>
      <c r="E115" s="20" t="s">
        <v>3216</v>
      </c>
      <c r="F115" t="s">
        <v>6232</v>
      </c>
      <c r="G115" t="s">
        <v>1953</v>
      </c>
      <c r="H115" t="s">
        <v>6232</v>
      </c>
    </row>
    <row r="116" spans="1:8" ht="18.399999999999999" hidden="1" customHeight="1">
      <c r="A116" s="11" t="s">
        <v>3722</v>
      </c>
      <c r="B116" s="2" t="s">
        <v>2531</v>
      </c>
      <c r="C116" s="2" t="s">
        <v>6141</v>
      </c>
      <c r="D116" s="25">
        <f>자재조서!E117</f>
        <v>379290</v>
      </c>
      <c r="E116" s="20" t="s">
        <v>3216</v>
      </c>
      <c r="F116" t="s">
        <v>6232</v>
      </c>
      <c r="G116" t="s">
        <v>2232</v>
      </c>
      <c r="H116" t="s">
        <v>6232</v>
      </c>
    </row>
    <row r="117" spans="1:8" ht="18.399999999999999" hidden="1" customHeight="1">
      <c r="A117" s="11" t="s">
        <v>3722</v>
      </c>
      <c r="B117" s="2" t="s">
        <v>4124</v>
      </c>
      <c r="C117" s="2" t="s">
        <v>6141</v>
      </c>
      <c r="D117" s="25">
        <f>자재조서!E118</f>
        <v>476130</v>
      </c>
      <c r="E117" s="20" t="s">
        <v>3216</v>
      </c>
      <c r="F117" t="s">
        <v>6232</v>
      </c>
      <c r="G117" t="s">
        <v>503</v>
      </c>
      <c r="H117" t="s">
        <v>6232</v>
      </c>
    </row>
    <row r="118" spans="1:8" ht="18.399999999999999" hidden="1" customHeight="1">
      <c r="A118" s="11" t="s">
        <v>3722</v>
      </c>
      <c r="B118" s="2" t="s">
        <v>4184</v>
      </c>
      <c r="C118" s="2" t="s">
        <v>6141</v>
      </c>
      <c r="D118" s="25">
        <f>자재조서!E119</f>
        <v>639450</v>
      </c>
      <c r="E118" s="20" t="s">
        <v>3216</v>
      </c>
      <c r="F118" t="s">
        <v>6232</v>
      </c>
      <c r="G118" t="s">
        <v>203</v>
      </c>
      <c r="H118" t="s">
        <v>6232</v>
      </c>
    </row>
    <row r="119" spans="1:8" ht="18.399999999999999" hidden="1" customHeight="1">
      <c r="A119" s="11" t="s">
        <v>3722</v>
      </c>
      <c r="B119" s="2" t="s">
        <v>1695</v>
      </c>
      <c r="C119" s="2" t="s">
        <v>6141</v>
      </c>
      <c r="D119" s="25">
        <f>자재조서!E120</f>
        <v>864850</v>
      </c>
      <c r="E119" s="20" t="s">
        <v>3216</v>
      </c>
      <c r="F119" t="s">
        <v>6232</v>
      </c>
      <c r="G119" t="s">
        <v>1846</v>
      </c>
      <c r="H119" t="s">
        <v>6232</v>
      </c>
    </row>
    <row r="120" spans="1:8" ht="18.399999999999999" hidden="1" customHeight="1">
      <c r="A120" s="11" t="s">
        <v>4427</v>
      </c>
      <c r="B120" s="2" t="s">
        <v>4869</v>
      </c>
      <c r="C120" s="2" t="s">
        <v>6141</v>
      </c>
      <c r="D120" s="25">
        <f>자재조서!E121</f>
        <v>943910</v>
      </c>
      <c r="E120" s="20" t="s">
        <v>3216</v>
      </c>
      <c r="F120" t="s">
        <v>6232</v>
      </c>
      <c r="G120" t="s">
        <v>1518</v>
      </c>
      <c r="H120" t="s">
        <v>6232</v>
      </c>
    </row>
    <row r="121" spans="1:8" ht="18.399999999999999" hidden="1" customHeight="1">
      <c r="A121" s="11" t="s">
        <v>4427</v>
      </c>
      <c r="B121" s="2" t="s">
        <v>809</v>
      </c>
      <c r="C121" s="2" t="s">
        <v>6141</v>
      </c>
      <c r="D121" s="25">
        <f>자재조서!E122</f>
        <v>1187300</v>
      </c>
      <c r="E121" s="20" t="s">
        <v>3216</v>
      </c>
      <c r="F121" t="s">
        <v>6232</v>
      </c>
      <c r="G121" t="s">
        <v>2945</v>
      </c>
      <c r="H121" t="s">
        <v>6232</v>
      </c>
    </row>
    <row r="122" spans="1:8" ht="18.399999999999999" hidden="1" customHeight="1">
      <c r="A122" s="11" t="s">
        <v>4427</v>
      </c>
      <c r="B122" s="2" t="s">
        <v>2695</v>
      </c>
      <c r="C122" s="2" t="s">
        <v>6141</v>
      </c>
      <c r="D122" s="25">
        <f>자재조서!E123</f>
        <v>1361240</v>
      </c>
      <c r="E122" s="20" t="s">
        <v>3216</v>
      </c>
      <c r="F122" t="s">
        <v>6232</v>
      </c>
      <c r="G122" t="s">
        <v>4512</v>
      </c>
      <c r="H122" t="s">
        <v>6232</v>
      </c>
    </row>
    <row r="123" spans="1:8" ht="18.399999999999999" hidden="1" customHeight="1">
      <c r="A123" s="11" t="s">
        <v>4427</v>
      </c>
      <c r="B123" s="2" t="s">
        <v>3762</v>
      </c>
      <c r="C123" s="2" t="s">
        <v>6141</v>
      </c>
      <c r="D123" s="25">
        <f>자재조서!E124</f>
        <v>1480940</v>
      </c>
      <c r="E123" s="20" t="s">
        <v>3216</v>
      </c>
      <c r="F123" t="s">
        <v>6232</v>
      </c>
      <c r="G123" t="s">
        <v>6227</v>
      </c>
      <c r="H123" t="s">
        <v>6232</v>
      </c>
    </row>
    <row r="124" spans="1:8" ht="18.399999999999999" hidden="1" customHeight="1">
      <c r="A124" s="11" t="s">
        <v>4427</v>
      </c>
      <c r="B124" s="2" t="s">
        <v>512</v>
      </c>
      <c r="C124" s="2" t="s">
        <v>6141</v>
      </c>
      <c r="D124" s="25">
        <f>자재조서!E125</f>
        <v>2025090</v>
      </c>
      <c r="E124" s="20" t="s">
        <v>3216</v>
      </c>
      <c r="F124" t="s">
        <v>6232</v>
      </c>
      <c r="G124" t="s">
        <v>3421</v>
      </c>
      <c r="H124" t="s">
        <v>6232</v>
      </c>
    </row>
    <row r="125" spans="1:8" ht="18.399999999999999" hidden="1" customHeight="1">
      <c r="A125" s="11" t="s">
        <v>4427</v>
      </c>
      <c r="B125" s="2" t="s">
        <v>6186</v>
      </c>
      <c r="C125" s="2" t="s">
        <v>6141</v>
      </c>
      <c r="D125" s="25">
        <f>자재조서!E126</f>
        <v>2442120</v>
      </c>
      <c r="E125" s="20" t="s">
        <v>3216</v>
      </c>
      <c r="F125" t="s">
        <v>6232</v>
      </c>
      <c r="G125" t="s">
        <v>4865</v>
      </c>
      <c r="H125" t="s">
        <v>6232</v>
      </c>
    </row>
    <row r="126" spans="1:8" ht="18.399999999999999" hidden="1" customHeight="1">
      <c r="A126" s="11" t="s">
        <v>4427</v>
      </c>
      <c r="B126" s="2" t="s">
        <v>6105</v>
      </c>
      <c r="C126" s="2" t="s">
        <v>6141</v>
      </c>
      <c r="D126" s="25">
        <f>자재조서!E127</f>
        <v>2706510</v>
      </c>
      <c r="E126" s="20" t="s">
        <v>3216</v>
      </c>
      <c r="F126" t="s">
        <v>6232</v>
      </c>
      <c r="G126" t="s">
        <v>5138</v>
      </c>
      <c r="H126" t="s">
        <v>6232</v>
      </c>
    </row>
    <row r="127" spans="1:8" ht="18.399999999999999" hidden="1" customHeight="1">
      <c r="A127" s="11" t="s">
        <v>4427</v>
      </c>
      <c r="B127" s="2" t="s">
        <v>397</v>
      </c>
      <c r="C127" s="2" t="s">
        <v>6141</v>
      </c>
      <c r="D127" s="25">
        <f>자재조서!E128</f>
        <v>3030630</v>
      </c>
      <c r="E127" s="20" t="s">
        <v>3216</v>
      </c>
      <c r="F127" t="s">
        <v>6232</v>
      </c>
      <c r="G127" t="s">
        <v>3509</v>
      </c>
      <c r="H127" t="s">
        <v>6232</v>
      </c>
    </row>
    <row r="128" spans="1:8" ht="18.399999999999999" hidden="1" customHeight="1">
      <c r="A128" s="11" t="s">
        <v>4427</v>
      </c>
      <c r="B128" s="2" t="s">
        <v>3821</v>
      </c>
      <c r="C128" s="2" t="s">
        <v>6141</v>
      </c>
      <c r="D128" s="25">
        <f>자재조서!E129</f>
        <v>3296150</v>
      </c>
      <c r="E128" s="20" t="s">
        <v>3216</v>
      </c>
      <c r="F128" t="s">
        <v>6232</v>
      </c>
      <c r="G128" t="s">
        <v>5516</v>
      </c>
      <c r="H128" t="s">
        <v>6232</v>
      </c>
    </row>
    <row r="129" spans="1:8" ht="18.399999999999999" hidden="1" customHeight="1">
      <c r="A129" s="11" t="s">
        <v>4427</v>
      </c>
      <c r="B129" s="2" t="s">
        <v>2812</v>
      </c>
      <c r="C129" s="2" t="s">
        <v>6141</v>
      </c>
      <c r="D129" s="25">
        <f>자재조서!E130</f>
        <v>3600610</v>
      </c>
      <c r="E129" s="20" t="s">
        <v>3216</v>
      </c>
      <c r="F129" t="s">
        <v>6232</v>
      </c>
      <c r="G129" t="s">
        <v>4065</v>
      </c>
      <c r="H129" t="s">
        <v>6232</v>
      </c>
    </row>
    <row r="130" spans="1:8" ht="18.399999999999999" hidden="1" customHeight="1">
      <c r="A130" s="11" t="s">
        <v>3753</v>
      </c>
      <c r="B130" s="2" t="s">
        <v>5612</v>
      </c>
      <c r="C130" s="2" t="s">
        <v>6141</v>
      </c>
      <c r="D130" s="25">
        <f>자재조서!E131</f>
        <v>122960</v>
      </c>
      <c r="E130" s="20" t="s">
        <v>3216</v>
      </c>
      <c r="F130" t="s">
        <v>6232</v>
      </c>
      <c r="G130" t="s">
        <v>2929</v>
      </c>
      <c r="H130" t="s">
        <v>6232</v>
      </c>
    </row>
    <row r="131" spans="1:8" ht="18.399999999999999" hidden="1" customHeight="1">
      <c r="A131" s="11" t="s">
        <v>3753</v>
      </c>
      <c r="B131" s="2" t="s">
        <v>3978</v>
      </c>
      <c r="C131" s="2" t="s">
        <v>6141</v>
      </c>
      <c r="D131" s="25">
        <f>자재조서!E132</f>
        <v>139820</v>
      </c>
      <c r="E131" s="20" t="s">
        <v>3216</v>
      </c>
      <c r="F131" t="s">
        <v>6232</v>
      </c>
      <c r="G131" t="s">
        <v>6001</v>
      </c>
      <c r="H131" t="s">
        <v>6232</v>
      </c>
    </row>
    <row r="132" spans="1:8" ht="18.399999999999999" hidden="1" customHeight="1">
      <c r="A132" s="11" t="s">
        <v>3753</v>
      </c>
      <c r="B132" s="2" t="s">
        <v>1993</v>
      </c>
      <c r="C132" s="2" t="s">
        <v>6141</v>
      </c>
      <c r="D132" s="25">
        <f>자재조서!E133</f>
        <v>154920</v>
      </c>
      <c r="E132" s="20" t="s">
        <v>3216</v>
      </c>
      <c r="F132" t="s">
        <v>6232</v>
      </c>
      <c r="G132" t="s">
        <v>491</v>
      </c>
      <c r="H132" t="s">
        <v>6232</v>
      </c>
    </row>
    <row r="133" spans="1:8" ht="18.399999999999999" hidden="1" customHeight="1">
      <c r="A133" s="11" t="s">
        <v>3753</v>
      </c>
      <c r="B133" s="2" t="s">
        <v>2037</v>
      </c>
      <c r="C133" s="2" t="s">
        <v>6141</v>
      </c>
      <c r="D133" s="25">
        <f>자재조서!E134</f>
        <v>164360</v>
      </c>
      <c r="E133" s="20" t="s">
        <v>3216</v>
      </c>
      <c r="F133" t="s">
        <v>6232</v>
      </c>
      <c r="G133" t="s">
        <v>6228</v>
      </c>
      <c r="H133" t="s">
        <v>6232</v>
      </c>
    </row>
    <row r="134" spans="1:8" ht="18.399999999999999" hidden="1" customHeight="1">
      <c r="A134" s="11" t="s">
        <v>3753</v>
      </c>
      <c r="B134" s="2" t="s">
        <v>2412</v>
      </c>
      <c r="C134" s="2" t="s">
        <v>6141</v>
      </c>
      <c r="D134" s="25">
        <f>자재조서!E135</f>
        <v>173550</v>
      </c>
      <c r="E134" s="20" t="s">
        <v>3216</v>
      </c>
      <c r="F134" t="s">
        <v>6232</v>
      </c>
      <c r="G134" t="s">
        <v>4612</v>
      </c>
      <c r="H134" t="s">
        <v>6232</v>
      </c>
    </row>
    <row r="135" spans="1:8" ht="18.399999999999999" hidden="1" customHeight="1">
      <c r="A135" s="11" t="s">
        <v>3753</v>
      </c>
      <c r="B135" s="2" t="s">
        <v>3074</v>
      </c>
      <c r="C135" s="2" t="s">
        <v>6141</v>
      </c>
      <c r="D135" s="25">
        <f>자재조서!E136</f>
        <v>206070</v>
      </c>
      <c r="E135" s="20" t="s">
        <v>3216</v>
      </c>
      <c r="F135" t="s">
        <v>6232</v>
      </c>
      <c r="G135" t="s">
        <v>5896</v>
      </c>
      <c r="H135" t="s">
        <v>6232</v>
      </c>
    </row>
    <row r="136" spans="1:8" ht="18.399999999999999" hidden="1" customHeight="1">
      <c r="A136" s="11" t="s">
        <v>3753</v>
      </c>
      <c r="B136" s="2" t="s">
        <v>1165</v>
      </c>
      <c r="C136" s="2" t="s">
        <v>6141</v>
      </c>
      <c r="D136" s="25">
        <f>자재조서!E137</f>
        <v>234540</v>
      </c>
      <c r="E136" s="20" t="s">
        <v>3216</v>
      </c>
      <c r="F136" t="s">
        <v>6232</v>
      </c>
      <c r="G136" t="s">
        <v>5919</v>
      </c>
      <c r="H136" t="s">
        <v>6232</v>
      </c>
    </row>
    <row r="137" spans="1:8" ht="18.399999999999999" hidden="1" customHeight="1">
      <c r="A137" s="11" t="s">
        <v>3753</v>
      </c>
      <c r="B137" s="2" t="s">
        <v>1572</v>
      </c>
      <c r="C137" s="2" t="s">
        <v>6141</v>
      </c>
      <c r="D137" s="25">
        <f>자재조서!E138</f>
        <v>300880</v>
      </c>
      <c r="E137" s="20" t="s">
        <v>3216</v>
      </c>
      <c r="F137" t="s">
        <v>6232</v>
      </c>
      <c r="G137" t="s">
        <v>4957</v>
      </c>
      <c r="H137" t="s">
        <v>6232</v>
      </c>
    </row>
    <row r="138" spans="1:8" ht="18.399999999999999" hidden="1" customHeight="1">
      <c r="A138" s="11" t="s">
        <v>3753</v>
      </c>
      <c r="B138" s="2" t="s">
        <v>2531</v>
      </c>
      <c r="C138" s="2" t="s">
        <v>6141</v>
      </c>
      <c r="D138" s="25">
        <f>자재조서!E139</f>
        <v>379290</v>
      </c>
      <c r="E138" s="20" t="s">
        <v>3216</v>
      </c>
      <c r="F138" t="s">
        <v>6232</v>
      </c>
      <c r="G138" t="s">
        <v>4697</v>
      </c>
      <c r="H138" t="s">
        <v>6232</v>
      </c>
    </row>
    <row r="139" spans="1:8" ht="18.399999999999999" hidden="1" customHeight="1">
      <c r="A139" s="11" t="s">
        <v>3753</v>
      </c>
      <c r="B139" s="2" t="s">
        <v>4124</v>
      </c>
      <c r="C139" s="2" t="s">
        <v>6141</v>
      </c>
      <c r="D139" s="25">
        <f>자재조서!E140</f>
        <v>476130</v>
      </c>
      <c r="E139" s="20" t="s">
        <v>3216</v>
      </c>
      <c r="F139" t="s">
        <v>6232</v>
      </c>
      <c r="G139" t="s">
        <v>3326</v>
      </c>
      <c r="H139" t="s">
        <v>6232</v>
      </c>
    </row>
    <row r="140" spans="1:8" ht="18.399999999999999" hidden="1" customHeight="1">
      <c r="A140" s="11" t="s">
        <v>3753</v>
      </c>
      <c r="B140" s="2" t="s">
        <v>4184</v>
      </c>
      <c r="C140" s="2" t="s">
        <v>6141</v>
      </c>
      <c r="D140" s="25">
        <f>자재조서!E141</f>
        <v>639450</v>
      </c>
      <c r="E140" s="20" t="s">
        <v>3216</v>
      </c>
      <c r="F140" t="s">
        <v>6232</v>
      </c>
      <c r="G140" t="s">
        <v>3635</v>
      </c>
      <c r="H140" t="s">
        <v>6232</v>
      </c>
    </row>
    <row r="141" spans="1:8" ht="18.399999999999999" hidden="1" customHeight="1">
      <c r="A141" s="11" t="s">
        <v>3753</v>
      </c>
      <c r="B141" s="2" t="s">
        <v>1695</v>
      </c>
      <c r="C141" s="2" t="s">
        <v>6141</v>
      </c>
      <c r="D141" s="25">
        <f>자재조서!E142</f>
        <v>864850</v>
      </c>
      <c r="E141" s="20" t="s">
        <v>3216</v>
      </c>
      <c r="F141" t="s">
        <v>6232</v>
      </c>
      <c r="G141" t="s">
        <v>5058</v>
      </c>
      <c r="H141" t="s">
        <v>6232</v>
      </c>
    </row>
    <row r="142" spans="1:8" ht="18.399999999999999" hidden="1" customHeight="1">
      <c r="A142" s="11" t="s">
        <v>5713</v>
      </c>
      <c r="B142" s="2" t="s">
        <v>4869</v>
      </c>
      <c r="C142" s="2" t="s">
        <v>6141</v>
      </c>
      <c r="D142" s="25">
        <f>자재조서!E143</f>
        <v>908050</v>
      </c>
      <c r="E142" s="20" t="s">
        <v>3216</v>
      </c>
      <c r="F142" t="s">
        <v>6232</v>
      </c>
      <c r="G142" t="s">
        <v>3947</v>
      </c>
      <c r="H142" t="s">
        <v>6232</v>
      </c>
    </row>
    <row r="143" spans="1:8" ht="18.399999999999999" hidden="1" customHeight="1">
      <c r="A143" s="11" t="s">
        <v>5713</v>
      </c>
      <c r="B143" s="2" t="s">
        <v>809</v>
      </c>
      <c r="C143" s="2" t="s">
        <v>6141</v>
      </c>
      <c r="D143" s="25">
        <f>자재조서!E144</f>
        <v>1129990</v>
      </c>
      <c r="E143" s="20" t="s">
        <v>3216</v>
      </c>
      <c r="F143" t="s">
        <v>6232</v>
      </c>
      <c r="G143" t="s">
        <v>5644</v>
      </c>
      <c r="H143" t="s">
        <v>6232</v>
      </c>
    </row>
    <row r="144" spans="1:8" ht="18.399999999999999" hidden="1" customHeight="1">
      <c r="A144" s="11" t="s">
        <v>5713</v>
      </c>
      <c r="B144" s="2" t="s">
        <v>2695</v>
      </c>
      <c r="C144" s="2" t="s">
        <v>6141</v>
      </c>
      <c r="D144" s="25">
        <f>자재조서!E145</f>
        <v>1283690</v>
      </c>
      <c r="E144" s="20" t="s">
        <v>3216</v>
      </c>
      <c r="F144" t="s">
        <v>6232</v>
      </c>
      <c r="G144" t="s">
        <v>965</v>
      </c>
      <c r="H144" t="s">
        <v>6232</v>
      </c>
    </row>
    <row r="145" spans="1:8" ht="18.399999999999999" hidden="1" customHeight="1">
      <c r="A145" s="11" t="s">
        <v>5713</v>
      </c>
      <c r="B145" s="2" t="s">
        <v>3762</v>
      </c>
      <c r="C145" s="2" t="s">
        <v>6141</v>
      </c>
      <c r="D145" s="25">
        <f>자재조서!E146</f>
        <v>1375570</v>
      </c>
      <c r="E145" s="20" t="s">
        <v>3216</v>
      </c>
      <c r="F145" t="s">
        <v>6232</v>
      </c>
      <c r="G145" t="s">
        <v>2383</v>
      </c>
      <c r="H145" t="s">
        <v>6232</v>
      </c>
    </row>
    <row r="146" spans="1:8" ht="18.399999999999999" hidden="1" customHeight="1">
      <c r="A146" s="11" t="s">
        <v>5713</v>
      </c>
      <c r="B146" s="2" t="s">
        <v>512</v>
      </c>
      <c r="C146" s="2" t="s">
        <v>6141</v>
      </c>
      <c r="D146" s="25">
        <f>자재조서!E147</f>
        <v>1893760</v>
      </c>
      <c r="E146" s="20" t="s">
        <v>3216</v>
      </c>
      <c r="F146" t="s">
        <v>6232</v>
      </c>
      <c r="G146" t="s">
        <v>388</v>
      </c>
      <c r="H146" t="s">
        <v>6232</v>
      </c>
    </row>
    <row r="147" spans="1:8" ht="18.399999999999999" hidden="1" customHeight="1">
      <c r="A147" s="11" t="s">
        <v>5713</v>
      </c>
      <c r="B147" s="2" t="s">
        <v>6186</v>
      </c>
      <c r="C147" s="2" t="s">
        <v>6141</v>
      </c>
      <c r="D147" s="25">
        <f>자재조서!E148</f>
        <v>2262330</v>
      </c>
      <c r="E147" s="20" t="s">
        <v>3216</v>
      </c>
      <c r="F147" t="s">
        <v>6232</v>
      </c>
      <c r="G147" t="s">
        <v>2063</v>
      </c>
      <c r="H147" t="s">
        <v>6232</v>
      </c>
    </row>
    <row r="148" spans="1:8" ht="18.399999999999999" hidden="1" customHeight="1">
      <c r="A148" s="11" t="s">
        <v>5713</v>
      </c>
      <c r="B148" s="2" t="s">
        <v>6105</v>
      </c>
      <c r="C148" s="2" t="s">
        <v>6141</v>
      </c>
      <c r="D148" s="25">
        <f>자재조서!E149</f>
        <v>2477520</v>
      </c>
      <c r="E148" s="20" t="s">
        <v>3216</v>
      </c>
      <c r="F148" t="s">
        <v>6232</v>
      </c>
      <c r="G148" t="s">
        <v>1758</v>
      </c>
      <c r="H148" t="s">
        <v>6232</v>
      </c>
    </row>
    <row r="149" spans="1:8" ht="18.399999999999999" hidden="1" customHeight="1">
      <c r="A149" s="11" t="s">
        <v>5713</v>
      </c>
      <c r="B149" s="2" t="s">
        <v>397</v>
      </c>
      <c r="C149" s="2" t="s">
        <v>6141</v>
      </c>
      <c r="D149" s="25">
        <f>자재조서!E150</f>
        <v>2743720</v>
      </c>
      <c r="E149" s="20" t="s">
        <v>3216</v>
      </c>
      <c r="F149" t="s">
        <v>6232</v>
      </c>
      <c r="G149" t="s">
        <v>276</v>
      </c>
      <c r="H149" t="s">
        <v>6232</v>
      </c>
    </row>
    <row r="150" spans="1:8" ht="18.399999999999999" hidden="1" customHeight="1">
      <c r="A150" s="11" t="s">
        <v>5713</v>
      </c>
      <c r="B150" s="2" t="s">
        <v>3821</v>
      </c>
      <c r="C150" s="2" t="s">
        <v>6141</v>
      </c>
      <c r="D150" s="25">
        <f>자재조서!E151</f>
        <v>2962210</v>
      </c>
      <c r="E150" s="20" t="s">
        <v>3216</v>
      </c>
      <c r="F150" t="s">
        <v>6232</v>
      </c>
      <c r="G150" t="s">
        <v>3040</v>
      </c>
      <c r="H150" t="s">
        <v>6232</v>
      </c>
    </row>
    <row r="151" spans="1:8" ht="18.399999999999999" hidden="1" customHeight="1">
      <c r="A151" s="11" t="s">
        <v>5713</v>
      </c>
      <c r="B151" s="2" t="s">
        <v>2812</v>
      </c>
      <c r="C151" s="2" t="s">
        <v>6141</v>
      </c>
      <c r="D151" s="25">
        <f>자재조서!E152</f>
        <v>3218250</v>
      </c>
      <c r="E151" s="20" t="s">
        <v>3216</v>
      </c>
      <c r="F151" t="s">
        <v>6232</v>
      </c>
      <c r="G151" t="s">
        <v>1436</v>
      </c>
      <c r="H151" t="s">
        <v>6232</v>
      </c>
    </row>
    <row r="152" spans="1:8" ht="18.399999999999999" hidden="1" customHeight="1">
      <c r="A152" s="11" t="s">
        <v>5403</v>
      </c>
      <c r="B152" s="2" t="s">
        <v>107</v>
      </c>
      <c r="C152" s="2" t="s">
        <v>6141</v>
      </c>
      <c r="D152" s="25">
        <f>자재조서!E153</f>
        <v>379900</v>
      </c>
      <c r="E152" s="20" t="s">
        <v>341</v>
      </c>
      <c r="F152" t="s">
        <v>6232</v>
      </c>
      <c r="G152" t="s">
        <v>5277</v>
      </c>
      <c r="H152" t="s">
        <v>6232</v>
      </c>
    </row>
    <row r="153" spans="1:8" ht="18.399999999999999" hidden="1" customHeight="1">
      <c r="A153" s="11" t="s">
        <v>5403</v>
      </c>
      <c r="B153" s="2" t="s">
        <v>2808</v>
      </c>
      <c r="C153" s="2" t="s">
        <v>6141</v>
      </c>
      <c r="D153" s="25">
        <f>자재조서!E154</f>
        <v>387340</v>
      </c>
      <c r="E153" s="20" t="s">
        <v>341</v>
      </c>
      <c r="F153" t="s">
        <v>6232</v>
      </c>
      <c r="G153" t="s">
        <v>5726</v>
      </c>
      <c r="H153" t="s">
        <v>6232</v>
      </c>
    </row>
    <row r="154" spans="1:8" ht="18.399999999999999" hidden="1" customHeight="1">
      <c r="A154" s="11" t="s">
        <v>5403</v>
      </c>
      <c r="B154" s="2" t="s">
        <v>1189</v>
      </c>
      <c r="C154" s="2" t="s">
        <v>6141</v>
      </c>
      <c r="D154" s="25">
        <f>자재조서!E155</f>
        <v>396890</v>
      </c>
      <c r="E154" s="20" t="s">
        <v>341</v>
      </c>
      <c r="F154" t="s">
        <v>6232</v>
      </c>
      <c r="G154" t="s">
        <v>2439</v>
      </c>
      <c r="H154" t="s">
        <v>6232</v>
      </c>
    </row>
    <row r="155" spans="1:8" ht="18.399999999999999" hidden="1" customHeight="1">
      <c r="A155" s="11" t="s">
        <v>5403</v>
      </c>
      <c r="B155" s="2" t="s">
        <v>4681</v>
      </c>
      <c r="C155" s="2" t="s">
        <v>6141</v>
      </c>
      <c r="D155" s="25">
        <f>자재조서!E156</f>
        <v>399690</v>
      </c>
      <c r="E155" s="20" t="s">
        <v>341</v>
      </c>
      <c r="F155" t="s">
        <v>6232</v>
      </c>
      <c r="G155" t="s">
        <v>5504</v>
      </c>
      <c r="H155" t="s">
        <v>6232</v>
      </c>
    </row>
    <row r="156" spans="1:8" ht="18.399999999999999" hidden="1" customHeight="1">
      <c r="A156" s="11" t="s">
        <v>5403</v>
      </c>
      <c r="B156" s="2" t="s">
        <v>3195</v>
      </c>
      <c r="C156" s="2" t="s">
        <v>6141</v>
      </c>
      <c r="D156" s="25">
        <f>자재조서!E157</f>
        <v>409240</v>
      </c>
      <c r="E156" s="20" t="s">
        <v>341</v>
      </c>
      <c r="F156" t="s">
        <v>6232</v>
      </c>
      <c r="G156" t="s">
        <v>2651</v>
      </c>
      <c r="H156" t="s">
        <v>6232</v>
      </c>
    </row>
    <row r="157" spans="1:8" ht="18.399999999999999" hidden="1" customHeight="1">
      <c r="A157" s="11" t="s">
        <v>5403</v>
      </c>
      <c r="B157" s="2" t="s">
        <v>2809</v>
      </c>
      <c r="C157" s="2" t="s">
        <v>6141</v>
      </c>
      <c r="D157" s="25">
        <f>자재조서!E158</f>
        <v>424830</v>
      </c>
      <c r="E157" s="20" t="s">
        <v>341</v>
      </c>
      <c r="F157" t="s">
        <v>6232</v>
      </c>
      <c r="G157" t="s">
        <v>3472</v>
      </c>
      <c r="H157" t="s">
        <v>6232</v>
      </c>
    </row>
    <row r="158" spans="1:8" ht="18.399999999999999" hidden="1" customHeight="1">
      <c r="A158" s="11" t="s">
        <v>5403</v>
      </c>
      <c r="B158" s="2" t="s">
        <v>632</v>
      </c>
      <c r="C158" s="2" t="s">
        <v>6141</v>
      </c>
      <c r="D158" s="25">
        <f>자재조서!E159</f>
        <v>410930</v>
      </c>
      <c r="E158" s="20" t="s">
        <v>341</v>
      </c>
      <c r="F158" t="s">
        <v>6232</v>
      </c>
      <c r="G158" t="s">
        <v>2928</v>
      </c>
      <c r="H158" t="s">
        <v>6232</v>
      </c>
    </row>
    <row r="159" spans="1:8" ht="18.399999999999999" hidden="1" customHeight="1">
      <c r="A159" s="11" t="s">
        <v>5403</v>
      </c>
      <c r="B159" s="2" t="s">
        <v>2220</v>
      </c>
      <c r="C159" s="2" t="s">
        <v>6141</v>
      </c>
      <c r="D159" s="25">
        <f>자재조서!E160</f>
        <v>420790</v>
      </c>
      <c r="E159" s="20" t="s">
        <v>341</v>
      </c>
      <c r="F159" t="s">
        <v>6232</v>
      </c>
      <c r="G159" t="s">
        <v>5996</v>
      </c>
      <c r="H159" t="s">
        <v>6232</v>
      </c>
    </row>
    <row r="160" spans="1:8" ht="18.399999999999999" hidden="1" customHeight="1">
      <c r="A160" s="11" t="s">
        <v>5403</v>
      </c>
      <c r="B160" s="2" t="s">
        <v>4194</v>
      </c>
      <c r="C160" s="2" t="s">
        <v>6141</v>
      </c>
      <c r="D160" s="25">
        <f>자재조서!E161</f>
        <v>436280</v>
      </c>
      <c r="E160" s="20" t="s">
        <v>341</v>
      </c>
      <c r="F160" t="s">
        <v>6232</v>
      </c>
      <c r="G160" t="s">
        <v>501</v>
      </c>
      <c r="H160" t="s">
        <v>6232</v>
      </c>
    </row>
    <row r="161" spans="1:8" ht="18.399999999999999" hidden="1" customHeight="1">
      <c r="A161" s="11" t="s">
        <v>5403</v>
      </c>
      <c r="B161" s="2" t="s">
        <v>4180</v>
      </c>
      <c r="C161" s="2" t="s">
        <v>6141</v>
      </c>
      <c r="D161" s="25">
        <f>자재조서!E162</f>
        <v>450440</v>
      </c>
      <c r="E161" s="20" t="s">
        <v>3216</v>
      </c>
      <c r="F161" t="s">
        <v>6232</v>
      </c>
      <c r="G161" t="s">
        <v>6226</v>
      </c>
      <c r="H161" t="s">
        <v>6232</v>
      </c>
    </row>
    <row r="162" spans="1:8" ht="18.399999999999999" hidden="1" customHeight="1">
      <c r="A162" s="11" t="s">
        <v>5403</v>
      </c>
      <c r="B162" s="2" t="s">
        <v>4555</v>
      </c>
      <c r="C162" s="2" t="s">
        <v>6141</v>
      </c>
      <c r="D162" s="25">
        <f>자재조서!E163</f>
        <v>431130</v>
      </c>
      <c r="E162" s="20" t="s">
        <v>341</v>
      </c>
      <c r="F162" t="s">
        <v>6232</v>
      </c>
      <c r="G162" t="s">
        <v>4898</v>
      </c>
      <c r="H162" t="s">
        <v>6232</v>
      </c>
    </row>
    <row r="163" spans="1:8" ht="18.399999999999999" hidden="1" customHeight="1">
      <c r="A163" s="11" t="s">
        <v>5403</v>
      </c>
      <c r="B163" s="2" t="s">
        <v>6050</v>
      </c>
      <c r="C163" s="2" t="s">
        <v>6141</v>
      </c>
      <c r="D163" s="25">
        <f>자재조서!E164</f>
        <v>440680</v>
      </c>
      <c r="E163" s="20" t="s">
        <v>341</v>
      </c>
      <c r="F163" t="s">
        <v>6232</v>
      </c>
      <c r="G163" t="s">
        <v>1690</v>
      </c>
      <c r="H163" t="s">
        <v>6232</v>
      </c>
    </row>
    <row r="164" spans="1:8" ht="18.399999999999999" hidden="1" customHeight="1">
      <c r="A164" s="11" t="s">
        <v>5403</v>
      </c>
      <c r="B164" s="2" t="s">
        <v>218</v>
      </c>
      <c r="C164" s="2" t="s">
        <v>6141</v>
      </c>
      <c r="D164" s="25">
        <f>자재조서!E165</f>
        <v>456180</v>
      </c>
      <c r="E164" s="20" t="s">
        <v>341</v>
      </c>
      <c r="F164" t="s">
        <v>6232</v>
      </c>
      <c r="G164" t="s">
        <v>4014</v>
      </c>
      <c r="H164" t="s">
        <v>6232</v>
      </c>
    </row>
    <row r="165" spans="1:8" ht="18.399999999999999" hidden="1" customHeight="1">
      <c r="A165" s="11" t="s">
        <v>5403</v>
      </c>
      <c r="B165" s="2" t="s">
        <v>320</v>
      </c>
      <c r="C165" s="2" t="s">
        <v>6141</v>
      </c>
      <c r="D165" s="25">
        <f>자재조서!E166</f>
        <v>470560</v>
      </c>
      <c r="E165" s="20" t="s">
        <v>341</v>
      </c>
      <c r="F165" t="s">
        <v>6232</v>
      </c>
      <c r="G165" t="s">
        <v>1907</v>
      </c>
      <c r="H165" t="s">
        <v>6232</v>
      </c>
    </row>
    <row r="166" spans="1:8" ht="18.399999999999999" hidden="1" customHeight="1">
      <c r="A166" s="11" t="s">
        <v>5403</v>
      </c>
      <c r="B166" s="2" t="s">
        <v>1388</v>
      </c>
      <c r="C166" s="2" t="s">
        <v>6141</v>
      </c>
      <c r="D166" s="25">
        <f>자재조서!E167</f>
        <v>491520</v>
      </c>
      <c r="E166" s="20" t="s">
        <v>3216</v>
      </c>
      <c r="F166" t="s">
        <v>6232</v>
      </c>
      <c r="G166" t="s">
        <v>327</v>
      </c>
      <c r="H166" t="s">
        <v>6232</v>
      </c>
    </row>
    <row r="167" spans="1:8" ht="18.399999999999999" hidden="1" customHeight="1">
      <c r="A167" s="11" t="s">
        <v>5403</v>
      </c>
      <c r="B167" s="2" t="s">
        <v>2385</v>
      </c>
      <c r="C167" s="2" t="s">
        <v>6141</v>
      </c>
      <c r="D167" s="25">
        <f>자재조서!E168</f>
        <v>516550</v>
      </c>
      <c r="E167" s="20" t="s">
        <v>341</v>
      </c>
      <c r="F167" t="s">
        <v>6232</v>
      </c>
      <c r="G167" t="s">
        <v>1049</v>
      </c>
      <c r="H167" t="s">
        <v>6232</v>
      </c>
    </row>
    <row r="168" spans="1:8" ht="18.399999999999999" hidden="1" customHeight="1">
      <c r="A168" s="11" t="s">
        <v>5403</v>
      </c>
      <c r="B168" s="2" t="s">
        <v>967</v>
      </c>
      <c r="C168" s="2" t="s">
        <v>6141</v>
      </c>
      <c r="D168" s="25">
        <f>자재조서!E169</f>
        <v>530980</v>
      </c>
      <c r="E168" s="20" t="s">
        <v>341</v>
      </c>
      <c r="F168" t="s">
        <v>6232</v>
      </c>
      <c r="G168" t="s">
        <v>4015</v>
      </c>
      <c r="H168" t="s">
        <v>6232</v>
      </c>
    </row>
    <row r="169" spans="1:8" ht="18.399999999999999" hidden="1" customHeight="1">
      <c r="A169" s="11" t="s">
        <v>5403</v>
      </c>
      <c r="B169" s="2" t="s">
        <v>5237</v>
      </c>
      <c r="C169" s="2" t="s">
        <v>6141</v>
      </c>
      <c r="D169" s="25">
        <f>자재조서!E170</f>
        <v>553230</v>
      </c>
      <c r="E169" s="20" t="s">
        <v>341</v>
      </c>
      <c r="F169" t="s">
        <v>6232</v>
      </c>
      <c r="G169" t="s">
        <v>1691</v>
      </c>
      <c r="H169" t="s">
        <v>6232</v>
      </c>
    </row>
    <row r="170" spans="1:8" ht="18.399999999999999" hidden="1" customHeight="1">
      <c r="A170" s="11" t="s">
        <v>5403</v>
      </c>
      <c r="B170" s="2" t="s">
        <v>5048</v>
      </c>
      <c r="C170" s="2" t="s">
        <v>6141</v>
      </c>
      <c r="D170" s="25">
        <f>자재조서!E171</f>
        <v>511650</v>
      </c>
      <c r="E170" s="20" t="s">
        <v>341</v>
      </c>
      <c r="F170" t="s">
        <v>6232</v>
      </c>
      <c r="G170" t="s">
        <v>4225</v>
      </c>
      <c r="H170" t="s">
        <v>6232</v>
      </c>
    </row>
    <row r="171" spans="1:8" ht="18.399999999999999" hidden="1" customHeight="1">
      <c r="A171" s="11" t="s">
        <v>5403</v>
      </c>
      <c r="B171" s="2" t="s">
        <v>5633</v>
      </c>
      <c r="C171" s="2" t="s">
        <v>6141</v>
      </c>
      <c r="D171" s="25">
        <f>자재조서!E172</f>
        <v>534410</v>
      </c>
      <c r="E171" s="20" t="s">
        <v>341</v>
      </c>
      <c r="F171" t="s">
        <v>6232</v>
      </c>
      <c r="G171" t="s">
        <v>5752</v>
      </c>
      <c r="H171" t="s">
        <v>6232</v>
      </c>
    </row>
    <row r="172" spans="1:8" ht="18.399999999999999" hidden="1" customHeight="1">
      <c r="A172" s="11" t="s">
        <v>5403</v>
      </c>
      <c r="B172" s="2" t="s">
        <v>6106</v>
      </c>
      <c r="C172" s="2" t="s">
        <v>6141</v>
      </c>
      <c r="D172" s="25">
        <f>자재조서!E173</f>
        <v>594260</v>
      </c>
      <c r="E172" s="20" t="s">
        <v>341</v>
      </c>
      <c r="F172" t="s">
        <v>6232</v>
      </c>
      <c r="G172" t="s">
        <v>3897</v>
      </c>
      <c r="H172" t="s">
        <v>6232</v>
      </c>
    </row>
    <row r="173" spans="1:8" ht="18.399999999999999" hidden="1" customHeight="1">
      <c r="A173" s="11" t="s">
        <v>5403</v>
      </c>
      <c r="B173" s="2" t="s">
        <v>2386</v>
      </c>
      <c r="C173" s="2" t="s">
        <v>6141</v>
      </c>
      <c r="D173" s="25">
        <f>자재조서!E174</f>
        <v>538980</v>
      </c>
      <c r="E173" s="20" t="s">
        <v>341</v>
      </c>
      <c r="F173" t="s">
        <v>6232</v>
      </c>
      <c r="G173" t="s">
        <v>2908</v>
      </c>
      <c r="H173" t="s">
        <v>6232</v>
      </c>
    </row>
    <row r="174" spans="1:8" ht="18.399999999999999" hidden="1" customHeight="1">
      <c r="A174" s="11" t="s">
        <v>5403</v>
      </c>
      <c r="B174" s="2" t="s">
        <v>968</v>
      </c>
      <c r="C174" s="2" t="s">
        <v>6141</v>
      </c>
      <c r="D174" s="25">
        <f>자재조서!E175</f>
        <v>553410</v>
      </c>
      <c r="E174" s="20" t="s">
        <v>341</v>
      </c>
      <c r="F174" t="s">
        <v>6232</v>
      </c>
      <c r="G174" t="s">
        <v>6025</v>
      </c>
      <c r="H174" t="s">
        <v>6232</v>
      </c>
    </row>
    <row r="175" spans="1:8" ht="18.399999999999999" hidden="1" customHeight="1">
      <c r="A175" s="11" t="s">
        <v>5403</v>
      </c>
      <c r="B175" s="2" t="s">
        <v>5238</v>
      </c>
      <c r="C175" s="2" t="s">
        <v>6141</v>
      </c>
      <c r="D175" s="25">
        <f>자재조서!E176</f>
        <v>575640</v>
      </c>
      <c r="E175" s="20" t="s">
        <v>341</v>
      </c>
      <c r="F175" t="s">
        <v>6232</v>
      </c>
      <c r="G175" t="s">
        <v>535</v>
      </c>
      <c r="H175" t="s">
        <v>6232</v>
      </c>
    </row>
    <row r="176" spans="1:8" ht="18.399999999999999" hidden="1" customHeight="1">
      <c r="A176" s="11" t="s">
        <v>5403</v>
      </c>
      <c r="B176" s="2" t="s">
        <v>5059</v>
      </c>
      <c r="C176" s="2" t="s">
        <v>6141</v>
      </c>
      <c r="D176" s="25">
        <f>자재조서!E177</f>
        <v>597880</v>
      </c>
      <c r="E176" s="20" t="s">
        <v>341</v>
      </c>
      <c r="F176" t="s">
        <v>6232</v>
      </c>
      <c r="G176" t="s">
        <v>6205</v>
      </c>
      <c r="H176" t="s">
        <v>6232</v>
      </c>
    </row>
    <row r="177" spans="1:8" ht="18.399999999999999" hidden="1" customHeight="1">
      <c r="A177" s="11" t="s">
        <v>5403</v>
      </c>
      <c r="B177" s="2" t="s">
        <v>5634</v>
      </c>
      <c r="C177" s="2" t="s">
        <v>6141</v>
      </c>
      <c r="D177" s="25">
        <f>자재조서!E178</f>
        <v>556820</v>
      </c>
      <c r="E177" s="20" t="s">
        <v>341</v>
      </c>
      <c r="F177" t="s">
        <v>6232</v>
      </c>
      <c r="G177" t="s">
        <v>4638</v>
      </c>
      <c r="H177" t="s">
        <v>6232</v>
      </c>
    </row>
    <row r="178" spans="1:8" ht="18.399999999999999" hidden="1" customHeight="1">
      <c r="A178" s="11" t="s">
        <v>5403</v>
      </c>
      <c r="B178" s="2" t="s">
        <v>6130</v>
      </c>
      <c r="C178" s="2" t="s">
        <v>6141</v>
      </c>
      <c r="D178" s="25">
        <f>자재조서!E179</f>
        <v>616420</v>
      </c>
      <c r="E178" s="20" t="s">
        <v>341</v>
      </c>
      <c r="F178" t="s">
        <v>6232</v>
      </c>
      <c r="G178" t="s">
        <v>5905</v>
      </c>
      <c r="H178" t="s">
        <v>6232</v>
      </c>
    </row>
    <row r="179" spans="1:8" ht="18.399999999999999" hidden="1" customHeight="1">
      <c r="A179" s="11" t="s">
        <v>5403</v>
      </c>
      <c r="B179" s="2" t="s">
        <v>4379</v>
      </c>
      <c r="C179" s="2" t="s">
        <v>6141</v>
      </c>
      <c r="D179" s="25">
        <f>자재조서!E180</f>
        <v>651290</v>
      </c>
      <c r="E179" s="20" t="s">
        <v>341</v>
      </c>
      <c r="F179" t="s">
        <v>6232</v>
      </c>
      <c r="G179" t="s">
        <v>5892</v>
      </c>
      <c r="H179" t="s">
        <v>6232</v>
      </c>
    </row>
    <row r="180" spans="1:8" ht="18.399999999999999" hidden="1" customHeight="1">
      <c r="A180" s="11" t="s">
        <v>5403</v>
      </c>
      <c r="B180" s="2" t="s">
        <v>1258</v>
      </c>
      <c r="C180" s="2" t="s">
        <v>6141</v>
      </c>
      <c r="D180" s="25">
        <f>자재조서!E181</f>
        <v>643350</v>
      </c>
      <c r="E180" s="20" t="s">
        <v>341</v>
      </c>
      <c r="F180" t="s">
        <v>6232</v>
      </c>
      <c r="G180" t="s">
        <v>693</v>
      </c>
      <c r="H180" t="s">
        <v>6232</v>
      </c>
    </row>
    <row r="181" spans="1:8" ht="18.399999999999999" hidden="1" customHeight="1">
      <c r="A181" s="11" t="s">
        <v>5403</v>
      </c>
      <c r="B181" s="2" t="s">
        <v>2726</v>
      </c>
      <c r="C181" s="2" t="s">
        <v>6141</v>
      </c>
      <c r="D181" s="25">
        <f>자재조서!E182</f>
        <v>657960</v>
      </c>
      <c r="E181" s="20" t="s">
        <v>341</v>
      </c>
      <c r="F181" t="s">
        <v>6232</v>
      </c>
      <c r="G181" t="s">
        <v>3554</v>
      </c>
      <c r="H181" t="s">
        <v>6232</v>
      </c>
    </row>
    <row r="182" spans="1:8" ht="18.399999999999999" hidden="1" customHeight="1">
      <c r="A182" s="11" t="s">
        <v>5403</v>
      </c>
      <c r="B182" s="2" t="s">
        <v>3112</v>
      </c>
      <c r="C182" s="2" t="s">
        <v>6141</v>
      </c>
      <c r="D182" s="25">
        <f>자재조서!E183</f>
        <v>680860</v>
      </c>
      <c r="E182" s="20" t="s">
        <v>341</v>
      </c>
      <c r="F182" t="s">
        <v>6232</v>
      </c>
      <c r="G182" t="s">
        <v>2736</v>
      </c>
      <c r="H182" t="s">
        <v>6232</v>
      </c>
    </row>
    <row r="183" spans="1:8" ht="18.399999999999999" hidden="1" customHeight="1">
      <c r="A183" s="11" t="s">
        <v>5403</v>
      </c>
      <c r="B183" s="2" t="s">
        <v>3240</v>
      </c>
      <c r="C183" s="2" t="s">
        <v>6141</v>
      </c>
      <c r="D183" s="25">
        <f>자재조서!E184</f>
        <v>704050</v>
      </c>
      <c r="E183" s="20" t="s">
        <v>3216</v>
      </c>
      <c r="F183" t="s">
        <v>6232</v>
      </c>
      <c r="G183" t="s">
        <v>3755</v>
      </c>
      <c r="H183" t="s">
        <v>6232</v>
      </c>
    </row>
    <row r="184" spans="1:8" ht="18.399999999999999" hidden="1" customHeight="1">
      <c r="A184" s="11" t="s">
        <v>5403</v>
      </c>
      <c r="B184" s="2" t="s">
        <v>4326</v>
      </c>
      <c r="C184" s="2" t="s">
        <v>6141</v>
      </c>
      <c r="D184" s="25">
        <f>자재조서!E185</f>
        <v>728390</v>
      </c>
      <c r="E184" s="20" t="s">
        <v>3216</v>
      </c>
      <c r="F184" t="s">
        <v>6232</v>
      </c>
      <c r="G184" t="s">
        <v>5337</v>
      </c>
      <c r="H184" t="s">
        <v>6232</v>
      </c>
    </row>
    <row r="185" spans="1:8" ht="18.399999999999999" hidden="1" customHeight="1">
      <c r="A185" s="11" t="s">
        <v>5403</v>
      </c>
      <c r="B185" s="2" t="s">
        <v>4223</v>
      </c>
      <c r="C185" s="2" t="s">
        <v>6141</v>
      </c>
      <c r="D185" s="25">
        <f>자재조서!E186</f>
        <v>720450</v>
      </c>
      <c r="E185" s="20" t="s">
        <v>341</v>
      </c>
      <c r="F185" t="s">
        <v>6232</v>
      </c>
      <c r="G185" t="s">
        <v>3694</v>
      </c>
      <c r="H185" t="s">
        <v>6232</v>
      </c>
    </row>
    <row r="186" spans="1:8" ht="18.399999999999999" hidden="1" customHeight="1">
      <c r="A186" s="11" t="s">
        <v>5403</v>
      </c>
      <c r="B186" s="2" t="s">
        <v>5500</v>
      </c>
      <c r="C186" s="2" t="s">
        <v>6141</v>
      </c>
      <c r="D186" s="25">
        <f>자재조서!E187</f>
        <v>761970</v>
      </c>
      <c r="E186" s="20" t="s">
        <v>341</v>
      </c>
      <c r="F186" t="s">
        <v>6232</v>
      </c>
      <c r="G186" t="s">
        <v>3663</v>
      </c>
      <c r="H186" t="s">
        <v>6232</v>
      </c>
    </row>
    <row r="187" spans="1:8" ht="18.399999999999999" hidden="1" customHeight="1">
      <c r="A187" s="11" t="s">
        <v>5403</v>
      </c>
      <c r="B187" s="2" t="s">
        <v>911</v>
      </c>
      <c r="C187" s="2" t="s">
        <v>6141</v>
      </c>
      <c r="D187" s="25">
        <f>자재조서!E188</f>
        <v>812660</v>
      </c>
      <c r="E187" s="20" t="s">
        <v>341</v>
      </c>
      <c r="F187" t="s">
        <v>6232</v>
      </c>
      <c r="G187" t="s">
        <v>4125</v>
      </c>
      <c r="H187" t="s">
        <v>6232</v>
      </c>
    </row>
    <row r="188" spans="1:8" ht="18.399999999999999" hidden="1" customHeight="1">
      <c r="A188" s="11" t="s">
        <v>5403</v>
      </c>
      <c r="B188" s="2" t="s">
        <v>1895</v>
      </c>
      <c r="C188" s="2" t="s">
        <v>6141</v>
      </c>
      <c r="D188" s="25">
        <f>자재조서!E189</f>
        <v>689020</v>
      </c>
      <c r="E188" s="20" t="s">
        <v>341</v>
      </c>
      <c r="F188" t="s">
        <v>6232</v>
      </c>
      <c r="G188" t="s">
        <v>1880</v>
      </c>
      <c r="H188" t="s">
        <v>6232</v>
      </c>
    </row>
    <row r="189" spans="1:8" ht="18.399999999999999" hidden="1" customHeight="1">
      <c r="A189" s="11" t="s">
        <v>5403</v>
      </c>
      <c r="B189" s="2" t="s">
        <v>230</v>
      </c>
      <c r="C189" s="2" t="s">
        <v>6141</v>
      </c>
      <c r="D189" s="25">
        <f>자재조서!E190</f>
        <v>703550</v>
      </c>
      <c r="E189" s="20" t="s">
        <v>341</v>
      </c>
      <c r="F189" t="s">
        <v>6232</v>
      </c>
      <c r="G189" t="s">
        <v>4698</v>
      </c>
      <c r="H189" t="s">
        <v>6232</v>
      </c>
    </row>
    <row r="190" spans="1:8" ht="18.399999999999999" hidden="1" customHeight="1">
      <c r="A190" s="11" t="s">
        <v>5403</v>
      </c>
      <c r="B190" s="2" t="s">
        <v>6086</v>
      </c>
      <c r="C190" s="2" t="s">
        <v>6141</v>
      </c>
      <c r="D190" s="25">
        <f>자재조서!E191</f>
        <v>725870</v>
      </c>
      <c r="E190" s="20" t="s">
        <v>341</v>
      </c>
      <c r="F190" t="s">
        <v>6232</v>
      </c>
      <c r="G190" t="s">
        <v>845</v>
      </c>
      <c r="H190" t="s">
        <v>6232</v>
      </c>
    </row>
    <row r="191" spans="1:8" ht="18.399999999999999" hidden="1" customHeight="1">
      <c r="A191" s="11" t="s">
        <v>5403</v>
      </c>
      <c r="B191" s="2" t="s">
        <v>6163</v>
      </c>
      <c r="C191" s="2" t="s">
        <v>6141</v>
      </c>
      <c r="D191" s="25">
        <f>자재조서!E192</f>
        <v>748210</v>
      </c>
      <c r="E191" s="20" t="s">
        <v>341</v>
      </c>
      <c r="F191" t="s">
        <v>6232</v>
      </c>
      <c r="G191" t="s">
        <v>4863</v>
      </c>
      <c r="H191" t="s">
        <v>6232</v>
      </c>
    </row>
    <row r="192" spans="1:8" ht="18.399999999999999" hidden="1" customHeight="1">
      <c r="A192" s="11" t="s">
        <v>5403</v>
      </c>
      <c r="B192" s="2" t="s">
        <v>4910</v>
      </c>
      <c r="C192" s="2" t="s">
        <v>6141</v>
      </c>
      <c r="D192" s="25">
        <f>자재조서!E193</f>
        <v>780080</v>
      </c>
      <c r="E192" s="20" t="s">
        <v>341</v>
      </c>
      <c r="F192" t="s">
        <v>6232</v>
      </c>
      <c r="G192" t="s">
        <v>3327</v>
      </c>
      <c r="H192" t="s">
        <v>6232</v>
      </c>
    </row>
    <row r="193" spans="1:8" ht="18.399999999999999" hidden="1" customHeight="1">
      <c r="A193" s="11" t="s">
        <v>5403</v>
      </c>
      <c r="B193" s="2" t="s">
        <v>5193</v>
      </c>
      <c r="C193" s="2" t="s">
        <v>6141</v>
      </c>
      <c r="D193" s="25">
        <f>자재조서!E194</f>
        <v>765960</v>
      </c>
      <c r="E193" s="20" t="s">
        <v>341</v>
      </c>
      <c r="F193" t="s">
        <v>6232</v>
      </c>
      <c r="G193" t="s">
        <v>4799</v>
      </c>
      <c r="H193" t="s">
        <v>6232</v>
      </c>
    </row>
    <row r="194" spans="1:8" ht="18.399999999999999" hidden="1" customHeight="1">
      <c r="A194" s="11" t="s">
        <v>5403</v>
      </c>
      <c r="B194" s="2" t="s">
        <v>3735</v>
      </c>
      <c r="C194" s="2" t="s">
        <v>6141</v>
      </c>
      <c r="D194" s="25">
        <f>자재조서!E195</f>
        <v>808640</v>
      </c>
      <c r="E194" s="20" t="s">
        <v>341</v>
      </c>
      <c r="F194" t="s">
        <v>6232</v>
      </c>
      <c r="G194" t="s">
        <v>4775</v>
      </c>
      <c r="H194" t="s">
        <v>6232</v>
      </c>
    </row>
    <row r="195" spans="1:8" ht="18.399999999999999" hidden="1" customHeight="1">
      <c r="A195" s="11" t="s">
        <v>5403</v>
      </c>
      <c r="B195" s="2" t="s">
        <v>4619</v>
      </c>
      <c r="C195" s="2" t="s">
        <v>6141</v>
      </c>
      <c r="D195" s="25">
        <f>자재조서!E196</f>
        <v>858760</v>
      </c>
      <c r="E195" s="20" t="s">
        <v>341</v>
      </c>
      <c r="F195" t="s">
        <v>6232</v>
      </c>
      <c r="G195" t="s">
        <v>6108</v>
      </c>
      <c r="H195" t="s">
        <v>6232</v>
      </c>
    </row>
    <row r="196" spans="1:8" ht="18.399999999999999" hidden="1" customHeight="1">
      <c r="A196" s="11" t="s">
        <v>5403</v>
      </c>
      <c r="B196" s="2" t="s">
        <v>3613</v>
      </c>
      <c r="C196" s="2" t="s">
        <v>6141</v>
      </c>
      <c r="D196" s="25">
        <f>자재조서!E197</f>
        <v>902240</v>
      </c>
      <c r="E196" s="20" t="s">
        <v>341</v>
      </c>
      <c r="F196" t="s">
        <v>6232</v>
      </c>
      <c r="G196" t="s">
        <v>5997</v>
      </c>
      <c r="H196" t="s">
        <v>6232</v>
      </c>
    </row>
    <row r="197" spans="1:8" ht="18.399999999999999" hidden="1" customHeight="1">
      <c r="A197" s="11" t="s">
        <v>5403</v>
      </c>
      <c r="B197" s="2" t="s">
        <v>3262</v>
      </c>
      <c r="C197" s="2" t="s">
        <v>6141</v>
      </c>
      <c r="D197" s="25">
        <f>자재조서!E198</f>
        <v>755280</v>
      </c>
      <c r="E197" s="20" t="s">
        <v>341</v>
      </c>
      <c r="F197" t="s">
        <v>6232</v>
      </c>
      <c r="G197" t="s">
        <v>2633</v>
      </c>
      <c r="H197" t="s">
        <v>6232</v>
      </c>
    </row>
    <row r="198" spans="1:8" ht="18.399999999999999" hidden="1" customHeight="1">
      <c r="A198" s="11" t="s">
        <v>5403</v>
      </c>
      <c r="B198" s="2" t="s">
        <v>4716</v>
      </c>
      <c r="C198" s="2" t="s">
        <v>6141</v>
      </c>
      <c r="D198" s="25">
        <f>자재조서!E199</f>
        <v>770040</v>
      </c>
      <c r="E198" s="20" t="s">
        <v>341</v>
      </c>
      <c r="F198" t="s">
        <v>6232</v>
      </c>
      <c r="G198" t="s">
        <v>5528</v>
      </c>
      <c r="H198" t="s">
        <v>6232</v>
      </c>
    </row>
    <row r="199" spans="1:8" ht="18.399999999999999" hidden="1" customHeight="1">
      <c r="A199" s="11" t="s">
        <v>5403</v>
      </c>
      <c r="B199" s="2" t="s">
        <v>1201</v>
      </c>
      <c r="C199" s="2" t="s">
        <v>6141</v>
      </c>
      <c r="D199" s="25">
        <f>자재조서!E200</f>
        <v>792920</v>
      </c>
      <c r="E199" s="20" t="s">
        <v>341</v>
      </c>
      <c r="F199" t="s">
        <v>6232</v>
      </c>
      <c r="G199" t="s">
        <v>47</v>
      </c>
      <c r="H199" t="s">
        <v>6232</v>
      </c>
    </row>
    <row r="200" spans="1:8" ht="18.399999999999999" hidden="1" customHeight="1">
      <c r="A200" s="11" t="s">
        <v>5403</v>
      </c>
      <c r="B200" s="2" t="s">
        <v>1275</v>
      </c>
      <c r="C200" s="2" t="s">
        <v>6141</v>
      </c>
      <c r="D200" s="25">
        <f>자재조서!E201</f>
        <v>814840</v>
      </c>
      <c r="E200" s="20" t="s">
        <v>341</v>
      </c>
      <c r="F200" t="s">
        <v>6232</v>
      </c>
      <c r="G200" t="s">
        <v>5701</v>
      </c>
      <c r="H200" t="s">
        <v>6232</v>
      </c>
    </row>
    <row r="201" spans="1:8" ht="18.399999999999999" hidden="1" customHeight="1">
      <c r="A201" s="11" t="s">
        <v>5403</v>
      </c>
      <c r="B201" s="2" t="s">
        <v>55</v>
      </c>
      <c r="C201" s="2" t="s">
        <v>6141</v>
      </c>
      <c r="D201" s="25">
        <f>자재조서!E202</f>
        <v>848770</v>
      </c>
      <c r="E201" s="20" t="s">
        <v>341</v>
      </c>
      <c r="F201" t="s">
        <v>6232</v>
      </c>
      <c r="G201" t="s">
        <v>4174</v>
      </c>
      <c r="H201" t="s">
        <v>6232</v>
      </c>
    </row>
    <row r="202" spans="1:8" ht="18.399999999999999" hidden="1" customHeight="1">
      <c r="A202" s="11" t="s">
        <v>5403</v>
      </c>
      <c r="B202" s="2" t="s">
        <v>733</v>
      </c>
      <c r="C202" s="2" t="s">
        <v>6141</v>
      </c>
      <c r="D202" s="25">
        <f>자재조서!E203</f>
        <v>935290</v>
      </c>
      <c r="E202" s="20" t="s">
        <v>341</v>
      </c>
      <c r="F202" t="s">
        <v>6232</v>
      </c>
      <c r="G202" t="s">
        <v>5639</v>
      </c>
      <c r="H202" t="s">
        <v>6232</v>
      </c>
    </row>
    <row r="203" spans="1:8" ht="18.399999999999999" hidden="1" customHeight="1">
      <c r="A203" s="11" t="s">
        <v>5403</v>
      </c>
      <c r="B203" s="2" t="s">
        <v>1940</v>
      </c>
      <c r="C203" s="2" t="s">
        <v>6141</v>
      </c>
      <c r="D203" s="25">
        <f>자재조서!E204</f>
        <v>884000</v>
      </c>
      <c r="E203" s="20" t="s">
        <v>341</v>
      </c>
      <c r="F203" t="s">
        <v>6232</v>
      </c>
      <c r="G203" t="s">
        <v>5609</v>
      </c>
      <c r="H203" t="s">
        <v>6232</v>
      </c>
    </row>
    <row r="204" spans="1:8" ht="18.399999999999999" hidden="1" customHeight="1">
      <c r="A204" s="11" t="s">
        <v>5403</v>
      </c>
      <c r="B204" s="2" t="s">
        <v>3128</v>
      </c>
      <c r="C204" s="2" t="s">
        <v>6141</v>
      </c>
      <c r="D204" s="25">
        <f>자재조서!E205</f>
        <v>936690</v>
      </c>
      <c r="E204" s="20" t="s">
        <v>341</v>
      </c>
      <c r="F204" t="s">
        <v>6232</v>
      </c>
      <c r="G204" t="s">
        <v>5276</v>
      </c>
      <c r="H204" t="s">
        <v>6232</v>
      </c>
    </row>
    <row r="205" spans="1:8" ht="18.399999999999999" hidden="1" customHeight="1">
      <c r="A205" s="11" t="s">
        <v>5403</v>
      </c>
      <c r="B205" s="2" t="s">
        <v>4107</v>
      </c>
      <c r="C205" s="2" t="s">
        <v>6141</v>
      </c>
      <c r="D205" s="25">
        <f>자재조서!E206</f>
        <v>980440</v>
      </c>
      <c r="E205" s="20" t="s">
        <v>341</v>
      </c>
      <c r="F205" t="s">
        <v>6232</v>
      </c>
      <c r="G205" t="s">
        <v>5168</v>
      </c>
      <c r="H205" t="s">
        <v>6232</v>
      </c>
    </row>
    <row r="206" spans="1:8" ht="18.399999999999999" hidden="1" customHeight="1">
      <c r="A206" s="11" t="s">
        <v>5403</v>
      </c>
      <c r="B206" s="2" t="s">
        <v>2553</v>
      </c>
      <c r="C206" s="2" t="s">
        <v>6141</v>
      </c>
      <c r="D206" s="25">
        <f>자재조서!E207</f>
        <v>1050920</v>
      </c>
      <c r="E206" s="20" t="s">
        <v>341</v>
      </c>
      <c r="F206" t="s">
        <v>6232</v>
      </c>
      <c r="G206" t="s">
        <v>3797</v>
      </c>
      <c r="H206" t="s">
        <v>6232</v>
      </c>
    </row>
    <row r="207" spans="1:8" ht="18.399999999999999" hidden="1" customHeight="1">
      <c r="A207" s="11" t="s">
        <v>5403</v>
      </c>
      <c r="B207" s="2" t="s">
        <v>1152</v>
      </c>
      <c r="C207" s="2" t="s">
        <v>6141</v>
      </c>
      <c r="D207" s="25">
        <f>자재조서!E208</f>
        <v>1039990</v>
      </c>
      <c r="E207" s="20" t="s">
        <v>341</v>
      </c>
      <c r="F207" t="s">
        <v>6232</v>
      </c>
      <c r="G207" t="s">
        <v>1386</v>
      </c>
      <c r="H207" t="s">
        <v>6232</v>
      </c>
    </row>
    <row r="208" spans="1:8" ht="18.399999999999999" hidden="1" customHeight="1">
      <c r="A208" s="11" t="s">
        <v>5403</v>
      </c>
      <c r="B208" s="2" t="s">
        <v>3065</v>
      </c>
      <c r="C208" s="2" t="s">
        <v>6141</v>
      </c>
      <c r="D208" s="25">
        <f>자재조서!E209</f>
        <v>1109580</v>
      </c>
      <c r="E208" s="20" t="s">
        <v>341</v>
      </c>
      <c r="F208" t="s">
        <v>6232</v>
      </c>
      <c r="G208" t="s">
        <v>1360</v>
      </c>
      <c r="H208" t="s">
        <v>6232</v>
      </c>
    </row>
    <row r="209" spans="1:8" ht="18.399999999999999" hidden="1" customHeight="1">
      <c r="A209" s="11" t="s">
        <v>5403</v>
      </c>
      <c r="B209" s="2" t="s">
        <v>4824</v>
      </c>
      <c r="C209" s="2" t="s">
        <v>6141</v>
      </c>
      <c r="D209" s="25">
        <f>자재조서!E210</f>
        <v>1179510</v>
      </c>
      <c r="E209" s="20" t="s">
        <v>341</v>
      </c>
      <c r="F209" t="s">
        <v>6232</v>
      </c>
      <c r="G209" t="s">
        <v>178</v>
      </c>
      <c r="H209" t="s">
        <v>6232</v>
      </c>
    </row>
    <row r="210" spans="1:8" ht="18.399999999999999" hidden="1" customHeight="1">
      <c r="A210" s="11" t="s">
        <v>5403</v>
      </c>
      <c r="B210" s="2" t="s">
        <v>5765</v>
      </c>
      <c r="C210" s="2" t="s">
        <v>6141</v>
      </c>
      <c r="D210" s="25">
        <f>자재조서!E211</f>
        <v>1088030</v>
      </c>
      <c r="E210" s="20" t="s">
        <v>341</v>
      </c>
      <c r="F210" t="s">
        <v>6232</v>
      </c>
      <c r="G210" t="s">
        <v>239</v>
      </c>
      <c r="H210" t="s">
        <v>6232</v>
      </c>
    </row>
    <row r="211" spans="1:8" ht="18.399999999999999" hidden="1" customHeight="1">
      <c r="A211" s="11" t="s">
        <v>5403</v>
      </c>
      <c r="B211" s="2" t="s">
        <v>1072</v>
      </c>
      <c r="C211" s="2" t="s">
        <v>6141</v>
      </c>
      <c r="D211" s="25">
        <f>자재조서!E212</f>
        <v>1157440</v>
      </c>
      <c r="E211" s="20" t="s">
        <v>341</v>
      </c>
      <c r="F211" t="s">
        <v>6232</v>
      </c>
      <c r="G211" t="s">
        <v>1582</v>
      </c>
      <c r="H211" t="s">
        <v>6232</v>
      </c>
    </row>
    <row r="212" spans="1:8" ht="18.399999999999999" hidden="1" customHeight="1">
      <c r="A212" s="11" t="s">
        <v>5403</v>
      </c>
      <c r="B212" s="2" t="s">
        <v>984</v>
      </c>
      <c r="C212" s="2" t="s">
        <v>6141</v>
      </c>
      <c r="D212" s="25">
        <f>자재조서!E213</f>
        <v>1276450</v>
      </c>
      <c r="E212" s="20" t="s">
        <v>341</v>
      </c>
      <c r="F212" t="s">
        <v>6232</v>
      </c>
      <c r="G212" t="s">
        <v>2282</v>
      </c>
      <c r="H212" t="s">
        <v>6232</v>
      </c>
    </row>
    <row r="213" spans="1:8" ht="18.399999999999999" hidden="1" customHeight="1">
      <c r="A213" s="11" t="s">
        <v>5403</v>
      </c>
      <c r="B213" s="2" t="s">
        <v>3158</v>
      </c>
      <c r="C213" s="2" t="s">
        <v>6141</v>
      </c>
      <c r="D213" s="25">
        <f>자재조서!E214</f>
        <v>1359590</v>
      </c>
      <c r="E213" s="20" t="s">
        <v>341</v>
      </c>
      <c r="F213" t="s">
        <v>6232</v>
      </c>
      <c r="G213" t="s">
        <v>1755</v>
      </c>
      <c r="H213" t="s">
        <v>6232</v>
      </c>
    </row>
    <row r="214" spans="1:8" ht="18.399999999999999" hidden="1" customHeight="1">
      <c r="A214" s="11" t="s">
        <v>5403</v>
      </c>
      <c r="B214" s="2" t="s">
        <v>4944</v>
      </c>
      <c r="C214" s="2" t="s">
        <v>6141</v>
      </c>
      <c r="D214" s="25">
        <f>자재조서!E215</f>
        <v>1440390</v>
      </c>
      <c r="E214" s="20" t="s">
        <v>341</v>
      </c>
      <c r="F214" t="s">
        <v>6232</v>
      </c>
      <c r="G214" t="s">
        <v>1737</v>
      </c>
      <c r="H214" t="s">
        <v>6232</v>
      </c>
    </row>
    <row r="215" spans="1:8" ht="18.399999999999999" hidden="1" customHeight="1">
      <c r="A215" s="11" t="s">
        <v>5403</v>
      </c>
      <c r="B215" s="2" t="s">
        <v>2362</v>
      </c>
      <c r="C215" s="2" t="s">
        <v>6141</v>
      </c>
      <c r="D215" s="25">
        <f>자재조서!E216</f>
        <v>1515960</v>
      </c>
      <c r="E215" s="20" t="s">
        <v>341</v>
      </c>
      <c r="F215" t="s">
        <v>6232</v>
      </c>
      <c r="G215" t="s">
        <v>2881</v>
      </c>
      <c r="H215" t="s">
        <v>6232</v>
      </c>
    </row>
    <row r="216" spans="1:8" ht="18.399999999999999" hidden="1" customHeight="1">
      <c r="A216" s="11" t="s">
        <v>5403</v>
      </c>
      <c r="B216" s="2" t="s">
        <v>1789</v>
      </c>
      <c r="C216" s="2" t="s">
        <v>6141</v>
      </c>
      <c r="D216" s="25">
        <f>자재조서!E217</f>
        <v>1585540</v>
      </c>
      <c r="E216" s="20" t="s">
        <v>341</v>
      </c>
      <c r="F216" t="s">
        <v>6232</v>
      </c>
      <c r="G216" t="s">
        <v>2944</v>
      </c>
      <c r="H216" t="s">
        <v>6232</v>
      </c>
    </row>
    <row r="217" spans="1:8" ht="18.399999999999999" hidden="1" customHeight="1">
      <c r="A217" s="11" t="s">
        <v>5403</v>
      </c>
      <c r="B217" s="2" t="s">
        <v>3340</v>
      </c>
      <c r="C217" s="2" t="s">
        <v>6141</v>
      </c>
      <c r="D217" s="25">
        <f>자재조서!E218</f>
        <v>1500560</v>
      </c>
      <c r="E217" s="20" t="s">
        <v>341</v>
      </c>
      <c r="F217" t="s">
        <v>6232</v>
      </c>
      <c r="G217" t="s">
        <v>1219</v>
      </c>
      <c r="H217" t="s">
        <v>6232</v>
      </c>
    </row>
    <row r="218" spans="1:8" ht="18.399999999999999" hidden="1" customHeight="1">
      <c r="A218" s="11" t="s">
        <v>5403</v>
      </c>
      <c r="B218" s="2" t="s">
        <v>3467</v>
      </c>
      <c r="C218" s="2" t="s">
        <v>6141</v>
      </c>
      <c r="D218" s="25">
        <f>자재조서!E219</f>
        <v>1622570</v>
      </c>
      <c r="E218" s="20" t="s">
        <v>341</v>
      </c>
      <c r="F218" t="s">
        <v>6232</v>
      </c>
      <c r="G218" t="s">
        <v>1108</v>
      </c>
      <c r="H218" t="s">
        <v>6232</v>
      </c>
    </row>
    <row r="219" spans="1:8" ht="18.399999999999999" hidden="1" customHeight="1">
      <c r="A219" s="11" t="s">
        <v>5403</v>
      </c>
      <c r="B219" s="2" t="s">
        <v>2441</v>
      </c>
      <c r="C219" s="2" t="s">
        <v>6141</v>
      </c>
      <c r="D219" s="25">
        <f>자재조서!E220</f>
        <v>1795890</v>
      </c>
      <c r="E219" s="20" t="s">
        <v>341</v>
      </c>
      <c r="F219" t="s">
        <v>6232</v>
      </c>
      <c r="G219" t="s">
        <v>2613</v>
      </c>
      <c r="H219" t="s">
        <v>6232</v>
      </c>
    </row>
    <row r="220" spans="1:8" ht="18.399999999999999" hidden="1" customHeight="1">
      <c r="A220" s="11" t="s">
        <v>5403</v>
      </c>
      <c r="B220" s="2" t="s">
        <v>3189</v>
      </c>
      <c r="C220" s="2" t="s">
        <v>6141</v>
      </c>
      <c r="D220" s="25">
        <f>자재조서!E221</f>
        <v>1503890</v>
      </c>
      <c r="E220" s="20" t="s">
        <v>341</v>
      </c>
      <c r="F220" t="s">
        <v>6232</v>
      </c>
      <c r="G220" t="s">
        <v>3798</v>
      </c>
      <c r="H220" t="s">
        <v>6232</v>
      </c>
    </row>
    <row r="221" spans="1:8" ht="18.399999999999999" hidden="1" customHeight="1">
      <c r="A221" s="11" t="s">
        <v>5403</v>
      </c>
      <c r="B221" s="2" t="s">
        <v>4928</v>
      </c>
      <c r="C221" s="2" t="s">
        <v>6141</v>
      </c>
      <c r="D221" s="25">
        <f>자재조서!E222</f>
        <v>1591880</v>
      </c>
      <c r="E221" s="20" t="s">
        <v>341</v>
      </c>
      <c r="F221" t="s">
        <v>6232</v>
      </c>
      <c r="G221" t="s">
        <v>3816</v>
      </c>
      <c r="H221" t="s">
        <v>6232</v>
      </c>
    </row>
    <row r="222" spans="1:8" ht="18.399999999999999" hidden="1" customHeight="1">
      <c r="A222" s="11" t="s">
        <v>5403</v>
      </c>
      <c r="B222" s="2" t="s">
        <v>2143</v>
      </c>
      <c r="C222" s="2" t="s">
        <v>6141</v>
      </c>
      <c r="D222" s="25">
        <f>자재조서!E223</f>
        <v>1665340</v>
      </c>
      <c r="E222" s="20" t="s">
        <v>341</v>
      </c>
      <c r="F222" t="s">
        <v>6232</v>
      </c>
      <c r="G222" t="s">
        <v>3943</v>
      </c>
      <c r="H222" t="s">
        <v>6232</v>
      </c>
    </row>
    <row r="223" spans="1:8" ht="18.399999999999999" hidden="1" customHeight="1">
      <c r="A223" s="11" t="s">
        <v>5403</v>
      </c>
      <c r="B223" s="2" t="s">
        <v>2780</v>
      </c>
      <c r="C223" s="2" t="s">
        <v>6141</v>
      </c>
      <c r="D223" s="25">
        <f>자재조서!E224</f>
        <v>1734510</v>
      </c>
      <c r="E223" s="20" t="s">
        <v>341</v>
      </c>
      <c r="F223" t="s">
        <v>6232</v>
      </c>
      <c r="G223" t="s">
        <v>4274</v>
      </c>
      <c r="H223" t="s">
        <v>6232</v>
      </c>
    </row>
    <row r="224" spans="1:8" ht="18.399999999999999" hidden="1" customHeight="1">
      <c r="A224" s="11" t="s">
        <v>5403</v>
      </c>
      <c r="B224" s="2" t="s">
        <v>4364</v>
      </c>
      <c r="C224" s="2" t="s">
        <v>6141</v>
      </c>
      <c r="D224" s="25">
        <f>자재조서!E225</f>
        <v>1833050</v>
      </c>
      <c r="E224" s="20" t="s">
        <v>341</v>
      </c>
      <c r="F224" t="s">
        <v>6232</v>
      </c>
      <c r="G224" t="s">
        <v>5640</v>
      </c>
      <c r="H224" t="s">
        <v>6232</v>
      </c>
    </row>
    <row r="225" spans="1:8" ht="18.399999999999999" hidden="1" customHeight="1">
      <c r="A225" s="11" t="s">
        <v>5403</v>
      </c>
      <c r="B225" s="2" t="s">
        <v>4404</v>
      </c>
      <c r="C225" s="2" t="s">
        <v>6141</v>
      </c>
      <c r="D225" s="25">
        <f>자재조서!E226</f>
        <v>1770430</v>
      </c>
      <c r="E225" s="20" t="s">
        <v>341</v>
      </c>
      <c r="F225" t="s">
        <v>6232</v>
      </c>
      <c r="G225" t="s">
        <v>6136</v>
      </c>
      <c r="H225" t="s">
        <v>6232</v>
      </c>
    </row>
    <row r="226" spans="1:8" ht="18.399999999999999" hidden="1" customHeight="1">
      <c r="A226" s="11" t="s">
        <v>5403</v>
      </c>
      <c r="B226" s="2" t="s">
        <v>2239</v>
      </c>
      <c r="C226" s="2" t="s">
        <v>6141</v>
      </c>
      <c r="D226" s="25">
        <f>자재조서!E227</f>
        <v>1939790</v>
      </c>
      <c r="E226" s="20" t="s">
        <v>341</v>
      </c>
      <c r="F226" t="s">
        <v>6232</v>
      </c>
      <c r="G226" t="s">
        <v>4610</v>
      </c>
      <c r="H226" t="s">
        <v>6232</v>
      </c>
    </row>
    <row r="227" spans="1:8" ht="18.399999999999999" hidden="1" customHeight="1">
      <c r="A227" s="11" t="s">
        <v>5403</v>
      </c>
      <c r="B227" s="2" t="s">
        <v>5135</v>
      </c>
      <c r="C227" s="2" t="s">
        <v>6141</v>
      </c>
      <c r="D227" s="25">
        <f>자재조서!E228</f>
        <v>2151250</v>
      </c>
      <c r="E227" s="20" t="s">
        <v>341</v>
      </c>
      <c r="F227" t="s">
        <v>6232</v>
      </c>
      <c r="G227" t="s">
        <v>4955</v>
      </c>
      <c r="H227" t="s">
        <v>6232</v>
      </c>
    </row>
    <row r="228" spans="1:8" ht="18.399999999999999" hidden="1" customHeight="1">
      <c r="A228" s="11" t="s">
        <v>5403</v>
      </c>
      <c r="B228" s="2" t="s">
        <v>1319</v>
      </c>
      <c r="C228" s="2" t="s">
        <v>6141</v>
      </c>
      <c r="D228" s="25">
        <f>자재조서!E229</f>
        <v>1672380</v>
      </c>
      <c r="E228" s="20" t="s">
        <v>341</v>
      </c>
      <c r="F228" t="s">
        <v>6232</v>
      </c>
      <c r="G228" t="s">
        <v>5753</v>
      </c>
      <c r="H228" t="s">
        <v>6232</v>
      </c>
    </row>
    <row r="229" spans="1:8" ht="18.399999999999999" hidden="1" customHeight="1">
      <c r="A229" s="11" t="s">
        <v>5403</v>
      </c>
      <c r="B229" s="2" t="s">
        <v>2895</v>
      </c>
      <c r="C229" s="2" t="s">
        <v>6141</v>
      </c>
      <c r="D229" s="25">
        <f>자재조서!E230</f>
        <v>1769590</v>
      </c>
      <c r="E229" s="20" t="s">
        <v>341</v>
      </c>
      <c r="F229" t="s">
        <v>6232</v>
      </c>
      <c r="G229" t="s">
        <v>5776</v>
      </c>
      <c r="H229" t="s">
        <v>6232</v>
      </c>
    </row>
    <row r="230" spans="1:8" ht="18.399999999999999" hidden="1" customHeight="1">
      <c r="A230" s="11" t="s">
        <v>5403</v>
      </c>
      <c r="B230" s="2" t="s">
        <v>6231</v>
      </c>
      <c r="C230" s="2" t="s">
        <v>6141</v>
      </c>
      <c r="D230" s="25">
        <f>자재조서!E231</f>
        <v>1842720</v>
      </c>
      <c r="E230" s="20" t="s">
        <v>341</v>
      </c>
      <c r="F230" t="s">
        <v>6232</v>
      </c>
      <c r="G230" t="s">
        <v>5107</v>
      </c>
      <c r="H230" t="s">
        <v>6232</v>
      </c>
    </row>
    <row r="231" spans="1:8" ht="18.399999999999999" hidden="1" customHeight="1">
      <c r="A231" s="11" t="s">
        <v>5403</v>
      </c>
      <c r="B231" s="2" t="s">
        <v>5141</v>
      </c>
      <c r="C231" s="2" t="s">
        <v>6141</v>
      </c>
      <c r="D231" s="25">
        <f>자재조서!E232</f>
        <v>1911820</v>
      </c>
      <c r="E231" s="20" t="s">
        <v>341</v>
      </c>
      <c r="F231" t="s">
        <v>6232</v>
      </c>
      <c r="G231" t="s">
        <v>5429</v>
      </c>
      <c r="H231" t="s">
        <v>6232</v>
      </c>
    </row>
    <row r="232" spans="1:8" ht="18.399999999999999" hidden="1" customHeight="1">
      <c r="A232" s="11" t="s">
        <v>5403</v>
      </c>
      <c r="B232" s="2" t="s">
        <v>499</v>
      </c>
      <c r="C232" s="2" t="s">
        <v>6141</v>
      </c>
      <c r="D232" s="25">
        <f>자재조서!E233</f>
        <v>2010010</v>
      </c>
      <c r="E232" s="20" t="s">
        <v>341</v>
      </c>
      <c r="F232" t="s">
        <v>6232</v>
      </c>
      <c r="G232" t="s">
        <v>3695</v>
      </c>
      <c r="H232" t="s">
        <v>6232</v>
      </c>
    </row>
    <row r="233" spans="1:8" ht="18.399999999999999" hidden="1" customHeight="1">
      <c r="A233" s="11" t="s">
        <v>5403</v>
      </c>
      <c r="B233" s="2" t="s">
        <v>425</v>
      </c>
      <c r="C233" s="2" t="s">
        <v>6141</v>
      </c>
      <c r="D233" s="25">
        <f>자재조서!E234</f>
        <v>1947030</v>
      </c>
      <c r="E233" s="20" t="s">
        <v>341</v>
      </c>
      <c r="F233" t="s">
        <v>6232</v>
      </c>
      <c r="G233" t="s">
        <v>3382</v>
      </c>
      <c r="H233" t="s">
        <v>6232</v>
      </c>
    </row>
    <row r="234" spans="1:8" ht="18.399999999999999" hidden="1" customHeight="1">
      <c r="A234" s="11" t="s">
        <v>5403</v>
      </c>
      <c r="B234" s="2" t="s">
        <v>6079</v>
      </c>
      <c r="C234" s="2" t="s">
        <v>6141</v>
      </c>
      <c r="D234" s="25">
        <f>자재조서!E235</f>
        <v>2115320</v>
      </c>
      <c r="E234" s="20" t="s">
        <v>341</v>
      </c>
      <c r="F234" t="s">
        <v>6232</v>
      </c>
      <c r="G234" t="s">
        <v>5009</v>
      </c>
      <c r="H234" t="s">
        <v>6232</v>
      </c>
    </row>
    <row r="235" spans="1:8" ht="18.399999999999999" hidden="1" customHeight="1">
      <c r="A235" s="11" t="s">
        <v>5403</v>
      </c>
      <c r="B235" s="2" t="s">
        <v>2787</v>
      </c>
      <c r="C235" s="2" t="s">
        <v>6141</v>
      </c>
      <c r="D235" s="25">
        <f>자재조서!E236</f>
        <v>2325050</v>
      </c>
      <c r="E235" s="20" t="s">
        <v>341</v>
      </c>
      <c r="F235" t="s">
        <v>6232</v>
      </c>
      <c r="G235" t="s">
        <v>4538</v>
      </c>
      <c r="H235" t="s">
        <v>6232</v>
      </c>
    </row>
    <row r="236" spans="1:8" ht="18.399999999999999" hidden="1" customHeight="1">
      <c r="A236" s="11" t="s">
        <v>5403</v>
      </c>
      <c r="B236" s="2" t="s">
        <v>3872</v>
      </c>
      <c r="C236" s="2" t="s">
        <v>6141</v>
      </c>
      <c r="D236" s="25">
        <f>자재조서!E237</f>
        <v>2536270</v>
      </c>
      <c r="E236" s="20" t="s">
        <v>341</v>
      </c>
      <c r="F236" t="s">
        <v>6232</v>
      </c>
      <c r="G236" t="s">
        <v>6065</v>
      </c>
      <c r="H236" t="s">
        <v>6232</v>
      </c>
    </row>
    <row r="237" spans="1:8" ht="18.399999999999999" hidden="1" customHeight="1">
      <c r="A237" s="11" t="s">
        <v>5403</v>
      </c>
      <c r="B237" s="2" t="s">
        <v>1647</v>
      </c>
      <c r="C237" s="2" t="s">
        <v>6141</v>
      </c>
      <c r="D237" s="25">
        <f>자재조서!E238</f>
        <v>1939420</v>
      </c>
      <c r="E237" s="20" t="s">
        <v>341</v>
      </c>
      <c r="F237" t="s">
        <v>6232</v>
      </c>
      <c r="G237" t="s">
        <v>904</v>
      </c>
      <c r="H237" t="s">
        <v>6232</v>
      </c>
    </row>
    <row r="238" spans="1:8" ht="18.399999999999999" hidden="1" customHeight="1">
      <c r="A238" s="11" t="s">
        <v>5403</v>
      </c>
      <c r="B238" s="2" t="s">
        <v>1566</v>
      </c>
      <c r="C238" s="2" t="s">
        <v>6141</v>
      </c>
      <c r="D238" s="25">
        <f>자재조서!E239</f>
        <v>2017290</v>
      </c>
      <c r="E238" s="20" t="s">
        <v>341</v>
      </c>
      <c r="F238" t="s">
        <v>6232</v>
      </c>
      <c r="G238" t="s">
        <v>651</v>
      </c>
      <c r="H238" t="s">
        <v>6232</v>
      </c>
    </row>
    <row r="239" spans="1:8" ht="18.399999999999999" hidden="1" customHeight="1">
      <c r="A239" s="11" t="s">
        <v>5403</v>
      </c>
      <c r="B239" s="2" t="s">
        <v>2564</v>
      </c>
      <c r="C239" s="2" t="s">
        <v>6141</v>
      </c>
      <c r="D239" s="25">
        <f>자재조서!E240</f>
        <v>2086600</v>
      </c>
      <c r="E239" s="20" t="s">
        <v>341</v>
      </c>
      <c r="F239" t="s">
        <v>6232</v>
      </c>
      <c r="G239" t="s">
        <v>584</v>
      </c>
      <c r="H239" t="s">
        <v>6232</v>
      </c>
    </row>
    <row r="240" spans="1:8" ht="18.399999999999999" hidden="1" customHeight="1">
      <c r="A240" s="11" t="s">
        <v>5403</v>
      </c>
      <c r="B240" s="2" t="s">
        <v>4157</v>
      </c>
      <c r="C240" s="2" t="s">
        <v>6141</v>
      </c>
      <c r="D240" s="25">
        <f>자재조서!E241</f>
        <v>2178880</v>
      </c>
      <c r="E240" s="20" t="s">
        <v>341</v>
      </c>
      <c r="F240" t="s">
        <v>6232</v>
      </c>
      <c r="G240" t="s">
        <v>2307</v>
      </c>
      <c r="H240" t="s">
        <v>6232</v>
      </c>
    </row>
    <row r="241" spans="1:8" ht="18.399999999999999" hidden="1" customHeight="1">
      <c r="A241" s="11" t="s">
        <v>5403</v>
      </c>
      <c r="B241" s="2" t="s">
        <v>4275</v>
      </c>
      <c r="C241" s="2" t="s">
        <v>6141</v>
      </c>
      <c r="D241" s="25">
        <f>자재조서!E242</f>
        <v>2348680</v>
      </c>
      <c r="E241" s="20" t="s">
        <v>341</v>
      </c>
      <c r="F241" t="s">
        <v>6232</v>
      </c>
      <c r="G241" t="s">
        <v>1615</v>
      </c>
      <c r="H241" t="s">
        <v>6232</v>
      </c>
    </row>
    <row r="242" spans="1:8" ht="18.399999999999999" hidden="1" customHeight="1">
      <c r="A242" s="11" t="s">
        <v>5403</v>
      </c>
      <c r="B242" s="2" t="s">
        <v>1638</v>
      </c>
      <c r="C242" s="2" t="s">
        <v>6141</v>
      </c>
      <c r="D242" s="25">
        <f>자재조서!E243</f>
        <v>2282720</v>
      </c>
      <c r="E242" s="20" t="s">
        <v>341</v>
      </c>
      <c r="F242" t="s">
        <v>6232</v>
      </c>
      <c r="G242" t="s">
        <v>155</v>
      </c>
      <c r="H242" t="s">
        <v>6232</v>
      </c>
    </row>
    <row r="243" spans="1:8" ht="18.399999999999999" hidden="1" customHeight="1">
      <c r="A243" s="11" t="s">
        <v>5403</v>
      </c>
      <c r="B243" s="2" t="s">
        <v>4904</v>
      </c>
      <c r="C243" s="2" t="s">
        <v>6141</v>
      </c>
      <c r="D243" s="25">
        <f>자재조서!E244</f>
        <v>2497050</v>
      </c>
      <c r="E243" s="20" t="s">
        <v>341</v>
      </c>
      <c r="F243" t="s">
        <v>6232</v>
      </c>
      <c r="G243" t="s">
        <v>2806</v>
      </c>
      <c r="H243" t="s">
        <v>6232</v>
      </c>
    </row>
    <row r="244" spans="1:8" ht="18.399999999999999" hidden="1" customHeight="1">
      <c r="A244" s="11" t="s">
        <v>5403</v>
      </c>
      <c r="B244" s="2" t="s">
        <v>781</v>
      </c>
      <c r="C244" s="2" t="s">
        <v>6141</v>
      </c>
      <c r="D244" s="25">
        <f>자재조서!E245</f>
        <v>2702620</v>
      </c>
      <c r="E244" s="20" t="s">
        <v>341</v>
      </c>
      <c r="F244" t="s">
        <v>6232</v>
      </c>
      <c r="G244" t="s">
        <v>1184</v>
      </c>
      <c r="H244" t="s">
        <v>6232</v>
      </c>
    </row>
    <row r="245" spans="1:8" ht="18.399999999999999" hidden="1" customHeight="1">
      <c r="A245" s="11" t="s">
        <v>5403</v>
      </c>
      <c r="B245" s="2" t="s">
        <v>2781</v>
      </c>
      <c r="C245" s="2" t="s">
        <v>6141</v>
      </c>
      <c r="D245" s="25">
        <f>자재조서!E246</f>
        <v>2886650</v>
      </c>
      <c r="E245" s="20" t="s">
        <v>341</v>
      </c>
      <c r="F245" t="s">
        <v>6232</v>
      </c>
      <c r="G245" t="s">
        <v>5868</v>
      </c>
      <c r="H245" t="s">
        <v>6232</v>
      </c>
    </row>
    <row r="246" spans="1:8" ht="18.399999999999999" hidden="1" customHeight="1">
      <c r="A246" s="11" t="s">
        <v>5403</v>
      </c>
      <c r="B246" s="2" t="s">
        <v>1427</v>
      </c>
      <c r="C246" s="2" t="s">
        <v>6141</v>
      </c>
      <c r="D246" s="25">
        <f>자재조서!E247</f>
        <v>2274390</v>
      </c>
      <c r="E246" s="20" t="s">
        <v>341</v>
      </c>
      <c r="F246" t="s">
        <v>6232</v>
      </c>
      <c r="G246" t="s">
        <v>2061</v>
      </c>
      <c r="H246" t="s">
        <v>6232</v>
      </c>
    </row>
    <row r="247" spans="1:8" ht="18.399999999999999" hidden="1" customHeight="1">
      <c r="A247" s="11" t="s">
        <v>5403</v>
      </c>
      <c r="B247" s="2" t="s">
        <v>5606</v>
      </c>
      <c r="C247" s="2" t="s">
        <v>6141</v>
      </c>
      <c r="D247" s="25">
        <f>자재조서!E248</f>
        <v>2344420</v>
      </c>
      <c r="E247" s="20" t="s">
        <v>3216</v>
      </c>
      <c r="F247" t="s">
        <v>6232</v>
      </c>
      <c r="G247" t="s">
        <v>2585</v>
      </c>
      <c r="H247" t="s">
        <v>6232</v>
      </c>
    </row>
    <row r="248" spans="1:8" ht="18.399999999999999" hidden="1" customHeight="1">
      <c r="A248" s="11" t="s">
        <v>5403</v>
      </c>
      <c r="B248" s="2" t="s">
        <v>4970</v>
      </c>
      <c r="C248" s="2" t="s">
        <v>6141</v>
      </c>
      <c r="D248" s="25">
        <f>자재조서!E249</f>
        <v>2384880</v>
      </c>
      <c r="E248" s="20" t="s">
        <v>3216</v>
      </c>
      <c r="F248" t="s">
        <v>6232</v>
      </c>
      <c r="G248" t="s">
        <v>2508</v>
      </c>
      <c r="H248" t="s">
        <v>6232</v>
      </c>
    </row>
    <row r="249" spans="1:8" ht="18.399999999999999" hidden="1" customHeight="1">
      <c r="A249" s="11" t="s">
        <v>5403</v>
      </c>
      <c r="B249" s="2" t="s">
        <v>294</v>
      </c>
      <c r="C249" s="2" t="s">
        <v>6141</v>
      </c>
      <c r="D249" s="25">
        <f>자재조서!E250</f>
        <v>2438890</v>
      </c>
      <c r="E249" s="20" t="s">
        <v>3216</v>
      </c>
      <c r="F249" t="s">
        <v>6232</v>
      </c>
      <c r="G249" t="s">
        <v>1137</v>
      </c>
      <c r="H249" t="s">
        <v>6232</v>
      </c>
    </row>
    <row r="250" spans="1:8" ht="18.399999999999999" hidden="1" customHeight="1">
      <c r="A250" s="11" t="s">
        <v>5403</v>
      </c>
      <c r="B250" s="2" t="s">
        <v>189</v>
      </c>
      <c r="C250" s="2" t="s">
        <v>6141</v>
      </c>
      <c r="D250" s="25">
        <f>자재조서!E251</f>
        <v>2559080</v>
      </c>
      <c r="E250" s="20" t="s">
        <v>3216</v>
      </c>
      <c r="F250" t="s">
        <v>6232</v>
      </c>
      <c r="G250" t="s">
        <v>1230</v>
      </c>
      <c r="H250" t="s">
        <v>6232</v>
      </c>
    </row>
    <row r="251" spans="1:8" ht="18.399999999999999" hidden="1" customHeight="1">
      <c r="A251" s="11" t="s">
        <v>5403</v>
      </c>
      <c r="B251" s="2" t="s">
        <v>5509</v>
      </c>
      <c r="C251" s="2" t="s">
        <v>6141</v>
      </c>
      <c r="D251" s="25">
        <f>자재조서!E252</f>
        <v>2615390</v>
      </c>
      <c r="E251" s="20" t="s">
        <v>341</v>
      </c>
      <c r="F251" t="s">
        <v>6232</v>
      </c>
      <c r="G251" t="s">
        <v>2854</v>
      </c>
      <c r="H251" t="s">
        <v>6232</v>
      </c>
    </row>
    <row r="252" spans="1:8" ht="18.399999999999999" hidden="1" customHeight="1">
      <c r="A252" s="11" t="s">
        <v>5403</v>
      </c>
      <c r="B252" s="2" t="s">
        <v>2645</v>
      </c>
      <c r="C252" s="2" t="s">
        <v>6141</v>
      </c>
      <c r="D252" s="25">
        <f>자재조서!E253</f>
        <v>2836890</v>
      </c>
      <c r="E252" s="20" t="s">
        <v>341</v>
      </c>
      <c r="F252" t="s">
        <v>6232</v>
      </c>
      <c r="G252" t="s">
        <v>104</v>
      </c>
      <c r="H252" t="s">
        <v>6232</v>
      </c>
    </row>
    <row r="253" spans="1:8" ht="18.399999999999999" hidden="1" customHeight="1">
      <c r="A253" s="11" t="s">
        <v>5403</v>
      </c>
      <c r="B253" s="2" t="s">
        <v>3251</v>
      </c>
      <c r="C253" s="2" t="s">
        <v>6141</v>
      </c>
      <c r="D253" s="25">
        <f>자재조서!E254</f>
        <v>3040960</v>
      </c>
      <c r="E253" s="20" t="s">
        <v>341</v>
      </c>
      <c r="F253" t="s">
        <v>6232</v>
      </c>
      <c r="G253" t="s">
        <v>1562</v>
      </c>
      <c r="H253" t="s">
        <v>6232</v>
      </c>
    </row>
    <row r="254" spans="1:8" ht="18.399999999999999" hidden="1" customHeight="1">
      <c r="A254" s="11" t="s">
        <v>5403</v>
      </c>
      <c r="B254" s="2" t="s">
        <v>5152</v>
      </c>
      <c r="C254" s="2" t="s">
        <v>6141</v>
      </c>
      <c r="D254" s="25">
        <f>자재조서!E255</f>
        <v>3216880</v>
      </c>
      <c r="E254" s="20" t="s">
        <v>341</v>
      </c>
      <c r="F254" t="s">
        <v>6232</v>
      </c>
      <c r="G254" t="s">
        <v>3121</v>
      </c>
      <c r="H254" t="s">
        <v>6232</v>
      </c>
    </row>
    <row r="255" spans="1:8" ht="18.399999999999999" hidden="1" customHeight="1">
      <c r="A255" s="11" t="s">
        <v>5403</v>
      </c>
      <c r="B255" s="2" t="s">
        <v>1511</v>
      </c>
      <c r="C255" s="2" t="s">
        <v>6141</v>
      </c>
      <c r="D255" s="25">
        <f>자재조서!E256</f>
        <v>3478710</v>
      </c>
      <c r="E255" s="20" t="s">
        <v>341</v>
      </c>
      <c r="F255" t="s">
        <v>6232</v>
      </c>
      <c r="G255" t="s">
        <v>4776</v>
      </c>
      <c r="H255" t="s">
        <v>6232</v>
      </c>
    </row>
    <row r="256" spans="1:8" ht="18.399999999999999" hidden="1" customHeight="1">
      <c r="A256" s="11" t="s">
        <v>5403</v>
      </c>
      <c r="B256" s="2" t="s">
        <v>61</v>
      </c>
      <c r="C256" s="2" t="s">
        <v>6141</v>
      </c>
      <c r="D256" s="25">
        <f>자재조서!E257</f>
        <v>2510300</v>
      </c>
      <c r="E256" s="20" t="s">
        <v>341</v>
      </c>
      <c r="F256" t="s">
        <v>6232</v>
      </c>
      <c r="G256" t="s">
        <v>3093</v>
      </c>
      <c r="H256" t="s">
        <v>6232</v>
      </c>
    </row>
    <row r="257" spans="1:8" ht="18.399999999999999" hidden="1" customHeight="1">
      <c r="A257" s="11" t="s">
        <v>5403</v>
      </c>
      <c r="B257" s="2" t="s">
        <v>5420</v>
      </c>
      <c r="C257" s="2" t="s">
        <v>6141</v>
      </c>
      <c r="D257" s="25">
        <f>자재조서!E258</f>
        <v>2591060</v>
      </c>
      <c r="E257" s="20" t="s">
        <v>341</v>
      </c>
      <c r="F257" t="s">
        <v>6232</v>
      </c>
      <c r="G257" t="s">
        <v>4639</v>
      </c>
      <c r="H257" t="s">
        <v>6232</v>
      </c>
    </row>
    <row r="258" spans="1:8" ht="18.399999999999999" hidden="1" customHeight="1">
      <c r="A258" s="11" t="s">
        <v>5403</v>
      </c>
      <c r="B258" s="2" t="s">
        <v>5939</v>
      </c>
      <c r="C258" s="2" t="s">
        <v>6141</v>
      </c>
      <c r="D258" s="25">
        <f>자재조서!E259</f>
        <v>2653990</v>
      </c>
      <c r="E258" s="20" t="s">
        <v>341</v>
      </c>
      <c r="F258" t="s">
        <v>6232</v>
      </c>
      <c r="G258" t="s">
        <v>4347</v>
      </c>
      <c r="H258" t="s">
        <v>6232</v>
      </c>
    </row>
    <row r="259" spans="1:8" ht="18.399999999999999" hidden="1" customHeight="1">
      <c r="A259" s="11" t="s">
        <v>5403</v>
      </c>
      <c r="B259" s="2" t="s">
        <v>1263</v>
      </c>
      <c r="C259" s="2" t="s">
        <v>6141</v>
      </c>
      <c r="D259" s="25">
        <f>자재조서!E260</f>
        <v>2756810</v>
      </c>
      <c r="E259" s="20" t="s">
        <v>341</v>
      </c>
      <c r="F259" t="s">
        <v>6232</v>
      </c>
      <c r="G259" t="s">
        <v>6095</v>
      </c>
      <c r="H259" t="s">
        <v>6232</v>
      </c>
    </row>
    <row r="260" spans="1:8" ht="18.399999999999999" hidden="1" customHeight="1">
      <c r="A260" s="11" t="s">
        <v>5403</v>
      </c>
      <c r="B260" s="2" t="s">
        <v>1178</v>
      </c>
      <c r="C260" s="2" t="s">
        <v>6141</v>
      </c>
      <c r="D260" s="25">
        <f>자재조서!E261</f>
        <v>2928000</v>
      </c>
      <c r="E260" s="20" t="s">
        <v>341</v>
      </c>
      <c r="F260" t="s">
        <v>6232</v>
      </c>
      <c r="G260" t="s">
        <v>5610</v>
      </c>
      <c r="H260" t="s">
        <v>6232</v>
      </c>
    </row>
    <row r="261" spans="1:8" ht="18.399999999999999" hidden="1" customHeight="1">
      <c r="A261" s="11" t="s">
        <v>5403</v>
      </c>
      <c r="B261" s="2" t="s">
        <v>5309</v>
      </c>
      <c r="C261" s="2" t="s">
        <v>6141</v>
      </c>
      <c r="D261" s="25">
        <f>자재조서!E262</f>
        <v>3161660</v>
      </c>
      <c r="E261" s="20" t="s">
        <v>341</v>
      </c>
      <c r="F261" t="s">
        <v>6232</v>
      </c>
      <c r="G261" t="s">
        <v>3973</v>
      </c>
      <c r="H261" t="s">
        <v>6232</v>
      </c>
    </row>
    <row r="262" spans="1:8" ht="18.399999999999999" hidden="1" customHeight="1">
      <c r="A262" s="11" t="s">
        <v>5403</v>
      </c>
      <c r="B262" s="2" t="s">
        <v>2025</v>
      </c>
      <c r="C262" s="2" t="s">
        <v>6141</v>
      </c>
      <c r="D262" s="25">
        <f>자재조서!E263</f>
        <v>3101530</v>
      </c>
      <c r="E262" s="20" t="s">
        <v>341</v>
      </c>
      <c r="F262" t="s">
        <v>6232</v>
      </c>
      <c r="G262" t="s">
        <v>5081</v>
      </c>
      <c r="H262" t="s">
        <v>6232</v>
      </c>
    </row>
    <row r="263" spans="1:8" ht="18.399999999999999" hidden="1" customHeight="1">
      <c r="A263" s="11" t="s">
        <v>5403</v>
      </c>
      <c r="B263" s="2" t="s">
        <v>4627</v>
      </c>
      <c r="C263" s="2" t="s">
        <v>6141</v>
      </c>
      <c r="D263" s="25">
        <f>자재조서!E264</f>
        <v>3309050</v>
      </c>
      <c r="E263" s="20" t="s">
        <v>341</v>
      </c>
      <c r="F263" t="s">
        <v>6232</v>
      </c>
      <c r="G263" t="s">
        <v>3608</v>
      </c>
      <c r="H263" t="s">
        <v>6232</v>
      </c>
    </row>
    <row r="264" spans="1:8" ht="18.399999999999999" hidden="1" customHeight="1">
      <c r="A264" s="11" t="s">
        <v>5403</v>
      </c>
      <c r="B264" s="2" t="s">
        <v>5778</v>
      </c>
      <c r="C264" s="2" t="s">
        <v>6141</v>
      </c>
      <c r="D264" s="25">
        <f>자재조서!E265</f>
        <v>3488920</v>
      </c>
      <c r="E264" s="20" t="s">
        <v>341</v>
      </c>
      <c r="F264" t="s">
        <v>6232</v>
      </c>
      <c r="G264" t="s">
        <v>2033</v>
      </c>
      <c r="H264" t="s">
        <v>6232</v>
      </c>
    </row>
    <row r="265" spans="1:8" ht="18.399999999999999" hidden="1" customHeight="1">
      <c r="A265" s="11" t="s">
        <v>5403</v>
      </c>
      <c r="B265" s="2" t="s">
        <v>160</v>
      </c>
      <c r="C265" s="2" t="s">
        <v>6141</v>
      </c>
      <c r="D265" s="25">
        <f>자재조서!E266</f>
        <v>3747050</v>
      </c>
      <c r="E265" s="20" t="s">
        <v>341</v>
      </c>
      <c r="F265" t="s">
        <v>6232</v>
      </c>
      <c r="G265" t="s">
        <v>419</v>
      </c>
      <c r="H265" t="s">
        <v>6232</v>
      </c>
    </row>
    <row r="266" spans="1:8" ht="18.399999999999999" hidden="1" customHeight="1">
      <c r="A266" s="11" t="s">
        <v>5403</v>
      </c>
      <c r="B266" s="2" t="s">
        <v>3295</v>
      </c>
      <c r="C266" s="2" t="s">
        <v>6141</v>
      </c>
      <c r="D266" s="25">
        <f>자재조서!E267</f>
        <v>4145100</v>
      </c>
      <c r="E266" s="20" t="s">
        <v>341</v>
      </c>
      <c r="F266" t="s">
        <v>6232</v>
      </c>
      <c r="G266" t="s">
        <v>2408</v>
      </c>
      <c r="H266" t="s">
        <v>6232</v>
      </c>
    </row>
    <row r="267" spans="1:8" ht="18.399999999999999" hidden="1" customHeight="1">
      <c r="A267" s="11" t="s">
        <v>5403</v>
      </c>
      <c r="B267" s="2" t="s">
        <v>1988</v>
      </c>
      <c r="C267" s="2" t="s">
        <v>6141</v>
      </c>
      <c r="D267" s="25">
        <f>자재조서!E268</f>
        <v>3237780</v>
      </c>
      <c r="E267" s="20" t="s">
        <v>341</v>
      </c>
      <c r="F267" t="s">
        <v>6232</v>
      </c>
      <c r="G267" t="s">
        <v>4724</v>
      </c>
      <c r="H267" t="s">
        <v>6232</v>
      </c>
    </row>
    <row r="268" spans="1:8" ht="18.399999999999999" hidden="1" customHeight="1">
      <c r="A268" s="11" t="s">
        <v>5403</v>
      </c>
      <c r="B268" s="2" t="s">
        <v>3574</v>
      </c>
      <c r="C268" s="2" t="s">
        <v>6141</v>
      </c>
      <c r="D268" s="25">
        <f>자재조서!E269</f>
        <v>3345340</v>
      </c>
      <c r="E268" s="20" t="s">
        <v>341</v>
      </c>
      <c r="F268" t="s">
        <v>6232</v>
      </c>
      <c r="G268" t="s">
        <v>3360</v>
      </c>
      <c r="H268" t="s">
        <v>6232</v>
      </c>
    </row>
    <row r="269" spans="1:8" ht="18.399999999999999" hidden="1" customHeight="1">
      <c r="A269" s="11" t="s">
        <v>5403</v>
      </c>
      <c r="B269" s="2" t="s">
        <v>3656</v>
      </c>
      <c r="C269" s="2" t="s">
        <v>6141</v>
      </c>
      <c r="D269" s="25">
        <f>자재조서!E270</f>
        <v>3520520</v>
      </c>
      <c r="E269" s="20" t="s">
        <v>341</v>
      </c>
      <c r="F269" t="s">
        <v>6232</v>
      </c>
      <c r="G269" t="s">
        <v>3664</v>
      </c>
      <c r="H269" t="s">
        <v>6232</v>
      </c>
    </row>
    <row r="270" spans="1:8" ht="18.399999999999999" hidden="1" customHeight="1">
      <c r="A270" s="11" t="s">
        <v>5403</v>
      </c>
      <c r="B270" s="2" t="s">
        <v>3018</v>
      </c>
      <c r="C270" s="2" t="s">
        <v>6141</v>
      </c>
      <c r="D270" s="25">
        <f>자재조서!E271</f>
        <v>3724760</v>
      </c>
      <c r="E270" s="20" t="s">
        <v>3216</v>
      </c>
      <c r="F270" t="s">
        <v>6232</v>
      </c>
      <c r="G270" t="s">
        <v>5133</v>
      </c>
      <c r="H270" t="s">
        <v>6232</v>
      </c>
    </row>
    <row r="271" spans="1:8" ht="18.399999999999999" hidden="1" customHeight="1">
      <c r="A271" s="11" t="s">
        <v>5403</v>
      </c>
      <c r="B271" s="2" t="s">
        <v>5917</v>
      </c>
      <c r="C271" s="2" t="s">
        <v>6141</v>
      </c>
      <c r="D271" s="25">
        <f>자재조서!E272</f>
        <v>3718500</v>
      </c>
      <c r="E271" s="20" t="s">
        <v>341</v>
      </c>
      <c r="F271" t="s">
        <v>6232</v>
      </c>
      <c r="G271" t="s">
        <v>3925</v>
      </c>
      <c r="H271" t="s">
        <v>6232</v>
      </c>
    </row>
    <row r="272" spans="1:8" ht="18.399999999999999" hidden="1" customHeight="1">
      <c r="A272" s="11" t="s">
        <v>5403</v>
      </c>
      <c r="B272" s="2" t="s">
        <v>607</v>
      </c>
      <c r="C272" s="2" t="s">
        <v>6141</v>
      </c>
      <c r="D272" s="25">
        <f>자재조서!E273</f>
        <v>3930060</v>
      </c>
      <c r="E272" s="20" t="s">
        <v>341</v>
      </c>
      <c r="F272" t="s">
        <v>6232</v>
      </c>
      <c r="G272" t="s">
        <v>5555</v>
      </c>
      <c r="H272" t="s">
        <v>6232</v>
      </c>
    </row>
    <row r="273" spans="1:8" ht="18.399999999999999" hidden="1" customHeight="1">
      <c r="A273" s="11" t="s">
        <v>5403</v>
      </c>
      <c r="B273" s="2" t="s">
        <v>1779</v>
      </c>
      <c r="C273" s="2" t="s">
        <v>6141</v>
      </c>
      <c r="D273" s="25">
        <f>자재조서!E274</f>
        <v>4076630</v>
      </c>
      <c r="E273" s="20" t="s">
        <v>341</v>
      </c>
      <c r="F273" t="s">
        <v>6232</v>
      </c>
      <c r="G273" t="s">
        <v>886</v>
      </c>
      <c r="H273" t="s">
        <v>6232</v>
      </c>
    </row>
    <row r="274" spans="1:8" ht="18.399999999999999" hidden="1" customHeight="1">
      <c r="A274" s="11" t="s">
        <v>5403</v>
      </c>
      <c r="B274" s="2" t="s">
        <v>3928</v>
      </c>
      <c r="C274" s="2" t="s">
        <v>6141</v>
      </c>
      <c r="D274" s="25">
        <f>자재조서!E275</f>
        <v>4334250</v>
      </c>
      <c r="E274" s="20" t="s">
        <v>341</v>
      </c>
      <c r="F274" t="s">
        <v>6232</v>
      </c>
      <c r="G274" t="s">
        <v>2360</v>
      </c>
      <c r="H274" t="s">
        <v>6232</v>
      </c>
    </row>
    <row r="275" spans="1:8" ht="18.399999999999999" hidden="1" customHeight="1">
      <c r="A275" s="11" t="s">
        <v>5403</v>
      </c>
      <c r="B275" s="2" t="s">
        <v>1143</v>
      </c>
      <c r="C275" s="2" t="s">
        <v>6141</v>
      </c>
      <c r="D275" s="25">
        <f>자재조서!E276</f>
        <v>4752310</v>
      </c>
      <c r="E275" s="20" t="s">
        <v>341</v>
      </c>
      <c r="F275" t="s">
        <v>6232</v>
      </c>
      <c r="G275" t="s">
        <v>473</v>
      </c>
      <c r="H275" t="s">
        <v>6232</v>
      </c>
    </row>
    <row r="276" spans="1:8" ht="18.399999999999999" hidden="1" customHeight="1">
      <c r="A276" s="11" t="s">
        <v>5403</v>
      </c>
      <c r="B276" s="2" t="s">
        <v>4766</v>
      </c>
      <c r="C276" s="2" t="s">
        <v>6141</v>
      </c>
      <c r="D276" s="25">
        <f>자재조서!E277</f>
        <v>5022470</v>
      </c>
      <c r="E276" s="20" t="s">
        <v>341</v>
      </c>
      <c r="F276" t="s">
        <v>6232</v>
      </c>
      <c r="G276" t="s">
        <v>2086</v>
      </c>
      <c r="H276" t="s">
        <v>6232</v>
      </c>
    </row>
    <row r="277" spans="1:8" ht="18.399999999999999" hidden="1" customHeight="1">
      <c r="A277" s="11" t="s">
        <v>5403</v>
      </c>
      <c r="B277" s="2" t="s">
        <v>5229</v>
      </c>
      <c r="C277" s="2" t="s">
        <v>6141</v>
      </c>
      <c r="D277" s="25">
        <f>자재조서!E278</f>
        <v>3545950</v>
      </c>
      <c r="E277" s="20" t="s">
        <v>341</v>
      </c>
      <c r="F277" t="s">
        <v>6232</v>
      </c>
      <c r="G277" t="s">
        <v>2034</v>
      </c>
      <c r="H277" t="s">
        <v>6232</v>
      </c>
    </row>
    <row r="278" spans="1:8" ht="18.399999999999999" hidden="1" customHeight="1">
      <c r="A278" s="11" t="s">
        <v>5403</v>
      </c>
      <c r="B278" s="2" t="s">
        <v>5098</v>
      </c>
      <c r="C278" s="2" t="s">
        <v>6141</v>
      </c>
      <c r="D278" s="25">
        <f>자재조서!E279</f>
        <v>3720900</v>
      </c>
      <c r="E278" s="20" t="s">
        <v>341</v>
      </c>
      <c r="F278" t="s">
        <v>6232</v>
      </c>
      <c r="G278" t="s">
        <v>1725</v>
      </c>
      <c r="H278" t="s">
        <v>6232</v>
      </c>
    </row>
    <row r="279" spans="1:8" ht="18.399999999999999" hidden="1" customHeight="1">
      <c r="A279" s="11" t="s">
        <v>5403</v>
      </c>
      <c r="B279" s="2" t="s">
        <v>1378</v>
      </c>
      <c r="C279" s="2" t="s">
        <v>6141</v>
      </c>
      <c r="D279" s="25">
        <f>자재조서!E280</f>
        <v>3959850</v>
      </c>
      <c r="E279" s="20" t="s">
        <v>341</v>
      </c>
      <c r="F279" t="s">
        <v>6232</v>
      </c>
      <c r="G279" t="s">
        <v>299</v>
      </c>
      <c r="H279" t="s">
        <v>6232</v>
      </c>
    </row>
    <row r="280" spans="1:8" ht="18.399999999999999" hidden="1" customHeight="1">
      <c r="A280" s="11" t="s">
        <v>5403</v>
      </c>
      <c r="B280" s="2" t="s">
        <v>4437</v>
      </c>
      <c r="C280" s="2" t="s">
        <v>6141</v>
      </c>
      <c r="D280" s="25">
        <f>자재조서!E281</f>
        <v>4252470</v>
      </c>
      <c r="E280" s="20" t="s">
        <v>3216</v>
      </c>
      <c r="F280" t="s">
        <v>6232</v>
      </c>
      <c r="G280" t="s">
        <v>3072</v>
      </c>
      <c r="H280" t="s">
        <v>6232</v>
      </c>
    </row>
    <row r="281" spans="1:8" ht="18.399999999999999" hidden="1" customHeight="1">
      <c r="A281" s="11" t="s">
        <v>5403</v>
      </c>
      <c r="B281" s="2" t="s">
        <v>2221</v>
      </c>
      <c r="C281" s="2" t="s">
        <v>6141</v>
      </c>
      <c r="D281" s="25">
        <f>자재조서!E282</f>
        <v>4141350</v>
      </c>
      <c r="E281" s="20" t="s">
        <v>341</v>
      </c>
      <c r="F281" t="s">
        <v>6232</v>
      </c>
      <c r="G281" t="s">
        <v>1409</v>
      </c>
      <c r="H281" t="s">
        <v>6232</v>
      </c>
    </row>
    <row r="282" spans="1:8" ht="18.399999999999999" hidden="1" customHeight="1">
      <c r="A282" s="11" t="s">
        <v>5403</v>
      </c>
      <c r="B282" s="2" t="s">
        <v>321</v>
      </c>
      <c r="C282" s="2" t="s">
        <v>6141</v>
      </c>
      <c r="D282" s="25">
        <f>자재조서!E283</f>
        <v>4324540</v>
      </c>
      <c r="E282" s="20" t="s">
        <v>341</v>
      </c>
      <c r="F282" t="s">
        <v>6232</v>
      </c>
      <c r="G282" t="s">
        <v>6096</v>
      </c>
      <c r="H282" t="s">
        <v>6232</v>
      </c>
    </row>
    <row r="283" spans="1:8" ht="18.399999999999999" hidden="1" customHeight="1">
      <c r="A283" s="11" t="s">
        <v>5403</v>
      </c>
      <c r="B283" s="2" t="s">
        <v>5578</v>
      </c>
      <c r="C283" s="2" t="s">
        <v>6141</v>
      </c>
      <c r="D283" s="25">
        <f>자재조서!E284</f>
        <v>4538850</v>
      </c>
      <c r="E283" s="20" t="s">
        <v>341</v>
      </c>
      <c r="F283" t="s">
        <v>6232</v>
      </c>
      <c r="G283" t="s">
        <v>4640</v>
      </c>
      <c r="H283" t="s">
        <v>6232</v>
      </c>
    </row>
    <row r="284" spans="1:8" ht="18.399999999999999" hidden="1" customHeight="1">
      <c r="A284" s="11" t="s">
        <v>5403</v>
      </c>
      <c r="B284" s="2" t="s">
        <v>2616</v>
      </c>
      <c r="C284" s="2" t="s">
        <v>6141</v>
      </c>
      <c r="D284" s="25">
        <f>자재조서!E285</f>
        <v>4958240</v>
      </c>
      <c r="E284" s="20" t="s">
        <v>341</v>
      </c>
      <c r="F284" t="s">
        <v>6232</v>
      </c>
      <c r="G284" t="s">
        <v>4984</v>
      </c>
      <c r="H284" t="s">
        <v>6232</v>
      </c>
    </row>
    <row r="285" spans="1:8" ht="18.399999999999999" hidden="1" customHeight="1">
      <c r="A285" s="11" t="s">
        <v>5403</v>
      </c>
      <c r="B285" s="2" t="s">
        <v>3099</v>
      </c>
      <c r="C285" s="2" t="s">
        <v>6141</v>
      </c>
      <c r="D285" s="25">
        <f>자재조서!E286</f>
        <v>5156300</v>
      </c>
      <c r="E285" s="20" t="s">
        <v>4167</v>
      </c>
      <c r="F285" t="s">
        <v>6232</v>
      </c>
      <c r="G285" t="s">
        <v>3303</v>
      </c>
      <c r="H285" t="s">
        <v>6232</v>
      </c>
    </row>
    <row r="286" spans="1:8" ht="18.399999999999999" hidden="1" customHeight="1">
      <c r="A286" s="11" t="s">
        <v>5403</v>
      </c>
      <c r="B286" s="2" t="s">
        <v>3219</v>
      </c>
      <c r="C286" s="2" t="s">
        <v>6141</v>
      </c>
      <c r="D286" s="25">
        <f>자재조서!E287</f>
        <v>5573650</v>
      </c>
      <c r="E286" s="20" t="s">
        <v>341</v>
      </c>
      <c r="F286" t="s">
        <v>6232</v>
      </c>
      <c r="G286" t="s">
        <v>3609</v>
      </c>
      <c r="H286" t="s">
        <v>6232</v>
      </c>
    </row>
    <row r="287" spans="1:8" ht="18.399999999999999" hidden="1" customHeight="1">
      <c r="A287" s="11" t="s">
        <v>5403</v>
      </c>
      <c r="B287" s="2" t="s">
        <v>2825</v>
      </c>
      <c r="C287" s="2" t="s">
        <v>6141</v>
      </c>
      <c r="D287" s="25">
        <f>자재조서!E288</f>
        <v>4128450</v>
      </c>
      <c r="E287" s="20" t="s">
        <v>341</v>
      </c>
      <c r="F287" t="s">
        <v>6232</v>
      </c>
      <c r="G287" t="s">
        <v>1361</v>
      </c>
      <c r="H287" t="s">
        <v>6232</v>
      </c>
    </row>
    <row r="288" spans="1:8" ht="18.399999999999999" hidden="1" customHeight="1">
      <c r="A288" s="11" t="s">
        <v>5403</v>
      </c>
      <c r="B288" s="2" t="s">
        <v>3836</v>
      </c>
      <c r="C288" s="2" t="s">
        <v>6141</v>
      </c>
      <c r="D288" s="25">
        <f>자재조서!E289</f>
        <v>4377630</v>
      </c>
      <c r="E288" s="20" t="s">
        <v>341</v>
      </c>
      <c r="F288" t="s">
        <v>6232</v>
      </c>
      <c r="G288" t="s">
        <v>3026</v>
      </c>
      <c r="H288" t="s">
        <v>6232</v>
      </c>
    </row>
    <row r="289" spans="1:8" ht="18.399999999999999" hidden="1" customHeight="1">
      <c r="A289" s="11" t="s">
        <v>5403</v>
      </c>
      <c r="B289" s="2" t="s">
        <v>391</v>
      </c>
      <c r="C289" s="2" t="s">
        <v>6141</v>
      </c>
      <c r="D289" s="25">
        <f>자재조서!E290</f>
        <v>4717330</v>
      </c>
      <c r="E289" s="20" t="s">
        <v>341</v>
      </c>
      <c r="F289" t="s">
        <v>6232</v>
      </c>
      <c r="G289" t="s">
        <v>362</v>
      </c>
      <c r="H289" t="s">
        <v>6232</v>
      </c>
    </row>
    <row r="290" spans="1:8" ht="18.399999999999999" hidden="1" customHeight="1">
      <c r="A290" s="11" t="s">
        <v>5403</v>
      </c>
      <c r="B290" s="2" t="s">
        <v>6119</v>
      </c>
      <c r="C290" s="2" t="s">
        <v>6141</v>
      </c>
      <c r="D290" s="25">
        <f>자재조서!E291</f>
        <v>4578950</v>
      </c>
      <c r="E290" s="20" t="s">
        <v>341</v>
      </c>
      <c r="F290" t="s">
        <v>6232</v>
      </c>
      <c r="G290" t="s">
        <v>1785</v>
      </c>
      <c r="H290" t="s">
        <v>6232</v>
      </c>
    </row>
    <row r="291" spans="1:8" ht="18.399999999999999" hidden="1" customHeight="1">
      <c r="A291" s="11" t="s">
        <v>5403</v>
      </c>
      <c r="B291" s="2" t="s">
        <v>4114</v>
      </c>
      <c r="C291" s="2" t="s">
        <v>6141</v>
      </c>
      <c r="D291" s="25">
        <f>자재조서!E292</f>
        <v>4770460</v>
      </c>
      <c r="E291" s="20" t="s">
        <v>341</v>
      </c>
      <c r="F291" t="s">
        <v>6232</v>
      </c>
      <c r="G291" t="s">
        <v>3361</v>
      </c>
      <c r="H291" t="s">
        <v>6232</v>
      </c>
    </row>
    <row r="292" spans="1:8" ht="18.399999999999999" hidden="1" customHeight="1">
      <c r="A292" s="11" t="s">
        <v>5403</v>
      </c>
      <c r="B292" s="2" t="s">
        <v>1579</v>
      </c>
      <c r="C292" s="2" t="s">
        <v>6141</v>
      </c>
      <c r="D292" s="25">
        <f>자재조서!E293</f>
        <v>5044080</v>
      </c>
      <c r="E292" s="20" t="s">
        <v>341</v>
      </c>
      <c r="F292" t="s">
        <v>6232</v>
      </c>
      <c r="G292" t="s">
        <v>5031</v>
      </c>
      <c r="H292" t="s">
        <v>6232</v>
      </c>
    </row>
    <row r="293" spans="1:8" ht="18.399999999999999" hidden="1" customHeight="1">
      <c r="A293" s="11" t="s">
        <v>5403</v>
      </c>
      <c r="B293" s="2" t="s">
        <v>4948</v>
      </c>
      <c r="C293" s="2" t="s">
        <v>6141</v>
      </c>
      <c r="D293" s="25">
        <f>자재조서!E294</f>
        <v>5433150</v>
      </c>
      <c r="E293" s="20" t="s">
        <v>341</v>
      </c>
      <c r="F293" t="s">
        <v>6232</v>
      </c>
      <c r="G293" t="s">
        <v>4581</v>
      </c>
      <c r="H293" t="s">
        <v>6232</v>
      </c>
    </row>
    <row r="294" spans="1:8" ht="18.399999999999999" hidden="1" customHeight="1">
      <c r="A294" s="11" t="s">
        <v>5403</v>
      </c>
      <c r="B294" s="2" t="s">
        <v>969</v>
      </c>
      <c r="C294" s="2" t="s">
        <v>6141</v>
      </c>
      <c r="D294" s="25">
        <f>자재조서!E295</f>
        <v>5724400</v>
      </c>
      <c r="E294" s="20" t="s">
        <v>341</v>
      </c>
      <c r="F294" t="s">
        <v>6232</v>
      </c>
      <c r="G294" t="s">
        <v>6041</v>
      </c>
      <c r="H294" t="s">
        <v>6232</v>
      </c>
    </row>
    <row r="295" spans="1:8" ht="18.399999999999999" hidden="1" customHeight="1">
      <c r="A295" s="11" t="s">
        <v>5403</v>
      </c>
      <c r="B295" s="2" t="s">
        <v>816</v>
      </c>
      <c r="C295" s="2" t="s">
        <v>6141</v>
      </c>
      <c r="D295" s="25">
        <f>자재조서!E296</f>
        <v>6062420</v>
      </c>
      <c r="E295" s="20" t="s">
        <v>341</v>
      </c>
      <c r="F295" t="s">
        <v>6232</v>
      </c>
      <c r="G295" t="s">
        <v>5556</v>
      </c>
      <c r="H295" t="s">
        <v>6232</v>
      </c>
    </row>
    <row r="296" spans="1:8" ht="18.399999999999999" hidden="1" customHeight="1">
      <c r="A296" s="11" t="s">
        <v>5403</v>
      </c>
      <c r="B296" s="2" t="s">
        <v>4885</v>
      </c>
      <c r="C296" s="2" t="s">
        <v>6141</v>
      </c>
      <c r="D296" s="25">
        <f>자재조서!E297</f>
        <v>6372700</v>
      </c>
      <c r="E296" s="20" t="s">
        <v>341</v>
      </c>
      <c r="F296" t="s">
        <v>6232</v>
      </c>
      <c r="G296" t="s">
        <v>3926</v>
      </c>
      <c r="H296" t="s">
        <v>6232</v>
      </c>
    </row>
    <row r="297" spans="1:8" ht="18.399999999999999" hidden="1" customHeight="1">
      <c r="A297" s="11" t="s">
        <v>5403</v>
      </c>
      <c r="B297" s="2" t="s">
        <v>4077</v>
      </c>
      <c r="C297" s="2" t="s">
        <v>6141</v>
      </c>
      <c r="D297" s="25">
        <f>자재조서!E298</f>
        <v>4832090</v>
      </c>
      <c r="E297" s="20" t="s">
        <v>341</v>
      </c>
      <c r="F297" t="s">
        <v>6232</v>
      </c>
      <c r="G297" t="s">
        <v>4101</v>
      </c>
      <c r="H297" t="s">
        <v>6232</v>
      </c>
    </row>
    <row r="298" spans="1:8" ht="18.399999999999999" hidden="1" customHeight="1">
      <c r="A298" s="11" t="s">
        <v>5403</v>
      </c>
      <c r="B298" s="2" t="s">
        <v>992</v>
      </c>
      <c r="C298" s="2" t="s">
        <v>6141</v>
      </c>
      <c r="D298" s="25">
        <f>자재조서!E299</f>
        <v>5110030</v>
      </c>
      <c r="E298" s="20" t="s">
        <v>341</v>
      </c>
      <c r="F298" t="s">
        <v>6232</v>
      </c>
      <c r="G298" t="s">
        <v>5317</v>
      </c>
      <c r="H298" t="s">
        <v>6232</v>
      </c>
    </row>
    <row r="299" spans="1:8" ht="18.399999999999999" hidden="1" customHeight="1">
      <c r="A299" s="11" t="s">
        <v>5403</v>
      </c>
      <c r="B299" s="2" t="s">
        <v>4719</v>
      </c>
      <c r="C299" s="2" t="s">
        <v>6141</v>
      </c>
      <c r="D299" s="25">
        <f>자재조서!E300</f>
        <v>5352730</v>
      </c>
      <c r="E299" s="20" t="s">
        <v>341</v>
      </c>
      <c r="F299" t="s">
        <v>6232</v>
      </c>
      <c r="G299" t="s">
        <v>3870</v>
      </c>
      <c r="H299" t="s">
        <v>6232</v>
      </c>
    </row>
    <row r="300" spans="1:8" ht="18.399999999999999" hidden="1" customHeight="1">
      <c r="A300" s="11" t="s">
        <v>5403</v>
      </c>
      <c r="B300" s="2" t="s">
        <v>3486</v>
      </c>
      <c r="C300" s="2" t="s">
        <v>6141</v>
      </c>
      <c r="D300" s="25">
        <f>자재조서!E301</f>
        <v>5119810</v>
      </c>
      <c r="E300" s="20" t="s">
        <v>341</v>
      </c>
      <c r="F300" t="s">
        <v>6232</v>
      </c>
      <c r="G300" t="s">
        <v>2308</v>
      </c>
      <c r="H300" t="s">
        <v>6232</v>
      </c>
    </row>
    <row r="301" spans="1:8" ht="18.399999999999999" hidden="1" customHeight="1">
      <c r="A301" s="11" t="s">
        <v>5403</v>
      </c>
      <c r="B301" s="2" t="s">
        <v>2957</v>
      </c>
      <c r="C301" s="2" t="s">
        <v>6141</v>
      </c>
      <c r="D301" s="25">
        <f>자재조서!E302</f>
        <v>5435470</v>
      </c>
      <c r="E301" s="20" t="s">
        <v>341</v>
      </c>
      <c r="F301" t="s">
        <v>6232</v>
      </c>
      <c r="G301" t="s">
        <v>652</v>
      </c>
      <c r="H301" t="s">
        <v>6232</v>
      </c>
    </row>
    <row r="302" spans="1:8" ht="18.399999999999999" hidden="1" customHeight="1">
      <c r="A302" s="11" t="s">
        <v>5403</v>
      </c>
      <c r="B302" s="2" t="s">
        <v>5955</v>
      </c>
      <c r="C302" s="2" t="s">
        <v>6141</v>
      </c>
      <c r="D302" s="25">
        <f>자재조서!E303</f>
        <v>5688100</v>
      </c>
      <c r="E302" s="20" t="s">
        <v>341</v>
      </c>
      <c r="F302" t="s">
        <v>6232</v>
      </c>
      <c r="G302" t="s">
        <v>2523</v>
      </c>
      <c r="H302" t="s">
        <v>6232</v>
      </c>
    </row>
    <row r="303" spans="1:8" ht="18.399999999999999" hidden="1" customHeight="1">
      <c r="A303" s="11" t="s">
        <v>5403</v>
      </c>
      <c r="B303" s="2" t="s">
        <v>737</v>
      </c>
      <c r="C303" s="2" t="s">
        <v>6141</v>
      </c>
      <c r="D303" s="25">
        <f>자재조서!E304</f>
        <v>5979700</v>
      </c>
      <c r="E303" s="20" t="s">
        <v>341</v>
      </c>
      <c r="F303" t="s">
        <v>6232</v>
      </c>
      <c r="G303" t="s">
        <v>1081</v>
      </c>
      <c r="H303" t="s">
        <v>6232</v>
      </c>
    </row>
    <row r="304" spans="1:8" ht="18.399999999999999" hidden="1" customHeight="1">
      <c r="A304" s="11" t="s">
        <v>5403</v>
      </c>
      <c r="B304" s="2" t="s">
        <v>671</v>
      </c>
      <c r="C304" s="2" t="s">
        <v>6141</v>
      </c>
      <c r="D304" s="25">
        <f>자재조서!E305</f>
        <v>6312630</v>
      </c>
      <c r="E304" s="20" t="s">
        <v>341</v>
      </c>
      <c r="F304" t="s">
        <v>6232</v>
      </c>
      <c r="G304" t="s">
        <v>1185</v>
      </c>
      <c r="H304" t="s">
        <v>6232</v>
      </c>
    </row>
    <row r="305" spans="1:8" ht="18.399999999999999" hidden="1" customHeight="1">
      <c r="A305" s="11" t="s">
        <v>5403</v>
      </c>
      <c r="B305" s="2" t="s">
        <v>5845</v>
      </c>
      <c r="C305" s="2" t="s">
        <v>6141</v>
      </c>
      <c r="D305" s="25">
        <f>자재조서!E306</f>
        <v>6604270</v>
      </c>
      <c r="E305" s="20" t="s">
        <v>341</v>
      </c>
      <c r="F305" t="s">
        <v>6232</v>
      </c>
      <c r="G305" t="s">
        <v>2807</v>
      </c>
      <c r="H305" t="s">
        <v>6232</v>
      </c>
    </row>
    <row r="306" spans="1:8" ht="18.399999999999999" hidden="1" customHeight="1">
      <c r="A306" s="11" t="s">
        <v>5403</v>
      </c>
      <c r="B306" s="2" t="s">
        <v>3031</v>
      </c>
      <c r="C306" s="2" t="s">
        <v>6141</v>
      </c>
      <c r="D306" s="25">
        <f>자재조서!E307</f>
        <v>6944850</v>
      </c>
      <c r="E306" s="20" t="s">
        <v>341</v>
      </c>
      <c r="F306" t="s">
        <v>6232</v>
      </c>
      <c r="G306" t="s">
        <v>156</v>
      </c>
      <c r="H306" t="s">
        <v>6232</v>
      </c>
    </row>
    <row r="307" spans="1:8" ht="18.399999999999999" hidden="1" customHeight="1">
      <c r="A307" s="11" t="s">
        <v>5403</v>
      </c>
      <c r="B307" s="2" t="s">
        <v>3437</v>
      </c>
      <c r="C307" s="2" t="s">
        <v>6141</v>
      </c>
      <c r="D307" s="25">
        <f>자재조서!E308</f>
        <v>5397710</v>
      </c>
      <c r="E307" s="20" t="s">
        <v>341</v>
      </c>
      <c r="F307" t="s">
        <v>6232</v>
      </c>
      <c r="G307" t="s">
        <v>4154</v>
      </c>
      <c r="H307" t="s">
        <v>6232</v>
      </c>
    </row>
    <row r="308" spans="1:8" ht="18.399999999999999" hidden="1" customHeight="1">
      <c r="A308" s="11" t="s">
        <v>5403</v>
      </c>
      <c r="B308" s="2" t="s">
        <v>2459</v>
      </c>
      <c r="C308" s="2" t="s">
        <v>6141</v>
      </c>
      <c r="D308" s="25">
        <f>자재조서!E309</f>
        <v>5676100</v>
      </c>
      <c r="E308" s="20" t="s">
        <v>341</v>
      </c>
      <c r="F308" t="s">
        <v>6232</v>
      </c>
      <c r="G308" t="s">
        <v>5822</v>
      </c>
      <c r="H308" t="s">
        <v>6232</v>
      </c>
    </row>
    <row r="309" spans="1:8" ht="18.399999999999999" hidden="1" customHeight="1">
      <c r="A309" s="11" t="s">
        <v>5403</v>
      </c>
      <c r="B309" s="2" t="s">
        <v>1326</v>
      </c>
      <c r="C309" s="2" t="s">
        <v>6141</v>
      </c>
      <c r="D309" s="25">
        <f>자재조서!E310</f>
        <v>5449710</v>
      </c>
      <c r="E309" s="20" t="s">
        <v>341</v>
      </c>
      <c r="F309" t="s">
        <v>6232</v>
      </c>
      <c r="G309" t="s">
        <v>1138</v>
      </c>
      <c r="H309" t="s">
        <v>6232</v>
      </c>
    </row>
    <row r="310" spans="1:8" ht="18.399999999999999" hidden="1" customHeight="1">
      <c r="A310" s="11" t="s">
        <v>5403</v>
      </c>
      <c r="B310" s="2" t="s">
        <v>5351</v>
      </c>
      <c r="C310" s="2" t="s">
        <v>6141</v>
      </c>
      <c r="D310" s="25">
        <f>자재조서!E311</f>
        <v>5721980</v>
      </c>
      <c r="E310" s="20" t="s">
        <v>341</v>
      </c>
      <c r="F310" t="s">
        <v>6232</v>
      </c>
      <c r="G310" t="s">
        <v>2575</v>
      </c>
      <c r="H310" t="s">
        <v>6232</v>
      </c>
    </row>
    <row r="311" spans="1:8" ht="18.399999999999999" hidden="1" customHeight="1">
      <c r="A311" s="11" t="s">
        <v>5403</v>
      </c>
      <c r="B311" s="2" t="s">
        <v>1970</v>
      </c>
      <c r="C311" s="2" t="s">
        <v>6141</v>
      </c>
      <c r="D311" s="25">
        <f>자재조서!E312</f>
        <v>6036210</v>
      </c>
      <c r="E311" s="20" t="s">
        <v>341</v>
      </c>
      <c r="F311" t="s">
        <v>6232</v>
      </c>
      <c r="G311" t="s">
        <v>609</v>
      </c>
      <c r="H311" t="s">
        <v>6232</v>
      </c>
    </row>
    <row r="312" spans="1:8" ht="18.399999999999999" hidden="1" customHeight="1">
      <c r="A312" s="11" t="s">
        <v>5403</v>
      </c>
      <c r="B312" s="2" t="s">
        <v>4491</v>
      </c>
      <c r="C312" s="2" t="s">
        <v>6141</v>
      </c>
      <c r="D312" s="25">
        <f>자재조서!E313</f>
        <v>6369280</v>
      </c>
      <c r="E312" s="20" t="s">
        <v>341</v>
      </c>
      <c r="F312" t="s">
        <v>6232</v>
      </c>
      <c r="G312" t="s">
        <v>2259</v>
      </c>
      <c r="H312" t="s">
        <v>6232</v>
      </c>
    </row>
    <row r="313" spans="1:8" ht="18.399999999999999" hidden="1" customHeight="1">
      <c r="A313" s="11" t="s">
        <v>5403</v>
      </c>
      <c r="B313" s="2" t="s">
        <v>4548</v>
      </c>
      <c r="C313" s="2" t="s">
        <v>6141</v>
      </c>
      <c r="D313" s="25">
        <f>자재조서!E314</f>
        <v>6590200</v>
      </c>
      <c r="E313" s="20" t="s">
        <v>341</v>
      </c>
      <c r="F313" t="s">
        <v>6232</v>
      </c>
      <c r="G313" t="s">
        <v>1563</v>
      </c>
      <c r="H313" t="s">
        <v>6232</v>
      </c>
    </row>
    <row r="314" spans="1:8" ht="18.399999999999999" hidden="1" customHeight="1">
      <c r="A314" s="11" t="s">
        <v>5403</v>
      </c>
      <c r="B314" s="2" t="s">
        <v>2119</v>
      </c>
      <c r="C314" s="2" t="s">
        <v>6141</v>
      </c>
      <c r="D314" s="25">
        <f>자재조서!E315</f>
        <v>6878410</v>
      </c>
      <c r="E314" s="20" t="s">
        <v>341</v>
      </c>
      <c r="F314" t="s">
        <v>6232</v>
      </c>
      <c r="G314" t="s">
        <v>105</v>
      </c>
      <c r="H314" t="s">
        <v>6232</v>
      </c>
    </row>
    <row r="315" spans="1:8" ht="18.399999999999999" hidden="1" customHeight="1">
      <c r="A315" s="11" t="s">
        <v>5403</v>
      </c>
      <c r="B315" s="2" t="s">
        <v>5261</v>
      </c>
      <c r="C315" s="2" t="s">
        <v>6141</v>
      </c>
      <c r="D315" s="25">
        <f>자재조서!E316</f>
        <v>7179750</v>
      </c>
      <c r="E315" s="20" t="s">
        <v>341</v>
      </c>
      <c r="F315" t="s">
        <v>6232</v>
      </c>
      <c r="G315" t="s">
        <v>2855</v>
      </c>
      <c r="H315" t="s">
        <v>6232</v>
      </c>
    </row>
    <row r="316" spans="1:8" ht="18.399999999999999" hidden="1" customHeight="1">
      <c r="A316" s="11" t="s">
        <v>5403</v>
      </c>
      <c r="B316" s="2" t="s">
        <v>1215</v>
      </c>
      <c r="C316" s="2" t="s">
        <v>6141</v>
      </c>
      <c r="D316" s="25">
        <f>자재조서!E317</f>
        <v>7564990</v>
      </c>
      <c r="E316" s="20" t="s">
        <v>341</v>
      </c>
      <c r="F316" t="s">
        <v>6232</v>
      </c>
      <c r="G316" t="s">
        <v>1227</v>
      </c>
      <c r="H316" t="s">
        <v>6232</v>
      </c>
    </row>
    <row r="317" spans="1:8" ht="18.399999999999999" hidden="1" customHeight="1">
      <c r="A317" s="11" t="s">
        <v>1068</v>
      </c>
      <c r="B317" s="2" t="s">
        <v>107</v>
      </c>
      <c r="C317" s="2" t="s">
        <v>6141</v>
      </c>
      <c r="D317" s="25">
        <f>자재조서!E318</f>
        <v>383699</v>
      </c>
      <c r="E317" s="20" t="s">
        <v>341</v>
      </c>
      <c r="F317" t="s">
        <v>6232</v>
      </c>
      <c r="G317" t="s">
        <v>3898</v>
      </c>
      <c r="H317" t="s">
        <v>6232</v>
      </c>
    </row>
    <row r="318" spans="1:8" ht="18.399999999999999" hidden="1" customHeight="1">
      <c r="A318" s="11" t="s">
        <v>1068</v>
      </c>
      <c r="B318" s="2" t="s">
        <v>2808</v>
      </c>
      <c r="C318" s="2" t="s">
        <v>6141</v>
      </c>
      <c r="D318" s="25">
        <f>자재조서!E319</f>
        <v>391213</v>
      </c>
      <c r="E318" s="20" t="s">
        <v>341</v>
      </c>
      <c r="F318" t="s">
        <v>6232</v>
      </c>
      <c r="G318" t="s">
        <v>3540</v>
      </c>
      <c r="H318" t="s">
        <v>6232</v>
      </c>
    </row>
    <row r="319" spans="1:8" ht="18.399999999999999" hidden="1" customHeight="1">
      <c r="A319" s="11" t="s">
        <v>1068</v>
      </c>
      <c r="B319" s="2" t="s">
        <v>1189</v>
      </c>
      <c r="C319" s="2" t="s">
        <v>6141</v>
      </c>
      <c r="D319" s="25">
        <f>자재조서!E320</f>
        <v>400859</v>
      </c>
      <c r="E319" s="20" t="s">
        <v>341</v>
      </c>
      <c r="F319" t="s">
        <v>6232</v>
      </c>
      <c r="G319" t="s">
        <v>722</v>
      </c>
      <c r="H319" t="s">
        <v>6232</v>
      </c>
    </row>
    <row r="320" spans="1:8" ht="18.399999999999999" hidden="1" customHeight="1">
      <c r="A320" s="11" t="s">
        <v>1068</v>
      </c>
      <c r="B320" s="2" t="s">
        <v>4681</v>
      </c>
      <c r="C320" s="2" t="s">
        <v>6141</v>
      </c>
      <c r="D320" s="25">
        <f>자재조서!E321</f>
        <v>403687</v>
      </c>
      <c r="E320" s="20" t="s">
        <v>341</v>
      </c>
      <c r="F320" t="s">
        <v>6232</v>
      </c>
      <c r="G320" t="s">
        <v>3780</v>
      </c>
      <c r="H320" t="s">
        <v>6232</v>
      </c>
    </row>
    <row r="321" spans="1:8" ht="18.399999999999999" hidden="1" customHeight="1">
      <c r="A321" s="11" t="s">
        <v>1068</v>
      </c>
      <c r="B321" s="2" t="s">
        <v>3195</v>
      </c>
      <c r="C321" s="2" t="s">
        <v>6141</v>
      </c>
      <c r="D321" s="25">
        <f>자재조서!E322</f>
        <v>413332</v>
      </c>
      <c r="E321" s="20" t="s">
        <v>341</v>
      </c>
      <c r="F321" t="s">
        <v>6232</v>
      </c>
      <c r="G321" t="s">
        <v>488</v>
      </c>
      <c r="H321" t="s">
        <v>6232</v>
      </c>
    </row>
    <row r="322" spans="1:8" ht="18.399999999999999" hidden="1" customHeight="1">
      <c r="A322" s="11" t="s">
        <v>1068</v>
      </c>
      <c r="B322" s="2" t="s">
        <v>2809</v>
      </c>
      <c r="C322" s="2" t="s">
        <v>6141</v>
      </c>
      <c r="D322" s="25">
        <f>자재조서!E323</f>
        <v>429078</v>
      </c>
      <c r="E322" s="20" t="s">
        <v>341</v>
      </c>
      <c r="F322" t="s">
        <v>6232</v>
      </c>
      <c r="G322" t="s">
        <v>5998</v>
      </c>
      <c r="H322" t="s">
        <v>6232</v>
      </c>
    </row>
    <row r="323" spans="1:8" ht="18.399999999999999" hidden="1" customHeight="1">
      <c r="A323" s="11" t="s">
        <v>1068</v>
      </c>
      <c r="B323" s="2" t="s">
        <v>632</v>
      </c>
      <c r="C323" s="2" t="s">
        <v>6141</v>
      </c>
      <c r="D323" s="25">
        <f>자재조서!E324</f>
        <v>415039</v>
      </c>
      <c r="E323" s="20" t="s">
        <v>341</v>
      </c>
      <c r="F323" t="s">
        <v>6232</v>
      </c>
      <c r="G323" t="s">
        <v>21</v>
      </c>
      <c r="H323" t="s">
        <v>6232</v>
      </c>
    </row>
    <row r="324" spans="1:8" ht="18.399999999999999" hidden="1" customHeight="1">
      <c r="A324" s="11" t="s">
        <v>1068</v>
      </c>
      <c r="B324" s="2" t="s">
        <v>2220</v>
      </c>
      <c r="C324" s="2" t="s">
        <v>6141</v>
      </c>
      <c r="D324" s="25">
        <f>자재조서!E325</f>
        <v>424998</v>
      </c>
      <c r="E324" s="20" t="s">
        <v>341</v>
      </c>
      <c r="F324" t="s">
        <v>6232</v>
      </c>
      <c r="G324" t="s">
        <v>3460</v>
      </c>
      <c r="H324" t="s">
        <v>6232</v>
      </c>
    </row>
    <row r="325" spans="1:8" ht="18.399999999999999" hidden="1" customHeight="1">
      <c r="A325" s="11" t="s">
        <v>1068</v>
      </c>
      <c r="B325" s="2" t="s">
        <v>4194</v>
      </c>
      <c r="C325" s="2" t="s">
        <v>6141</v>
      </c>
      <c r="D325" s="25">
        <f>자재조서!E326</f>
        <v>440643</v>
      </c>
      <c r="E325" s="20" t="s">
        <v>341</v>
      </c>
      <c r="F325" t="s">
        <v>6232</v>
      </c>
      <c r="G325" t="s">
        <v>2652</v>
      </c>
      <c r="H325" t="s">
        <v>6232</v>
      </c>
    </row>
    <row r="326" spans="1:8" ht="18.399999999999999" hidden="1" customHeight="1">
      <c r="A326" s="11" t="s">
        <v>1068</v>
      </c>
      <c r="B326" s="2" t="s">
        <v>4180</v>
      </c>
      <c r="C326" s="2" t="s">
        <v>6141</v>
      </c>
      <c r="D326" s="25">
        <f>자재조서!E327</f>
        <v>450200</v>
      </c>
      <c r="E326" s="20" t="s">
        <v>3216</v>
      </c>
      <c r="F326" t="s">
        <v>6232</v>
      </c>
      <c r="G326" t="s">
        <v>3247</v>
      </c>
      <c r="H326" t="s">
        <v>6232</v>
      </c>
    </row>
    <row r="327" spans="1:8" ht="18.399999999999999" hidden="1" customHeight="1">
      <c r="A327" s="11" t="s">
        <v>1068</v>
      </c>
      <c r="B327" s="2" t="s">
        <v>4555</v>
      </c>
      <c r="C327" s="2" t="s">
        <v>6141</v>
      </c>
      <c r="D327" s="25">
        <f>자재조서!E328</f>
        <v>435441</v>
      </c>
      <c r="E327" s="20" t="s">
        <v>341</v>
      </c>
      <c r="F327" t="s">
        <v>6232</v>
      </c>
      <c r="G327" t="s">
        <v>4298</v>
      </c>
      <c r="H327" t="s">
        <v>6232</v>
      </c>
    </row>
    <row r="328" spans="1:8" ht="18.399999999999999" hidden="1" customHeight="1">
      <c r="A328" s="11" t="s">
        <v>1068</v>
      </c>
      <c r="B328" s="2" t="s">
        <v>218</v>
      </c>
      <c r="C328" s="2" t="s">
        <v>6141</v>
      </c>
      <c r="D328" s="25">
        <f>자재조서!E329</f>
        <v>460742</v>
      </c>
      <c r="E328" s="20" t="s">
        <v>341</v>
      </c>
      <c r="F328" t="s">
        <v>6232</v>
      </c>
      <c r="G328" t="s">
        <v>5380</v>
      </c>
      <c r="H328" t="s">
        <v>6232</v>
      </c>
    </row>
    <row r="329" spans="1:8" ht="18.399999999999999" hidden="1" customHeight="1">
      <c r="A329" s="11" t="s">
        <v>1068</v>
      </c>
      <c r="B329" s="2" t="s">
        <v>320</v>
      </c>
      <c r="C329" s="2" t="s">
        <v>6141</v>
      </c>
      <c r="D329" s="25">
        <f>자재조서!E330</f>
        <v>475266</v>
      </c>
      <c r="E329" s="20" t="s">
        <v>341</v>
      </c>
      <c r="F329" t="s">
        <v>6232</v>
      </c>
      <c r="G329" t="s">
        <v>1306</v>
      </c>
      <c r="H329" t="s">
        <v>6232</v>
      </c>
    </row>
    <row r="330" spans="1:8" ht="18.399999999999999" hidden="1" customHeight="1">
      <c r="A330" s="11" t="s">
        <v>1068</v>
      </c>
      <c r="B330" s="2" t="s">
        <v>1388</v>
      </c>
      <c r="C330" s="2" t="s">
        <v>6141</v>
      </c>
      <c r="D330" s="25">
        <f>자재조서!E331</f>
        <v>498445</v>
      </c>
      <c r="E330" s="20" t="s">
        <v>341</v>
      </c>
      <c r="F330" t="s">
        <v>6232</v>
      </c>
      <c r="G330" t="s">
        <v>2882</v>
      </c>
      <c r="H330" t="s">
        <v>6232</v>
      </c>
    </row>
    <row r="331" spans="1:8" ht="18.399999999999999" hidden="1" customHeight="1">
      <c r="A331" s="11" t="s">
        <v>1068</v>
      </c>
      <c r="B331" s="2" t="s">
        <v>2385</v>
      </c>
      <c r="C331" s="2" t="s">
        <v>6141</v>
      </c>
      <c r="D331" s="25">
        <f>자재조서!E332</f>
        <v>521716</v>
      </c>
      <c r="E331" s="20" t="s">
        <v>341</v>
      </c>
      <c r="F331" t="s">
        <v>6232</v>
      </c>
      <c r="G331" t="s">
        <v>1975</v>
      </c>
      <c r="H331" t="s">
        <v>6232</v>
      </c>
    </row>
    <row r="332" spans="1:8" ht="18.399999999999999" hidden="1" customHeight="1">
      <c r="A332" s="11" t="s">
        <v>1068</v>
      </c>
      <c r="B332" s="2" t="s">
        <v>967</v>
      </c>
      <c r="C332" s="2" t="s">
        <v>6141</v>
      </c>
      <c r="D332" s="25">
        <f>자재조서!E333</f>
        <v>536290</v>
      </c>
      <c r="E332" s="20" t="s">
        <v>341</v>
      </c>
      <c r="F332" t="s">
        <v>6232</v>
      </c>
      <c r="G332" t="s">
        <v>5381</v>
      </c>
      <c r="H332" t="s">
        <v>6232</v>
      </c>
    </row>
    <row r="333" spans="1:8" ht="18.399999999999999" hidden="1" customHeight="1">
      <c r="A333" s="11" t="s">
        <v>1068</v>
      </c>
      <c r="B333" s="2" t="s">
        <v>5237</v>
      </c>
      <c r="C333" s="2" t="s">
        <v>6141</v>
      </c>
      <c r="D333" s="25">
        <f>자재조서!E334</f>
        <v>558762</v>
      </c>
      <c r="E333" s="20" t="s">
        <v>341</v>
      </c>
      <c r="F333" t="s">
        <v>6232</v>
      </c>
      <c r="G333" t="s">
        <v>1515</v>
      </c>
      <c r="H333" t="s">
        <v>6232</v>
      </c>
    </row>
    <row r="334" spans="1:8" ht="18.399999999999999" hidden="1" customHeight="1">
      <c r="A334" s="11" t="s">
        <v>1068</v>
      </c>
      <c r="B334" s="2" t="s">
        <v>5048</v>
      </c>
      <c r="C334" s="2" t="s">
        <v>6141</v>
      </c>
      <c r="D334" s="25">
        <f>자재조서!E335</f>
        <v>516767</v>
      </c>
      <c r="E334" s="20" t="s">
        <v>341</v>
      </c>
      <c r="F334" t="s">
        <v>6232</v>
      </c>
      <c r="G334" t="s">
        <v>5150</v>
      </c>
      <c r="H334" t="s">
        <v>6232</v>
      </c>
    </row>
    <row r="335" spans="1:8" ht="18.399999999999999" hidden="1" customHeight="1">
      <c r="A335" s="11" t="s">
        <v>1068</v>
      </c>
      <c r="B335" s="2" t="s">
        <v>5633</v>
      </c>
      <c r="C335" s="2" t="s">
        <v>6141</v>
      </c>
      <c r="D335" s="25">
        <f>자재조서!E336</f>
        <v>539754</v>
      </c>
      <c r="E335" s="20" t="s">
        <v>341</v>
      </c>
      <c r="F335" t="s">
        <v>6232</v>
      </c>
      <c r="G335" t="s">
        <v>3632</v>
      </c>
      <c r="H335" t="s">
        <v>6232</v>
      </c>
    </row>
    <row r="336" spans="1:8" ht="18.399999999999999" hidden="1" customHeight="1">
      <c r="A336" s="11" t="s">
        <v>1068</v>
      </c>
      <c r="B336" s="2" t="s">
        <v>6106</v>
      </c>
      <c r="C336" s="2" t="s">
        <v>6141</v>
      </c>
      <c r="D336" s="25">
        <f>자재조서!E337</f>
        <v>600203</v>
      </c>
      <c r="E336" s="20" t="s">
        <v>341</v>
      </c>
      <c r="F336" t="s">
        <v>6232</v>
      </c>
      <c r="G336" t="s">
        <v>5256</v>
      </c>
      <c r="H336" t="s">
        <v>6232</v>
      </c>
    </row>
    <row r="337" spans="1:8" ht="18.399999999999999" hidden="1" customHeight="1">
      <c r="A337" s="11" t="s">
        <v>1068</v>
      </c>
      <c r="B337" s="2" t="s">
        <v>2386</v>
      </c>
      <c r="C337" s="2" t="s">
        <v>6141</v>
      </c>
      <c r="D337" s="25">
        <f>자재조서!E338</f>
        <v>544370</v>
      </c>
      <c r="E337" s="20" t="s">
        <v>341</v>
      </c>
      <c r="F337" t="s">
        <v>6232</v>
      </c>
      <c r="G337" t="s">
        <v>48</v>
      </c>
      <c r="H337" t="s">
        <v>6232</v>
      </c>
    </row>
    <row r="338" spans="1:8" ht="18.399999999999999" hidden="1" customHeight="1">
      <c r="A338" s="11" t="s">
        <v>1068</v>
      </c>
      <c r="B338" s="2" t="s">
        <v>968</v>
      </c>
      <c r="C338" s="2" t="s">
        <v>6141</v>
      </c>
      <c r="D338" s="25">
        <f>자재조서!E339</f>
        <v>558944</v>
      </c>
      <c r="E338" s="20" t="s">
        <v>341</v>
      </c>
      <c r="F338" t="s">
        <v>6232</v>
      </c>
      <c r="G338" t="s">
        <v>3445</v>
      </c>
      <c r="H338" t="s">
        <v>6232</v>
      </c>
    </row>
    <row r="339" spans="1:8" ht="18.399999999999999" hidden="1" customHeight="1">
      <c r="A339" s="11" t="s">
        <v>1068</v>
      </c>
      <c r="B339" s="2" t="s">
        <v>5238</v>
      </c>
      <c r="C339" s="2" t="s">
        <v>6141</v>
      </c>
      <c r="D339" s="25">
        <f>자재조서!E340</f>
        <v>581396</v>
      </c>
      <c r="E339" s="20" t="s">
        <v>341</v>
      </c>
      <c r="F339" t="s">
        <v>6232</v>
      </c>
      <c r="G339" t="s">
        <v>2634</v>
      </c>
      <c r="H339" t="s">
        <v>6232</v>
      </c>
    </row>
    <row r="340" spans="1:8" ht="18.399999999999999" hidden="1" customHeight="1">
      <c r="A340" s="11" t="s">
        <v>1068</v>
      </c>
      <c r="B340" s="2" t="s">
        <v>5059</v>
      </c>
      <c r="C340" s="2" t="s">
        <v>6141</v>
      </c>
      <c r="D340" s="25">
        <f>자재조서!E341</f>
        <v>603859</v>
      </c>
      <c r="E340" s="20" t="s">
        <v>341</v>
      </c>
      <c r="F340" t="s">
        <v>6232</v>
      </c>
      <c r="G340" t="s">
        <v>3271</v>
      </c>
      <c r="H340" t="s">
        <v>6232</v>
      </c>
    </row>
    <row r="341" spans="1:8" ht="18.399999999999999" hidden="1" customHeight="1">
      <c r="A341" s="11" t="s">
        <v>1068</v>
      </c>
      <c r="B341" s="2" t="s">
        <v>5634</v>
      </c>
      <c r="C341" s="2" t="s">
        <v>6141</v>
      </c>
      <c r="D341" s="25">
        <f>자재조서!E342</f>
        <v>562388</v>
      </c>
      <c r="E341" s="20" t="s">
        <v>341</v>
      </c>
      <c r="F341" t="s">
        <v>6232</v>
      </c>
      <c r="G341" t="s">
        <v>4821</v>
      </c>
      <c r="H341" t="s">
        <v>6232</v>
      </c>
    </row>
    <row r="342" spans="1:8" ht="18.399999999999999" hidden="1" customHeight="1">
      <c r="A342" s="11" t="s">
        <v>1068</v>
      </c>
      <c r="B342" s="2" t="s">
        <v>6130</v>
      </c>
      <c r="C342" s="2" t="s">
        <v>6141</v>
      </c>
      <c r="D342" s="25">
        <f>자재조서!E343</f>
        <v>622584</v>
      </c>
      <c r="E342" s="20" t="s">
        <v>341</v>
      </c>
      <c r="F342" t="s">
        <v>6232</v>
      </c>
      <c r="G342" t="s">
        <v>3362</v>
      </c>
      <c r="H342" t="s">
        <v>6232</v>
      </c>
    </row>
    <row r="343" spans="1:8" ht="18.399999999999999" hidden="1" customHeight="1">
      <c r="A343" s="11" t="s">
        <v>1068</v>
      </c>
      <c r="B343" s="2" t="s">
        <v>4379</v>
      </c>
      <c r="C343" s="2" t="s">
        <v>6141</v>
      </c>
      <c r="D343" s="25">
        <f>자재조서!E344</f>
        <v>657803</v>
      </c>
      <c r="E343" s="20" t="s">
        <v>341</v>
      </c>
      <c r="F343" t="s">
        <v>6232</v>
      </c>
      <c r="G343" t="s">
        <v>3383</v>
      </c>
      <c r="H343" t="s">
        <v>6232</v>
      </c>
    </row>
    <row r="344" spans="1:8" ht="18.399999999999999" hidden="1" customHeight="1">
      <c r="A344" s="11" t="s">
        <v>1068</v>
      </c>
      <c r="B344" s="2" t="s">
        <v>1258</v>
      </c>
      <c r="C344" s="2" t="s">
        <v>6141</v>
      </c>
      <c r="D344" s="25">
        <f>자재조서!E345</f>
        <v>649784</v>
      </c>
      <c r="E344" s="20" t="s">
        <v>341</v>
      </c>
      <c r="F344" t="s">
        <v>6232</v>
      </c>
      <c r="G344" t="s">
        <v>2466</v>
      </c>
      <c r="H344" t="s">
        <v>6232</v>
      </c>
    </row>
    <row r="345" spans="1:8" ht="18.399999999999999" hidden="1" customHeight="1">
      <c r="A345" s="11" t="s">
        <v>1068</v>
      </c>
      <c r="B345" s="2" t="s">
        <v>2726</v>
      </c>
      <c r="C345" s="2" t="s">
        <v>6141</v>
      </c>
      <c r="D345" s="25">
        <f>자재조서!E346</f>
        <v>664540</v>
      </c>
      <c r="E345" s="20" t="s">
        <v>341</v>
      </c>
      <c r="F345" t="s">
        <v>6232</v>
      </c>
      <c r="G345" t="s">
        <v>5702</v>
      </c>
      <c r="H345" t="s">
        <v>6232</v>
      </c>
    </row>
    <row r="346" spans="1:8" ht="18.399999999999999" hidden="1" customHeight="1">
      <c r="A346" s="11" t="s">
        <v>1068</v>
      </c>
      <c r="B346" s="2" t="s">
        <v>3112</v>
      </c>
      <c r="C346" s="2" t="s">
        <v>6141</v>
      </c>
      <c r="D346" s="25">
        <f>자재조서!E347</f>
        <v>687669</v>
      </c>
      <c r="E346" s="20" t="s">
        <v>341</v>
      </c>
      <c r="F346" t="s">
        <v>6232</v>
      </c>
      <c r="G346" t="s">
        <v>200</v>
      </c>
      <c r="H346" t="s">
        <v>6232</v>
      </c>
    </row>
    <row r="347" spans="1:8" ht="18.399999999999999" hidden="1" customHeight="1">
      <c r="A347" s="11" t="s">
        <v>1068</v>
      </c>
      <c r="B347" s="2" t="s">
        <v>3240</v>
      </c>
      <c r="C347" s="2" t="s">
        <v>6141</v>
      </c>
      <c r="D347" s="25">
        <f>자재조서!E348</f>
        <v>709040</v>
      </c>
      <c r="E347" s="20" t="s">
        <v>341</v>
      </c>
      <c r="F347" t="s">
        <v>6232</v>
      </c>
      <c r="G347" t="s">
        <v>5519</v>
      </c>
      <c r="H347" t="s">
        <v>6232</v>
      </c>
    </row>
    <row r="348" spans="1:8" ht="18.399999999999999" hidden="1" customHeight="1">
      <c r="A348" s="11" t="s">
        <v>1068</v>
      </c>
      <c r="B348" s="2" t="s">
        <v>4326</v>
      </c>
      <c r="C348" s="2" t="s">
        <v>6141</v>
      </c>
      <c r="D348" s="25">
        <f>자재조서!E349</f>
        <v>741896</v>
      </c>
      <c r="E348" s="20" t="s">
        <v>341</v>
      </c>
      <c r="F348" t="s">
        <v>6232</v>
      </c>
      <c r="G348" t="s">
        <v>3944</v>
      </c>
      <c r="H348" t="s">
        <v>6232</v>
      </c>
    </row>
    <row r="349" spans="1:8" ht="18.399999999999999" hidden="1" customHeight="1">
      <c r="A349" s="11" t="s">
        <v>1068</v>
      </c>
      <c r="B349" s="2" t="s">
        <v>4223</v>
      </c>
      <c r="C349" s="2" t="s">
        <v>6141</v>
      </c>
      <c r="D349" s="25">
        <f>자재조서!E350</f>
        <v>727655</v>
      </c>
      <c r="E349" s="20" t="s">
        <v>341</v>
      </c>
      <c r="F349" t="s">
        <v>6232</v>
      </c>
      <c r="G349" t="s">
        <v>5799</v>
      </c>
      <c r="H349" t="s">
        <v>6232</v>
      </c>
    </row>
    <row r="350" spans="1:8" ht="18.399999999999999" hidden="1" customHeight="1">
      <c r="A350" s="11" t="s">
        <v>1068</v>
      </c>
      <c r="B350" s="2" t="s">
        <v>5500</v>
      </c>
      <c r="C350" s="2" t="s">
        <v>6141</v>
      </c>
      <c r="D350" s="25">
        <f>자재조서!E351</f>
        <v>769590</v>
      </c>
      <c r="E350" s="20" t="s">
        <v>341</v>
      </c>
      <c r="F350" t="s">
        <v>6232</v>
      </c>
      <c r="G350" t="s">
        <v>5823</v>
      </c>
      <c r="H350" t="s">
        <v>6232</v>
      </c>
    </row>
    <row r="351" spans="1:8" ht="18.399999999999999" hidden="1" customHeight="1">
      <c r="A351" s="11" t="s">
        <v>1068</v>
      </c>
      <c r="B351" s="2" t="s">
        <v>911</v>
      </c>
      <c r="C351" s="2" t="s">
        <v>6141</v>
      </c>
      <c r="D351" s="25">
        <f>자재조서!E352</f>
        <v>820787</v>
      </c>
      <c r="E351" s="20" t="s">
        <v>341</v>
      </c>
      <c r="F351" t="s">
        <v>6232</v>
      </c>
      <c r="G351" t="s">
        <v>5054</v>
      </c>
      <c r="H351" t="s">
        <v>6232</v>
      </c>
    </row>
    <row r="352" spans="1:8" ht="18.399999999999999" hidden="1" customHeight="1">
      <c r="A352" s="11" t="s">
        <v>1068</v>
      </c>
      <c r="B352" s="2" t="s">
        <v>1895</v>
      </c>
      <c r="C352" s="2" t="s">
        <v>6141</v>
      </c>
      <c r="D352" s="25">
        <f>자재조서!E353</f>
        <v>695910</v>
      </c>
      <c r="E352" s="20" t="s">
        <v>341</v>
      </c>
      <c r="F352" t="s">
        <v>6232</v>
      </c>
      <c r="G352" t="s">
        <v>1329</v>
      </c>
      <c r="H352" t="s">
        <v>6232</v>
      </c>
    </row>
    <row r="353" spans="1:8" ht="18.399999999999999" hidden="1" customHeight="1">
      <c r="A353" s="11" t="s">
        <v>1068</v>
      </c>
      <c r="B353" s="2" t="s">
        <v>230</v>
      </c>
      <c r="C353" s="2" t="s">
        <v>6141</v>
      </c>
      <c r="D353" s="25">
        <f>자재조서!E354</f>
        <v>710586</v>
      </c>
      <c r="E353" s="20" t="s">
        <v>341</v>
      </c>
      <c r="F353" t="s">
        <v>6232</v>
      </c>
      <c r="G353" t="s">
        <v>4469</v>
      </c>
      <c r="H353" t="s">
        <v>6232</v>
      </c>
    </row>
    <row r="354" spans="1:8" ht="18.399999999999999" hidden="1" customHeight="1">
      <c r="A354" s="11" t="s">
        <v>1068</v>
      </c>
      <c r="B354" s="2" t="s">
        <v>6086</v>
      </c>
      <c r="C354" s="2" t="s">
        <v>6141</v>
      </c>
      <c r="D354" s="25">
        <f>자재조서!E355</f>
        <v>733129</v>
      </c>
      <c r="E354" s="20" t="s">
        <v>341</v>
      </c>
      <c r="F354" t="s">
        <v>6232</v>
      </c>
      <c r="G354" t="s">
        <v>2175</v>
      </c>
      <c r="H354" t="s">
        <v>6232</v>
      </c>
    </row>
    <row r="355" spans="1:8" ht="18.399999999999999" hidden="1" customHeight="1">
      <c r="A355" s="11" t="s">
        <v>1068</v>
      </c>
      <c r="B355" s="2" t="s">
        <v>6163</v>
      </c>
      <c r="C355" s="2" t="s">
        <v>6141</v>
      </c>
      <c r="D355" s="25">
        <f>자재조서!E356</f>
        <v>755692</v>
      </c>
      <c r="E355" s="20" t="s">
        <v>341</v>
      </c>
      <c r="F355" t="s">
        <v>6232</v>
      </c>
      <c r="G355" t="s">
        <v>4328</v>
      </c>
      <c r="H355" t="s">
        <v>6232</v>
      </c>
    </row>
    <row r="356" spans="1:8" ht="18.399999999999999" hidden="1" customHeight="1">
      <c r="A356" s="11" t="s">
        <v>1068</v>
      </c>
      <c r="B356" s="2" t="s">
        <v>4910</v>
      </c>
      <c r="C356" s="2" t="s">
        <v>6141</v>
      </c>
      <c r="D356" s="25">
        <f>자재조서!E357</f>
        <v>787881</v>
      </c>
      <c r="E356" s="20" t="s">
        <v>341</v>
      </c>
      <c r="F356" t="s">
        <v>6232</v>
      </c>
      <c r="G356" t="s">
        <v>5843</v>
      </c>
      <c r="H356" t="s">
        <v>6232</v>
      </c>
    </row>
    <row r="357" spans="1:8" ht="18.399999999999999" hidden="1" customHeight="1">
      <c r="A357" s="11" t="s">
        <v>1068</v>
      </c>
      <c r="B357" s="2" t="s">
        <v>5193</v>
      </c>
      <c r="C357" s="2" t="s">
        <v>6141</v>
      </c>
      <c r="D357" s="25">
        <f>자재조서!E358</f>
        <v>773620</v>
      </c>
      <c r="E357" s="20" t="s">
        <v>341</v>
      </c>
      <c r="F357" t="s">
        <v>6232</v>
      </c>
      <c r="G357" t="s">
        <v>4550</v>
      </c>
      <c r="H357" t="s">
        <v>6232</v>
      </c>
    </row>
    <row r="358" spans="1:8" ht="18.399999999999999" hidden="1" customHeight="1">
      <c r="A358" s="11" t="s">
        <v>1068</v>
      </c>
      <c r="B358" s="2" t="s">
        <v>3735</v>
      </c>
      <c r="C358" s="2" t="s">
        <v>6141</v>
      </c>
      <c r="D358" s="25">
        <f>자재조서!E359</f>
        <v>816726</v>
      </c>
      <c r="E358" s="20" t="s">
        <v>341</v>
      </c>
      <c r="F358" t="s">
        <v>6232</v>
      </c>
      <c r="G358" t="s">
        <v>4582</v>
      </c>
      <c r="H358" t="s">
        <v>6232</v>
      </c>
    </row>
    <row r="359" spans="1:8" ht="18.399999999999999" hidden="1" customHeight="1">
      <c r="A359" s="11" t="s">
        <v>1068</v>
      </c>
      <c r="B359" s="2" t="s">
        <v>4619</v>
      </c>
      <c r="C359" s="2" t="s">
        <v>6141</v>
      </c>
      <c r="D359" s="25">
        <f>자재조서!E360</f>
        <v>867348</v>
      </c>
      <c r="E359" s="20" t="s">
        <v>341</v>
      </c>
      <c r="F359" t="s">
        <v>6232</v>
      </c>
      <c r="G359" t="s">
        <v>3145</v>
      </c>
      <c r="H359" t="s">
        <v>6232</v>
      </c>
    </row>
    <row r="360" spans="1:8" ht="18.399999999999999" hidden="1" customHeight="1">
      <c r="A360" s="11" t="s">
        <v>1068</v>
      </c>
      <c r="B360" s="2" t="s">
        <v>3613</v>
      </c>
      <c r="C360" s="2" t="s">
        <v>6141</v>
      </c>
      <c r="D360" s="25">
        <f>자재조서!E361</f>
        <v>911262</v>
      </c>
      <c r="E360" s="20" t="s">
        <v>341</v>
      </c>
      <c r="F360" t="s">
        <v>6232</v>
      </c>
      <c r="G360" t="s">
        <v>3469</v>
      </c>
      <c r="H360" t="s">
        <v>6232</v>
      </c>
    </row>
    <row r="361" spans="1:8" ht="18.399999999999999" hidden="1" customHeight="1">
      <c r="A361" s="11" t="s">
        <v>1068</v>
      </c>
      <c r="B361" s="2" t="s">
        <v>3262</v>
      </c>
      <c r="C361" s="2" t="s">
        <v>6141</v>
      </c>
      <c r="D361" s="25">
        <f>자재조서!E362</f>
        <v>762833</v>
      </c>
      <c r="E361" s="20" t="s">
        <v>341</v>
      </c>
      <c r="F361" t="s">
        <v>6232</v>
      </c>
      <c r="G361" t="s">
        <v>536</v>
      </c>
      <c r="H361" t="s">
        <v>6232</v>
      </c>
    </row>
    <row r="362" spans="1:8" ht="18.399999999999999" hidden="1" customHeight="1">
      <c r="A362" s="11" t="s">
        <v>1068</v>
      </c>
      <c r="B362" s="2" t="s">
        <v>4716</v>
      </c>
      <c r="C362" s="2" t="s">
        <v>6141</v>
      </c>
      <c r="D362" s="25">
        <f>자재조서!E363</f>
        <v>777740</v>
      </c>
      <c r="E362" s="20" t="s">
        <v>341</v>
      </c>
      <c r="F362" t="s">
        <v>6232</v>
      </c>
      <c r="G362" t="s">
        <v>3756</v>
      </c>
      <c r="H362" t="s">
        <v>6232</v>
      </c>
    </row>
    <row r="363" spans="1:8" ht="18.399999999999999" hidden="1" customHeight="1">
      <c r="A363" s="11" t="s">
        <v>1068</v>
      </c>
      <c r="B363" s="2" t="s">
        <v>1201</v>
      </c>
      <c r="C363" s="2" t="s">
        <v>6141</v>
      </c>
      <c r="D363" s="25">
        <f>자재조서!E364</f>
        <v>800849</v>
      </c>
      <c r="E363" s="20" t="s">
        <v>341</v>
      </c>
      <c r="F363" t="s">
        <v>6232</v>
      </c>
      <c r="G363" t="s">
        <v>2909</v>
      </c>
      <c r="H363" t="s">
        <v>6232</v>
      </c>
    </row>
    <row r="364" spans="1:8" ht="18.399999999999999" hidden="1" customHeight="1">
      <c r="A364" s="11" t="s">
        <v>1068</v>
      </c>
      <c r="B364" s="2" t="s">
        <v>1275</v>
      </c>
      <c r="C364" s="2" t="s">
        <v>6141</v>
      </c>
      <c r="D364" s="25">
        <f>자재조서!E365</f>
        <v>822988</v>
      </c>
      <c r="E364" s="20" t="s">
        <v>341</v>
      </c>
      <c r="F364" t="s">
        <v>6232</v>
      </c>
      <c r="G364" t="s">
        <v>3579</v>
      </c>
      <c r="H364" t="s">
        <v>6232</v>
      </c>
    </row>
    <row r="365" spans="1:8" ht="18.399999999999999" hidden="1" customHeight="1">
      <c r="A365" s="11" t="s">
        <v>1068</v>
      </c>
      <c r="B365" s="2" t="s">
        <v>55</v>
      </c>
      <c r="C365" s="2" t="s">
        <v>6141</v>
      </c>
      <c r="D365" s="25">
        <f>자재조서!E366</f>
        <v>857258</v>
      </c>
      <c r="E365" s="20" t="s">
        <v>341</v>
      </c>
      <c r="F365" t="s">
        <v>6232</v>
      </c>
      <c r="G365" t="s">
        <v>5108</v>
      </c>
      <c r="H365" t="s">
        <v>6232</v>
      </c>
    </row>
    <row r="366" spans="1:8" ht="18.399999999999999" hidden="1" customHeight="1">
      <c r="A366" s="11" t="s">
        <v>1068</v>
      </c>
      <c r="B366" s="2" t="s">
        <v>733</v>
      </c>
      <c r="C366" s="2" t="s">
        <v>6141</v>
      </c>
      <c r="D366" s="25">
        <f>자재조서!E367</f>
        <v>944643</v>
      </c>
      <c r="E366" s="20" t="s">
        <v>341</v>
      </c>
      <c r="F366" t="s">
        <v>6232</v>
      </c>
      <c r="G366" t="s">
        <v>3840</v>
      </c>
      <c r="H366" t="s">
        <v>6232</v>
      </c>
    </row>
    <row r="367" spans="1:8" ht="18.399999999999999" hidden="1" customHeight="1">
      <c r="A367" s="11" t="s">
        <v>1068</v>
      </c>
      <c r="B367" s="2" t="s">
        <v>1940</v>
      </c>
      <c r="C367" s="2" t="s">
        <v>6141</v>
      </c>
      <c r="D367" s="25">
        <f>자재조서!E368</f>
        <v>892840</v>
      </c>
      <c r="E367" s="20" t="s">
        <v>341</v>
      </c>
      <c r="F367" t="s">
        <v>6232</v>
      </c>
      <c r="G367" t="s">
        <v>3871</v>
      </c>
      <c r="H367" t="s">
        <v>6232</v>
      </c>
    </row>
    <row r="368" spans="1:8" ht="18.399999999999999" hidden="1" customHeight="1">
      <c r="A368" s="11" t="s">
        <v>1068</v>
      </c>
      <c r="B368" s="2" t="s">
        <v>3128</v>
      </c>
      <c r="C368" s="2" t="s">
        <v>6141</v>
      </c>
      <c r="D368" s="25">
        <f>자재조서!E369</f>
        <v>946057</v>
      </c>
      <c r="E368" s="20" t="s">
        <v>341</v>
      </c>
      <c r="F368" t="s">
        <v>6232</v>
      </c>
      <c r="G368" t="s">
        <v>3899</v>
      </c>
      <c r="H368" t="s">
        <v>6232</v>
      </c>
    </row>
    <row r="369" spans="1:8" ht="18.399999999999999" hidden="1" customHeight="1">
      <c r="A369" s="11" t="s">
        <v>1068</v>
      </c>
      <c r="B369" s="2" t="s">
        <v>4107</v>
      </c>
      <c r="C369" s="2" t="s">
        <v>6141</v>
      </c>
      <c r="D369" s="25">
        <f>자재조서!E370</f>
        <v>990244</v>
      </c>
      <c r="E369" s="20" t="s">
        <v>341</v>
      </c>
      <c r="F369" t="s">
        <v>6232</v>
      </c>
      <c r="G369" t="s">
        <v>4226</v>
      </c>
      <c r="H369" t="s">
        <v>6232</v>
      </c>
    </row>
    <row r="370" spans="1:8" ht="18.399999999999999" hidden="1" customHeight="1">
      <c r="A370" s="11" t="s">
        <v>1068</v>
      </c>
      <c r="B370" s="2" t="s">
        <v>2553</v>
      </c>
      <c r="C370" s="2" t="s">
        <v>6141</v>
      </c>
      <c r="D370" s="25">
        <f>자재조서!E371</f>
        <v>1061429</v>
      </c>
      <c r="E370" s="20" t="s">
        <v>341</v>
      </c>
      <c r="F370" t="s">
        <v>6232</v>
      </c>
      <c r="G370" t="s">
        <v>5585</v>
      </c>
      <c r="H370" t="s">
        <v>6232</v>
      </c>
    </row>
    <row r="371" spans="1:8" ht="18.399999999999999" hidden="1" customHeight="1">
      <c r="A371" s="11" t="s">
        <v>1068</v>
      </c>
      <c r="B371" s="2" t="s">
        <v>5731</v>
      </c>
      <c r="C371" s="2" t="s">
        <v>6141</v>
      </c>
      <c r="D371" s="25">
        <f>자재조서!E372</f>
        <v>882053</v>
      </c>
      <c r="E371" s="20" t="s">
        <v>341</v>
      </c>
      <c r="F371" t="s">
        <v>6232</v>
      </c>
      <c r="G371" t="s">
        <v>1634</v>
      </c>
      <c r="H371" t="s">
        <v>6232</v>
      </c>
    </row>
    <row r="372" spans="1:8" ht="18.399999999999999" hidden="1" customHeight="1">
      <c r="A372" s="11" t="s">
        <v>1068</v>
      </c>
      <c r="B372" s="2" t="s">
        <v>672</v>
      </c>
      <c r="C372" s="2" t="s">
        <v>6141</v>
      </c>
      <c r="D372" s="25">
        <f>자재조서!E373</f>
        <v>905142</v>
      </c>
      <c r="E372" s="20" t="s">
        <v>341</v>
      </c>
      <c r="F372" t="s">
        <v>6232</v>
      </c>
      <c r="G372" t="s">
        <v>4062</v>
      </c>
      <c r="H372" t="s">
        <v>6232</v>
      </c>
    </row>
    <row r="373" spans="1:8" ht="18.399999999999999" hidden="1" customHeight="1">
      <c r="A373" s="11" t="s">
        <v>1068</v>
      </c>
      <c r="B373" s="2" t="s">
        <v>654</v>
      </c>
      <c r="C373" s="2" t="s">
        <v>6141</v>
      </c>
      <c r="D373" s="25">
        <f>자재조서!E374</f>
        <v>927887</v>
      </c>
      <c r="E373" s="20" t="s">
        <v>341</v>
      </c>
      <c r="F373" t="s">
        <v>6232</v>
      </c>
      <c r="G373" t="s">
        <v>1837</v>
      </c>
      <c r="H373" t="s">
        <v>6232</v>
      </c>
    </row>
    <row r="374" spans="1:8" ht="18.399999999999999" hidden="1" customHeight="1">
      <c r="A374" s="11" t="s">
        <v>1068</v>
      </c>
      <c r="B374" s="2" t="s">
        <v>1053</v>
      </c>
      <c r="C374" s="2" t="s">
        <v>6141</v>
      </c>
      <c r="D374" s="25">
        <f>자재조서!E375</f>
        <v>961550</v>
      </c>
      <c r="E374" s="20" t="s">
        <v>341</v>
      </c>
      <c r="F374" t="s">
        <v>6232</v>
      </c>
      <c r="G374" t="s">
        <v>274</v>
      </c>
      <c r="H374" t="s">
        <v>6232</v>
      </c>
    </row>
    <row r="375" spans="1:8" ht="18.399999999999999" hidden="1" customHeight="1">
      <c r="A375" s="11" t="s">
        <v>1068</v>
      </c>
      <c r="B375" s="2" t="s">
        <v>1152</v>
      </c>
      <c r="C375" s="2" t="s">
        <v>6141</v>
      </c>
      <c r="D375" s="25">
        <f>자재조서!E376</f>
        <v>1050390</v>
      </c>
      <c r="E375" s="20" t="s">
        <v>341</v>
      </c>
      <c r="F375" t="s">
        <v>6232</v>
      </c>
      <c r="G375" t="s">
        <v>1540</v>
      </c>
      <c r="H375" t="s">
        <v>6232</v>
      </c>
    </row>
    <row r="376" spans="1:8" ht="18.399999999999999" hidden="1" customHeight="1">
      <c r="A376" s="11" t="s">
        <v>1068</v>
      </c>
      <c r="B376" s="2" t="s">
        <v>3065</v>
      </c>
      <c r="C376" s="2" t="s">
        <v>6141</v>
      </c>
      <c r="D376" s="25">
        <f>자재조서!E377</f>
        <v>1120676</v>
      </c>
      <c r="E376" s="20" t="s">
        <v>341</v>
      </c>
      <c r="F376" t="s">
        <v>6232</v>
      </c>
      <c r="G376" t="s">
        <v>1564</v>
      </c>
      <c r="H376" t="s">
        <v>6232</v>
      </c>
    </row>
    <row r="377" spans="1:8" ht="18.399999999999999" hidden="1" customHeight="1">
      <c r="A377" s="11" t="s">
        <v>1068</v>
      </c>
      <c r="B377" s="2" t="s">
        <v>4824</v>
      </c>
      <c r="C377" s="2" t="s">
        <v>6141</v>
      </c>
      <c r="D377" s="25">
        <f>자재조서!E378</f>
        <v>1191305</v>
      </c>
      <c r="E377" s="20" t="s">
        <v>341</v>
      </c>
      <c r="F377" t="s">
        <v>6232</v>
      </c>
      <c r="G377" t="s">
        <v>3044</v>
      </c>
      <c r="H377" t="s">
        <v>6232</v>
      </c>
    </row>
    <row r="378" spans="1:8" ht="18.399999999999999" hidden="1" customHeight="1">
      <c r="A378" s="11" t="s">
        <v>1068</v>
      </c>
      <c r="B378" s="2" t="s">
        <v>5765</v>
      </c>
      <c r="C378" s="2" t="s">
        <v>6141</v>
      </c>
      <c r="D378" s="25">
        <f>자재조서!E379</f>
        <v>1098910</v>
      </c>
      <c r="E378" s="20" t="s">
        <v>341</v>
      </c>
      <c r="F378" t="s">
        <v>6232</v>
      </c>
      <c r="G378" t="s">
        <v>2777</v>
      </c>
      <c r="H378" t="s">
        <v>6232</v>
      </c>
    </row>
    <row r="379" spans="1:8" ht="18.399999999999999" hidden="1" customHeight="1">
      <c r="A379" s="11" t="s">
        <v>1068</v>
      </c>
      <c r="B379" s="2" t="s">
        <v>1072</v>
      </c>
      <c r="C379" s="2" t="s">
        <v>6141</v>
      </c>
      <c r="D379" s="25">
        <f>자재조서!E380</f>
        <v>1169014</v>
      </c>
      <c r="E379" s="20" t="s">
        <v>341</v>
      </c>
      <c r="F379" t="s">
        <v>6232</v>
      </c>
      <c r="G379" t="s">
        <v>1431</v>
      </c>
      <c r="H379" t="s">
        <v>6232</v>
      </c>
    </row>
    <row r="380" spans="1:8" ht="18.399999999999999" hidden="1" customHeight="1">
      <c r="A380" s="11" t="s">
        <v>1068</v>
      </c>
      <c r="B380" s="2" t="s">
        <v>984</v>
      </c>
      <c r="C380" s="2" t="s">
        <v>6141</v>
      </c>
      <c r="D380" s="25">
        <f>자재조서!E381</f>
        <v>1289215</v>
      </c>
      <c r="E380" s="20" t="s">
        <v>341</v>
      </c>
      <c r="F380" t="s">
        <v>6232</v>
      </c>
      <c r="G380" t="s">
        <v>962</v>
      </c>
      <c r="H380" t="s">
        <v>6232</v>
      </c>
    </row>
    <row r="381" spans="1:8" ht="18.399999999999999" hidden="1" customHeight="1">
      <c r="A381" s="11" t="s">
        <v>1068</v>
      </c>
      <c r="B381" s="2" t="s">
        <v>4247</v>
      </c>
      <c r="C381" s="2" t="s">
        <v>6141</v>
      </c>
      <c r="D381" s="25">
        <f>자재조서!E382</f>
        <v>1227019</v>
      </c>
      <c r="E381" s="20" t="s">
        <v>341</v>
      </c>
      <c r="F381" t="s">
        <v>6232</v>
      </c>
      <c r="G381" t="s">
        <v>5208</v>
      </c>
      <c r="H381" t="s">
        <v>6232</v>
      </c>
    </row>
    <row r="382" spans="1:8" ht="18.399999999999999" hidden="1" customHeight="1">
      <c r="A382" s="11" t="s">
        <v>1068</v>
      </c>
      <c r="B382" s="2" t="s">
        <v>4085</v>
      </c>
      <c r="C382" s="2" t="s">
        <v>6141</v>
      </c>
      <c r="D382" s="25">
        <f>자재조서!E383</f>
        <v>1234560</v>
      </c>
      <c r="E382" s="20" t="s">
        <v>3216</v>
      </c>
      <c r="F382" t="s">
        <v>6232</v>
      </c>
      <c r="G382" t="s">
        <v>1477</v>
      </c>
      <c r="H382" t="s">
        <v>6232</v>
      </c>
    </row>
    <row r="383" spans="1:8" ht="18.399999999999999" hidden="1" customHeight="1">
      <c r="A383" s="11" t="s">
        <v>1068</v>
      </c>
      <c r="B383" s="2" t="s">
        <v>3848</v>
      </c>
      <c r="C383" s="2" t="s">
        <v>6141</v>
      </c>
      <c r="D383" s="25">
        <f>자재조서!E384</f>
        <v>1255880</v>
      </c>
      <c r="E383" s="20" t="s">
        <v>3216</v>
      </c>
      <c r="F383" t="s">
        <v>6232</v>
      </c>
      <c r="G383" t="s">
        <v>2996</v>
      </c>
      <c r="H383" t="s">
        <v>6232</v>
      </c>
    </row>
    <row r="384" spans="1:8" ht="18.399999999999999" hidden="1" customHeight="1">
      <c r="A384" s="11" t="s">
        <v>1068</v>
      </c>
      <c r="B384" s="2" t="s">
        <v>3158</v>
      </c>
      <c r="C384" s="2" t="s">
        <v>6141</v>
      </c>
      <c r="D384" s="25">
        <f>자재조서!E385</f>
        <v>1373186</v>
      </c>
      <c r="E384" s="20" t="s">
        <v>341</v>
      </c>
      <c r="F384" t="s">
        <v>6232</v>
      </c>
      <c r="G384" t="s">
        <v>1163</v>
      </c>
      <c r="H384" t="s">
        <v>6232</v>
      </c>
    </row>
    <row r="385" spans="1:8" ht="18.399999999999999" hidden="1" customHeight="1">
      <c r="A385" s="11" t="s">
        <v>1068</v>
      </c>
      <c r="B385" s="2" t="s">
        <v>4944</v>
      </c>
      <c r="C385" s="2" t="s">
        <v>6141</v>
      </c>
      <c r="D385" s="25">
        <f>자재조서!E386</f>
        <v>1454794</v>
      </c>
      <c r="E385" s="20" t="s">
        <v>341</v>
      </c>
      <c r="F385" t="s">
        <v>6232</v>
      </c>
      <c r="G385" t="s">
        <v>1186</v>
      </c>
      <c r="H385" t="s">
        <v>6232</v>
      </c>
    </row>
    <row r="386" spans="1:8" ht="18.399999999999999" hidden="1" customHeight="1">
      <c r="A386" s="11" t="s">
        <v>1068</v>
      </c>
      <c r="B386" s="2" t="s">
        <v>2362</v>
      </c>
      <c r="C386" s="2" t="s">
        <v>6141</v>
      </c>
      <c r="D386" s="25">
        <f>자재조서!E387</f>
        <v>1531120</v>
      </c>
      <c r="E386" s="20" t="s">
        <v>341</v>
      </c>
      <c r="F386" t="s">
        <v>6232</v>
      </c>
      <c r="G386" t="s">
        <v>328</v>
      </c>
      <c r="H386" t="s">
        <v>6232</v>
      </c>
    </row>
    <row r="387" spans="1:8" ht="18.399999999999999" hidden="1" customHeight="1">
      <c r="A387" s="11" t="s">
        <v>1068</v>
      </c>
      <c r="B387" s="2" t="s">
        <v>1789</v>
      </c>
      <c r="C387" s="2" t="s">
        <v>6141</v>
      </c>
      <c r="D387" s="25">
        <f>자재조서!E388</f>
        <v>1601395</v>
      </c>
      <c r="E387" s="20" t="s">
        <v>341</v>
      </c>
      <c r="F387" t="s">
        <v>6232</v>
      </c>
      <c r="G387" t="s">
        <v>85</v>
      </c>
      <c r="H387" t="s">
        <v>6232</v>
      </c>
    </row>
    <row r="388" spans="1:8" ht="18.399999999999999" hidden="1" customHeight="1">
      <c r="A388" s="11" t="s">
        <v>1068</v>
      </c>
      <c r="B388" s="2" t="s">
        <v>3340</v>
      </c>
      <c r="C388" s="2" t="s">
        <v>6141</v>
      </c>
      <c r="D388" s="25">
        <f>자재조서!E389</f>
        <v>1515566</v>
      </c>
      <c r="E388" s="20" t="s">
        <v>341</v>
      </c>
      <c r="F388" t="s">
        <v>6232</v>
      </c>
      <c r="G388" t="s">
        <v>1806</v>
      </c>
      <c r="H388" t="s">
        <v>6232</v>
      </c>
    </row>
    <row r="389" spans="1:8" ht="18.399999999999999" hidden="1" customHeight="1">
      <c r="A389" s="11" t="s">
        <v>1068</v>
      </c>
      <c r="B389" s="2" t="s">
        <v>3467</v>
      </c>
      <c r="C389" s="2" t="s">
        <v>6141</v>
      </c>
      <c r="D389" s="25">
        <f>자재조서!E390</f>
        <v>1638796</v>
      </c>
      <c r="E389" s="20" t="s">
        <v>341</v>
      </c>
      <c r="F389" t="s">
        <v>6232</v>
      </c>
      <c r="G389" t="s">
        <v>2113</v>
      </c>
      <c r="H389" t="s">
        <v>6232</v>
      </c>
    </row>
    <row r="390" spans="1:8" ht="18.399999999999999" hidden="1" customHeight="1">
      <c r="A390" s="11" t="s">
        <v>1068</v>
      </c>
      <c r="B390" s="2" t="s">
        <v>2441</v>
      </c>
      <c r="C390" s="2" t="s">
        <v>6141</v>
      </c>
      <c r="D390" s="25">
        <f>자재조서!E391</f>
        <v>1813849</v>
      </c>
      <c r="E390" s="20" t="s">
        <v>341</v>
      </c>
      <c r="F390" t="s">
        <v>6232</v>
      </c>
      <c r="G390" t="s">
        <v>450</v>
      </c>
      <c r="H390" t="s">
        <v>6232</v>
      </c>
    </row>
    <row r="391" spans="1:8" ht="18.399999999999999" hidden="1" customHeight="1">
      <c r="A391" s="11" t="s">
        <v>1068</v>
      </c>
      <c r="B391" s="2" t="s">
        <v>4248</v>
      </c>
      <c r="C391" s="2" t="s">
        <v>6141</v>
      </c>
      <c r="D391" s="25">
        <f>자재조서!E392</f>
        <v>1393941</v>
      </c>
      <c r="E391" s="20" t="s">
        <v>341</v>
      </c>
      <c r="F391" t="s">
        <v>6232</v>
      </c>
      <c r="G391" t="s">
        <v>5669</v>
      </c>
      <c r="H391" t="s">
        <v>6232</v>
      </c>
    </row>
    <row r="392" spans="1:8" ht="18.399999999999999" hidden="1" customHeight="1">
      <c r="A392" s="11" t="s">
        <v>1068</v>
      </c>
      <c r="B392" s="2" t="s">
        <v>3699</v>
      </c>
      <c r="C392" s="2" t="s">
        <v>6141</v>
      </c>
      <c r="D392" s="25">
        <f>자재조서!E393</f>
        <v>1428564</v>
      </c>
      <c r="E392" s="20" t="s">
        <v>341</v>
      </c>
      <c r="F392" t="s">
        <v>6232</v>
      </c>
      <c r="G392" t="s">
        <v>4120</v>
      </c>
      <c r="H392" t="s">
        <v>6232</v>
      </c>
    </row>
    <row r="393" spans="1:8" ht="18.399999999999999" hidden="1" customHeight="1">
      <c r="A393" s="11" t="s">
        <v>1068</v>
      </c>
      <c r="B393" s="2" t="s">
        <v>3189</v>
      </c>
      <c r="C393" s="2" t="s">
        <v>6141</v>
      </c>
      <c r="D393" s="25">
        <f>자재조서!E394</f>
        <v>1518929</v>
      </c>
      <c r="E393" s="20" t="s">
        <v>341</v>
      </c>
      <c r="F393" t="s">
        <v>6232</v>
      </c>
      <c r="G393" t="s">
        <v>5586</v>
      </c>
      <c r="H393" t="s">
        <v>6232</v>
      </c>
    </row>
    <row r="394" spans="1:8" ht="18.399999999999999" hidden="1" customHeight="1">
      <c r="A394" s="11" t="s">
        <v>1068</v>
      </c>
      <c r="B394" s="2" t="s">
        <v>4928</v>
      </c>
      <c r="C394" s="2" t="s">
        <v>6141</v>
      </c>
      <c r="D394" s="25">
        <f>자재조서!E395</f>
        <v>1607799</v>
      </c>
      <c r="E394" s="20" t="s">
        <v>341</v>
      </c>
      <c r="F394" t="s">
        <v>6232</v>
      </c>
      <c r="G394" t="s">
        <v>5557</v>
      </c>
      <c r="H394" t="s">
        <v>6232</v>
      </c>
    </row>
    <row r="395" spans="1:8" ht="18.399999999999999" hidden="1" customHeight="1">
      <c r="A395" s="11" t="s">
        <v>1068</v>
      </c>
      <c r="B395" s="2" t="s">
        <v>2143</v>
      </c>
      <c r="C395" s="2" t="s">
        <v>6141</v>
      </c>
      <c r="D395" s="25">
        <f>자재조서!E396</f>
        <v>1681993</v>
      </c>
      <c r="E395" s="20" t="s">
        <v>341</v>
      </c>
      <c r="F395" t="s">
        <v>6232</v>
      </c>
      <c r="G395" t="s">
        <v>5338</v>
      </c>
      <c r="H395" t="s">
        <v>6232</v>
      </c>
    </row>
    <row r="396" spans="1:8" ht="18.399999999999999" hidden="1" customHeight="1">
      <c r="A396" s="11" t="s">
        <v>1068</v>
      </c>
      <c r="B396" s="2" t="s">
        <v>2780</v>
      </c>
      <c r="C396" s="2" t="s">
        <v>6141</v>
      </c>
      <c r="D396" s="25">
        <f>자재조서!E397</f>
        <v>1751855</v>
      </c>
      <c r="E396" s="20" t="s">
        <v>341</v>
      </c>
      <c r="F396" t="s">
        <v>6232</v>
      </c>
      <c r="G396" t="s">
        <v>5209</v>
      </c>
      <c r="H396" t="s">
        <v>6232</v>
      </c>
    </row>
    <row r="397" spans="1:8" ht="18.399999999999999" hidden="1" customHeight="1">
      <c r="A397" s="11" t="s">
        <v>1068</v>
      </c>
      <c r="B397" s="2" t="s">
        <v>4364</v>
      </c>
      <c r="C397" s="2" t="s">
        <v>6141</v>
      </c>
      <c r="D397" s="25">
        <f>자재조서!E398</f>
        <v>1851381</v>
      </c>
      <c r="E397" s="20" t="s">
        <v>341</v>
      </c>
      <c r="F397" t="s">
        <v>6232</v>
      </c>
      <c r="G397" t="s">
        <v>3841</v>
      </c>
      <c r="H397" t="s">
        <v>6232</v>
      </c>
    </row>
    <row r="398" spans="1:8" ht="18.399999999999999" hidden="1" customHeight="1">
      <c r="A398" s="11" t="s">
        <v>1068</v>
      </c>
      <c r="B398" s="2" t="s">
        <v>4404</v>
      </c>
      <c r="C398" s="2" t="s">
        <v>6141</v>
      </c>
      <c r="D398" s="25">
        <f>자재조서!E399</f>
        <v>1788134</v>
      </c>
      <c r="E398" s="20" t="s">
        <v>341</v>
      </c>
      <c r="F398" t="s">
        <v>6232</v>
      </c>
      <c r="G398" t="s">
        <v>3146</v>
      </c>
      <c r="H398" t="s">
        <v>6232</v>
      </c>
    </row>
    <row r="399" spans="1:8" ht="18.399999999999999" hidden="1" customHeight="1">
      <c r="A399" s="11" t="s">
        <v>1068</v>
      </c>
      <c r="B399" s="2" t="s">
        <v>2239</v>
      </c>
      <c r="C399" s="2" t="s">
        <v>6141</v>
      </c>
      <c r="D399" s="25">
        <f>자재조서!E400</f>
        <v>1959188</v>
      </c>
      <c r="E399" s="20" t="s">
        <v>341</v>
      </c>
      <c r="F399" t="s">
        <v>6232</v>
      </c>
      <c r="G399" t="s">
        <v>4839</v>
      </c>
      <c r="H399" t="s">
        <v>6232</v>
      </c>
    </row>
    <row r="400" spans="1:8" ht="18.399999999999999" hidden="1" customHeight="1">
      <c r="A400" s="11" t="s">
        <v>1068</v>
      </c>
      <c r="B400" s="2" t="s">
        <v>5135</v>
      </c>
      <c r="C400" s="2" t="s">
        <v>6141</v>
      </c>
      <c r="D400" s="25">
        <f>자재조서!E401</f>
        <v>2172763</v>
      </c>
      <c r="E400" s="20" t="s">
        <v>341</v>
      </c>
      <c r="F400" t="s">
        <v>6232</v>
      </c>
      <c r="G400" t="s">
        <v>4399</v>
      </c>
      <c r="H400" t="s">
        <v>6232</v>
      </c>
    </row>
    <row r="401" spans="1:8" ht="18.399999999999999" hidden="1" customHeight="1">
      <c r="A401" s="11" t="s">
        <v>1068</v>
      </c>
      <c r="B401" s="2" t="s">
        <v>1028</v>
      </c>
      <c r="C401" s="2" t="s">
        <v>6141</v>
      </c>
      <c r="D401" s="25">
        <f>자재조서!E402</f>
        <v>1601153</v>
      </c>
      <c r="E401" s="20" t="s">
        <v>341</v>
      </c>
      <c r="F401" t="s">
        <v>6232</v>
      </c>
      <c r="G401" t="s">
        <v>5267</v>
      </c>
      <c r="H401" t="s">
        <v>6232</v>
      </c>
    </row>
    <row r="402" spans="1:8" ht="18.399999999999999" hidden="1" customHeight="1">
      <c r="A402" s="11" t="s">
        <v>1068</v>
      </c>
      <c r="B402" s="2" t="s">
        <v>1319</v>
      </c>
      <c r="C402" s="2" t="s">
        <v>6141</v>
      </c>
      <c r="D402" s="25">
        <f>자재조서!E403</f>
        <v>1689104</v>
      </c>
      <c r="E402" s="20" t="s">
        <v>341</v>
      </c>
      <c r="F402" t="s">
        <v>6232</v>
      </c>
      <c r="G402" t="s">
        <v>3633</v>
      </c>
      <c r="H402" t="s">
        <v>6232</v>
      </c>
    </row>
    <row r="403" spans="1:8" ht="18.399999999999999" hidden="1" customHeight="1">
      <c r="A403" s="11" t="s">
        <v>1068</v>
      </c>
      <c r="B403" s="2" t="s">
        <v>2895</v>
      </c>
      <c r="C403" s="2" t="s">
        <v>6141</v>
      </c>
      <c r="D403" s="25">
        <f>자재조서!E404</f>
        <v>1787286</v>
      </c>
      <c r="E403" s="20" t="s">
        <v>341</v>
      </c>
      <c r="F403" t="s">
        <v>6232</v>
      </c>
      <c r="G403" t="s">
        <v>3610</v>
      </c>
      <c r="H403" t="s">
        <v>6232</v>
      </c>
    </row>
    <row r="404" spans="1:8" ht="18.399999999999999" hidden="1" customHeight="1">
      <c r="A404" s="11" t="s">
        <v>1068</v>
      </c>
      <c r="B404" s="2" t="s">
        <v>6231</v>
      </c>
      <c r="C404" s="2" t="s">
        <v>6141</v>
      </c>
      <c r="D404" s="25">
        <f>자재조서!E405</f>
        <v>1861147</v>
      </c>
      <c r="E404" s="20" t="s">
        <v>341</v>
      </c>
      <c r="F404" t="s">
        <v>6232</v>
      </c>
      <c r="G404" t="s">
        <v>4175</v>
      </c>
      <c r="H404" t="s">
        <v>6232</v>
      </c>
    </row>
    <row r="405" spans="1:8" ht="18.399999999999999" hidden="1" customHeight="1">
      <c r="A405" s="11" t="s">
        <v>1068</v>
      </c>
      <c r="B405" s="2" t="s">
        <v>5141</v>
      </c>
      <c r="C405" s="2" t="s">
        <v>6141</v>
      </c>
      <c r="D405" s="25">
        <f>자재조서!E406</f>
        <v>1930938</v>
      </c>
      <c r="E405" s="20" t="s">
        <v>341</v>
      </c>
      <c r="F405" t="s">
        <v>6232</v>
      </c>
      <c r="G405" t="s">
        <v>4063</v>
      </c>
      <c r="H405" t="s">
        <v>6232</v>
      </c>
    </row>
    <row r="406" spans="1:8" ht="18.399999999999999" hidden="1" customHeight="1">
      <c r="A406" s="11" t="s">
        <v>1068</v>
      </c>
      <c r="B406" s="2" t="s">
        <v>499</v>
      </c>
      <c r="C406" s="2" t="s">
        <v>6141</v>
      </c>
      <c r="D406" s="25">
        <f>자재조서!E407</f>
        <v>2030110</v>
      </c>
      <c r="E406" s="20" t="s">
        <v>341</v>
      </c>
      <c r="F406" t="s">
        <v>6232</v>
      </c>
      <c r="G406" t="s">
        <v>5800</v>
      </c>
      <c r="H406" t="s">
        <v>6232</v>
      </c>
    </row>
    <row r="407" spans="1:8" ht="18.399999999999999" hidden="1" customHeight="1">
      <c r="A407" s="11" t="s">
        <v>1068</v>
      </c>
      <c r="B407" s="2" t="s">
        <v>425</v>
      </c>
      <c r="C407" s="2" t="s">
        <v>6141</v>
      </c>
      <c r="D407" s="25">
        <f>자재조서!E408</f>
        <v>1966500</v>
      </c>
      <c r="E407" s="20" t="s">
        <v>341</v>
      </c>
      <c r="F407" t="s">
        <v>6232</v>
      </c>
      <c r="G407" t="s">
        <v>5893</v>
      </c>
      <c r="H407" t="s">
        <v>6232</v>
      </c>
    </row>
    <row r="408" spans="1:8" ht="18.399999999999999" hidden="1" customHeight="1">
      <c r="A408" s="11" t="s">
        <v>1068</v>
      </c>
      <c r="B408" s="2" t="s">
        <v>6079</v>
      </c>
      <c r="C408" s="2" t="s">
        <v>6141</v>
      </c>
      <c r="D408" s="25">
        <f>자재조서!E409</f>
        <v>2136473</v>
      </c>
      <c r="E408" s="20" t="s">
        <v>341</v>
      </c>
      <c r="F408" t="s">
        <v>6232</v>
      </c>
      <c r="G408" t="s">
        <v>4448</v>
      </c>
      <c r="H408" t="s">
        <v>6232</v>
      </c>
    </row>
    <row r="409" spans="1:8" ht="18.399999999999999" hidden="1" customHeight="1">
      <c r="A409" s="11" t="s">
        <v>1068</v>
      </c>
      <c r="B409" s="2" t="s">
        <v>2787</v>
      </c>
      <c r="C409" s="2" t="s">
        <v>6141</v>
      </c>
      <c r="D409" s="25">
        <f>자재조서!E410</f>
        <v>2348301</v>
      </c>
      <c r="E409" s="20" t="s">
        <v>341</v>
      </c>
      <c r="F409" t="s">
        <v>6232</v>
      </c>
      <c r="G409" t="s">
        <v>4800</v>
      </c>
      <c r="H409" t="s">
        <v>6232</v>
      </c>
    </row>
    <row r="410" spans="1:8" ht="18.399999999999999" hidden="1" customHeight="1">
      <c r="A410" s="11" t="s">
        <v>1068</v>
      </c>
      <c r="B410" s="2" t="s">
        <v>3872</v>
      </c>
      <c r="C410" s="2" t="s">
        <v>6141</v>
      </c>
      <c r="D410" s="25">
        <f>자재조서!E411</f>
        <v>2561633</v>
      </c>
      <c r="E410" s="20" t="s">
        <v>341</v>
      </c>
      <c r="F410" t="s">
        <v>6232</v>
      </c>
      <c r="G410" t="s">
        <v>3094</v>
      </c>
      <c r="H410" t="s">
        <v>6232</v>
      </c>
    </row>
    <row r="411" spans="1:8" ht="18.399999999999999" hidden="1" customHeight="1">
      <c r="A411" s="11" t="s">
        <v>1068</v>
      </c>
      <c r="B411" s="2" t="s">
        <v>225</v>
      </c>
      <c r="C411" s="2" t="s">
        <v>6141</v>
      </c>
      <c r="D411" s="25">
        <f>자재조서!E412</f>
        <v>1911223</v>
      </c>
      <c r="E411" s="20" t="s">
        <v>341</v>
      </c>
      <c r="F411" t="s">
        <v>6232</v>
      </c>
      <c r="G411" t="s">
        <v>2246</v>
      </c>
      <c r="H411" t="s">
        <v>6232</v>
      </c>
    </row>
    <row r="412" spans="1:8" ht="18.399999999999999" hidden="1" customHeight="1">
      <c r="A412" s="11" t="s">
        <v>1068</v>
      </c>
      <c r="B412" s="2" t="s">
        <v>1647</v>
      </c>
      <c r="C412" s="2" t="s">
        <v>6141</v>
      </c>
      <c r="D412" s="25">
        <f>자재조서!E413</f>
        <v>1958814</v>
      </c>
      <c r="E412" s="20" t="s">
        <v>341</v>
      </c>
      <c r="F412" t="s">
        <v>6232</v>
      </c>
      <c r="G412" t="s">
        <v>2228</v>
      </c>
      <c r="H412" t="s">
        <v>6232</v>
      </c>
    </row>
    <row r="413" spans="1:8" ht="18.399999999999999" hidden="1" customHeight="1">
      <c r="A413" s="11" t="s">
        <v>1068</v>
      </c>
      <c r="B413" s="2" t="s">
        <v>1566</v>
      </c>
      <c r="C413" s="2" t="s">
        <v>6141</v>
      </c>
      <c r="D413" s="25">
        <f>자재조서!E414</f>
        <v>2037463</v>
      </c>
      <c r="E413" s="20" t="s">
        <v>341</v>
      </c>
      <c r="F413" t="s">
        <v>6232</v>
      </c>
      <c r="G413" t="s">
        <v>2409</v>
      </c>
      <c r="H413" t="s">
        <v>6232</v>
      </c>
    </row>
    <row r="414" spans="1:8" ht="18.399999999999999" hidden="1" customHeight="1">
      <c r="A414" s="11" t="s">
        <v>1068</v>
      </c>
      <c r="B414" s="2" t="s">
        <v>2564</v>
      </c>
      <c r="C414" s="2" t="s">
        <v>6141</v>
      </c>
      <c r="D414" s="25">
        <f>자재조서!E415</f>
        <v>2107466</v>
      </c>
      <c r="E414" s="20" t="s">
        <v>341</v>
      </c>
      <c r="F414" t="s">
        <v>6232</v>
      </c>
      <c r="G414" t="s">
        <v>2668</v>
      </c>
      <c r="H414" t="s">
        <v>6232</v>
      </c>
    </row>
    <row r="415" spans="1:8" ht="18.399999999999999" hidden="1" customHeight="1">
      <c r="A415" s="11" t="s">
        <v>1068</v>
      </c>
      <c r="B415" s="2" t="s">
        <v>4157</v>
      </c>
      <c r="C415" s="2" t="s">
        <v>6141</v>
      </c>
      <c r="D415" s="25">
        <f>자재조서!E416</f>
        <v>2200669</v>
      </c>
      <c r="E415" s="20" t="s">
        <v>341</v>
      </c>
      <c r="F415" t="s">
        <v>6232</v>
      </c>
      <c r="G415" t="s">
        <v>935</v>
      </c>
      <c r="H415" t="s">
        <v>6232</v>
      </c>
    </row>
    <row r="416" spans="1:8" ht="18.399999999999999" hidden="1" customHeight="1">
      <c r="A416" s="11" t="s">
        <v>1068</v>
      </c>
      <c r="B416" s="2" t="s">
        <v>4275</v>
      </c>
      <c r="C416" s="2" t="s">
        <v>6141</v>
      </c>
      <c r="D416" s="25">
        <f>자재조서!E417</f>
        <v>2372167</v>
      </c>
      <c r="E416" s="20" t="s">
        <v>341</v>
      </c>
      <c r="F416" t="s">
        <v>6232</v>
      </c>
      <c r="G416" t="s">
        <v>1410</v>
      </c>
      <c r="H416" t="s">
        <v>6232</v>
      </c>
    </row>
    <row r="417" spans="1:8" ht="18.399999999999999" hidden="1" customHeight="1">
      <c r="A417" s="11" t="s">
        <v>1068</v>
      </c>
      <c r="B417" s="2" t="s">
        <v>1638</v>
      </c>
      <c r="C417" s="2" t="s">
        <v>6141</v>
      </c>
      <c r="D417" s="25">
        <f>자재조서!E418</f>
        <v>2305547</v>
      </c>
      <c r="E417" s="20" t="s">
        <v>341</v>
      </c>
      <c r="F417" t="s">
        <v>6232</v>
      </c>
      <c r="G417" t="s">
        <v>3073</v>
      </c>
      <c r="H417" t="s">
        <v>6232</v>
      </c>
    </row>
    <row r="418" spans="1:8" ht="18.399999999999999" hidden="1" customHeight="1">
      <c r="A418" s="11" t="s">
        <v>1068</v>
      </c>
      <c r="B418" s="2" t="s">
        <v>4904</v>
      </c>
      <c r="C418" s="2" t="s">
        <v>6141</v>
      </c>
      <c r="D418" s="25">
        <f>자재조서!E419</f>
        <v>2522021</v>
      </c>
      <c r="E418" s="20" t="s">
        <v>341</v>
      </c>
      <c r="F418" t="s">
        <v>6232</v>
      </c>
      <c r="G418" t="s">
        <v>300</v>
      </c>
      <c r="H418" t="s">
        <v>6232</v>
      </c>
    </row>
    <row r="419" spans="1:8" ht="18.399999999999999" hidden="1" customHeight="1">
      <c r="A419" s="11" t="s">
        <v>1068</v>
      </c>
      <c r="B419" s="2" t="s">
        <v>781</v>
      </c>
      <c r="C419" s="2" t="s">
        <v>6141</v>
      </c>
      <c r="D419" s="25">
        <f>자재조서!E420</f>
        <v>2729646</v>
      </c>
      <c r="E419" s="20" t="s">
        <v>341</v>
      </c>
      <c r="F419" t="s">
        <v>6232</v>
      </c>
      <c r="G419" t="s">
        <v>1717</v>
      </c>
      <c r="H419" t="s">
        <v>6232</v>
      </c>
    </row>
    <row r="420" spans="1:8" ht="18.399999999999999" hidden="1" customHeight="1">
      <c r="A420" s="11" t="s">
        <v>1068</v>
      </c>
      <c r="B420" s="2" t="s">
        <v>2781</v>
      </c>
      <c r="C420" s="2" t="s">
        <v>6141</v>
      </c>
      <c r="D420" s="25">
        <f>자재조서!E421</f>
        <v>2915517</v>
      </c>
      <c r="E420" s="20" t="s">
        <v>341</v>
      </c>
      <c r="F420" t="s">
        <v>6232</v>
      </c>
      <c r="G420" t="s">
        <v>3304</v>
      </c>
      <c r="H420" t="s">
        <v>6232</v>
      </c>
    </row>
    <row r="421" spans="1:8" ht="18.399999999999999" hidden="1" customHeight="1">
      <c r="A421" s="11" t="s">
        <v>5254</v>
      </c>
      <c r="B421" s="2" t="s">
        <v>4681</v>
      </c>
      <c r="C421" s="2" t="s">
        <v>6141</v>
      </c>
      <c r="D421" s="25">
        <f>자재조서!E422</f>
        <v>244310</v>
      </c>
      <c r="E421" s="20" t="s">
        <v>341</v>
      </c>
      <c r="F421" t="s">
        <v>6232</v>
      </c>
      <c r="G421" t="s">
        <v>4042</v>
      </c>
      <c r="H421" t="s">
        <v>6232</v>
      </c>
    </row>
    <row r="422" spans="1:8" ht="18.399999999999999" hidden="1" customHeight="1">
      <c r="A422" s="11" t="s">
        <v>5254</v>
      </c>
      <c r="B422" s="2" t="s">
        <v>3195</v>
      </c>
      <c r="C422" s="2" t="s">
        <v>6141</v>
      </c>
      <c r="D422" s="25">
        <f>자재조서!E423</f>
        <v>247320</v>
      </c>
      <c r="E422" s="20" t="s">
        <v>341</v>
      </c>
      <c r="F422" t="s">
        <v>6232</v>
      </c>
      <c r="G422" t="s">
        <v>1023</v>
      </c>
      <c r="H422" t="s">
        <v>6232</v>
      </c>
    </row>
    <row r="423" spans="1:8" ht="18.399999999999999" hidden="1" customHeight="1">
      <c r="A423" s="11" t="s">
        <v>5254</v>
      </c>
      <c r="B423" s="2" t="s">
        <v>2220</v>
      </c>
      <c r="C423" s="2" t="s">
        <v>6141</v>
      </c>
      <c r="D423" s="25">
        <f>자재조서!E424</f>
        <v>252830</v>
      </c>
      <c r="E423" s="20" t="s">
        <v>341</v>
      </c>
      <c r="F423" t="s">
        <v>6232</v>
      </c>
      <c r="G423" t="s">
        <v>4309</v>
      </c>
      <c r="H423" t="s">
        <v>6232</v>
      </c>
    </row>
    <row r="424" spans="1:8" ht="18.399999999999999" hidden="1" customHeight="1">
      <c r="A424" s="11" t="s">
        <v>5254</v>
      </c>
      <c r="B424" s="2" t="s">
        <v>4194</v>
      </c>
      <c r="C424" s="2" t="s">
        <v>6141</v>
      </c>
      <c r="D424" s="25">
        <f>자재조서!E425</f>
        <v>257810</v>
      </c>
      <c r="E424" s="20" t="s">
        <v>341</v>
      </c>
      <c r="F424" t="s">
        <v>6232</v>
      </c>
      <c r="G424" t="s">
        <v>2001</v>
      </c>
      <c r="H424" t="s">
        <v>6232</v>
      </c>
    </row>
    <row r="425" spans="1:8" ht="18.399999999999999" hidden="1" customHeight="1">
      <c r="A425" s="11" t="s">
        <v>5254</v>
      </c>
      <c r="B425" s="2" t="s">
        <v>218</v>
      </c>
      <c r="C425" s="2" t="s">
        <v>6141</v>
      </c>
      <c r="D425" s="25">
        <f>자재조서!E426</f>
        <v>267530</v>
      </c>
      <c r="E425" s="20" t="s">
        <v>341</v>
      </c>
      <c r="F425" t="s">
        <v>6232</v>
      </c>
      <c r="G425" t="s">
        <v>5525</v>
      </c>
      <c r="H425" t="s">
        <v>6232</v>
      </c>
    </row>
    <row r="426" spans="1:8" ht="18.399999999999999" hidden="1" customHeight="1">
      <c r="A426" s="11" t="s">
        <v>5254</v>
      </c>
      <c r="B426" s="2" t="s">
        <v>320</v>
      </c>
      <c r="C426" s="2" t="s">
        <v>6141</v>
      </c>
      <c r="D426" s="25">
        <f>자재조서!E427</f>
        <v>271930</v>
      </c>
      <c r="E426" s="20" t="s">
        <v>341</v>
      </c>
      <c r="F426" t="s">
        <v>6232</v>
      </c>
      <c r="G426" t="s">
        <v>201</v>
      </c>
      <c r="H426" t="s">
        <v>6232</v>
      </c>
    </row>
    <row r="427" spans="1:8" ht="18.399999999999999" hidden="1" customHeight="1">
      <c r="A427" s="11" t="s">
        <v>5254</v>
      </c>
      <c r="B427" s="2" t="s">
        <v>5048</v>
      </c>
      <c r="C427" s="2" t="s">
        <v>6141</v>
      </c>
      <c r="D427" s="25">
        <f>자재조서!E428</f>
        <v>313150</v>
      </c>
      <c r="E427" s="20" t="s">
        <v>341</v>
      </c>
      <c r="F427" t="s">
        <v>6232</v>
      </c>
      <c r="G427" t="s">
        <v>5703</v>
      </c>
      <c r="H427" t="s">
        <v>6232</v>
      </c>
    </row>
    <row r="428" spans="1:8" ht="18.399999999999999" hidden="1" customHeight="1">
      <c r="A428" s="11" t="s">
        <v>5254</v>
      </c>
      <c r="B428" s="2" t="s">
        <v>5633</v>
      </c>
      <c r="C428" s="2" t="s">
        <v>6141</v>
      </c>
      <c r="D428" s="25">
        <f>자재조서!E429</f>
        <v>318250</v>
      </c>
      <c r="E428" s="20" t="s">
        <v>341</v>
      </c>
      <c r="F428" t="s">
        <v>6232</v>
      </c>
      <c r="G428" t="s">
        <v>4176</v>
      </c>
      <c r="H428" t="s">
        <v>6232</v>
      </c>
    </row>
    <row r="429" spans="1:8" ht="18.399999999999999" hidden="1" customHeight="1">
      <c r="A429" s="11" t="s">
        <v>5254</v>
      </c>
      <c r="B429" s="2" t="s">
        <v>5634</v>
      </c>
      <c r="C429" s="2" t="s">
        <v>6141</v>
      </c>
      <c r="D429" s="25">
        <f>자재조서!E430</f>
        <v>330210</v>
      </c>
      <c r="E429" s="20" t="s">
        <v>341</v>
      </c>
      <c r="F429" t="s">
        <v>6232</v>
      </c>
      <c r="G429" t="s">
        <v>6042</v>
      </c>
      <c r="H429" t="s">
        <v>6232</v>
      </c>
    </row>
    <row r="430" spans="1:8" ht="18.399999999999999" hidden="1" customHeight="1">
      <c r="A430" s="11" t="s">
        <v>5254</v>
      </c>
      <c r="B430" s="2" t="s">
        <v>6130</v>
      </c>
      <c r="C430" s="2" t="s">
        <v>6141</v>
      </c>
      <c r="D430" s="25">
        <f>자재조서!E431</f>
        <v>346950</v>
      </c>
      <c r="E430" s="20" t="s">
        <v>341</v>
      </c>
      <c r="F430" t="s">
        <v>6232</v>
      </c>
      <c r="G430" t="s">
        <v>4377</v>
      </c>
      <c r="H430" t="s">
        <v>6232</v>
      </c>
    </row>
    <row r="431" spans="1:8" ht="18.399999999999999" hidden="1" customHeight="1">
      <c r="A431" s="11" t="s">
        <v>5254</v>
      </c>
      <c r="B431" s="2" t="s">
        <v>4223</v>
      </c>
      <c r="C431" s="2" t="s">
        <v>6141</v>
      </c>
      <c r="D431" s="25">
        <f>자재조서!E432</f>
        <v>428790</v>
      </c>
      <c r="E431" s="20" t="s">
        <v>341</v>
      </c>
      <c r="F431" t="s">
        <v>6232</v>
      </c>
      <c r="G431" t="s">
        <v>5055</v>
      </c>
      <c r="H431" t="s">
        <v>6232</v>
      </c>
    </row>
    <row r="432" spans="1:8" ht="18.399999999999999" hidden="1" customHeight="1">
      <c r="A432" s="11" t="s">
        <v>5254</v>
      </c>
      <c r="B432" s="2" t="s">
        <v>5500</v>
      </c>
      <c r="C432" s="2" t="s">
        <v>6141</v>
      </c>
      <c r="D432" s="25">
        <f>자재조서!E433</f>
        <v>436490</v>
      </c>
      <c r="E432" s="20" t="s">
        <v>341</v>
      </c>
      <c r="F432" t="s">
        <v>6232</v>
      </c>
      <c r="G432" t="s">
        <v>5082</v>
      </c>
      <c r="H432" t="s">
        <v>6232</v>
      </c>
    </row>
    <row r="433" spans="1:8" ht="18.399999999999999" hidden="1" customHeight="1">
      <c r="A433" s="11" t="s">
        <v>5254</v>
      </c>
      <c r="B433" s="2" t="s">
        <v>3735</v>
      </c>
      <c r="C433" s="2" t="s">
        <v>6141</v>
      </c>
      <c r="D433" s="25">
        <f>자재조서!E434</f>
        <v>459680</v>
      </c>
      <c r="E433" s="20" t="s">
        <v>341</v>
      </c>
      <c r="F433" t="s">
        <v>6232</v>
      </c>
      <c r="G433" t="s">
        <v>3171</v>
      </c>
      <c r="H433" t="s">
        <v>6232</v>
      </c>
    </row>
    <row r="434" spans="1:8" ht="18.399999999999999" hidden="1" customHeight="1">
      <c r="A434" s="11" t="s">
        <v>5254</v>
      </c>
      <c r="B434" s="2" t="s">
        <v>4619</v>
      </c>
      <c r="C434" s="2" t="s">
        <v>6141</v>
      </c>
      <c r="D434" s="25">
        <f>자재조서!E435</f>
        <v>472640</v>
      </c>
      <c r="E434" s="20" t="s">
        <v>341</v>
      </c>
      <c r="F434" t="s">
        <v>6232</v>
      </c>
      <c r="G434" t="s">
        <v>4541</v>
      </c>
      <c r="H434" t="s">
        <v>6232</v>
      </c>
    </row>
    <row r="435" spans="1:8" ht="18.399999999999999" hidden="1" customHeight="1">
      <c r="A435" s="11" t="s">
        <v>5254</v>
      </c>
      <c r="B435" s="2" t="s">
        <v>3128</v>
      </c>
      <c r="C435" s="2" t="s">
        <v>6141</v>
      </c>
      <c r="D435" s="25">
        <f>자재조서!E436</f>
        <v>503010</v>
      </c>
      <c r="E435" s="20" t="s">
        <v>3216</v>
      </c>
      <c r="F435" t="s">
        <v>6232</v>
      </c>
      <c r="G435" t="s">
        <v>3842</v>
      </c>
      <c r="H435" t="s">
        <v>6232</v>
      </c>
    </row>
    <row r="436" spans="1:8" ht="18.399999999999999" hidden="1" customHeight="1">
      <c r="A436" s="11" t="s">
        <v>5254</v>
      </c>
      <c r="B436" s="2" t="s">
        <v>4107</v>
      </c>
      <c r="C436" s="2" t="s">
        <v>6141</v>
      </c>
      <c r="D436" s="25">
        <f>자재조서!E437</f>
        <v>510710</v>
      </c>
      <c r="E436" s="20" t="s">
        <v>3216</v>
      </c>
      <c r="F436" t="s">
        <v>6232</v>
      </c>
      <c r="G436" t="s">
        <v>3570</v>
      </c>
      <c r="H436" t="s">
        <v>6232</v>
      </c>
    </row>
    <row r="437" spans="1:8" ht="18.399999999999999" hidden="1" customHeight="1">
      <c r="A437" s="11" t="s">
        <v>5254</v>
      </c>
      <c r="B437" s="2" t="s">
        <v>5765</v>
      </c>
      <c r="C437" s="2" t="s">
        <v>6141</v>
      </c>
      <c r="D437" s="25">
        <f>자재조서!E438</f>
        <v>562720</v>
      </c>
      <c r="E437" s="20" t="s">
        <v>3216</v>
      </c>
      <c r="F437" t="s">
        <v>6232</v>
      </c>
      <c r="G437" t="s">
        <v>1845</v>
      </c>
      <c r="H437" t="s">
        <v>6232</v>
      </c>
    </row>
    <row r="438" spans="1:8" ht="18.399999999999999" hidden="1" customHeight="1">
      <c r="A438" s="11" t="s">
        <v>5254</v>
      </c>
      <c r="B438" s="2" t="s">
        <v>1072</v>
      </c>
      <c r="C438" s="2" t="s">
        <v>6141</v>
      </c>
      <c r="D438" s="25">
        <f>자재조서!E439</f>
        <v>570890</v>
      </c>
      <c r="E438" s="20" t="s">
        <v>3216</v>
      </c>
      <c r="F438" t="s">
        <v>6232</v>
      </c>
      <c r="G438" t="s">
        <v>128</v>
      </c>
      <c r="H438" t="s">
        <v>6232</v>
      </c>
    </row>
    <row r="439" spans="1:8" ht="18.399999999999999" hidden="1" customHeight="1">
      <c r="A439" s="11" t="s">
        <v>5254</v>
      </c>
      <c r="B439" s="2" t="s">
        <v>3340</v>
      </c>
      <c r="C439" s="2" t="s">
        <v>6141</v>
      </c>
      <c r="D439" s="25">
        <f>자재조서!E440</f>
        <v>758390</v>
      </c>
      <c r="E439" s="20" t="s">
        <v>3216</v>
      </c>
      <c r="F439" t="s">
        <v>6232</v>
      </c>
      <c r="G439" t="s">
        <v>2831</v>
      </c>
      <c r="H439" t="s">
        <v>6232</v>
      </c>
    </row>
    <row r="440" spans="1:8" ht="18.399999999999999" hidden="1" customHeight="1">
      <c r="A440" s="11" t="s">
        <v>5254</v>
      </c>
      <c r="B440" s="2" t="s">
        <v>3467</v>
      </c>
      <c r="C440" s="2" t="s">
        <v>6141</v>
      </c>
      <c r="D440" s="25">
        <f>자재조서!E441</f>
        <v>790350</v>
      </c>
      <c r="E440" s="20" t="s">
        <v>3216</v>
      </c>
      <c r="F440" t="s">
        <v>6232</v>
      </c>
      <c r="G440" t="s">
        <v>2551</v>
      </c>
      <c r="H440" t="s">
        <v>6232</v>
      </c>
    </row>
    <row r="441" spans="1:8" ht="18.399999999999999" hidden="1" customHeight="1">
      <c r="A441" s="11" t="s">
        <v>5254</v>
      </c>
      <c r="B441" s="2" t="s">
        <v>4404</v>
      </c>
      <c r="C441" s="2" t="s">
        <v>6141</v>
      </c>
      <c r="D441" s="25">
        <f>자재조서!E442</f>
        <v>865060</v>
      </c>
      <c r="E441" s="20" t="s">
        <v>3216</v>
      </c>
      <c r="F441" t="s">
        <v>6232</v>
      </c>
      <c r="G441" t="s">
        <v>4552</v>
      </c>
      <c r="H441" t="s">
        <v>6232</v>
      </c>
    </row>
    <row r="442" spans="1:8" ht="18.399999999999999" hidden="1" customHeight="1">
      <c r="A442" s="11" t="s">
        <v>5254</v>
      </c>
      <c r="B442" s="2" t="s">
        <v>2239</v>
      </c>
      <c r="C442" s="2" t="s">
        <v>6141</v>
      </c>
      <c r="D442" s="25">
        <f>자재조서!E443</f>
        <v>915890</v>
      </c>
      <c r="E442" s="20" t="s">
        <v>3216</v>
      </c>
      <c r="F442" t="s">
        <v>6232</v>
      </c>
      <c r="G442" t="s">
        <v>6066</v>
      </c>
      <c r="H442" t="s">
        <v>6232</v>
      </c>
    </row>
    <row r="443" spans="1:8" ht="18.399999999999999" hidden="1" customHeight="1">
      <c r="A443" s="11" t="s">
        <v>5254</v>
      </c>
      <c r="B443" s="2" t="s">
        <v>6079</v>
      </c>
      <c r="C443" s="2" t="s">
        <v>6141</v>
      </c>
      <c r="D443" s="25">
        <f>자재조서!E444</f>
        <v>1040880</v>
      </c>
      <c r="E443" s="20" t="s">
        <v>341</v>
      </c>
      <c r="F443" t="s">
        <v>6232</v>
      </c>
      <c r="G443" t="s">
        <v>3336</v>
      </c>
      <c r="H443" t="s">
        <v>6232</v>
      </c>
    </row>
    <row r="444" spans="1:8" ht="18.399999999999999" hidden="1" customHeight="1">
      <c r="A444" s="11" t="s">
        <v>5254</v>
      </c>
      <c r="B444" s="2" t="s">
        <v>2787</v>
      </c>
      <c r="C444" s="2" t="s">
        <v>6141</v>
      </c>
      <c r="D444" s="25">
        <f>자재조서!E445</f>
        <v>1085820</v>
      </c>
      <c r="E444" s="20" t="s">
        <v>3216</v>
      </c>
      <c r="F444" t="s">
        <v>6232</v>
      </c>
      <c r="G444" t="s">
        <v>6120</v>
      </c>
      <c r="H444" t="s">
        <v>6232</v>
      </c>
    </row>
    <row r="445" spans="1:8" ht="18.399999999999999" hidden="1" customHeight="1">
      <c r="A445" s="11" t="s">
        <v>5254</v>
      </c>
      <c r="B445" s="2" t="s">
        <v>4904</v>
      </c>
      <c r="C445" s="2" t="s">
        <v>6141</v>
      </c>
      <c r="D445" s="25">
        <f>자재조서!E446</f>
        <v>1214150</v>
      </c>
      <c r="E445" s="20" t="s">
        <v>341</v>
      </c>
      <c r="F445" t="s">
        <v>6232</v>
      </c>
      <c r="G445" t="s">
        <v>1245</v>
      </c>
      <c r="H445" t="s">
        <v>6232</v>
      </c>
    </row>
    <row r="446" spans="1:8" ht="18.399999999999999" hidden="1" customHeight="1">
      <c r="A446" s="11" t="s">
        <v>5254</v>
      </c>
      <c r="B446" s="2" t="s">
        <v>781</v>
      </c>
      <c r="C446" s="2" t="s">
        <v>6141</v>
      </c>
      <c r="D446" s="25">
        <f>자재조서!E447</f>
        <v>1246050</v>
      </c>
      <c r="E446" s="20" t="s">
        <v>341</v>
      </c>
      <c r="F446" t="s">
        <v>6232</v>
      </c>
      <c r="G446" t="s">
        <v>2856</v>
      </c>
      <c r="H446" t="s">
        <v>6232</v>
      </c>
    </row>
    <row r="447" spans="1:8" ht="18.399999999999999" hidden="1" customHeight="1">
      <c r="A447" s="11" t="s">
        <v>5254</v>
      </c>
      <c r="B447" s="2" t="s">
        <v>3251</v>
      </c>
      <c r="C447" s="2" t="s">
        <v>6141</v>
      </c>
      <c r="D447" s="25">
        <f>자재조서!E448</f>
        <v>1460050</v>
      </c>
      <c r="E447" s="20" t="s">
        <v>341</v>
      </c>
      <c r="F447" t="s">
        <v>6232</v>
      </c>
      <c r="G447" t="s">
        <v>157</v>
      </c>
      <c r="H447" t="s">
        <v>6232</v>
      </c>
    </row>
    <row r="448" spans="1:8" ht="18.399999999999999" hidden="1" customHeight="1">
      <c r="A448" s="11" t="s">
        <v>5254</v>
      </c>
      <c r="B448" s="2" t="s">
        <v>5152</v>
      </c>
      <c r="C448" s="2" t="s">
        <v>6141</v>
      </c>
      <c r="D448" s="25">
        <f>자재조서!E449</f>
        <v>1476600</v>
      </c>
      <c r="E448" s="20" t="s">
        <v>341</v>
      </c>
      <c r="F448" t="s">
        <v>6232</v>
      </c>
      <c r="G448" t="s">
        <v>4822</v>
      </c>
      <c r="H448" t="s">
        <v>6232</v>
      </c>
    </row>
    <row r="449" spans="1:8" ht="18.399999999999999" hidden="1" customHeight="1">
      <c r="A449" s="11" t="s">
        <v>5254</v>
      </c>
      <c r="B449" s="2" t="s">
        <v>5778</v>
      </c>
      <c r="C449" s="2" t="s">
        <v>6141</v>
      </c>
      <c r="D449" s="25">
        <f>자재조서!E450</f>
        <v>1698180</v>
      </c>
      <c r="E449" s="20" t="s">
        <v>341</v>
      </c>
      <c r="F449" t="s">
        <v>6232</v>
      </c>
      <c r="G449" t="s">
        <v>474</v>
      </c>
      <c r="H449" t="s">
        <v>6232</v>
      </c>
    </row>
    <row r="450" spans="1:8" ht="18.399999999999999" hidden="1" customHeight="1">
      <c r="A450" s="11" t="s">
        <v>5254</v>
      </c>
      <c r="B450" s="2" t="s">
        <v>160</v>
      </c>
      <c r="C450" s="2" t="s">
        <v>6141</v>
      </c>
      <c r="D450" s="25">
        <f>자재조서!E451</f>
        <v>1717090</v>
      </c>
      <c r="E450" s="20" t="s">
        <v>341</v>
      </c>
      <c r="F450" t="s">
        <v>6232</v>
      </c>
      <c r="G450" t="s">
        <v>2087</v>
      </c>
      <c r="H450" t="s">
        <v>6232</v>
      </c>
    </row>
    <row r="451" spans="1:8" ht="18.399999999999999" hidden="1" customHeight="1">
      <c r="A451" s="11" t="s">
        <v>5254</v>
      </c>
      <c r="B451" s="2" t="s">
        <v>3928</v>
      </c>
      <c r="C451" s="2" t="s">
        <v>6141</v>
      </c>
      <c r="D451" s="25">
        <f>자재조서!E452</f>
        <v>1855850</v>
      </c>
      <c r="E451" s="20" t="s">
        <v>3216</v>
      </c>
      <c r="F451" t="s">
        <v>6232</v>
      </c>
      <c r="G451" t="s">
        <v>936</v>
      </c>
      <c r="H451" t="s">
        <v>6232</v>
      </c>
    </row>
    <row r="452" spans="1:8" ht="18.399999999999999" hidden="1" customHeight="1">
      <c r="A452" s="11" t="s">
        <v>5254</v>
      </c>
      <c r="B452" s="2" t="s">
        <v>1143</v>
      </c>
      <c r="C452" s="2" t="s">
        <v>6141</v>
      </c>
      <c r="D452" s="25">
        <f>자재조서!E453</f>
        <v>1906430</v>
      </c>
      <c r="E452" s="20" t="s">
        <v>3216</v>
      </c>
      <c r="F452" t="s">
        <v>6232</v>
      </c>
      <c r="G452" t="s">
        <v>2035</v>
      </c>
      <c r="H452" t="s">
        <v>6232</v>
      </c>
    </row>
    <row r="453" spans="1:8" ht="18.399999999999999" hidden="1" customHeight="1">
      <c r="A453" s="11" t="s">
        <v>5254</v>
      </c>
      <c r="B453" s="2" t="s">
        <v>2616</v>
      </c>
      <c r="C453" s="2" t="s">
        <v>6141</v>
      </c>
      <c r="D453" s="25">
        <f>자재조서!E454</f>
        <v>2416200</v>
      </c>
      <c r="E453" s="20" t="s">
        <v>341</v>
      </c>
      <c r="F453" t="s">
        <v>6232</v>
      </c>
      <c r="G453" t="s">
        <v>3363</v>
      </c>
      <c r="H453" t="s">
        <v>6232</v>
      </c>
    </row>
    <row r="454" spans="1:8" ht="18.399999999999999" hidden="1" customHeight="1">
      <c r="A454" s="11" t="s">
        <v>5254</v>
      </c>
      <c r="B454" s="2" t="s">
        <v>3099</v>
      </c>
      <c r="C454" s="2" t="s">
        <v>6141</v>
      </c>
      <c r="D454" s="25">
        <f>자재조서!E455</f>
        <v>2130540</v>
      </c>
      <c r="E454" s="20" t="s">
        <v>3216</v>
      </c>
      <c r="F454" t="s">
        <v>6232</v>
      </c>
      <c r="G454" t="s">
        <v>5032</v>
      </c>
      <c r="H454" t="s">
        <v>6232</v>
      </c>
    </row>
    <row r="455" spans="1:8" ht="18.399999999999999" hidden="1" customHeight="1">
      <c r="A455" s="11" t="s">
        <v>5254</v>
      </c>
      <c r="B455" s="2" t="s">
        <v>969</v>
      </c>
      <c r="C455" s="2" t="s">
        <v>6141</v>
      </c>
      <c r="D455" s="25">
        <f>자재조서!E456</f>
        <v>2930520</v>
      </c>
      <c r="E455" s="20" t="s">
        <v>341</v>
      </c>
      <c r="F455" t="s">
        <v>6232</v>
      </c>
      <c r="G455" t="s">
        <v>4641</v>
      </c>
      <c r="H455" t="s">
        <v>6232</v>
      </c>
    </row>
    <row r="456" spans="1:8" ht="18.399999999999999" hidden="1" customHeight="1">
      <c r="A456" s="11" t="s">
        <v>5254</v>
      </c>
      <c r="B456" s="2" t="s">
        <v>816</v>
      </c>
      <c r="C456" s="2" t="s">
        <v>6141</v>
      </c>
      <c r="D456" s="25">
        <f>자재조서!E457</f>
        <v>3011230</v>
      </c>
      <c r="E456" s="20" t="s">
        <v>341</v>
      </c>
      <c r="F456" t="s">
        <v>6232</v>
      </c>
      <c r="G456" t="s">
        <v>3974</v>
      </c>
      <c r="H456" t="s">
        <v>6232</v>
      </c>
    </row>
    <row r="457" spans="1:8" ht="18.399999999999999" hidden="1" customHeight="1">
      <c r="A457" s="11" t="s">
        <v>5254</v>
      </c>
      <c r="B457" s="2" t="s">
        <v>671</v>
      </c>
      <c r="C457" s="2" t="s">
        <v>6141</v>
      </c>
      <c r="D457" s="25">
        <f>자재조서!E458</f>
        <v>3081590</v>
      </c>
      <c r="E457" s="20" t="s">
        <v>341</v>
      </c>
      <c r="F457" t="s">
        <v>6232</v>
      </c>
      <c r="G457" t="s">
        <v>2857</v>
      </c>
      <c r="H457" t="s">
        <v>6232</v>
      </c>
    </row>
    <row r="458" spans="1:8" ht="18.399999999999999" hidden="1" customHeight="1">
      <c r="A458" s="11" t="s">
        <v>5254</v>
      </c>
      <c r="B458" s="2" t="s">
        <v>5845</v>
      </c>
      <c r="C458" s="2" t="s">
        <v>6141</v>
      </c>
      <c r="D458" s="25">
        <f>자재조서!E459</f>
        <v>3138510</v>
      </c>
      <c r="E458" s="20" t="s">
        <v>341</v>
      </c>
      <c r="F458" t="s">
        <v>6232</v>
      </c>
      <c r="G458" t="s">
        <v>1243</v>
      </c>
      <c r="H458" t="s">
        <v>6232</v>
      </c>
    </row>
    <row r="459" spans="1:8" ht="18.399999999999999" hidden="1" customHeight="1">
      <c r="A459" s="11" t="s">
        <v>5254</v>
      </c>
      <c r="B459" s="2" t="s">
        <v>2119</v>
      </c>
      <c r="C459" s="2" t="s">
        <v>6141</v>
      </c>
      <c r="D459" s="25">
        <f>자재조서!E460</f>
        <v>3196510</v>
      </c>
      <c r="E459" s="20" t="s">
        <v>341</v>
      </c>
      <c r="F459" t="s">
        <v>6232</v>
      </c>
      <c r="G459" t="s">
        <v>1616</v>
      </c>
      <c r="H459" t="s">
        <v>6232</v>
      </c>
    </row>
    <row r="460" spans="1:8" ht="18.399999999999999" hidden="1" customHeight="1">
      <c r="A460" s="11" t="s">
        <v>5254</v>
      </c>
      <c r="B460" s="2" t="s">
        <v>5261</v>
      </c>
      <c r="C460" s="2" t="s">
        <v>6141</v>
      </c>
      <c r="D460" s="25">
        <f>자재조서!E461</f>
        <v>3255950</v>
      </c>
      <c r="E460" s="20" t="s">
        <v>341</v>
      </c>
      <c r="F460" t="s">
        <v>6232</v>
      </c>
      <c r="G460" t="s">
        <v>1187</v>
      </c>
      <c r="H460" t="s">
        <v>6232</v>
      </c>
    </row>
    <row r="461" spans="1:8" ht="18.399999999999999" hidden="1" customHeight="1">
      <c r="A461" s="11" t="s">
        <v>603</v>
      </c>
      <c r="B461" s="2" t="s">
        <v>5612</v>
      </c>
      <c r="C461" s="2" t="s">
        <v>6141</v>
      </c>
      <c r="D461" s="25">
        <f>자재조서!E462</f>
        <v>215080</v>
      </c>
      <c r="E461" s="20" t="s">
        <v>341</v>
      </c>
      <c r="F461" t="s">
        <v>6232</v>
      </c>
      <c r="G461" t="s">
        <v>6178</v>
      </c>
      <c r="H461" t="s">
        <v>6232</v>
      </c>
    </row>
    <row r="462" spans="1:8" ht="18.399999999999999" hidden="1" customHeight="1">
      <c r="A462" s="11" t="s">
        <v>603</v>
      </c>
      <c r="B462" s="2" t="s">
        <v>3978</v>
      </c>
      <c r="C462" s="2" t="s">
        <v>6141</v>
      </c>
      <c r="D462" s="25">
        <f>자재조서!E463</f>
        <v>217410</v>
      </c>
      <c r="E462" s="20" t="s">
        <v>341</v>
      </c>
      <c r="F462" t="s">
        <v>6232</v>
      </c>
      <c r="G462" t="s">
        <v>2756</v>
      </c>
      <c r="H462" t="s">
        <v>6232</v>
      </c>
    </row>
    <row r="463" spans="1:8" ht="18.399999999999999" hidden="1" customHeight="1">
      <c r="A463" s="11" t="s">
        <v>603</v>
      </c>
      <c r="B463" s="2" t="s">
        <v>1993</v>
      </c>
      <c r="C463" s="2" t="s">
        <v>6141</v>
      </c>
      <c r="D463" s="25">
        <f>자재조서!E464</f>
        <v>222040</v>
      </c>
      <c r="E463" s="20" t="s">
        <v>341</v>
      </c>
      <c r="F463" t="s">
        <v>6232</v>
      </c>
      <c r="G463" t="s">
        <v>3492</v>
      </c>
      <c r="H463" t="s">
        <v>6232</v>
      </c>
    </row>
    <row r="464" spans="1:8" ht="18.399999999999999" hidden="1" customHeight="1">
      <c r="A464" s="11" t="s">
        <v>603</v>
      </c>
      <c r="B464" s="2" t="s">
        <v>2037</v>
      </c>
      <c r="C464" s="2" t="s">
        <v>6141</v>
      </c>
      <c r="D464" s="25">
        <f>자재조서!E465</f>
        <v>224580</v>
      </c>
      <c r="E464" s="20" t="s">
        <v>341</v>
      </c>
      <c r="F464" t="s">
        <v>6232</v>
      </c>
      <c r="G464" t="s">
        <v>2966</v>
      </c>
      <c r="H464" t="s">
        <v>6232</v>
      </c>
    </row>
    <row r="465" spans="1:8" ht="18.399999999999999" hidden="1" customHeight="1">
      <c r="A465" s="11" t="s">
        <v>603</v>
      </c>
      <c r="B465" s="2" t="s">
        <v>2412</v>
      </c>
      <c r="C465" s="2" t="s">
        <v>6141</v>
      </c>
      <c r="D465" s="25">
        <f>자재조서!E466</f>
        <v>230210</v>
      </c>
      <c r="E465" s="20" t="s">
        <v>341</v>
      </c>
      <c r="F465" t="s">
        <v>6232</v>
      </c>
      <c r="G465" t="s">
        <v>1411</v>
      </c>
      <c r="H465" t="s">
        <v>6232</v>
      </c>
    </row>
    <row r="466" spans="1:8" ht="18.399999999999999" hidden="1" customHeight="1">
      <c r="A466" s="11" t="s">
        <v>603</v>
      </c>
      <c r="B466" s="2" t="s">
        <v>3074</v>
      </c>
      <c r="C466" s="2" t="s">
        <v>6141</v>
      </c>
      <c r="D466" s="25">
        <f>자재조서!E467</f>
        <v>239080</v>
      </c>
      <c r="E466" s="20" t="s">
        <v>341</v>
      </c>
      <c r="F466" t="s">
        <v>6232</v>
      </c>
      <c r="G466" t="s">
        <v>2858</v>
      </c>
      <c r="H466" t="s">
        <v>6232</v>
      </c>
    </row>
    <row r="467" spans="1:8" ht="18.399999999999999" hidden="1" customHeight="1">
      <c r="A467" s="11" t="s">
        <v>603</v>
      </c>
      <c r="B467" s="2" t="s">
        <v>1165</v>
      </c>
      <c r="C467" s="2" t="s">
        <v>6141</v>
      </c>
      <c r="D467" s="25">
        <f>자재조서!E468</f>
        <v>246170</v>
      </c>
      <c r="E467" s="20" t="s">
        <v>341</v>
      </c>
      <c r="F467" t="s">
        <v>6232</v>
      </c>
      <c r="G467" t="s">
        <v>2883</v>
      </c>
      <c r="H467" t="s">
        <v>6232</v>
      </c>
    </row>
    <row r="468" spans="1:8" ht="18.399999999999999" hidden="1" customHeight="1">
      <c r="A468" s="11" t="s">
        <v>603</v>
      </c>
      <c r="B468" s="2" t="s">
        <v>1572</v>
      </c>
      <c r="C468" s="2" t="s">
        <v>6141</v>
      </c>
      <c r="D468" s="25">
        <f>자재조서!E469</f>
        <v>297160</v>
      </c>
      <c r="E468" s="20" t="s">
        <v>341</v>
      </c>
      <c r="F468" t="s">
        <v>6232</v>
      </c>
      <c r="G468" t="s">
        <v>1738</v>
      </c>
      <c r="H468" t="s">
        <v>6232</v>
      </c>
    </row>
    <row r="469" spans="1:8" ht="18.399999999999999" hidden="1" customHeight="1">
      <c r="A469" s="11" t="s">
        <v>603</v>
      </c>
      <c r="B469" s="2" t="s">
        <v>2531</v>
      </c>
      <c r="C469" s="2" t="s">
        <v>6141</v>
      </c>
      <c r="D469" s="25">
        <f>자재조서!E470</f>
        <v>306430</v>
      </c>
      <c r="E469" s="20" t="s">
        <v>341</v>
      </c>
      <c r="F469" t="s">
        <v>6232</v>
      </c>
      <c r="G469" t="s">
        <v>1658</v>
      </c>
      <c r="H469" t="s">
        <v>6232</v>
      </c>
    </row>
    <row r="470" spans="1:8" ht="18.399999999999999" hidden="1" customHeight="1">
      <c r="A470" s="11" t="s">
        <v>603</v>
      </c>
      <c r="B470" s="2" t="s">
        <v>4124</v>
      </c>
      <c r="C470" s="2" t="s">
        <v>6141</v>
      </c>
      <c r="D470" s="25">
        <f>자재조서!E471</f>
        <v>337510</v>
      </c>
      <c r="E470" s="20" t="s">
        <v>341</v>
      </c>
      <c r="F470" t="s">
        <v>6232</v>
      </c>
      <c r="G470" t="s">
        <v>301</v>
      </c>
      <c r="H470" t="s">
        <v>6232</v>
      </c>
    </row>
    <row r="471" spans="1:8" ht="18.399999999999999" hidden="1" customHeight="1">
      <c r="A471" s="11" t="s">
        <v>603</v>
      </c>
      <c r="B471" s="2" t="s">
        <v>4184</v>
      </c>
      <c r="C471" s="2" t="s">
        <v>6141</v>
      </c>
      <c r="D471" s="25">
        <f>자재조서!E472</f>
        <v>368980</v>
      </c>
      <c r="E471" s="20" t="s">
        <v>341</v>
      </c>
      <c r="F471" t="s">
        <v>6232</v>
      </c>
      <c r="G471" t="s">
        <v>404</v>
      </c>
      <c r="H471" t="s">
        <v>6232</v>
      </c>
    </row>
    <row r="472" spans="1:8" ht="18.399999999999999" hidden="1" customHeight="1">
      <c r="A472" s="11" t="s">
        <v>603</v>
      </c>
      <c r="B472" s="2" t="s">
        <v>1695</v>
      </c>
      <c r="C472" s="2" t="s">
        <v>6141</v>
      </c>
      <c r="D472" s="25">
        <f>자재조서!E473</f>
        <v>480410</v>
      </c>
      <c r="E472" s="20" t="s">
        <v>341</v>
      </c>
      <c r="F472" t="s">
        <v>6232</v>
      </c>
      <c r="G472" t="s">
        <v>2036</v>
      </c>
      <c r="H472" t="s">
        <v>6232</v>
      </c>
    </row>
    <row r="473" spans="1:8" ht="18.399999999999999" hidden="1" customHeight="1">
      <c r="A473" s="11" t="s">
        <v>603</v>
      </c>
      <c r="B473" s="2" t="s">
        <v>4869</v>
      </c>
      <c r="C473" s="2" t="s">
        <v>6141</v>
      </c>
      <c r="D473" s="25">
        <f>자재조서!E474</f>
        <v>518400</v>
      </c>
      <c r="E473" s="20" t="s">
        <v>341</v>
      </c>
      <c r="F473" t="s">
        <v>6232</v>
      </c>
      <c r="G473" t="s">
        <v>937</v>
      </c>
      <c r="H473" t="s">
        <v>6232</v>
      </c>
    </row>
    <row r="474" spans="1:8" ht="18.399999999999999" hidden="1" customHeight="1">
      <c r="A474" s="11" t="s">
        <v>603</v>
      </c>
      <c r="B474" s="2" t="s">
        <v>809</v>
      </c>
      <c r="C474" s="2" t="s">
        <v>6141</v>
      </c>
      <c r="D474" s="25">
        <f>자재조서!E475</f>
        <v>552700</v>
      </c>
      <c r="E474" s="20" t="s">
        <v>341</v>
      </c>
      <c r="F474" t="s">
        <v>6232</v>
      </c>
      <c r="G474" t="s">
        <v>2410</v>
      </c>
      <c r="H474" t="s">
        <v>6232</v>
      </c>
    </row>
    <row r="475" spans="1:8" ht="18.399999999999999" hidden="1" customHeight="1">
      <c r="A475" s="11" t="s">
        <v>603</v>
      </c>
      <c r="B475" s="2" t="s">
        <v>2695</v>
      </c>
      <c r="C475" s="2" t="s">
        <v>6141</v>
      </c>
      <c r="D475" s="25">
        <f>자재조서!E476</f>
        <v>600850</v>
      </c>
      <c r="E475" s="20" t="s">
        <v>341</v>
      </c>
      <c r="F475" t="s">
        <v>6232</v>
      </c>
      <c r="G475" t="s">
        <v>3975</v>
      </c>
      <c r="H475" t="s">
        <v>6232</v>
      </c>
    </row>
    <row r="476" spans="1:8" ht="18.399999999999999" hidden="1" customHeight="1">
      <c r="A476" s="11" t="s">
        <v>603</v>
      </c>
      <c r="B476" s="2" t="s">
        <v>3762</v>
      </c>
      <c r="C476" s="2" t="s">
        <v>6141</v>
      </c>
      <c r="D476" s="25">
        <f>자재조서!E477</f>
        <v>704210</v>
      </c>
      <c r="E476" s="20" t="s">
        <v>341</v>
      </c>
      <c r="F476" t="s">
        <v>6232</v>
      </c>
      <c r="G476" t="s">
        <v>5611</v>
      </c>
      <c r="H476" t="s">
        <v>6232</v>
      </c>
    </row>
    <row r="477" spans="1:8" ht="18.399999999999999" hidden="1" customHeight="1">
      <c r="A477" s="11" t="s">
        <v>603</v>
      </c>
      <c r="B477" s="2" t="s">
        <v>512</v>
      </c>
      <c r="C477" s="2" t="s">
        <v>6141</v>
      </c>
      <c r="D477" s="25">
        <f>자재조서!E478</f>
        <v>767970</v>
      </c>
      <c r="E477" s="20" t="s">
        <v>341</v>
      </c>
      <c r="F477" t="s">
        <v>6232</v>
      </c>
      <c r="G477" t="s">
        <v>3611</v>
      </c>
      <c r="H477" t="s">
        <v>6232</v>
      </c>
    </row>
    <row r="478" spans="1:8" ht="18.399999999999999" hidden="1" customHeight="1">
      <c r="A478" s="11" t="s">
        <v>603</v>
      </c>
      <c r="B478" s="2" t="s">
        <v>6186</v>
      </c>
      <c r="C478" s="2" t="s">
        <v>6141</v>
      </c>
      <c r="D478" s="25">
        <f>자재조서!E479</f>
        <v>1006430</v>
      </c>
      <c r="E478" s="20" t="s">
        <v>341</v>
      </c>
      <c r="F478" t="s">
        <v>6232</v>
      </c>
      <c r="G478" t="s">
        <v>5083</v>
      </c>
      <c r="H478" t="s">
        <v>6232</v>
      </c>
    </row>
    <row r="479" spans="1:8" ht="18.399999999999999" hidden="1" customHeight="1">
      <c r="A479" s="11" t="s">
        <v>603</v>
      </c>
      <c r="B479" s="2" t="s">
        <v>6105</v>
      </c>
      <c r="C479" s="2" t="s">
        <v>6141</v>
      </c>
      <c r="D479" s="25">
        <f>자재조서!E480</f>
        <v>1083890</v>
      </c>
      <c r="E479" s="20" t="s">
        <v>341</v>
      </c>
      <c r="F479" t="s">
        <v>6232</v>
      </c>
      <c r="G479" t="s">
        <v>4991</v>
      </c>
      <c r="H479" t="s">
        <v>6232</v>
      </c>
    </row>
    <row r="480" spans="1:8" ht="18.399999999999999" hidden="1" customHeight="1">
      <c r="A480" s="11" t="s">
        <v>603</v>
      </c>
      <c r="B480" s="2" t="s">
        <v>397</v>
      </c>
      <c r="C480" s="2" t="s">
        <v>6141</v>
      </c>
      <c r="D480" s="25">
        <f>자재조서!E481</f>
        <v>1130110</v>
      </c>
      <c r="E480" s="20" t="s">
        <v>341</v>
      </c>
      <c r="F480" t="s">
        <v>6232</v>
      </c>
      <c r="G480" t="s">
        <v>3305</v>
      </c>
      <c r="H480" t="s">
        <v>6232</v>
      </c>
    </row>
    <row r="481" spans="1:8" ht="18.399999999999999" hidden="1" customHeight="1">
      <c r="A481" s="11" t="s">
        <v>603</v>
      </c>
      <c r="B481" s="2" t="s">
        <v>3821</v>
      </c>
      <c r="C481" s="2" t="s">
        <v>6141</v>
      </c>
      <c r="D481" s="25">
        <f>자재조서!E482</f>
        <v>1178770</v>
      </c>
      <c r="E481" s="20" t="s">
        <v>341</v>
      </c>
      <c r="F481" t="s">
        <v>6232</v>
      </c>
      <c r="G481" t="s">
        <v>6097</v>
      </c>
      <c r="H481" t="s">
        <v>6232</v>
      </c>
    </row>
    <row r="482" spans="1:8" ht="18.399999999999999" hidden="1" customHeight="1">
      <c r="A482" s="11" t="s">
        <v>603</v>
      </c>
      <c r="B482" s="2" t="s">
        <v>2812</v>
      </c>
      <c r="C482" s="2" t="s">
        <v>6141</v>
      </c>
      <c r="D482" s="25">
        <f>자재조서!E483</f>
        <v>1225290</v>
      </c>
      <c r="E482" s="20" t="s">
        <v>341</v>
      </c>
      <c r="F482" t="s">
        <v>6232</v>
      </c>
      <c r="G482" t="s">
        <v>4642</v>
      </c>
      <c r="H482" t="s">
        <v>6232</v>
      </c>
    </row>
    <row r="483" spans="1:8" ht="18.399999999999999" hidden="1" customHeight="1">
      <c r="A483" s="11" t="s">
        <v>148</v>
      </c>
      <c r="B483" s="2" t="s">
        <v>5612</v>
      </c>
      <c r="C483" s="2" t="s">
        <v>6141</v>
      </c>
      <c r="D483" s="25">
        <f>자재조서!E484</f>
        <v>37770</v>
      </c>
      <c r="E483" s="20" t="s">
        <v>341</v>
      </c>
      <c r="F483" t="s">
        <v>6232</v>
      </c>
      <c r="G483" t="s">
        <v>4742</v>
      </c>
      <c r="H483" t="s">
        <v>6232</v>
      </c>
    </row>
    <row r="484" spans="1:8" ht="18.399999999999999" hidden="1" customHeight="1">
      <c r="A484" s="11" t="s">
        <v>148</v>
      </c>
      <c r="B484" s="2" t="s">
        <v>3978</v>
      </c>
      <c r="C484" s="2" t="s">
        <v>6141</v>
      </c>
      <c r="D484" s="25">
        <f>자재조서!E485</f>
        <v>37770</v>
      </c>
      <c r="E484" s="20" t="s">
        <v>341</v>
      </c>
      <c r="F484" t="s">
        <v>6232</v>
      </c>
      <c r="G484" t="s">
        <v>1829</v>
      </c>
      <c r="H484" t="s">
        <v>6232</v>
      </c>
    </row>
    <row r="485" spans="1:8" ht="18.399999999999999" hidden="1" customHeight="1">
      <c r="A485" s="11" t="s">
        <v>148</v>
      </c>
      <c r="B485" s="2" t="s">
        <v>1993</v>
      </c>
      <c r="C485" s="2" t="s">
        <v>6141</v>
      </c>
      <c r="D485" s="25">
        <f>자재조서!E486</f>
        <v>38360</v>
      </c>
      <c r="E485" s="20" t="s">
        <v>341</v>
      </c>
      <c r="F485" t="s">
        <v>6232</v>
      </c>
      <c r="G485" t="s">
        <v>4242</v>
      </c>
      <c r="H485" t="s">
        <v>6232</v>
      </c>
    </row>
    <row r="486" spans="1:8" ht="18.399999999999999" hidden="1" customHeight="1">
      <c r="A486" s="11" t="s">
        <v>148</v>
      </c>
      <c r="B486" s="2" t="s">
        <v>2037</v>
      </c>
      <c r="C486" s="2" t="s">
        <v>6141</v>
      </c>
      <c r="D486" s="25">
        <f>자재조서!E487</f>
        <v>38360</v>
      </c>
      <c r="E486" s="20" t="s">
        <v>341</v>
      </c>
      <c r="F486" t="s">
        <v>6232</v>
      </c>
      <c r="G486" t="s">
        <v>1659</v>
      </c>
      <c r="H486" t="s">
        <v>6232</v>
      </c>
    </row>
    <row r="487" spans="1:8" ht="18.399999999999999" hidden="1" customHeight="1">
      <c r="A487" s="11" t="s">
        <v>148</v>
      </c>
      <c r="B487" s="2" t="s">
        <v>2412</v>
      </c>
      <c r="C487" s="2" t="s">
        <v>6141</v>
      </c>
      <c r="D487" s="25">
        <f>자재조서!E488</f>
        <v>38360</v>
      </c>
      <c r="E487" s="20" t="s">
        <v>341</v>
      </c>
      <c r="F487" t="s">
        <v>6232</v>
      </c>
      <c r="G487" t="s">
        <v>106</v>
      </c>
      <c r="H487" t="s">
        <v>6232</v>
      </c>
    </row>
    <row r="488" spans="1:8" ht="18.399999999999999" hidden="1" customHeight="1">
      <c r="A488" s="11" t="s">
        <v>148</v>
      </c>
      <c r="B488" s="2" t="s">
        <v>3074</v>
      </c>
      <c r="C488" s="2" t="s">
        <v>6141</v>
      </c>
      <c r="D488" s="25">
        <f>자재조서!E489</f>
        <v>38970</v>
      </c>
      <c r="E488" s="20" t="s">
        <v>341</v>
      </c>
      <c r="F488" t="s">
        <v>6232</v>
      </c>
      <c r="G488" t="s">
        <v>1732</v>
      </c>
      <c r="H488" t="s">
        <v>6232</v>
      </c>
    </row>
    <row r="489" spans="1:8" ht="18.399999999999999" hidden="1" customHeight="1">
      <c r="A489" s="11" t="s">
        <v>148</v>
      </c>
      <c r="B489" s="2" t="s">
        <v>1165</v>
      </c>
      <c r="C489" s="2" t="s">
        <v>6141</v>
      </c>
      <c r="D489" s="25">
        <f>자재조서!E490</f>
        <v>39590</v>
      </c>
      <c r="E489" s="20" t="s">
        <v>341</v>
      </c>
      <c r="F489" t="s">
        <v>6232</v>
      </c>
      <c r="G489" t="s">
        <v>1756</v>
      </c>
      <c r="H489" t="s">
        <v>6232</v>
      </c>
    </row>
    <row r="490" spans="1:8" ht="18.399999999999999" hidden="1" customHeight="1">
      <c r="A490" s="11" t="s">
        <v>148</v>
      </c>
      <c r="B490" s="2" t="s">
        <v>1572</v>
      </c>
      <c r="C490" s="2" t="s">
        <v>6141</v>
      </c>
      <c r="D490" s="25">
        <f>자재조서!E491</f>
        <v>53210</v>
      </c>
      <c r="E490" s="20" t="s">
        <v>341</v>
      </c>
      <c r="F490" t="s">
        <v>6232</v>
      </c>
      <c r="G490" t="s">
        <v>2859</v>
      </c>
      <c r="H490" t="s">
        <v>6232</v>
      </c>
    </row>
    <row r="491" spans="1:8" ht="18.399999999999999" hidden="1" customHeight="1">
      <c r="A491" s="11" t="s">
        <v>148</v>
      </c>
      <c r="B491" s="2" t="s">
        <v>2531</v>
      </c>
      <c r="C491" s="2" t="s">
        <v>6141</v>
      </c>
      <c r="D491" s="25">
        <f>자재조서!E492</f>
        <v>54070</v>
      </c>
      <c r="E491" s="20" t="s">
        <v>341</v>
      </c>
      <c r="F491" t="s">
        <v>6232</v>
      </c>
      <c r="G491" t="s">
        <v>2967</v>
      </c>
      <c r="H491" t="s">
        <v>6232</v>
      </c>
    </row>
    <row r="492" spans="1:8" ht="18.399999999999999" hidden="1" customHeight="1">
      <c r="A492" s="11" t="s">
        <v>148</v>
      </c>
      <c r="B492" s="2" t="s">
        <v>4124</v>
      </c>
      <c r="C492" s="2" t="s">
        <v>6141</v>
      </c>
      <c r="D492" s="25">
        <f>자재조서!E493</f>
        <v>55580</v>
      </c>
      <c r="E492" s="20" t="s">
        <v>341</v>
      </c>
      <c r="F492" t="s">
        <v>6232</v>
      </c>
      <c r="G492" t="s">
        <v>1240</v>
      </c>
      <c r="H492" t="s">
        <v>6232</v>
      </c>
    </row>
    <row r="493" spans="1:8" ht="18.399999999999999" hidden="1" customHeight="1">
      <c r="A493" s="11" t="s">
        <v>148</v>
      </c>
      <c r="B493" s="2" t="s">
        <v>4184</v>
      </c>
      <c r="C493" s="2" t="s">
        <v>6141</v>
      </c>
      <c r="D493" s="25">
        <f>자재조서!E494</f>
        <v>60720</v>
      </c>
      <c r="E493" s="20" t="s">
        <v>341</v>
      </c>
      <c r="F493" t="s">
        <v>6232</v>
      </c>
      <c r="G493" t="s">
        <v>1139</v>
      </c>
      <c r="H493" t="s">
        <v>6232</v>
      </c>
    </row>
    <row r="494" spans="1:8" ht="18.399999999999999" hidden="1" customHeight="1">
      <c r="A494" s="11" t="s">
        <v>148</v>
      </c>
      <c r="B494" s="2" t="s">
        <v>1695</v>
      </c>
      <c r="C494" s="2" t="s">
        <v>6141</v>
      </c>
      <c r="D494" s="25">
        <f>자재조서!E495</f>
        <v>94320</v>
      </c>
      <c r="E494" s="20" t="s">
        <v>341</v>
      </c>
      <c r="F494" t="s">
        <v>6232</v>
      </c>
      <c r="G494" t="s">
        <v>2581</v>
      </c>
      <c r="H494" t="s">
        <v>6232</v>
      </c>
    </row>
    <row r="495" spans="1:8" ht="18.399999999999999" hidden="1" customHeight="1">
      <c r="A495" s="11" t="s">
        <v>148</v>
      </c>
      <c r="B495" s="2" t="s">
        <v>4869</v>
      </c>
      <c r="C495" s="2" t="s">
        <v>6141</v>
      </c>
      <c r="D495" s="25">
        <f>자재조서!E496</f>
        <v>99880</v>
      </c>
      <c r="E495" s="20" t="s">
        <v>341</v>
      </c>
      <c r="F495" t="s">
        <v>6232</v>
      </c>
      <c r="G495" t="s">
        <v>610</v>
      </c>
      <c r="H495" t="s">
        <v>6232</v>
      </c>
    </row>
    <row r="496" spans="1:8" ht="18.399999999999999" hidden="1" customHeight="1">
      <c r="A496" s="11" t="s">
        <v>148</v>
      </c>
      <c r="B496" s="2" t="s">
        <v>809</v>
      </c>
      <c r="C496" s="2" t="s">
        <v>6141</v>
      </c>
      <c r="D496" s="25">
        <f>자재조서!E497</f>
        <v>106380</v>
      </c>
      <c r="E496" s="20" t="s">
        <v>341</v>
      </c>
      <c r="F496" t="s">
        <v>6232</v>
      </c>
      <c r="G496" t="s">
        <v>2255</v>
      </c>
      <c r="H496" t="s">
        <v>6232</v>
      </c>
    </row>
    <row r="497" spans="1:8" ht="18.399999999999999" hidden="1" customHeight="1">
      <c r="A497" s="11" t="s">
        <v>148</v>
      </c>
      <c r="B497" s="2" t="s">
        <v>2695</v>
      </c>
      <c r="C497" s="2" t="s">
        <v>6141</v>
      </c>
      <c r="D497" s="25">
        <f>자재조서!E498</f>
        <v>116630</v>
      </c>
      <c r="E497" s="20" t="s">
        <v>341</v>
      </c>
      <c r="F497" t="s">
        <v>6232</v>
      </c>
      <c r="G497" t="s">
        <v>3817</v>
      </c>
      <c r="H497" t="s">
        <v>6232</v>
      </c>
    </row>
    <row r="498" spans="1:8" ht="18.399999999999999" hidden="1" customHeight="1">
      <c r="A498" s="11" t="s">
        <v>148</v>
      </c>
      <c r="B498" s="2" t="s">
        <v>3762</v>
      </c>
      <c r="C498" s="2" t="s">
        <v>6141</v>
      </c>
      <c r="D498" s="25">
        <f>자재조서!E499</f>
        <v>345960</v>
      </c>
      <c r="E498" s="20" t="s">
        <v>341</v>
      </c>
      <c r="F498" t="s">
        <v>6232</v>
      </c>
      <c r="G498" t="s">
        <v>5253</v>
      </c>
      <c r="H498" t="s">
        <v>6232</v>
      </c>
    </row>
    <row r="499" spans="1:8" ht="18.399999999999999" hidden="1" customHeight="1">
      <c r="A499" s="11" t="s">
        <v>148</v>
      </c>
      <c r="B499" s="2" t="s">
        <v>512</v>
      </c>
      <c r="C499" s="2" t="s">
        <v>6141</v>
      </c>
      <c r="D499" s="25">
        <f>자재조서!E500</f>
        <v>407110</v>
      </c>
      <c r="E499" s="20" t="s">
        <v>341</v>
      </c>
      <c r="F499" t="s">
        <v>6232</v>
      </c>
      <c r="G499" t="s">
        <v>4155</v>
      </c>
      <c r="H499" t="s">
        <v>6232</v>
      </c>
    </row>
    <row r="500" spans="1:8" ht="18.399999999999999" hidden="1" customHeight="1">
      <c r="A500" s="11" t="s">
        <v>148</v>
      </c>
      <c r="B500" s="2" t="s">
        <v>6186</v>
      </c>
      <c r="C500" s="2" t="s">
        <v>6141</v>
      </c>
      <c r="D500" s="25">
        <f>자재조서!E501</f>
        <v>461110</v>
      </c>
      <c r="E500" s="20" t="s">
        <v>341</v>
      </c>
      <c r="F500" t="s">
        <v>6232</v>
      </c>
      <c r="G500" t="s">
        <v>5824</v>
      </c>
      <c r="H500" t="s">
        <v>6232</v>
      </c>
    </row>
    <row r="501" spans="1:8" ht="18.399999999999999" hidden="1" customHeight="1">
      <c r="A501" s="11" t="s">
        <v>148</v>
      </c>
      <c r="B501" s="2" t="s">
        <v>6105</v>
      </c>
      <c r="C501" s="2" t="s">
        <v>6141</v>
      </c>
      <c r="D501" s="25">
        <f>자재조서!E502</f>
        <v>230820</v>
      </c>
      <c r="E501" s="20" t="s">
        <v>341</v>
      </c>
      <c r="F501" t="s">
        <v>6232</v>
      </c>
      <c r="G501" t="s">
        <v>5913</v>
      </c>
      <c r="H501" t="s">
        <v>6232</v>
      </c>
    </row>
    <row r="502" spans="1:8" ht="18.399999999999999" hidden="1" customHeight="1">
      <c r="A502" s="11" t="s">
        <v>148</v>
      </c>
      <c r="B502" s="2" t="s">
        <v>397</v>
      </c>
      <c r="C502" s="2" t="s">
        <v>6141</v>
      </c>
      <c r="D502" s="25">
        <f>자재조서!E503</f>
        <v>570800</v>
      </c>
      <c r="E502" s="20" t="s">
        <v>341</v>
      </c>
      <c r="F502" t="s">
        <v>6232</v>
      </c>
      <c r="G502" t="s">
        <v>4420</v>
      </c>
      <c r="H502" t="s">
        <v>6232</v>
      </c>
    </row>
    <row r="503" spans="1:8" ht="18.399999999999999" hidden="1" customHeight="1">
      <c r="A503" s="11" t="s">
        <v>148</v>
      </c>
      <c r="B503" s="2" t="s">
        <v>3821</v>
      </c>
      <c r="C503" s="2" t="s">
        <v>6141</v>
      </c>
      <c r="D503" s="25">
        <f>자재조서!E504</f>
        <v>247670</v>
      </c>
      <c r="E503" s="20" t="s">
        <v>341</v>
      </c>
      <c r="F503" t="s">
        <v>6232</v>
      </c>
      <c r="G503" t="s">
        <v>4777</v>
      </c>
      <c r="H503" t="s">
        <v>6232</v>
      </c>
    </row>
    <row r="504" spans="1:8" ht="18.399999999999999" hidden="1" customHeight="1">
      <c r="A504" s="11" t="s">
        <v>148</v>
      </c>
      <c r="B504" s="2" t="s">
        <v>2812</v>
      </c>
      <c r="C504" s="2" t="s">
        <v>6141</v>
      </c>
      <c r="D504" s="25">
        <f>자재조서!E505</f>
        <v>652680</v>
      </c>
      <c r="E504" s="20" t="s">
        <v>341</v>
      </c>
      <c r="F504" t="s">
        <v>6232</v>
      </c>
      <c r="G504" t="s">
        <v>3122</v>
      </c>
      <c r="H504" t="s">
        <v>6232</v>
      </c>
    </row>
    <row r="505" spans="1:8" ht="18.399999999999999" hidden="1" customHeight="1">
      <c r="A505" s="11" t="s">
        <v>93</v>
      </c>
      <c r="B505" s="2" t="s">
        <v>5612</v>
      </c>
      <c r="C505" s="2" t="s">
        <v>6141</v>
      </c>
      <c r="D505" s="25">
        <f>자재조서!E506</f>
        <v>633000</v>
      </c>
      <c r="E505" s="20" t="s">
        <v>3280</v>
      </c>
      <c r="F505" t="s">
        <v>6232</v>
      </c>
      <c r="G505" t="s">
        <v>1881</v>
      </c>
      <c r="H505" t="s">
        <v>6232</v>
      </c>
    </row>
    <row r="506" spans="1:8" ht="18.399999999999999" hidden="1" customHeight="1">
      <c r="A506" s="11" t="s">
        <v>93</v>
      </c>
      <c r="B506" s="2" t="s">
        <v>3978</v>
      </c>
      <c r="C506" s="2" t="s">
        <v>6141</v>
      </c>
      <c r="D506" s="25">
        <f>자재조서!E507</f>
        <v>656000</v>
      </c>
      <c r="E506" s="20" t="s">
        <v>3280</v>
      </c>
      <c r="F506" t="s">
        <v>6232</v>
      </c>
      <c r="G506" t="s">
        <v>4678</v>
      </c>
      <c r="H506" t="s">
        <v>6232</v>
      </c>
    </row>
    <row r="507" spans="1:8" ht="18.399999999999999" hidden="1" customHeight="1">
      <c r="A507" s="11" t="s">
        <v>93</v>
      </c>
      <c r="B507" s="2" t="s">
        <v>1993</v>
      </c>
      <c r="C507" s="2" t="s">
        <v>6141</v>
      </c>
      <c r="D507" s="25">
        <f>자재조서!E508</f>
        <v>685000</v>
      </c>
      <c r="E507" s="20" t="s">
        <v>3280</v>
      </c>
      <c r="F507" t="s">
        <v>6232</v>
      </c>
      <c r="G507" t="s">
        <v>858</v>
      </c>
      <c r="H507" t="s">
        <v>6232</v>
      </c>
    </row>
    <row r="508" spans="1:8" ht="18.399999999999999" hidden="1" customHeight="1">
      <c r="A508" s="11" t="s">
        <v>93</v>
      </c>
      <c r="B508" s="2" t="s">
        <v>2037</v>
      </c>
      <c r="C508" s="2" t="s">
        <v>6141</v>
      </c>
      <c r="D508" s="25">
        <f>자재조서!E509</f>
        <v>825000</v>
      </c>
      <c r="E508" s="20" t="s">
        <v>3280</v>
      </c>
      <c r="F508" t="s">
        <v>6232</v>
      </c>
      <c r="G508" t="s">
        <v>4864</v>
      </c>
      <c r="H508" t="s">
        <v>6232</v>
      </c>
    </row>
    <row r="509" spans="1:8" ht="18.399999999999999" hidden="1" customHeight="1">
      <c r="A509" s="11" t="s">
        <v>93</v>
      </c>
      <c r="B509" s="2" t="s">
        <v>2412</v>
      </c>
      <c r="C509" s="2" t="s">
        <v>6141</v>
      </c>
      <c r="D509" s="25">
        <f>자재조서!E510</f>
        <v>894000</v>
      </c>
      <c r="E509" s="20" t="s">
        <v>3280</v>
      </c>
      <c r="F509" t="s">
        <v>6232</v>
      </c>
      <c r="G509" t="s">
        <v>3316</v>
      </c>
      <c r="H509" t="s">
        <v>6232</v>
      </c>
    </row>
    <row r="510" spans="1:8" ht="18.399999999999999" hidden="1" customHeight="1">
      <c r="A510" s="11" t="s">
        <v>93</v>
      </c>
      <c r="B510" s="2" t="s">
        <v>3074</v>
      </c>
      <c r="C510" s="2" t="s">
        <v>6141</v>
      </c>
      <c r="D510" s="25">
        <f>자재조서!E511</f>
        <v>999000</v>
      </c>
      <c r="E510" s="20" t="s">
        <v>3280</v>
      </c>
      <c r="F510" t="s">
        <v>6232</v>
      </c>
      <c r="G510" t="s">
        <v>4801</v>
      </c>
      <c r="H510" t="s">
        <v>6232</v>
      </c>
    </row>
    <row r="511" spans="1:8" ht="18.399999999999999" hidden="1" customHeight="1">
      <c r="A511" s="11" t="s">
        <v>93</v>
      </c>
      <c r="B511" s="2" t="s">
        <v>1165</v>
      </c>
      <c r="C511" s="2" t="s">
        <v>6141</v>
      </c>
      <c r="D511" s="25">
        <f>자재조서!E512</f>
        <v>1230000</v>
      </c>
      <c r="E511" s="20" t="s">
        <v>3280</v>
      </c>
      <c r="F511" t="s">
        <v>6232</v>
      </c>
      <c r="G511" t="s">
        <v>4778</v>
      </c>
      <c r="H511" t="s">
        <v>6232</v>
      </c>
    </row>
    <row r="512" spans="1:8" ht="18.399999999999999" hidden="1" customHeight="1">
      <c r="A512" s="11" t="s">
        <v>93</v>
      </c>
      <c r="B512" s="2" t="s">
        <v>1572</v>
      </c>
      <c r="C512" s="2" t="s">
        <v>6141</v>
      </c>
      <c r="D512" s="25">
        <f>자재조서!E513</f>
        <v>1353000</v>
      </c>
      <c r="E512" s="20" t="s">
        <v>3280</v>
      </c>
      <c r="F512" t="s">
        <v>6232</v>
      </c>
      <c r="G512" t="s">
        <v>6132</v>
      </c>
      <c r="H512" t="s">
        <v>6232</v>
      </c>
    </row>
    <row r="513" spans="1:8" ht="18.399999999999999" hidden="1" customHeight="1">
      <c r="A513" s="11" t="s">
        <v>93</v>
      </c>
      <c r="B513" s="2" t="s">
        <v>2531</v>
      </c>
      <c r="C513" s="2" t="s">
        <v>6141</v>
      </c>
      <c r="D513" s="25">
        <f>자재조서!E514</f>
        <v>1614000</v>
      </c>
      <c r="E513" s="20" t="s">
        <v>3280</v>
      </c>
      <c r="F513" t="s">
        <v>6232</v>
      </c>
      <c r="G513" t="s">
        <v>5999</v>
      </c>
      <c r="H513" t="s">
        <v>6232</v>
      </c>
    </row>
    <row r="514" spans="1:8" ht="18.399999999999999" hidden="1" customHeight="1">
      <c r="A514" s="11" t="s">
        <v>93</v>
      </c>
      <c r="B514" s="2" t="s">
        <v>4124</v>
      </c>
      <c r="C514" s="2" t="s">
        <v>6141</v>
      </c>
      <c r="D514" s="25">
        <f>자재조서!E515</f>
        <v>2964000</v>
      </c>
      <c r="E514" s="20" t="s">
        <v>3280</v>
      </c>
      <c r="F514" t="s">
        <v>6232</v>
      </c>
      <c r="G514" t="s">
        <v>4611</v>
      </c>
      <c r="H514" t="s">
        <v>6232</v>
      </c>
    </row>
    <row r="515" spans="1:8" ht="18.399999999999999" hidden="1" customHeight="1">
      <c r="A515" s="11" t="s">
        <v>93</v>
      </c>
      <c r="B515" s="2" t="s">
        <v>4184</v>
      </c>
      <c r="C515" s="2" t="s">
        <v>6141</v>
      </c>
      <c r="D515" s="25">
        <f>자재조서!E516</f>
        <v>3136000</v>
      </c>
      <c r="E515" s="20" t="s">
        <v>3280</v>
      </c>
      <c r="F515" t="s">
        <v>6232</v>
      </c>
      <c r="G515" t="s">
        <v>3945</v>
      </c>
      <c r="H515" t="s">
        <v>6232</v>
      </c>
    </row>
    <row r="516" spans="1:8" ht="18.399999999999999" hidden="1" customHeight="1">
      <c r="A516" s="11" t="s">
        <v>93</v>
      </c>
      <c r="B516" s="2" t="s">
        <v>1695</v>
      </c>
      <c r="C516" s="2" t="s">
        <v>6141</v>
      </c>
      <c r="D516" s="25">
        <f>자재조서!E517</f>
        <v>5213000</v>
      </c>
      <c r="E516" s="20" t="s">
        <v>3280</v>
      </c>
      <c r="F516" t="s">
        <v>6232</v>
      </c>
      <c r="G516" t="s">
        <v>5641</v>
      </c>
      <c r="H516" t="s">
        <v>6232</v>
      </c>
    </row>
    <row r="517" spans="1:8" ht="18.399999999999999" hidden="1" customHeight="1">
      <c r="A517" s="11" t="s">
        <v>93</v>
      </c>
      <c r="B517" s="2" t="s">
        <v>4869</v>
      </c>
      <c r="C517" s="2" t="s">
        <v>6141</v>
      </c>
      <c r="D517" s="25">
        <f>자재조서!E518</f>
        <v>8554000</v>
      </c>
      <c r="E517" s="20" t="s">
        <v>3280</v>
      </c>
      <c r="F517" t="s">
        <v>6232</v>
      </c>
      <c r="G517" t="s">
        <v>3634</v>
      </c>
      <c r="H517" t="s">
        <v>6232</v>
      </c>
    </row>
    <row r="518" spans="1:8" ht="18.399999999999999" hidden="1" customHeight="1">
      <c r="A518" s="11" t="s">
        <v>93</v>
      </c>
      <c r="B518" s="2" t="s">
        <v>809</v>
      </c>
      <c r="C518" s="2" t="s">
        <v>6141</v>
      </c>
      <c r="D518" s="25">
        <f>자재조서!E519</f>
        <v>13329000</v>
      </c>
      <c r="E518" s="20" t="s">
        <v>3280</v>
      </c>
      <c r="F518" t="s">
        <v>6232</v>
      </c>
      <c r="G518" t="s">
        <v>5056</v>
      </c>
      <c r="H518" t="s">
        <v>6232</v>
      </c>
    </row>
    <row r="519" spans="1:8" ht="18.399999999999999" hidden="1" customHeight="1">
      <c r="A519" s="11" t="s">
        <v>93</v>
      </c>
      <c r="B519" s="2" t="s">
        <v>2695</v>
      </c>
      <c r="C519" s="2" t="s">
        <v>6141</v>
      </c>
      <c r="D519" s="25">
        <f>자재조서!E520</f>
        <v>16913000</v>
      </c>
      <c r="E519" s="20" t="s">
        <v>3280</v>
      </c>
      <c r="F519" t="s">
        <v>6232</v>
      </c>
      <c r="G519" t="s">
        <v>367</v>
      </c>
      <c r="H519" t="s">
        <v>6232</v>
      </c>
    </row>
    <row r="520" spans="1:8" ht="18.399999999999999" hidden="1" customHeight="1">
      <c r="A520" s="11" t="s">
        <v>93</v>
      </c>
      <c r="B520" s="2" t="s">
        <v>3762</v>
      </c>
      <c r="C520" s="2" t="s">
        <v>6141</v>
      </c>
      <c r="D520" s="25">
        <f>자재조서!E521</f>
        <v>22147000</v>
      </c>
      <c r="E520" s="20" t="s">
        <v>3280</v>
      </c>
      <c r="F520" t="s">
        <v>6232</v>
      </c>
      <c r="G520" t="s">
        <v>2062</v>
      </c>
      <c r="H520" t="s">
        <v>6232</v>
      </c>
    </row>
    <row r="521" spans="1:8" ht="18.399999999999999" hidden="1" customHeight="1">
      <c r="A521" s="11" t="s">
        <v>93</v>
      </c>
      <c r="B521" s="2" t="s">
        <v>512</v>
      </c>
      <c r="C521" s="2" t="s">
        <v>6141</v>
      </c>
      <c r="D521" s="25">
        <f>자재조서!E522</f>
        <v>26820000</v>
      </c>
      <c r="E521" s="20" t="s">
        <v>3280</v>
      </c>
      <c r="F521" t="s">
        <v>6232</v>
      </c>
      <c r="G521" t="s">
        <v>963</v>
      </c>
      <c r="H521" t="s">
        <v>6232</v>
      </c>
    </row>
    <row r="522" spans="1:8" ht="18.399999999999999" hidden="1" customHeight="1">
      <c r="A522" s="11" t="s">
        <v>93</v>
      </c>
      <c r="B522" s="2" t="s">
        <v>6186</v>
      </c>
      <c r="C522" s="2" t="s">
        <v>6141</v>
      </c>
      <c r="D522" s="25">
        <f>자재조서!E523</f>
        <v>34700000</v>
      </c>
      <c r="E522" s="20" t="s">
        <v>3280</v>
      </c>
      <c r="F522" t="s">
        <v>6232</v>
      </c>
      <c r="G522" t="s">
        <v>2380</v>
      </c>
      <c r="H522" t="s">
        <v>6232</v>
      </c>
    </row>
    <row r="523" spans="1:8" ht="18.399999999999999" hidden="1" customHeight="1">
      <c r="A523" s="11" t="s">
        <v>93</v>
      </c>
      <c r="B523" s="2" t="s">
        <v>6105</v>
      </c>
      <c r="C523" s="2" t="s">
        <v>6141</v>
      </c>
      <c r="D523" s="25">
        <f>자재조서!E524</f>
        <v>40360000</v>
      </c>
      <c r="E523" s="20" t="s">
        <v>3280</v>
      </c>
      <c r="F523" t="s">
        <v>6232</v>
      </c>
      <c r="G523" t="s">
        <v>3052</v>
      </c>
      <c r="H523" t="s">
        <v>6232</v>
      </c>
    </row>
    <row r="524" spans="1:8" ht="18.399999999999999" hidden="1" customHeight="1">
      <c r="A524" s="11" t="s">
        <v>93</v>
      </c>
      <c r="B524" s="2" t="s">
        <v>397</v>
      </c>
      <c r="C524" s="2" t="s">
        <v>6141</v>
      </c>
      <c r="D524" s="25">
        <f>자재조서!E525</f>
        <v>70748000</v>
      </c>
      <c r="E524" s="20" t="s">
        <v>3280</v>
      </c>
      <c r="F524" t="s">
        <v>6232</v>
      </c>
      <c r="G524" t="s">
        <v>1432</v>
      </c>
      <c r="H524" t="s">
        <v>6232</v>
      </c>
    </row>
    <row r="525" spans="1:8" ht="18.399999999999999" hidden="1" customHeight="1">
      <c r="A525" s="11" t="s">
        <v>93</v>
      </c>
      <c r="B525" s="2" t="s">
        <v>3821</v>
      </c>
      <c r="C525" s="2" t="s">
        <v>6141</v>
      </c>
      <c r="D525" s="25">
        <f>자재조서!E526</f>
        <v>81790000</v>
      </c>
      <c r="E525" s="20" t="s">
        <v>3280</v>
      </c>
      <c r="F525" t="s">
        <v>6232</v>
      </c>
      <c r="G525" t="s">
        <v>1757</v>
      </c>
      <c r="H525" t="s">
        <v>6232</v>
      </c>
    </row>
    <row r="526" spans="1:8" ht="18.399999999999999" hidden="1" customHeight="1">
      <c r="A526" s="11" t="s">
        <v>93</v>
      </c>
      <c r="B526" s="2" t="s">
        <v>2812</v>
      </c>
      <c r="C526" s="2" t="s">
        <v>6141</v>
      </c>
      <c r="D526" s="25">
        <f>자재조서!E527</f>
        <v>97202000</v>
      </c>
      <c r="E526" s="20" t="s">
        <v>3280</v>
      </c>
      <c r="F526" t="s">
        <v>6232</v>
      </c>
      <c r="G526" t="s">
        <v>275</v>
      </c>
      <c r="H526" t="s">
        <v>6232</v>
      </c>
    </row>
    <row r="527" spans="1:8" ht="18.399999999999999" hidden="1" customHeight="1">
      <c r="A527" s="11" t="s">
        <v>93</v>
      </c>
      <c r="B527" s="2" t="s">
        <v>898</v>
      </c>
      <c r="C527" s="2" t="s">
        <v>6141</v>
      </c>
      <c r="D527" s="25">
        <f>자재조서!E528</f>
        <v>3960000</v>
      </c>
      <c r="E527" s="20" t="s">
        <v>3280</v>
      </c>
      <c r="F527" t="s">
        <v>6232</v>
      </c>
      <c r="G527" t="s">
        <v>6179</v>
      </c>
      <c r="H527" t="s">
        <v>6232</v>
      </c>
    </row>
    <row r="528" spans="1:8" ht="18.399999999999999" hidden="1" customHeight="1">
      <c r="A528" s="11" t="s">
        <v>93</v>
      </c>
      <c r="B528" s="2" t="s">
        <v>4038</v>
      </c>
      <c r="C528" s="2" t="s">
        <v>6141</v>
      </c>
      <c r="D528" s="25">
        <f>자재조서!E529</f>
        <v>4603000</v>
      </c>
      <c r="E528" s="20" t="s">
        <v>3280</v>
      </c>
      <c r="F528" t="s">
        <v>6232</v>
      </c>
      <c r="G528" t="s">
        <v>5469</v>
      </c>
      <c r="H528" t="s">
        <v>6232</v>
      </c>
    </row>
    <row r="529" spans="1:8" ht="18.399999999999999" hidden="1" customHeight="1">
      <c r="A529" s="11" t="s">
        <v>93</v>
      </c>
      <c r="B529" s="2" t="s">
        <v>5363</v>
      </c>
      <c r="C529" s="2" t="s">
        <v>6141</v>
      </c>
      <c r="D529" s="25">
        <f>자재조서!E530</f>
        <v>7543000</v>
      </c>
      <c r="E529" s="20" t="s">
        <v>3280</v>
      </c>
      <c r="F529" t="s">
        <v>6232</v>
      </c>
      <c r="G529" t="s">
        <v>4016</v>
      </c>
      <c r="H529" t="s">
        <v>6232</v>
      </c>
    </row>
    <row r="530" spans="1:8" ht="18.399999999999999" hidden="1" customHeight="1">
      <c r="A530" s="11" t="s">
        <v>93</v>
      </c>
      <c r="B530" s="2" t="s">
        <v>1207</v>
      </c>
      <c r="C530" s="2" t="s">
        <v>6141</v>
      </c>
      <c r="D530" s="25">
        <f>자재조서!E531</f>
        <v>11043000</v>
      </c>
      <c r="E530" s="20" t="s">
        <v>3280</v>
      </c>
      <c r="F530" t="s">
        <v>6232</v>
      </c>
      <c r="G530" t="s">
        <v>5210</v>
      </c>
      <c r="H530" t="s">
        <v>6232</v>
      </c>
    </row>
    <row r="531" spans="1:8" ht="18.399999999999999" hidden="1" customHeight="1">
      <c r="A531" s="11" t="s">
        <v>93</v>
      </c>
      <c r="B531" s="2" t="s">
        <v>1782</v>
      </c>
      <c r="C531" s="2" t="s">
        <v>6141</v>
      </c>
      <c r="D531" s="25">
        <f>자재조서!E532</f>
        <v>15781000</v>
      </c>
      <c r="E531" s="20" t="s">
        <v>3280</v>
      </c>
      <c r="F531" t="s">
        <v>6232</v>
      </c>
      <c r="G531" t="s">
        <v>3583</v>
      </c>
      <c r="H531" t="s">
        <v>6232</v>
      </c>
    </row>
    <row r="532" spans="1:8" ht="18.399999999999999" hidden="1" customHeight="1">
      <c r="A532" s="11" t="s">
        <v>93</v>
      </c>
      <c r="B532" s="2" t="s">
        <v>495</v>
      </c>
      <c r="C532" s="2" t="s">
        <v>6141</v>
      </c>
      <c r="D532" s="25">
        <f>자재조서!E533</f>
        <v>19473000</v>
      </c>
      <c r="E532" s="20" t="s">
        <v>3280</v>
      </c>
      <c r="F532" t="s">
        <v>6232</v>
      </c>
      <c r="G532" t="s">
        <v>1985</v>
      </c>
      <c r="H532" t="s">
        <v>6232</v>
      </c>
    </row>
    <row r="533" spans="1:8" ht="18.399999999999999" hidden="1" customHeight="1">
      <c r="A533" s="11" t="s">
        <v>93</v>
      </c>
      <c r="B533" s="2" t="s">
        <v>2628</v>
      </c>
      <c r="C533" s="2" t="s">
        <v>6141</v>
      </c>
      <c r="D533" s="25">
        <f>자재조서!E534</f>
        <v>25020000</v>
      </c>
      <c r="E533" s="20" t="s">
        <v>3280</v>
      </c>
      <c r="F533" t="s">
        <v>6232</v>
      </c>
      <c r="G533" t="s">
        <v>565</v>
      </c>
      <c r="H533" t="s">
        <v>6232</v>
      </c>
    </row>
    <row r="534" spans="1:8" ht="18.399999999999999" hidden="1" customHeight="1">
      <c r="A534" s="11" t="s">
        <v>93</v>
      </c>
      <c r="B534" s="2" t="s">
        <v>3164</v>
      </c>
      <c r="C534" s="2" t="s">
        <v>6141</v>
      </c>
      <c r="D534" s="25">
        <f>자재조서!E535</f>
        <v>29565000</v>
      </c>
      <c r="E534" s="20" t="s">
        <v>3280</v>
      </c>
      <c r="F534" t="s">
        <v>6232</v>
      </c>
      <c r="G534" t="s">
        <v>2440</v>
      </c>
      <c r="H534" t="s">
        <v>6232</v>
      </c>
    </row>
    <row r="535" spans="1:8" ht="18.399999999999999" hidden="1" customHeight="1">
      <c r="A535" s="11" t="s">
        <v>93</v>
      </c>
      <c r="B535" s="2" t="s">
        <v>6133</v>
      </c>
      <c r="C535" s="2" t="s">
        <v>6141</v>
      </c>
      <c r="D535" s="25">
        <f>자재조서!E536</f>
        <v>37461000</v>
      </c>
      <c r="E535" s="20" t="s">
        <v>3280</v>
      </c>
      <c r="F535" t="s">
        <v>6232</v>
      </c>
      <c r="G535" t="s">
        <v>805</v>
      </c>
      <c r="H535" t="s">
        <v>6232</v>
      </c>
    </row>
    <row r="536" spans="1:8" ht="18.399999999999999" hidden="1" customHeight="1">
      <c r="A536" s="11" t="s">
        <v>93</v>
      </c>
      <c r="B536" s="2" t="s">
        <v>2959</v>
      </c>
      <c r="C536" s="2" t="s">
        <v>6141</v>
      </c>
      <c r="D536" s="25">
        <f>자재조서!E537</f>
        <v>43164000</v>
      </c>
      <c r="E536" s="20" t="s">
        <v>3280</v>
      </c>
      <c r="F536" t="s">
        <v>6232</v>
      </c>
      <c r="G536" t="s">
        <v>1478</v>
      </c>
      <c r="H536" t="s">
        <v>6232</v>
      </c>
    </row>
    <row r="537" spans="1:8" ht="18.399999999999999" hidden="1" customHeight="1">
      <c r="A537" s="11" t="s">
        <v>93</v>
      </c>
      <c r="B537" s="2" t="s">
        <v>72</v>
      </c>
      <c r="C537" s="2" t="s">
        <v>6141</v>
      </c>
      <c r="D537" s="25">
        <f>자재조서!E538</f>
        <v>77631000</v>
      </c>
      <c r="E537" s="20" t="s">
        <v>3280</v>
      </c>
      <c r="F537" t="s">
        <v>6232</v>
      </c>
      <c r="G537" t="s">
        <v>2910</v>
      </c>
      <c r="H537" t="s">
        <v>6232</v>
      </c>
    </row>
    <row r="538" spans="1:8" ht="18.399999999999999" hidden="1" customHeight="1">
      <c r="A538" s="11" t="s">
        <v>93</v>
      </c>
      <c r="B538" s="2" t="s">
        <v>5732</v>
      </c>
      <c r="C538" s="2" t="s">
        <v>6141</v>
      </c>
      <c r="D538" s="25">
        <f>자재조서!E539</f>
        <v>89751000</v>
      </c>
      <c r="E538" s="20" t="s">
        <v>3280</v>
      </c>
      <c r="F538" t="s">
        <v>6232</v>
      </c>
      <c r="G538" t="s">
        <v>240</v>
      </c>
      <c r="H538" t="s">
        <v>6232</v>
      </c>
    </row>
    <row r="539" spans="1:8" ht="18.399999999999999" hidden="1" customHeight="1">
      <c r="A539" s="11" t="s">
        <v>93</v>
      </c>
      <c r="B539" s="2" t="s">
        <v>3600</v>
      </c>
      <c r="C539" s="2" t="s">
        <v>6141</v>
      </c>
      <c r="D539" s="25">
        <f>자재조서!E540</f>
        <v>106667000</v>
      </c>
      <c r="E539" s="20" t="s">
        <v>3280</v>
      </c>
      <c r="F539" t="s">
        <v>6232</v>
      </c>
      <c r="G539" t="s">
        <v>1908</v>
      </c>
      <c r="H539" t="s">
        <v>6232</v>
      </c>
    </row>
    <row r="540" spans="1:8" ht="18.399999999999999" hidden="1" customHeight="1">
      <c r="A540" s="11" t="s">
        <v>2690</v>
      </c>
      <c r="B540" s="2" t="s">
        <v>999</v>
      </c>
      <c r="C540" s="2" t="s">
        <v>2272</v>
      </c>
      <c r="D540" s="25">
        <f>자재조서!E541</f>
        <v>36200</v>
      </c>
      <c r="E540" s="20" t="s">
        <v>3622</v>
      </c>
      <c r="F540" t="s">
        <v>6232</v>
      </c>
      <c r="G540" t="s">
        <v>3748</v>
      </c>
      <c r="H540" t="s">
        <v>6232</v>
      </c>
    </row>
    <row r="541" spans="1:8" ht="18.399999999999999" hidden="1" customHeight="1">
      <c r="A541" s="11" t="s">
        <v>2690</v>
      </c>
      <c r="B541" s="2" t="s">
        <v>1710</v>
      </c>
      <c r="C541" s="2" t="s">
        <v>2272</v>
      </c>
      <c r="D541" s="25">
        <f>자재조서!E542</f>
        <v>40100</v>
      </c>
      <c r="E541" s="20" t="s">
        <v>3622</v>
      </c>
      <c r="F541" t="s">
        <v>6232</v>
      </c>
      <c r="G541" t="s">
        <v>601</v>
      </c>
      <c r="H541" t="s">
        <v>6232</v>
      </c>
    </row>
    <row r="542" spans="1:8" ht="18.399999999999999" hidden="1" customHeight="1">
      <c r="A542" s="11" t="s">
        <v>2690</v>
      </c>
      <c r="B542" s="2" t="s">
        <v>1834</v>
      </c>
      <c r="C542" s="2" t="s">
        <v>2272</v>
      </c>
      <c r="D542" s="25">
        <f>자재조서!E543</f>
        <v>48300</v>
      </c>
      <c r="E542" s="20" t="s">
        <v>3622</v>
      </c>
      <c r="F542" t="s">
        <v>6232</v>
      </c>
      <c r="G542" t="s">
        <v>3649</v>
      </c>
      <c r="H542" t="s">
        <v>6232</v>
      </c>
    </row>
    <row r="543" spans="1:8" ht="18.399999999999999" hidden="1" customHeight="1">
      <c r="A543" s="11" t="s">
        <v>2690</v>
      </c>
      <c r="B543" s="2" t="s">
        <v>1853</v>
      </c>
      <c r="C543" s="2" t="s">
        <v>2272</v>
      </c>
      <c r="D543" s="25">
        <f>자재조서!E544</f>
        <v>36200</v>
      </c>
      <c r="E543" s="20" t="s">
        <v>3622</v>
      </c>
      <c r="F543" t="s">
        <v>6232</v>
      </c>
      <c r="G543" t="s">
        <v>2727</v>
      </c>
      <c r="H543" t="s">
        <v>6232</v>
      </c>
    </row>
    <row r="544" spans="1:8" ht="18.399999999999999" hidden="1" customHeight="1">
      <c r="A544" s="11" t="s">
        <v>2690</v>
      </c>
      <c r="B544" s="2" t="s">
        <v>849</v>
      </c>
      <c r="C544" s="2" t="s">
        <v>2272</v>
      </c>
      <c r="D544" s="25">
        <f>자재조서!E545</f>
        <v>40100</v>
      </c>
      <c r="E544" s="20" t="s">
        <v>3622</v>
      </c>
      <c r="F544" t="s">
        <v>6232</v>
      </c>
      <c r="G544" t="s">
        <v>5900</v>
      </c>
      <c r="H544" t="s">
        <v>6232</v>
      </c>
    </row>
    <row r="545" spans="1:8" ht="18.399999999999999" hidden="1" customHeight="1">
      <c r="A545" s="11" t="s">
        <v>2690</v>
      </c>
      <c r="B545" s="2" t="s">
        <v>1000</v>
      </c>
      <c r="C545" s="2" t="s">
        <v>2272</v>
      </c>
      <c r="D545" s="25">
        <f>자재조서!E546</f>
        <v>48300</v>
      </c>
      <c r="E545" s="20" t="s">
        <v>3622</v>
      </c>
      <c r="F545" t="s">
        <v>6232</v>
      </c>
      <c r="G545" t="s">
        <v>3013</v>
      </c>
      <c r="H545" t="s">
        <v>6232</v>
      </c>
    </row>
    <row r="546" spans="1:8" ht="18.399999999999999" hidden="1" customHeight="1">
      <c r="A546" s="11" t="s">
        <v>2690</v>
      </c>
      <c r="B546" s="2" t="s">
        <v>589</v>
      </c>
      <c r="C546" s="2" t="s">
        <v>2272</v>
      </c>
      <c r="D546" s="25">
        <f>자재조서!E547</f>
        <v>37900</v>
      </c>
      <c r="E546" s="20" t="s">
        <v>3622</v>
      </c>
      <c r="F546" t="s">
        <v>6232</v>
      </c>
      <c r="G546" t="s">
        <v>3501</v>
      </c>
      <c r="H546" t="s">
        <v>6232</v>
      </c>
    </row>
    <row r="547" spans="1:8" ht="18.399999999999999" hidden="1" customHeight="1">
      <c r="A547" s="11" t="s">
        <v>2690</v>
      </c>
      <c r="B547" s="2" t="s">
        <v>2931</v>
      </c>
      <c r="C547" s="2" t="s">
        <v>2272</v>
      </c>
      <c r="D547" s="25">
        <f>자재조서!E548</f>
        <v>46700</v>
      </c>
      <c r="E547" s="20" t="s">
        <v>3622</v>
      </c>
      <c r="F547" t="s">
        <v>6232</v>
      </c>
      <c r="G547" t="s">
        <v>464</v>
      </c>
      <c r="H547" t="s">
        <v>6232</v>
      </c>
    </row>
    <row r="548" spans="1:8" ht="18.399999999999999" hidden="1" customHeight="1">
      <c r="A548" s="11" t="s">
        <v>2690</v>
      </c>
      <c r="B548" s="2" t="s">
        <v>2782</v>
      </c>
      <c r="C548" s="2" t="s">
        <v>2272</v>
      </c>
      <c r="D548" s="25">
        <f>자재조서!E549</f>
        <v>52500</v>
      </c>
      <c r="E548" s="20" t="s">
        <v>3622</v>
      </c>
      <c r="F548" t="s">
        <v>6232</v>
      </c>
      <c r="G548" t="s">
        <v>3808</v>
      </c>
      <c r="H548" t="s">
        <v>6232</v>
      </c>
    </row>
    <row r="549" spans="1:8" ht="18.399999999999999" hidden="1" customHeight="1">
      <c r="A549" s="11" t="s">
        <v>2690</v>
      </c>
      <c r="B549" s="2" t="s">
        <v>3981</v>
      </c>
      <c r="C549" s="2" t="s">
        <v>2272</v>
      </c>
      <c r="D549" s="25">
        <f>자재조서!E550</f>
        <v>37900</v>
      </c>
      <c r="E549" s="20" t="s">
        <v>3622</v>
      </c>
      <c r="F549" t="s">
        <v>6232</v>
      </c>
      <c r="G549" t="s">
        <v>1678</v>
      </c>
      <c r="H549" t="s">
        <v>6232</v>
      </c>
    </row>
    <row r="550" spans="1:8" ht="18.399999999999999" hidden="1" customHeight="1">
      <c r="A550" s="11" t="s">
        <v>2690</v>
      </c>
      <c r="B550" s="2" t="s">
        <v>4972</v>
      </c>
      <c r="C550" s="2" t="s">
        <v>2272</v>
      </c>
      <c r="D550" s="25">
        <f>자재조서!E551</f>
        <v>47000</v>
      </c>
      <c r="E550" s="20" t="s">
        <v>3622</v>
      </c>
      <c r="F550" t="s">
        <v>6232</v>
      </c>
      <c r="G550" t="s">
        <v>4759</v>
      </c>
      <c r="H550" t="s">
        <v>6232</v>
      </c>
    </row>
    <row r="551" spans="1:8" ht="18.399999999999999" hidden="1" customHeight="1">
      <c r="A551" s="11" t="s">
        <v>2690</v>
      </c>
      <c r="B551" s="2" t="s">
        <v>4843</v>
      </c>
      <c r="C551" s="2" t="s">
        <v>2272</v>
      </c>
      <c r="D551" s="25">
        <f>자재조서!E552</f>
        <v>52500</v>
      </c>
      <c r="E551" s="20" t="s">
        <v>3622</v>
      </c>
      <c r="F551" t="s">
        <v>6232</v>
      </c>
      <c r="G551" t="s">
        <v>1769</v>
      </c>
      <c r="H551" t="s">
        <v>6232</v>
      </c>
    </row>
    <row r="552" spans="1:8" ht="18.399999999999999" hidden="1" customHeight="1">
      <c r="A552" s="11" t="s">
        <v>2690</v>
      </c>
      <c r="B552" s="2" t="s">
        <v>5447</v>
      </c>
      <c r="C552" s="2" t="s">
        <v>2272</v>
      </c>
      <c r="D552" s="25">
        <f>자재조서!E553</f>
        <v>39700</v>
      </c>
      <c r="E552" s="20" t="s">
        <v>3622</v>
      </c>
      <c r="F552" t="s">
        <v>6232</v>
      </c>
      <c r="G552" t="s">
        <v>857</v>
      </c>
      <c r="H552" t="s">
        <v>6232</v>
      </c>
    </row>
    <row r="553" spans="1:8" ht="18.399999999999999" hidden="1" customHeight="1">
      <c r="A553" s="11" t="s">
        <v>2690</v>
      </c>
      <c r="B553" s="2" t="s">
        <v>3447</v>
      </c>
      <c r="C553" s="2" t="s">
        <v>2272</v>
      </c>
      <c r="D553" s="25">
        <f>자재조서!E554</f>
        <v>48200</v>
      </c>
      <c r="E553" s="20" t="s">
        <v>3622</v>
      </c>
      <c r="F553" t="s">
        <v>6232</v>
      </c>
      <c r="G553" t="s">
        <v>3914</v>
      </c>
      <c r="H553" t="s">
        <v>6232</v>
      </c>
    </row>
    <row r="554" spans="1:8" ht="18.399999999999999" hidden="1" customHeight="1">
      <c r="A554" s="11" t="s">
        <v>2690</v>
      </c>
      <c r="B554" s="2" t="s">
        <v>3187</v>
      </c>
      <c r="C554" s="2" t="s">
        <v>2272</v>
      </c>
      <c r="D554" s="25">
        <f>자재조서!E555</f>
        <v>55500</v>
      </c>
      <c r="E554" s="20" t="s">
        <v>3622</v>
      </c>
      <c r="F554" t="s">
        <v>6232</v>
      </c>
      <c r="G554" t="s">
        <v>1126</v>
      </c>
      <c r="H554" t="s">
        <v>6232</v>
      </c>
    </row>
    <row r="555" spans="1:8" ht="18.399999999999999" hidden="1" customHeight="1">
      <c r="A555" s="11" t="s">
        <v>2690</v>
      </c>
      <c r="B555" s="2" t="s">
        <v>1567</v>
      </c>
      <c r="C555" s="2" t="s">
        <v>2272</v>
      </c>
      <c r="D555" s="25">
        <f>자재조서!E556</f>
        <v>42500</v>
      </c>
      <c r="E555" s="20" t="s">
        <v>3622</v>
      </c>
      <c r="F555" t="s">
        <v>6232</v>
      </c>
      <c r="G555" t="s">
        <v>922</v>
      </c>
      <c r="H555" t="s">
        <v>6232</v>
      </c>
    </row>
    <row r="556" spans="1:8" ht="18.399999999999999" hidden="1" customHeight="1">
      <c r="A556" s="11" t="s">
        <v>2690</v>
      </c>
      <c r="B556" s="2" t="s">
        <v>1145</v>
      </c>
      <c r="C556" s="2" t="s">
        <v>2272</v>
      </c>
      <c r="D556" s="25">
        <f>자재조서!E557</f>
        <v>50100</v>
      </c>
      <c r="E556" s="20" t="s">
        <v>3622</v>
      </c>
      <c r="F556" t="s">
        <v>6232</v>
      </c>
      <c r="G556" t="s">
        <v>3994</v>
      </c>
      <c r="H556" t="s">
        <v>6232</v>
      </c>
    </row>
    <row r="557" spans="1:8" ht="18.399999999999999" hidden="1" customHeight="1">
      <c r="A557" s="11" t="s">
        <v>2690</v>
      </c>
      <c r="B557" s="2" t="s">
        <v>913</v>
      </c>
      <c r="C557" s="2" t="s">
        <v>2272</v>
      </c>
      <c r="D557" s="25">
        <f>자재조서!E558</f>
        <v>65800</v>
      </c>
      <c r="E557" s="20" t="s">
        <v>3622</v>
      </c>
      <c r="F557" t="s">
        <v>6232</v>
      </c>
      <c r="G557" t="s">
        <v>1011</v>
      </c>
      <c r="H557" t="s">
        <v>6232</v>
      </c>
    </row>
    <row r="558" spans="1:8" ht="18.399999999999999" hidden="1" customHeight="1">
      <c r="A558" s="11" t="s">
        <v>2690</v>
      </c>
      <c r="B558" s="2" t="s">
        <v>4451</v>
      </c>
      <c r="C558" s="2" t="s">
        <v>2272</v>
      </c>
      <c r="D558" s="25">
        <f>자재조서!E559</f>
        <v>47900</v>
      </c>
      <c r="E558" s="20" t="s">
        <v>3622</v>
      </c>
      <c r="F558" t="s">
        <v>6232</v>
      </c>
      <c r="G558" t="s">
        <v>6195</v>
      </c>
      <c r="H558" t="s">
        <v>6232</v>
      </c>
    </row>
    <row r="559" spans="1:8" ht="18.399999999999999" hidden="1" customHeight="1">
      <c r="A559" s="11" t="s">
        <v>2690</v>
      </c>
      <c r="B559" s="2" t="s">
        <v>5285</v>
      </c>
      <c r="C559" s="2" t="s">
        <v>2272</v>
      </c>
      <c r="D559" s="25">
        <f>자재조서!E560</f>
        <v>60800</v>
      </c>
      <c r="E559" s="20" t="s">
        <v>3622</v>
      </c>
      <c r="F559" t="s">
        <v>6232</v>
      </c>
      <c r="G559" t="s">
        <v>2977</v>
      </c>
      <c r="H559" t="s">
        <v>6232</v>
      </c>
    </row>
    <row r="560" spans="1:8" ht="18.399999999999999" hidden="1" customHeight="1">
      <c r="A560" s="11" t="s">
        <v>2690</v>
      </c>
      <c r="B560" s="2" t="s">
        <v>5136</v>
      </c>
      <c r="C560" s="2" t="s">
        <v>2272</v>
      </c>
      <c r="D560" s="25">
        <f>자재조서!E561</f>
        <v>72900</v>
      </c>
      <c r="E560" s="20" t="s">
        <v>3622</v>
      </c>
      <c r="F560" t="s">
        <v>6232</v>
      </c>
      <c r="G560" t="s">
        <v>5880</v>
      </c>
      <c r="H560" t="s">
        <v>6232</v>
      </c>
    </row>
    <row r="561" spans="1:8" ht="18.399999999999999" hidden="1" customHeight="1">
      <c r="A561" s="11" t="s">
        <v>2690</v>
      </c>
      <c r="B561" s="2" t="s">
        <v>2735</v>
      </c>
      <c r="C561" s="2" t="s">
        <v>2272</v>
      </c>
      <c r="D561" s="25">
        <f>자재조서!E562</f>
        <v>57500</v>
      </c>
      <c r="E561" s="20" t="s">
        <v>3622</v>
      </c>
      <c r="F561" t="s">
        <v>6232</v>
      </c>
      <c r="G561" t="s">
        <v>3915</v>
      </c>
      <c r="H561" t="s">
        <v>6232</v>
      </c>
    </row>
    <row r="562" spans="1:8" ht="18.399999999999999" hidden="1" customHeight="1">
      <c r="A562" s="11" t="s">
        <v>2690</v>
      </c>
      <c r="B562" s="2" t="s">
        <v>761</v>
      </c>
      <c r="C562" s="2" t="s">
        <v>2272</v>
      </c>
      <c r="D562" s="25">
        <f>자재조서!E563</f>
        <v>70900</v>
      </c>
      <c r="E562" s="20" t="s">
        <v>3622</v>
      </c>
      <c r="F562" t="s">
        <v>6232</v>
      </c>
      <c r="G562" t="s">
        <v>848</v>
      </c>
      <c r="H562" t="s">
        <v>6232</v>
      </c>
    </row>
    <row r="563" spans="1:8" ht="18.399999999999999" hidden="1" customHeight="1">
      <c r="A563" s="11" t="s">
        <v>2690</v>
      </c>
      <c r="B563" s="2" t="s">
        <v>533</v>
      </c>
      <c r="C563" s="2" t="s">
        <v>2272</v>
      </c>
      <c r="D563" s="25">
        <f>자재조서!E564</f>
        <v>85100</v>
      </c>
      <c r="E563" s="20" t="s">
        <v>3622</v>
      </c>
      <c r="F563" t="s">
        <v>6232</v>
      </c>
      <c r="G563" t="s">
        <v>4210</v>
      </c>
      <c r="H563" t="s">
        <v>6232</v>
      </c>
    </row>
    <row r="564" spans="1:8" ht="18.399999999999999" hidden="1" customHeight="1">
      <c r="A564" s="11" t="s">
        <v>2690</v>
      </c>
      <c r="B564" s="2" t="s">
        <v>3568</v>
      </c>
      <c r="C564" s="2" t="s">
        <v>2272</v>
      </c>
      <c r="D564" s="25">
        <f>자재조서!E565</f>
        <v>61100</v>
      </c>
      <c r="E564" s="20" t="s">
        <v>3622</v>
      </c>
      <c r="F564" t="s">
        <v>6232</v>
      </c>
      <c r="G564" t="s">
        <v>4687</v>
      </c>
      <c r="H564" t="s">
        <v>6232</v>
      </c>
    </row>
    <row r="565" spans="1:8" ht="18.399999999999999" hidden="1" customHeight="1">
      <c r="A565" s="11" t="s">
        <v>2690</v>
      </c>
      <c r="B565" s="2" t="s">
        <v>6176</v>
      </c>
      <c r="C565" s="2" t="s">
        <v>2272</v>
      </c>
      <c r="D565" s="25">
        <f>자재조서!E566</f>
        <v>78800</v>
      </c>
      <c r="E565" s="20" t="s">
        <v>3622</v>
      </c>
      <c r="F565" t="s">
        <v>6232</v>
      </c>
      <c r="G565" t="s">
        <v>1608</v>
      </c>
      <c r="H565" t="s">
        <v>6232</v>
      </c>
    </row>
    <row r="566" spans="1:8" ht="18.399999999999999" hidden="1" customHeight="1">
      <c r="A566" s="11" t="s">
        <v>2690</v>
      </c>
      <c r="B566" s="2" t="s">
        <v>6024</v>
      </c>
      <c r="C566" s="2" t="s">
        <v>2272</v>
      </c>
      <c r="D566" s="25">
        <f>자재조서!E567</f>
        <v>93000</v>
      </c>
      <c r="E566" s="20" t="s">
        <v>3622</v>
      </c>
      <c r="F566" t="s">
        <v>6232</v>
      </c>
      <c r="G566" t="s">
        <v>4966</v>
      </c>
      <c r="H566" t="s">
        <v>6232</v>
      </c>
    </row>
    <row r="567" spans="1:8" ht="18.399999999999999" hidden="1" customHeight="1">
      <c r="A567" s="11" t="s">
        <v>2690</v>
      </c>
      <c r="B567" s="2" t="s">
        <v>1496</v>
      </c>
      <c r="C567" s="2" t="s">
        <v>2272</v>
      </c>
      <c r="D567" s="25">
        <f>자재조서!E568</f>
        <v>64000</v>
      </c>
      <c r="E567" s="20" t="s">
        <v>3622</v>
      </c>
      <c r="F567" t="s">
        <v>6232</v>
      </c>
      <c r="G567" t="s">
        <v>3573</v>
      </c>
      <c r="H567" t="s">
        <v>6232</v>
      </c>
    </row>
    <row r="568" spans="1:8" ht="18.399999999999999" hidden="1" customHeight="1">
      <c r="A568" s="11" t="s">
        <v>2690</v>
      </c>
      <c r="B568" s="2" t="s">
        <v>1924</v>
      </c>
      <c r="C568" s="2" t="s">
        <v>2272</v>
      </c>
      <c r="D568" s="25">
        <f>자재조서!E569</f>
        <v>81900</v>
      </c>
      <c r="E568" s="20" t="s">
        <v>3622</v>
      </c>
      <c r="F568" t="s">
        <v>6232</v>
      </c>
      <c r="G568" t="s">
        <v>426</v>
      </c>
      <c r="H568" t="s">
        <v>6232</v>
      </c>
    </row>
    <row r="569" spans="1:8" ht="18.399999999999999" hidden="1" customHeight="1">
      <c r="A569" s="11" t="s">
        <v>2690</v>
      </c>
      <c r="B569" s="2" t="s">
        <v>2174</v>
      </c>
      <c r="C569" s="2" t="s">
        <v>2272</v>
      </c>
      <c r="D569" s="25">
        <f>자재조서!E570</f>
        <v>99100</v>
      </c>
      <c r="E569" s="20" t="s">
        <v>3622</v>
      </c>
      <c r="F569" t="s">
        <v>6232</v>
      </c>
      <c r="G569" t="s">
        <v>3856</v>
      </c>
      <c r="H569" t="s">
        <v>6232</v>
      </c>
    </row>
    <row r="570" spans="1:8" ht="18.399999999999999" hidden="1" customHeight="1">
      <c r="A570" s="11" t="s">
        <v>2690</v>
      </c>
      <c r="B570" s="2" t="s">
        <v>2755</v>
      </c>
      <c r="C570" s="2" t="s">
        <v>2272</v>
      </c>
      <c r="D570" s="25">
        <f>자재조서!E571</f>
        <v>83500</v>
      </c>
      <c r="E570" s="20" t="s">
        <v>3622</v>
      </c>
      <c r="F570" t="s">
        <v>6232</v>
      </c>
      <c r="G570" t="s">
        <v>2728</v>
      </c>
      <c r="H570" t="s">
        <v>6232</v>
      </c>
    </row>
    <row r="571" spans="1:8" ht="18.399999999999999" hidden="1" customHeight="1">
      <c r="A571" s="11" t="s">
        <v>2690</v>
      </c>
      <c r="B571" s="2" t="s">
        <v>689</v>
      </c>
      <c r="C571" s="2" t="s">
        <v>2272</v>
      </c>
      <c r="D571" s="25">
        <f>자재조서!E572</f>
        <v>103700</v>
      </c>
      <c r="E571" s="20" t="s">
        <v>3622</v>
      </c>
      <c r="F571" t="s">
        <v>6232</v>
      </c>
      <c r="G571" t="s">
        <v>5906</v>
      </c>
      <c r="H571" t="s">
        <v>6232</v>
      </c>
    </row>
    <row r="572" spans="1:8" ht="18.399999999999999" hidden="1" customHeight="1">
      <c r="A572" s="11" t="s">
        <v>2690</v>
      </c>
      <c r="B572" s="2" t="s">
        <v>564</v>
      </c>
      <c r="C572" s="2" t="s">
        <v>2272</v>
      </c>
      <c r="D572" s="25">
        <f>자재조서!E573</f>
        <v>124100</v>
      </c>
      <c r="E572" s="20" t="s">
        <v>3622</v>
      </c>
      <c r="F572" t="s">
        <v>6232</v>
      </c>
      <c r="G572" t="s">
        <v>3014</v>
      </c>
      <c r="H572" t="s">
        <v>6232</v>
      </c>
    </row>
    <row r="573" spans="1:8" ht="18.399999999999999" hidden="1" customHeight="1">
      <c r="A573" s="11" t="s">
        <v>2690</v>
      </c>
      <c r="B573" s="2" t="s">
        <v>1476</v>
      </c>
      <c r="C573" s="2" t="s">
        <v>2272</v>
      </c>
      <c r="D573" s="25">
        <f>자재조서!E574</f>
        <v>98900</v>
      </c>
      <c r="E573" s="20" t="s">
        <v>3622</v>
      </c>
      <c r="F573" t="s">
        <v>6232</v>
      </c>
      <c r="G573" t="s">
        <v>1609</v>
      </c>
      <c r="H573" t="s">
        <v>6232</v>
      </c>
    </row>
    <row r="574" spans="1:8" ht="18.399999999999999" hidden="1" customHeight="1">
      <c r="A574" s="11" t="s">
        <v>2690</v>
      </c>
      <c r="B574" s="2" t="s">
        <v>1996</v>
      </c>
      <c r="C574" s="2" t="s">
        <v>2272</v>
      </c>
      <c r="D574" s="25">
        <f>자재조서!E575</f>
        <v>118500</v>
      </c>
      <c r="E574" s="20" t="s">
        <v>3622</v>
      </c>
      <c r="F574" t="s">
        <v>6232</v>
      </c>
      <c r="G574" t="s">
        <v>4699</v>
      </c>
      <c r="H574" t="s">
        <v>6232</v>
      </c>
    </row>
    <row r="575" spans="1:8" ht="18.399999999999999" hidden="1" customHeight="1">
      <c r="A575" s="11" t="s">
        <v>2690</v>
      </c>
      <c r="B575" s="2" t="s">
        <v>2158</v>
      </c>
      <c r="C575" s="2" t="s">
        <v>2272</v>
      </c>
      <c r="D575" s="25">
        <f>자재조서!E576</f>
        <v>144700</v>
      </c>
      <c r="E575" s="20" t="s">
        <v>3622</v>
      </c>
      <c r="F575" t="s">
        <v>6232</v>
      </c>
      <c r="G575" t="s">
        <v>1897</v>
      </c>
      <c r="H575" t="s">
        <v>6232</v>
      </c>
    </row>
    <row r="576" spans="1:8" ht="18.399999999999999" hidden="1" customHeight="1">
      <c r="A576" s="11" t="s">
        <v>2690</v>
      </c>
      <c r="B576" s="2" t="s">
        <v>1827</v>
      </c>
      <c r="C576" s="2" t="s">
        <v>2272</v>
      </c>
      <c r="D576" s="25">
        <f>자재조서!E577</f>
        <v>107700</v>
      </c>
      <c r="E576" s="20" t="s">
        <v>3622</v>
      </c>
      <c r="F576" t="s">
        <v>6232</v>
      </c>
      <c r="G576" t="s">
        <v>4673</v>
      </c>
      <c r="H576" t="s">
        <v>6232</v>
      </c>
    </row>
    <row r="577" spans="1:8" ht="18.399999999999999" hidden="1" customHeight="1">
      <c r="A577" s="11" t="s">
        <v>2690</v>
      </c>
      <c r="B577" s="2" t="s">
        <v>815</v>
      </c>
      <c r="C577" s="2" t="s">
        <v>2272</v>
      </c>
      <c r="D577" s="25">
        <f>자재조서!E578</f>
        <v>138400</v>
      </c>
      <c r="E577" s="20" t="s">
        <v>3622</v>
      </c>
      <c r="F577" t="s">
        <v>6232</v>
      </c>
      <c r="G577" t="s">
        <v>1610</v>
      </c>
      <c r="H577" t="s">
        <v>6232</v>
      </c>
    </row>
    <row r="578" spans="1:8" ht="18.399999999999999" hidden="1" customHeight="1">
      <c r="A578" s="11" t="s">
        <v>2690</v>
      </c>
      <c r="B578" s="2" t="s">
        <v>981</v>
      </c>
      <c r="C578" s="2" t="s">
        <v>2272</v>
      </c>
      <c r="D578" s="25">
        <f>자재조서!E579</f>
        <v>164000</v>
      </c>
      <c r="E578" s="20" t="s">
        <v>3622</v>
      </c>
      <c r="F578" t="s">
        <v>6232</v>
      </c>
      <c r="G578" t="s">
        <v>4973</v>
      </c>
      <c r="H578" t="s">
        <v>6232</v>
      </c>
    </row>
    <row r="579" spans="1:8" ht="18.399999999999999" hidden="1" customHeight="1">
      <c r="A579" s="11" t="s">
        <v>2690</v>
      </c>
      <c r="B579" s="2" t="s">
        <v>83</v>
      </c>
      <c r="C579" s="2" t="s">
        <v>2272</v>
      </c>
      <c r="D579" s="25">
        <f>자재조서!E580</f>
        <v>121900</v>
      </c>
      <c r="E579" s="20" t="s">
        <v>3622</v>
      </c>
      <c r="F579" t="s">
        <v>6232</v>
      </c>
      <c r="G579" t="s">
        <v>5925</v>
      </c>
      <c r="H579" t="s">
        <v>6232</v>
      </c>
    </row>
    <row r="580" spans="1:8" ht="18.399999999999999" hidden="1" customHeight="1">
      <c r="A580" s="11" t="s">
        <v>2690</v>
      </c>
      <c r="B580" s="2" t="s">
        <v>2650</v>
      </c>
      <c r="C580" s="2" t="s">
        <v>2272</v>
      </c>
      <c r="D580" s="25">
        <f>자재조서!E581</f>
        <v>149800</v>
      </c>
      <c r="E580" s="20" t="s">
        <v>3622</v>
      </c>
      <c r="F580" t="s">
        <v>6232</v>
      </c>
      <c r="G580" t="s">
        <v>2729</v>
      </c>
      <c r="H580" t="s">
        <v>6232</v>
      </c>
    </row>
    <row r="581" spans="1:8" ht="18.399999999999999" hidden="1" customHeight="1">
      <c r="A581" s="11" t="s">
        <v>2690</v>
      </c>
      <c r="B581" s="2" t="s">
        <v>2507</v>
      </c>
      <c r="C581" s="2" t="s">
        <v>2272</v>
      </c>
      <c r="D581" s="25">
        <f>자재조서!E582</f>
        <v>178800</v>
      </c>
      <c r="E581" s="20" t="s">
        <v>3622</v>
      </c>
      <c r="F581" t="s">
        <v>6232</v>
      </c>
      <c r="G581" t="s">
        <v>6217</v>
      </c>
      <c r="H581" t="s">
        <v>6232</v>
      </c>
    </row>
    <row r="582" spans="1:8" ht="18.399999999999999" hidden="1" customHeight="1">
      <c r="A582" s="11" t="s">
        <v>2690</v>
      </c>
      <c r="B582" s="2" t="s">
        <v>1284</v>
      </c>
      <c r="C582" s="2" t="s">
        <v>2272</v>
      </c>
      <c r="D582" s="25">
        <f>자재조서!E583</f>
        <v>133300</v>
      </c>
      <c r="E582" s="20" t="s">
        <v>3622</v>
      </c>
      <c r="F582" t="s">
        <v>6232</v>
      </c>
      <c r="G582" t="s">
        <v>5067</v>
      </c>
      <c r="H582" t="s">
        <v>6232</v>
      </c>
    </row>
    <row r="583" spans="1:8" ht="18.399999999999999" hidden="1" customHeight="1">
      <c r="A583" s="11" t="s">
        <v>2690</v>
      </c>
      <c r="B583" s="2" t="s">
        <v>2203</v>
      </c>
      <c r="C583" s="2" t="s">
        <v>2272</v>
      </c>
      <c r="D583" s="25">
        <f>자재조서!E584</f>
        <v>164400</v>
      </c>
      <c r="E583" s="20" t="s">
        <v>3622</v>
      </c>
      <c r="F583" t="s">
        <v>6232</v>
      </c>
      <c r="G583" t="s">
        <v>2002</v>
      </c>
      <c r="H583" t="s">
        <v>6232</v>
      </c>
    </row>
    <row r="584" spans="1:8" ht="18.399999999999999" hidden="1" customHeight="1">
      <c r="A584" s="11" t="s">
        <v>2690</v>
      </c>
      <c r="B584" s="2" t="s">
        <v>1952</v>
      </c>
      <c r="C584" s="2" t="s">
        <v>2272</v>
      </c>
      <c r="D584" s="25">
        <f>자재조서!E585</f>
        <v>195400</v>
      </c>
      <c r="E584" s="20" t="s">
        <v>3622</v>
      </c>
      <c r="F584" t="s">
        <v>6232</v>
      </c>
      <c r="G584" t="s">
        <v>5370</v>
      </c>
      <c r="H584" t="s">
        <v>6232</v>
      </c>
    </row>
    <row r="585" spans="1:8" ht="18.399999999999999" hidden="1" customHeight="1">
      <c r="A585" s="11" t="s">
        <v>2690</v>
      </c>
      <c r="B585" s="2" t="s">
        <v>2943</v>
      </c>
      <c r="C585" s="2" t="s">
        <v>2272</v>
      </c>
      <c r="D585" s="25">
        <f>자재조서!E586</f>
        <v>146900</v>
      </c>
      <c r="E585" s="20" t="s">
        <v>3622</v>
      </c>
      <c r="F585" t="s">
        <v>6232</v>
      </c>
      <c r="G585" t="s">
        <v>5513</v>
      </c>
      <c r="H585" t="s">
        <v>6232</v>
      </c>
    </row>
    <row r="586" spans="1:8" ht="18.399999999999999" hidden="1" customHeight="1">
      <c r="A586" s="11" t="s">
        <v>2690</v>
      </c>
      <c r="B586" s="2" t="s">
        <v>478</v>
      </c>
      <c r="C586" s="2" t="s">
        <v>2272</v>
      </c>
      <c r="D586" s="25">
        <f>자재조서!E587</f>
        <v>178800</v>
      </c>
      <c r="E586" s="20" t="s">
        <v>3622</v>
      </c>
      <c r="F586" t="s">
        <v>6232</v>
      </c>
      <c r="G586" t="s">
        <v>2348</v>
      </c>
      <c r="H586" t="s">
        <v>6232</v>
      </c>
    </row>
    <row r="587" spans="1:8" ht="18.399999999999999" hidden="1" customHeight="1">
      <c r="A587" s="11" t="s">
        <v>2690</v>
      </c>
      <c r="B587" s="2" t="s">
        <v>743</v>
      </c>
      <c r="C587" s="2" t="s">
        <v>2272</v>
      </c>
      <c r="D587" s="25">
        <f>자재조서!E588</f>
        <v>215700</v>
      </c>
      <c r="E587" s="20" t="s">
        <v>3622</v>
      </c>
      <c r="F587" t="s">
        <v>6232</v>
      </c>
      <c r="G587" t="s">
        <v>5812</v>
      </c>
      <c r="H587" t="s">
        <v>6232</v>
      </c>
    </row>
    <row r="588" spans="1:8" ht="18.399999999999999" hidden="1" customHeight="1">
      <c r="A588" s="11" t="s">
        <v>2690</v>
      </c>
      <c r="B588" s="2" t="s">
        <v>259</v>
      </c>
      <c r="C588" s="2" t="s">
        <v>2272</v>
      </c>
      <c r="D588" s="25">
        <f>자재조서!E589</f>
        <v>173700</v>
      </c>
      <c r="E588" s="20" t="s">
        <v>3622</v>
      </c>
      <c r="F588" t="s">
        <v>6232</v>
      </c>
      <c r="G588" t="s">
        <v>2349</v>
      </c>
      <c r="H588" t="s">
        <v>6232</v>
      </c>
    </row>
    <row r="589" spans="1:8" ht="18.399999999999999" hidden="1" customHeight="1">
      <c r="A589" s="11" t="s">
        <v>2690</v>
      </c>
      <c r="B589" s="2" t="s">
        <v>2464</v>
      </c>
      <c r="C589" s="2" t="s">
        <v>2272</v>
      </c>
      <c r="D589" s="25">
        <f>자재조서!E590</f>
        <v>211000</v>
      </c>
      <c r="E589" s="20" t="s">
        <v>3622</v>
      </c>
      <c r="F589" t="s">
        <v>6232</v>
      </c>
      <c r="G589" t="s">
        <v>5527</v>
      </c>
      <c r="H589" t="s">
        <v>6232</v>
      </c>
    </row>
    <row r="590" spans="1:8" ht="18.399999999999999" hidden="1" customHeight="1">
      <c r="A590" s="11" t="s">
        <v>2690</v>
      </c>
      <c r="B590" s="2" t="s">
        <v>2691</v>
      </c>
      <c r="C590" s="2" t="s">
        <v>2272</v>
      </c>
      <c r="D590" s="25">
        <f>자재조서!E591</f>
        <v>254000</v>
      </c>
      <c r="E590" s="20" t="s">
        <v>3622</v>
      </c>
      <c r="F590" t="s">
        <v>6232</v>
      </c>
      <c r="G590" t="s">
        <v>2641</v>
      </c>
      <c r="H590" t="s">
        <v>6232</v>
      </c>
    </row>
    <row r="591" spans="1:8" ht="18.399999999999999" hidden="1" customHeight="1">
      <c r="A591" s="11" t="s">
        <v>2690</v>
      </c>
      <c r="B591" s="2" t="s">
        <v>1632</v>
      </c>
      <c r="C591" s="2" t="s">
        <v>2272</v>
      </c>
      <c r="D591" s="25">
        <f>자재조서!E592</f>
        <v>172900</v>
      </c>
      <c r="E591" s="20" t="s">
        <v>3622</v>
      </c>
      <c r="F591" t="s">
        <v>6232</v>
      </c>
      <c r="G591" t="s">
        <v>1981</v>
      </c>
      <c r="H591" t="s">
        <v>6232</v>
      </c>
    </row>
    <row r="592" spans="1:8" ht="18.399999999999999" hidden="1" customHeight="1">
      <c r="A592" s="11" t="s">
        <v>2690</v>
      </c>
      <c r="B592" s="2" t="s">
        <v>1022</v>
      </c>
      <c r="C592" s="2" t="s">
        <v>2272</v>
      </c>
      <c r="D592" s="25">
        <f>자재조서!E593</f>
        <v>211500</v>
      </c>
      <c r="E592" s="20" t="s">
        <v>3622</v>
      </c>
      <c r="F592" t="s">
        <v>6232</v>
      </c>
      <c r="G592" t="s">
        <v>5068</v>
      </c>
      <c r="H592" t="s">
        <v>6232</v>
      </c>
    </row>
    <row r="593" spans="1:8" ht="18.399999999999999" hidden="1" customHeight="1">
      <c r="A593" s="11" t="s">
        <v>2690</v>
      </c>
      <c r="B593" s="2" t="s">
        <v>776</v>
      </c>
      <c r="C593" s="2" t="s">
        <v>2272</v>
      </c>
      <c r="D593" s="25">
        <f>자재조서!E594</f>
        <v>254000</v>
      </c>
      <c r="E593" s="20" t="s">
        <v>3622</v>
      </c>
      <c r="F593" t="s">
        <v>6232</v>
      </c>
      <c r="G593" t="s">
        <v>2295</v>
      </c>
      <c r="H593" t="s">
        <v>6232</v>
      </c>
    </row>
    <row r="594" spans="1:8" ht="18.399999999999999" hidden="1" customHeight="1">
      <c r="A594" s="11" t="s">
        <v>2690</v>
      </c>
      <c r="B594" s="2" t="s">
        <v>199</v>
      </c>
      <c r="C594" s="2" t="s">
        <v>2272</v>
      </c>
      <c r="D594" s="25">
        <f>자재조서!E595</f>
        <v>192300</v>
      </c>
      <c r="E594" s="20" t="s">
        <v>3622</v>
      </c>
      <c r="F594" t="s">
        <v>6232</v>
      </c>
      <c r="G594" t="s">
        <v>4321</v>
      </c>
      <c r="H594" t="s">
        <v>6232</v>
      </c>
    </row>
    <row r="595" spans="1:8" ht="18.399999999999999" hidden="1" customHeight="1">
      <c r="A595" s="11" t="s">
        <v>2690</v>
      </c>
      <c r="B595" s="2" t="s">
        <v>2485</v>
      </c>
      <c r="C595" s="2" t="s">
        <v>2272</v>
      </c>
      <c r="D595" s="25">
        <f>자재조서!E596</f>
        <v>238000</v>
      </c>
      <c r="E595" s="20" t="s">
        <v>3622</v>
      </c>
      <c r="F595" t="s">
        <v>6232</v>
      </c>
      <c r="G595" t="s">
        <v>1248</v>
      </c>
      <c r="H595" t="s">
        <v>6232</v>
      </c>
    </row>
    <row r="596" spans="1:8" ht="18.399999999999999" hidden="1" customHeight="1">
      <c r="A596" s="11" t="s">
        <v>2690</v>
      </c>
      <c r="B596" s="2" t="s">
        <v>2632</v>
      </c>
      <c r="C596" s="2" t="s">
        <v>2272</v>
      </c>
      <c r="D596" s="25">
        <f>자재조서!E597</f>
        <v>284000</v>
      </c>
      <c r="E596" s="20" t="s">
        <v>3622</v>
      </c>
      <c r="F596" t="s">
        <v>6232</v>
      </c>
      <c r="G596" t="s">
        <v>4572</v>
      </c>
      <c r="H596" t="s">
        <v>6232</v>
      </c>
    </row>
    <row r="597" spans="1:8" ht="18.399999999999999" hidden="1" customHeight="1">
      <c r="A597" s="11" t="s">
        <v>2690</v>
      </c>
      <c r="B597" s="2" t="s">
        <v>1709</v>
      </c>
      <c r="C597" s="2" t="s">
        <v>2272</v>
      </c>
      <c r="D597" s="25">
        <f>자재조서!E598</f>
        <v>199600</v>
      </c>
      <c r="E597" s="20" t="s">
        <v>3622</v>
      </c>
      <c r="F597" t="s">
        <v>6232</v>
      </c>
      <c r="G597" t="s">
        <v>3159</v>
      </c>
      <c r="H597" t="s">
        <v>6232</v>
      </c>
    </row>
    <row r="598" spans="1:8" ht="18.399999999999999" hidden="1" customHeight="1">
      <c r="A598" s="11" t="s">
        <v>2690</v>
      </c>
      <c r="B598" s="2" t="s">
        <v>997</v>
      </c>
      <c r="C598" s="2" t="s">
        <v>2272</v>
      </c>
      <c r="D598" s="25">
        <f>자재조서!E599</f>
        <v>250300</v>
      </c>
      <c r="E598" s="20" t="s">
        <v>3622</v>
      </c>
      <c r="F598" t="s">
        <v>6232</v>
      </c>
      <c r="G598" t="s">
        <v>32</v>
      </c>
      <c r="H598" t="s">
        <v>6232</v>
      </c>
    </row>
    <row r="599" spans="1:8" ht="18.399999999999999" hidden="1" customHeight="1">
      <c r="A599" s="11" t="s">
        <v>2690</v>
      </c>
      <c r="B599" s="2" t="s">
        <v>868</v>
      </c>
      <c r="C599" s="2" t="s">
        <v>2272</v>
      </c>
      <c r="D599" s="25">
        <f>자재조서!E600</f>
        <v>300800</v>
      </c>
      <c r="E599" s="20" t="s">
        <v>3622</v>
      </c>
      <c r="F599" t="s">
        <v>6232</v>
      </c>
      <c r="G599" t="s">
        <v>3453</v>
      </c>
      <c r="H599" t="s">
        <v>6232</v>
      </c>
    </row>
    <row r="600" spans="1:8" ht="18.399999999999999" hidden="1" customHeight="1">
      <c r="A600" s="11" t="s">
        <v>2690</v>
      </c>
      <c r="B600" s="2" t="s">
        <v>1305</v>
      </c>
      <c r="C600" s="2" t="s">
        <v>2272</v>
      </c>
      <c r="D600" s="25">
        <f>자재조서!E601</f>
        <v>214900</v>
      </c>
      <c r="E600" s="20" t="s">
        <v>3622</v>
      </c>
      <c r="F600" t="s">
        <v>6232</v>
      </c>
      <c r="G600" t="s">
        <v>33</v>
      </c>
      <c r="H600" t="s">
        <v>6232</v>
      </c>
    </row>
    <row r="601" spans="1:8" ht="18.399999999999999" hidden="1" customHeight="1">
      <c r="A601" s="11" t="s">
        <v>2690</v>
      </c>
      <c r="B601" s="2" t="s">
        <v>2136</v>
      </c>
      <c r="C601" s="2" t="s">
        <v>2272</v>
      </c>
      <c r="D601" s="25">
        <f>자재조서!E602</f>
        <v>263600</v>
      </c>
      <c r="E601" s="20" t="s">
        <v>3622</v>
      </c>
      <c r="F601" t="s">
        <v>6232</v>
      </c>
      <c r="G601" t="s">
        <v>3160</v>
      </c>
      <c r="H601" t="s">
        <v>6232</v>
      </c>
    </row>
    <row r="602" spans="1:8" ht="18.399999999999999" hidden="1" customHeight="1">
      <c r="A602" s="11" t="s">
        <v>2690</v>
      </c>
      <c r="B602" s="2" t="s">
        <v>1974</v>
      </c>
      <c r="C602" s="2" t="s">
        <v>2272</v>
      </c>
      <c r="D602" s="25">
        <f>자재조서!E603</f>
        <v>322200</v>
      </c>
      <c r="E602" s="20" t="s">
        <v>3622</v>
      </c>
      <c r="F602" t="s">
        <v>6232</v>
      </c>
      <c r="G602" t="s">
        <v>287</v>
      </c>
      <c r="H602" t="s">
        <v>6232</v>
      </c>
    </row>
    <row r="603" spans="1:8" ht="18.399999999999999" hidden="1" customHeight="1">
      <c r="A603" s="11" t="s">
        <v>2690</v>
      </c>
      <c r="B603" s="2" t="s">
        <v>2926</v>
      </c>
      <c r="C603" s="2" t="s">
        <v>2272</v>
      </c>
      <c r="D603" s="25">
        <f>자재조서!E604</f>
        <v>224900</v>
      </c>
      <c r="E603" s="20" t="s">
        <v>3622</v>
      </c>
      <c r="F603" t="s">
        <v>6232</v>
      </c>
      <c r="G603" t="s">
        <v>1239</v>
      </c>
      <c r="H603" t="s">
        <v>6232</v>
      </c>
    </row>
    <row r="604" spans="1:8" ht="18.399999999999999" hidden="1" customHeight="1">
      <c r="A604" s="11" t="s">
        <v>2690</v>
      </c>
      <c r="B604" s="2" t="s">
        <v>583</v>
      </c>
      <c r="C604" s="2" t="s">
        <v>2272</v>
      </c>
      <c r="D604" s="25">
        <f>자재조서!E605</f>
        <v>275800</v>
      </c>
      <c r="E604" s="20" t="s">
        <v>3622</v>
      </c>
      <c r="F604" t="s">
        <v>6232</v>
      </c>
      <c r="G604" t="s">
        <v>4312</v>
      </c>
      <c r="H604" t="s">
        <v>6232</v>
      </c>
    </row>
    <row r="605" spans="1:8" ht="18.399999999999999" hidden="1" customHeight="1">
      <c r="A605" s="11" t="s">
        <v>2690</v>
      </c>
      <c r="B605" s="2" t="s">
        <v>719</v>
      </c>
      <c r="C605" s="2" t="s">
        <v>2272</v>
      </c>
      <c r="D605" s="25">
        <f>자재조서!E606</f>
        <v>333600</v>
      </c>
      <c r="E605" s="20" t="s">
        <v>3622</v>
      </c>
      <c r="F605" t="s">
        <v>6232</v>
      </c>
      <c r="G605" t="s">
        <v>1506</v>
      </c>
      <c r="H605" t="s">
        <v>6232</v>
      </c>
    </row>
    <row r="606" spans="1:8" ht="18.399999999999999" hidden="1" customHeight="1">
      <c r="A606" s="11" t="s">
        <v>2438</v>
      </c>
      <c r="B606" s="2" t="s">
        <v>999</v>
      </c>
      <c r="C606" s="2" t="s">
        <v>1606</v>
      </c>
      <c r="D606" s="25">
        <f>자재조서!E607</f>
        <v>66400</v>
      </c>
      <c r="E606" s="20" t="s">
        <v>3622</v>
      </c>
      <c r="F606" t="s">
        <v>6232</v>
      </c>
      <c r="G606" t="s">
        <v>5283</v>
      </c>
      <c r="H606" t="s">
        <v>6232</v>
      </c>
    </row>
    <row r="607" spans="1:8" ht="18.399999999999999" hidden="1" customHeight="1">
      <c r="A607" s="11" t="s">
        <v>2438</v>
      </c>
      <c r="B607" s="2" t="s">
        <v>1710</v>
      </c>
      <c r="C607" s="2" t="s">
        <v>1606</v>
      </c>
      <c r="D607" s="25">
        <f>자재조서!E608</f>
        <v>76000</v>
      </c>
      <c r="E607" s="20" t="s">
        <v>3622</v>
      </c>
      <c r="F607" t="s">
        <v>6232</v>
      </c>
      <c r="G607" t="s">
        <v>2193</v>
      </c>
      <c r="H607" t="s">
        <v>6232</v>
      </c>
    </row>
    <row r="608" spans="1:8" ht="18.399999999999999" hidden="1" customHeight="1">
      <c r="A608" s="11" t="s">
        <v>2438</v>
      </c>
      <c r="B608" s="2" t="s">
        <v>1834</v>
      </c>
      <c r="C608" s="2" t="s">
        <v>1606</v>
      </c>
      <c r="D608" s="25">
        <f>자재조서!E609</f>
        <v>83700</v>
      </c>
      <c r="E608" s="20" t="s">
        <v>3622</v>
      </c>
      <c r="F608" t="s">
        <v>6232</v>
      </c>
      <c r="G608" t="s">
        <v>5179</v>
      </c>
      <c r="H608" t="s">
        <v>6232</v>
      </c>
    </row>
    <row r="609" spans="1:8" ht="18.399999999999999" hidden="1" customHeight="1">
      <c r="A609" s="11" t="s">
        <v>2438</v>
      </c>
      <c r="B609" s="2" t="s">
        <v>1853</v>
      </c>
      <c r="C609" s="2" t="s">
        <v>1606</v>
      </c>
      <c r="D609" s="25">
        <f>자재조서!E610</f>
        <v>66400</v>
      </c>
      <c r="E609" s="20" t="s">
        <v>3622</v>
      </c>
      <c r="F609" t="s">
        <v>6232</v>
      </c>
      <c r="G609" t="s">
        <v>1202</v>
      </c>
      <c r="H609" t="s">
        <v>6232</v>
      </c>
    </row>
    <row r="610" spans="1:8" ht="18.399999999999999" hidden="1" customHeight="1">
      <c r="A610" s="11" t="s">
        <v>2438</v>
      </c>
      <c r="B610" s="2" t="s">
        <v>849</v>
      </c>
      <c r="C610" s="2" t="s">
        <v>1606</v>
      </c>
      <c r="D610" s="25">
        <f>자재조서!E611</f>
        <v>76000</v>
      </c>
      <c r="E610" s="20" t="s">
        <v>3622</v>
      </c>
      <c r="F610" t="s">
        <v>6232</v>
      </c>
      <c r="G610" t="s">
        <v>4282</v>
      </c>
      <c r="H610" t="s">
        <v>6232</v>
      </c>
    </row>
    <row r="611" spans="1:8" ht="18.399999999999999" hidden="1" customHeight="1">
      <c r="A611" s="11" t="s">
        <v>2438</v>
      </c>
      <c r="B611" s="2" t="s">
        <v>1000</v>
      </c>
      <c r="C611" s="2" t="s">
        <v>1606</v>
      </c>
      <c r="D611" s="25">
        <f>자재조서!E612</f>
        <v>83700</v>
      </c>
      <c r="E611" s="20" t="s">
        <v>3622</v>
      </c>
      <c r="F611" t="s">
        <v>6232</v>
      </c>
      <c r="G611" t="s">
        <v>1488</v>
      </c>
      <c r="H611" t="s">
        <v>6232</v>
      </c>
    </row>
    <row r="612" spans="1:8" ht="18.399999999999999" hidden="1" customHeight="1">
      <c r="A612" s="11" t="s">
        <v>2438</v>
      </c>
      <c r="B612" s="2" t="s">
        <v>589</v>
      </c>
      <c r="C612" s="2" t="s">
        <v>1606</v>
      </c>
      <c r="D612" s="25">
        <f>자재조서!E613</f>
        <v>69500</v>
      </c>
      <c r="E612" s="20" t="s">
        <v>3622</v>
      </c>
      <c r="F612" t="s">
        <v>6232</v>
      </c>
      <c r="G612" t="s">
        <v>5094</v>
      </c>
      <c r="H612" t="s">
        <v>6232</v>
      </c>
    </row>
    <row r="613" spans="1:8" ht="18.399999999999999" hidden="1" customHeight="1">
      <c r="A613" s="11" t="s">
        <v>2438</v>
      </c>
      <c r="B613" s="2" t="s">
        <v>2931</v>
      </c>
      <c r="C613" s="2" t="s">
        <v>1606</v>
      </c>
      <c r="D613" s="25">
        <f>자재조서!E614</f>
        <v>80100</v>
      </c>
      <c r="E613" s="20" t="s">
        <v>3622</v>
      </c>
      <c r="F613" t="s">
        <v>6232</v>
      </c>
      <c r="G613" t="s">
        <v>1916</v>
      </c>
      <c r="H613" t="s">
        <v>6232</v>
      </c>
    </row>
    <row r="614" spans="1:8" ht="18.399999999999999" hidden="1" customHeight="1">
      <c r="A614" s="11" t="s">
        <v>2438</v>
      </c>
      <c r="B614" s="2" t="s">
        <v>2782</v>
      </c>
      <c r="C614" s="2" t="s">
        <v>1606</v>
      </c>
      <c r="D614" s="25">
        <f>자재조서!E615</f>
        <v>90600</v>
      </c>
      <c r="E614" s="20" t="s">
        <v>3622</v>
      </c>
      <c r="F614" t="s">
        <v>6232</v>
      </c>
      <c r="G614" t="s">
        <v>5397</v>
      </c>
      <c r="H614" t="s">
        <v>6232</v>
      </c>
    </row>
    <row r="615" spans="1:8" ht="18.399999999999999" hidden="1" customHeight="1">
      <c r="A615" s="11" t="s">
        <v>2438</v>
      </c>
      <c r="B615" s="2" t="s">
        <v>3981</v>
      </c>
      <c r="C615" s="2" t="s">
        <v>1606</v>
      </c>
      <c r="D615" s="25">
        <f>자재조서!E616</f>
        <v>70600</v>
      </c>
      <c r="E615" s="20" t="s">
        <v>3622</v>
      </c>
      <c r="F615" t="s">
        <v>6232</v>
      </c>
      <c r="G615" t="s">
        <v>119</v>
      </c>
      <c r="H615" t="s">
        <v>6232</v>
      </c>
    </row>
    <row r="616" spans="1:8" ht="18.399999999999999" hidden="1" customHeight="1">
      <c r="A616" s="11" t="s">
        <v>2438</v>
      </c>
      <c r="B616" s="2" t="s">
        <v>4972</v>
      </c>
      <c r="C616" s="2" t="s">
        <v>1606</v>
      </c>
      <c r="D616" s="25">
        <f>자재조서!E617</f>
        <v>82500</v>
      </c>
      <c r="E616" s="20" t="s">
        <v>3622</v>
      </c>
      <c r="F616" t="s">
        <v>6232</v>
      </c>
      <c r="G616" t="s">
        <v>3263</v>
      </c>
      <c r="H616" t="s">
        <v>6232</v>
      </c>
    </row>
    <row r="617" spans="1:8" ht="18.399999999999999" hidden="1" customHeight="1">
      <c r="A617" s="11" t="s">
        <v>2438</v>
      </c>
      <c r="B617" s="2" t="s">
        <v>4843</v>
      </c>
      <c r="C617" s="2" t="s">
        <v>1606</v>
      </c>
      <c r="D617" s="25">
        <f>자재조서!E618</f>
        <v>92700</v>
      </c>
      <c r="E617" s="20" t="s">
        <v>3622</v>
      </c>
      <c r="F617" t="s">
        <v>6232</v>
      </c>
      <c r="G617" t="s">
        <v>214</v>
      </c>
      <c r="H617" t="s">
        <v>6232</v>
      </c>
    </row>
    <row r="618" spans="1:8" ht="18.399999999999999" hidden="1" customHeight="1">
      <c r="A618" s="11" t="s">
        <v>2438</v>
      </c>
      <c r="B618" s="2" t="s">
        <v>5447</v>
      </c>
      <c r="C618" s="2" t="s">
        <v>1606</v>
      </c>
      <c r="D618" s="25">
        <f>자재조서!E619</f>
        <v>76600</v>
      </c>
      <c r="E618" s="20" t="s">
        <v>3622</v>
      </c>
      <c r="F618" t="s">
        <v>6232</v>
      </c>
      <c r="G618" t="s">
        <v>2322</v>
      </c>
      <c r="H618" t="s">
        <v>6232</v>
      </c>
    </row>
    <row r="619" spans="1:8" ht="18.399999999999999" hidden="1" customHeight="1">
      <c r="A619" s="11" t="s">
        <v>2438</v>
      </c>
      <c r="B619" s="2" t="s">
        <v>3447</v>
      </c>
      <c r="C619" s="2" t="s">
        <v>1606</v>
      </c>
      <c r="D619" s="25">
        <f>자재조서!E620</f>
        <v>85100</v>
      </c>
      <c r="E619" s="20" t="s">
        <v>3622</v>
      </c>
      <c r="F619" t="s">
        <v>6232</v>
      </c>
      <c r="G619" t="s">
        <v>5488</v>
      </c>
      <c r="H619" t="s">
        <v>6232</v>
      </c>
    </row>
    <row r="620" spans="1:8" ht="18.399999999999999" hidden="1" customHeight="1">
      <c r="A620" s="11" t="s">
        <v>2438</v>
      </c>
      <c r="B620" s="2" t="s">
        <v>3187</v>
      </c>
      <c r="C620" s="2" t="s">
        <v>1606</v>
      </c>
      <c r="D620" s="25">
        <f>자재조서!E621</f>
        <v>95500</v>
      </c>
      <c r="E620" s="20" t="s">
        <v>3622</v>
      </c>
      <c r="F620" t="s">
        <v>6232</v>
      </c>
      <c r="G620" t="s">
        <v>2624</v>
      </c>
      <c r="H620" t="s">
        <v>6232</v>
      </c>
    </row>
    <row r="621" spans="1:8" ht="18.399999999999999" hidden="1" customHeight="1">
      <c r="A621" s="11" t="s">
        <v>2438</v>
      </c>
      <c r="B621" s="2" t="s">
        <v>1567</v>
      </c>
      <c r="C621" s="2" t="s">
        <v>1606</v>
      </c>
      <c r="D621" s="25">
        <f>자재조서!E622</f>
        <v>79200</v>
      </c>
      <c r="E621" s="20" t="s">
        <v>3622</v>
      </c>
      <c r="F621" t="s">
        <v>6232</v>
      </c>
      <c r="G621" t="s">
        <v>2454</v>
      </c>
      <c r="H621" t="s">
        <v>6232</v>
      </c>
    </row>
    <row r="622" spans="1:8" ht="18.399999999999999" hidden="1" customHeight="1">
      <c r="A622" s="11" t="s">
        <v>2438</v>
      </c>
      <c r="B622" s="2" t="s">
        <v>1145</v>
      </c>
      <c r="C622" s="2" t="s">
        <v>1606</v>
      </c>
      <c r="D622" s="25">
        <f>자재조서!E623</f>
        <v>89700</v>
      </c>
      <c r="E622" s="20" t="s">
        <v>3622</v>
      </c>
      <c r="F622" t="s">
        <v>6232</v>
      </c>
      <c r="G622" t="s">
        <v>5627</v>
      </c>
      <c r="H622" t="s">
        <v>6232</v>
      </c>
    </row>
    <row r="623" spans="1:8" ht="18.399999999999999" hidden="1" customHeight="1">
      <c r="A623" s="11" t="s">
        <v>2438</v>
      </c>
      <c r="B623" s="2" t="s">
        <v>913</v>
      </c>
      <c r="C623" s="2" t="s">
        <v>1606</v>
      </c>
      <c r="D623" s="25">
        <f>자재조서!E624</f>
        <v>108700</v>
      </c>
      <c r="E623" s="20" t="s">
        <v>3622</v>
      </c>
      <c r="F623" t="s">
        <v>6232</v>
      </c>
      <c r="G623" t="s">
        <v>2539</v>
      </c>
      <c r="H623" t="s">
        <v>6232</v>
      </c>
    </row>
    <row r="624" spans="1:8" ht="18.399999999999999" hidden="1" customHeight="1">
      <c r="A624" s="11" t="s">
        <v>2438</v>
      </c>
      <c r="B624" s="2" t="s">
        <v>4451</v>
      </c>
      <c r="C624" s="2" t="s">
        <v>1606</v>
      </c>
      <c r="D624" s="25">
        <f>자재조서!E625</f>
        <v>83700</v>
      </c>
      <c r="E624" s="20" t="s">
        <v>3622</v>
      </c>
      <c r="F624" t="s">
        <v>6232</v>
      </c>
      <c r="G624" t="s">
        <v>4573</v>
      </c>
      <c r="H624" t="s">
        <v>6232</v>
      </c>
    </row>
    <row r="625" spans="1:8" ht="18.399999999999999" hidden="1" customHeight="1">
      <c r="A625" s="11" t="s">
        <v>2438</v>
      </c>
      <c r="B625" s="2" t="s">
        <v>5285</v>
      </c>
      <c r="C625" s="2" t="s">
        <v>1606</v>
      </c>
      <c r="D625" s="25">
        <f>자재조서!E626</f>
        <v>100500</v>
      </c>
      <c r="E625" s="20" t="s">
        <v>3622</v>
      </c>
      <c r="F625" t="s">
        <v>6232</v>
      </c>
      <c r="G625" t="s">
        <v>1507</v>
      </c>
      <c r="H625" t="s">
        <v>6232</v>
      </c>
    </row>
    <row r="626" spans="1:8" ht="18.399999999999999" hidden="1" customHeight="1">
      <c r="A626" s="11" t="s">
        <v>2438</v>
      </c>
      <c r="B626" s="2" t="s">
        <v>5136</v>
      </c>
      <c r="C626" s="2" t="s">
        <v>1606</v>
      </c>
      <c r="D626" s="25">
        <f>자재조서!E627</f>
        <v>118500</v>
      </c>
      <c r="E626" s="20" t="s">
        <v>3622</v>
      </c>
      <c r="F626" t="s">
        <v>6232</v>
      </c>
      <c r="G626" t="s">
        <v>4305</v>
      </c>
      <c r="H626" t="s">
        <v>6232</v>
      </c>
    </row>
    <row r="627" spans="1:8" ht="18.399999999999999" hidden="1" customHeight="1">
      <c r="A627" s="11" t="s">
        <v>2438</v>
      </c>
      <c r="B627" s="2" t="s">
        <v>2735</v>
      </c>
      <c r="C627" s="2" t="s">
        <v>1606</v>
      </c>
      <c r="D627" s="25">
        <f>자재조서!E628</f>
        <v>99600</v>
      </c>
      <c r="E627" s="20" t="s">
        <v>3622</v>
      </c>
      <c r="F627" t="s">
        <v>6232</v>
      </c>
      <c r="G627" t="s">
        <v>5489</v>
      </c>
      <c r="H627" t="s">
        <v>6232</v>
      </c>
    </row>
    <row r="628" spans="1:8" ht="18.399999999999999" hidden="1" customHeight="1">
      <c r="A628" s="11" t="s">
        <v>2438</v>
      </c>
      <c r="B628" s="2" t="s">
        <v>761</v>
      </c>
      <c r="C628" s="2" t="s">
        <v>1606</v>
      </c>
      <c r="D628" s="25">
        <f>자재조서!E629</f>
        <v>115100</v>
      </c>
      <c r="E628" s="20" t="s">
        <v>3622</v>
      </c>
      <c r="F628" t="s">
        <v>6232</v>
      </c>
      <c r="G628" t="s">
        <v>2323</v>
      </c>
      <c r="H628" t="s">
        <v>6232</v>
      </c>
    </row>
    <row r="629" spans="1:8" ht="18.399999999999999" hidden="1" customHeight="1">
      <c r="A629" s="11" t="s">
        <v>2438</v>
      </c>
      <c r="B629" s="2" t="s">
        <v>533</v>
      </c>
      <c r="C629" s="2" t="s">
        <v>1606</v>
      </c>
      <c r="D629" s="25">
        <f>자재조서!E630</f>
        <v>131500</v>
      </c>
      <c r="E629" s="20" t="s">
        <v>3622</v>
      </c>
      <c r="F629" t="s">
        <v>6232</v>
      </c>
      <c r="G629" t="s">
        <v>5787</v>
      </c>
      <c r="H629" t="s">
        <v>6232</v>
      </c>
    </row>
    <row r="630" spans="1:8" ht="18.399999999999999" hidden="1" customHeight="1">
      <c r="A630" s="11" t="s">
        <v>2438</v>
      </c>
      <c r="B630" s="2" t="s">
        <v>3568</v>
      </c>
      <c r="C630" s="2" t="s">
        <v>1606</v>
      </c>
      <c r="D630" s="25">
        <f>자재조서!E631</f>
        <v>120500</v>
      </c>
      <c r="E630" s="20" t="s">
        <v>3622</v>
      </c>
      <c r="F630" t="s">
        <v>6232</v>
      </c>
      <c r="G630" t="s">
        <v>3134</v>
      </c>
      <c r="H630" t="s">
        <v>6232</v>
      </c>
    </row>
    <row r="631" spans="1:8" ht="18.399999999999999" hidden="1" customHeight="1">
      <c r="A631" s="11" t="s">
        <v>2438</v>
      </c>
      <c r="B631" s="2" t="s">
        <v>6176</v>
      </c>
      <c r="C631" s="2" t="s">
        <v>1606</v>
      </c>
      <c r="D631" s="25">
        <f>자재조서!E632</f>
        <v>139000</v>
      </c>
      <c r="E631" s="20" t="s">
        <v>3622</v>
      </c>
      <c r="F631" t="s">
        <v>6232</v>
      </c>
      <c r="G631" t="s">
        <v>8</v>
      </c>
      <c r="H631" t="s">
        <v>6232</v>
      </c>
    </row>
    <row r="632" spans="1:8" ht="18.399999999999999" hidden="1" customHeight="1">
      <c r="A632" s="11" t="s">
        <v>2438</v>
      </c>
      <c r="B632" s="2" t="s">
        <v>6024</v>
      </c>
      <c r="C632" s="2" t="s">
        <v>1606</v>
      </c>
      <c r="D632" s="25">
        <f>자재조서!E633</f>
        <v>159800</v>
      </c>
      <c r="E632" s="20" t="s">
        <v>3622</v>
      </c>
      <c r="F632" t="s">
        <v>6232</v>
      </c>
      <c r="G632" t="s">
        <v>3430</v>
      </c>
      <c r="H632" t="s">
        <v>6232</v>
      </c>
    </row>
    <row r="633" spans="1:8" ht="18.399999999999999" hidden="1" customHeight="1">
      <c r="A633" s="11" t="s">
        <v>2438</v>
      </c>
      <c r="B633" s="2" t="s">
        <v>1496</v>
      </c>
      <c r="C633" s="2" t="s">
        <v>1606</v>
      </c>
      <c r="D633" s="25">
        <f>자재조서!E634</f>
        <v>124400</v>
      </c>
      <c r="E633" s="20" t="s">
        <v>3622</v>
      </c>
      <c r="F633" t="s">
        <v>6232</v>
      </c>
      <c r="G633" t="s">
        <v>5041</v>
      </c>
      <c r="H633" t="s">
        <v>6232</v>
      </c>
    </row>
    <row r="634" spans="1:8" ht="18.399999999999999" hidden="1" customHeight="1">
      <c r="A634" s="11" t="s">
        <v>2438</v>
      </c>
      <c r="B634" s="2" t="s">
        <v>1924</v>
      </c>
      <c r="C634" s="2" t="s">
        <v>1606</v>
      </c>
      <c r="D634" s="25">
        <f>자재조서!E635</f>
        <v>146800</v>
      </c>
      <c r="E634" s="20" t="s">
        <v>3622</v>
      </c>
      <c r="F634" t="s">
        <v>6232</v>
      </c>
      <c r="G634" t="s">
        <v>1965</v>
      </c>
      <c r="H634" t="s">
        <v>6232</v>
      </c>
    </row>
    <row r="635" spans="1:8" ht="18.399999999999999" hidden="1" customHeight="1">
      <c r="A635" s="11" t="s">
        <v>2438</v>
      </c>
      <c r="B635" s="2" t="s">
        <v>2174</v>
      </c>
      <c r="C635" s="2" t="s">
        <v>1606</v>
      </c>
      <c r="D635" s="25">
        <f>자재조서!E636</f>
        <v>166100</v>
      </c>
      <c r="E635" s="20" t="s">
        <v>3622</v>
      </c>
      <c r="F635" t="s">
        <v>6232</v>
      </c>
      <c r="G635" t="s">
        <v>5347</v>
      </c>
      <c r="H635" t="s">
        <v>6232</v>
      </c>
    </row>
    <row r="636" spans="1:8" ht="18.399999999999999" hidden="1" customHeight="1">
      <c r="A636" s="11" t="s">
        <v>2438</v>
      </c>
      <c r="B636" s="2" t="s">
        <v>2755</v>
      </c>
      <c r="C636" s="2" t="s">
        <v>1606</v>
      </c>
      <c r="D636" s="25">
        <f>자재조서!E637</f>
        <v>228900</v>
      </c>
      <c r="E636" s="20" t="s">
        <v>3622</v>
      </c>
      <c r="F636" t="s">
        <v>6232</v>
      </c>
      <c r="G636" t="s">
        <v>1203</v>
      </c>
      <c r="H636" t="s">
        <v>6232</v>
      </c>
    </row>
    <row r="637" spans="1:8" ht="18.399999999999999" hidden="1" customHeight="1">
      <c r="A637" s="11" t="s">
        <v>2438</v>
      </c>
      <c r="B637" s="2" t="s">
        <v>689</v>
      </c>
      <c r="C637" s="2" t="s">
        <v>1606</v>
      </c>
      <c r="D637" s="25">
        <f>자재조서!E638</f>
        <v>276600</v>
      </c>
      <c r="E637" s="20" t="s">
        <v>3622</v>
      </c>
      <c r="F637" t="s">
        <v>6232</v>
      </c>
      <c r="G637" t="s">
        <v>4283</v>
      </c>
      <c r="H637" t="s">
        <v>6232</v>
      </c>
    </row>
    <row r="638" spans="1:8" ht="18.399999999999999" hidden="1" customHeight="1">
      <c r="A638" s="11" t="s">
        <v>2438</v>
      </c>
      <c r="B638" s="2" t="s">
        <v>564</v>
      </c>
      <c r="C638" s="2" t="s">
        <v>1606</v>
      </c>
      <c r="D638" s="25">
        <f>자재조서!E639</f>
        <v>319500</v>
      </c>
      <c r="E638" s="20" t="s">
        <v>3622</v>
      </c>
      <c r="F638" t="s">
        <v>6232</v>
      </c>
      <c r="G638" t="s">
        <v>1489</v>
      </c>
      <c r="H638" t="s">
        <v>6232</v>
      </c>
    </row>
    <row r="639" spans="1:8" ht="18.399999999999999" hidden="1" customHeight="1">
      <c r="A639" s="11" t="s">
        <v>2438</v>
      </c>
      <c r="B639" s="2" t="s">
        <v>1476</v>
      </c>
      <c r="C639" s="2" t="s">
        <v>1606</v>
      </c>
      <c r="D639" s="25">
        <f>자재조서!E640</f>
        <v>275300</v>
      </c>
      <c r="E639" s="20" t="s">
        <v>3622</v>
      </c>
      <c r="F639" t="s">
        <v>6232</v>
      </c>
      <c r="G639" t="s">
        <v>9</v>
      </c>
      <c r="H639" t="s">
        <v>6232</v>
      </c>
    </row>
    <row r="640" spans="1:8" ht="18.399999999999999" hidden="1" customHeight="1">
      <c r="A640" s="11" t="s">
        <v>2438</v>
      </c>
      <c r="B640" s="2" t="s">
        <v>1996</v>
      </c>
      <c r="C640" s="2" t="s">
        <v>1606</v>
      </c>
      <c r="D640" s="25">
        <f>자재조서!E641</f>
        <v>328800</v>
      </c>
      <c r="E640" s="20" t="s">
        <v>3622</v>
      </c>
      <c r="F640" t="s">
        <v>6232</v>
      </c>
      <c r="G640" t="s">
        <v>3135</v>
      </c>
      <c r="H640" t="s">
        <v>6232</v>
      </c>
    </row>
    <row r="641" spans="1:8" ht="18.399999999999999" hidden="1" customHeight="1">
      <c r="A641" s="11" t="s">
        <v>2438</v>
      </c>
      <c r="B641" s="2" t="s">
        <v>2158</v>
      </c>
      <c r="C641" s="2" t="s">
        <v>1606</v>
      </c>
      <c r="D641" s="25">
        <f>자재조서!E642</f>
        <v>380700</v>
      </c>
      <c r="E641" s="20" t="s">
        <v>3622</v>
      </c>
      <c r="F641" t="s">
        <v>6232</v>
      </c>
      <c r="G641" t="s">
        <v>270</v>
      </c>
      <c r="H641" t="s">
        <v>6232</v>
      </c>
    </row>
    <row r="642" spans="1:8" ht="18.399999999999999" hidden="1" customHeight="1">
      <c r="A642" s="11" t="s">
        <v>2438</v>
      </c>
      <c r="B642" s="2" t="s">
        <v>1827</v>
      </c>
      <c r="C642" s="2" t="s">
        <v>1606</v>
      </c>
      <c r="D642" s="25">
        <f>자재조서!E643</f>
        <v>288400</v>
      </c>
      <c r="E642" s="20" t="s">
        <v>3622</v>
      </c>
      <c r="F642" t="s">
        <v>6232</v>
      </c>
      <c r="G642" t="s">
        <v>3136</v>
      </c>
      <c r="H642" t="s">
        <v>6232</v>
      </c>
    </row>
    <row r="643" spans="1:8" ht="18.399999999999999" hidden="1" customHeight="1">
      <c r="A643" s="11" t="s">
        <v>2438</v>
      </c>
      <c r="B643" s="2" t="s">
        <v>815</v>
      </c>
      <c r="C643" s="2" t="s">
        <v>1606</v>
      </c>
      <c r="D643" s="25">
        <f>자재조서!E644</f>
        <v>350900</v>
      </c>
      <c r="E643" s="20" t="s">
        <v>3622</v>
      </c>
      <c r="F643" t="s">
        <v>6232</v>
      </c>
      <c r="G643" t="s">
        <v>10</v>
      </c>
      <c r="H643" t="s">
        <v>6232</v>
      </c>
    </row>
    <row r="644" spans="1:8" ht="18.399999999999999" hidden="1" customHeight="1">
      <c r="A644" s="11" t="s">
        <v>2438</v>
      </c>
      <c r="B644" s="2" t="s">
        <v>981</v>
      </c>
      <c r="C644" s="2" t="s">
        <v>1606</v>
      </c>
      <c r="D644" s="25">
        <f>자재조서!E645</f>
        <v>405800</v>
      </c>
      <c r="E644" s="20" t="s">
        <v>3622</v>
      </c>
      <c r="F644" t="s">
        <v>6232</v>
      </c>
      <c r="G644" t="s">
        <v>3431</v>
      </c>
      <c r="H644" t="s">
        <v>6232</v>
      </c>
    </row>
    <row r="645" spans="1:8" ht="18.399999999999999" hidden="1" customHeight="1">
      <c r="A645" s="11" t="s">
        <v>2438</v>
      </c>
      <c r="B645" s="2" t="s">
        <v>83</v>
      </c>
      <c r="C645" s="2" t="s">
        <v>1606</v>
      </c>
      <c r="D645" s="25">
        <f>자재조서!E646</f>
        <v>316600</v>
      </c>
      <c r="E645" s="20" t="s">
        <v>3622</v>
      </c>
      <c r="F645" t="s">
        <v>6232</v>
      </c>
      <c r="G645" t="s">
        <v>4284</v>
      </c>
      <c r="H645" t="s">
        <v>6232</v>
      </c>
    </row>
    <row r="646" spans="1:8" ht="18.399999999999999" hidden="1" customHeight="1">
      <c r="A646" s="11" t="s">
        <v>2438</v>
      </c>
      <c r="B646" s="2" t="s">
        <v>2650</v>
      </c>
      <c r="C646" s="2" t="s">
        <v>1606</v>
      </c>
      <c r="D646" s="25">
        <f>자재조서!E647</f>
        <v>374600</v>
      </c>
      <c r="E646" s="20" t="s">
        <v>3622</v>
      </c>
      <c r="F646" t="s">
        <v>6232</v>
      </c>
      <c r="G646" t="s">
        <v>1204</v>
      </c>
      <c r="H646" t="s">
        <v>6232</v>
      </c>
    </row>
    <row r="647" spans="1:8" ht="18.399999999999999" hidden="1" customHeight="1">
      <c r="A647" s="11" t="s">
        <v>2438</v>
      </c>
      <c r="B647" s="2" t="s">
        <v>2507</v>
      </c>
      <c r="C647" s="2" t="s">
        <v>1606</v>
      </c>
      <c r="D647" s="25">
        <f>자재조서!E648</f>
        <v>439000</v>
      </c>
      <c r="E647" s="20" t="s">
        <v>3622</v>
      </c>
      <c r="F647" t="s">
        <v>6232</v>
      </c>
      <c r="G647" t="s">
        <v>4559</v>
      </c>
      <c r="H647" t="s">
        <v>6232</v>
      </c>
    </row>
    <row r="648" spans="1:8" ht="18.399999999999999" hidden="1" customHeight="1">
      <c r="A648" s="11" t="s">
        <v>2438</v>
      </c>
      <c r="B648" s="2" t="s">
        <v>1284</v>
      </c>
      <c r="C648" s="2" t="s">
        <v>1606</v>
      </c>
      <c r="D648" s="25">
        <f>자재조서!E649</f>
        <v>338400</v>
      </c>
      <c r="E648" s="20" t="s">
        <v>3622</v>
      </c>
      <c r="F648" t="s">
        <v>6232</v>
      </c>
      <c r="G648" t="s">
        <v>3525</v>
      </c>
      <c r="H648" t="s">
        <v>6232</v>
      </c>
    </row>
    <row r="649" spans="1:8" ht="18.399999999999999" hidden="1" customHeight="1">
      <c r="A649" s="11" t="s">
        <v>2438</v>
      </c>
      <c r="B649" s="2" t="s">
        <v>2203</v>
      </c>
      <c r="C649" s="2" t="s">
        <v>1606</v>
      </c>
      <c r="D649" s="25">
        <f>자재조서!E650</f>
        <v>411100</v>
      </c>
      <c r="E649" s="20" t="s">
        <v>3622</v>
      </c>
      <c r="F649" t="s">
        <v>6232</v>
      </c>
      <c r="G649" t="s">
        <v>392</v>
      </c>
      <c r="H649" t="s">
        <v>6232</v>
      </c>
    </row>
    <row r="650" spans="1:8" ht="18.399999999999999" hidden="1" customHeight="1">
      <c r="A650" s="11" t="s">
        <v>2438</v>
      </c>
      <c r="B650" s="2" t="s">
        <v>1952</v>
      </c>
      <c r="C650" s="2" t="s">
        <v>1606</v>
      </c>
      <c r="D650" s="25">
        <f>자재조서!E651</f>
        <v>470800</v>
      </c>
      <c r="E650" s="20" t="s">
        <v>3622</v>
      </c>
      <c r="F650" t="s">
        <v>6232</v>
      </c>
      <c r="G650" t="s">
        <v>3832</v>
      </c>
      <c r="H650" t="s">
        <v>6232</v>
      </c>
    </row>
    <row r="651" spans="1:8" ht="18.399999999999999" hidden="1" customHeight="1">
      <c r="A651" s="11" t="s">
        <v>2438</v>
      </c>
      <c r="B651" s="2" t="s">
        <v>2943</v>
      </c>
      <c r="C651" s="2" t="s">
        <v>1606</v>
      </c>
      <c r="D651" s="25">
        <f>자재조서!E652</f>
        <v>369700</v>
      </c>
      <c r="E651" s="20" t="s">
        <v>3622</v>
      </c>
      <c r="F651" t="s">
        <v>6232</v>
      </c>
      <c r="G651" t="s">
        <v>3883</v>
      </c>
      <c r="H651" t="s">
        <v>6232</v>
      </c>
    </row>
    <row r="652" spans="1:8" ht="18.399999999999999" hidden="1" customHeight="1">
      <c r="A652" s="11" t="s">
        <v>2438</v>
      </c>
      <c r="B652" s="2" t="s">
        <v>478</v>
      </c>
      <c r="C652" s="2" t="s">
        <v>1606</v>
      </c>
      <c r="D652" s="25">
        <f>자재조서!E653</f>
        <v>440900</v>
      </c>
      <c r="E652" s="20" t="s">
        <v>3622</v>
      </c>
      <c r="F652" t="s">
        <v>6232</v>
      </c>
      <c r="G652" t="s">
        <v>819</v>
      </c>
      <c r="H652" t="s">
        <v>6232</v>
      </c>
    </row>
    <row r="653" spans="1:8" ht="18.399999999999999" hidden="1" customHeight="1">
      <c r="A653" s="11" t="s">
        <v>2438</v>
      </c>
      <c r="B653" s="2" t="s">
        <v>743</v>
      </c>
      <c r="C653" s="2" t="s">
        <v>1606</v>
      </c>
      <c r="D653" s="25">
        <f>자재조서!E654</f>
        <v>509800</v>
      </c>
      <c r="E653" s="20" t="s">
        <v>3622</v>
      </c>
      <c r="F653" t="s">
        <v>6232</v>
      </c>
      <c r="G653" t="s">
        <v>4192</v>
      </c>
      <c r="H653" t="s">
        <v>6232</v>
      </c>
    </row>
    <row r="654" spans="1:8" ht="18.399999999999999" hidden="1" customHeight="1">
      <c r="A654" s="11" t="s">
        <v>2438</v>
      </c>
      <c r="B654" s="2" t="s">
        <v>259</v>
      </c>
      <c r="C654" s="2" t="s">
        <v>1606</v>
      </c>
      <c r="D654" s="25">
        <f>자재조서!E655</f>
        <v>454800</v>
      </c>
      <c r="E654" s="20" t="s">
        <v>3622</v>
      </c>
      <c r="F654" t="s">
        <v>6232</v>
      </c>
      <c r="G654" t="s">
        <v>836</v>
      </c>
      <c r="H654" t="s">
        <v>6232</v>
      </c>
    </row>
    <row r="655" spans="1:8" ht="18.399999999999999" hidden="1" customHeight="1">
      <c r="A655" s="11" t="s">
        <v>2438</v>
      </c>
      <c r="B655" s="2" t="s">
        <v>2464</v>
      </c>
      <c r="C655" s="2" t="s">
        <v>1606</v>
      </c>
      <c r="D655" s="25">
        <f>자재조서!E656</f>
        <v>541700</v>
      </c>
      <c r="E655" s="20" t="s">
        <v>3622</v>
      </c>
      <c r="F655" t="s">
        <v>6232</v>
      </c>
      <c r="G655" t="s">
        <v>3884</v>
      </c>
      <c r="H655" t="s">
        <v>6232</v>
      </c>
    </row>
    <row r="656" spans="1:8" ht="18.399999999999999" hidden="1" customHeight="1">
      <c r="A656" s="11" t="s">
        <v>2438</v>
      </c>
      <c r="B656" s="2" t="s">
        <v>2691</v>
      </c>
      <c r="C656" s="2" t="s">
        <v>1606</v>
      </c>
      <c r="D656" s="25">
        <f>자재조서!E657</f>
        <v>633700</v>
      </c>
      <c r="E656" s="20" t="s">
        <v>3622</v>
      </c>
      <c r="F656" t="s">
        <v>6232</v>
      </c>
      <c r="G656" t="s">
        <v>1091</v>
      </c>
      <c r="H656" t="s">
        <v>6232</v>
      </c>
    </row>
    <row r="657" spans="1:8" ht="18.399999999999999" hidden="1" customHeight="1">
      <c r="A657" s="11" t="s">
        <v>2438</v>
      </c>
      <c r="B657" s="2" t="s">
        <v>1632</v>
      </c>
      <c r="C657" s="2" t="s">
        <v>1606</v>
      </c>
      <c r="D657" s="25">
        <f>자재조서!E658</f>
        <v>457800</v>
      </c>
      <c r="E657" s="20" t="s">
        <v>3622</v>
      </c>
      <c r="F657" t="s">
        <v>6232</v>
      </c>
      <c r="G657" t="s">
        <v>368</v>
      </c>
      <c r="H657" t="s">
        <v>6232</v>
      </c>
    </row>
    <row r="658" spans="1:8" ht="18.399999999999999" hidden="1" customHeight="1">
      <c r="A658" s="11" t="s">
        <v>2438</v>
      </c>
      <c r="B658" s="2" t="s">
        <v>1022</v>
      </c>
      <c r="C658" s="2" t="s">
        <v>1606</v>
      </c>
      <c r="D658" s="25">
        <f>자재조서!E659</f>
        <v>544500</v>
      </c>
      <c r="E658" s="20" t="s">
        <v>3622</v>
      </c>
      <c r="F658" t="s">
        <v>6232</v>
      </c>
      <c r="G658" t="s">
        <v>3526</v>
      </c>
      <c r="H658" t="s">
        <v>6232</v>
      </c>
    </row>
    <row r="659" spans="1:8" ht="18.399999999999999" hidden="1" customHeight="1">
      <c r="A659" s="11" t="s">
        <v>2438</v>
      </c>
      <c r="B659" s="2" t="s">
        <v>776</v>
      </c>
      <c r="C659" s="2" t="s">
        <v>1606</v>
      </c>
      <c r="D659" s="25">
        <f>자재조서!E660</f>
        <v>635900</v>
      </c>
      <c r="E659" s="20" t="s">
        <v>3622</v>
      </c>
      <c r="F659" t="s">
        <v>6232</v>
      </c>
      <c r="G659" t="s">
        <v>681</v>
      </c>
      <c r="H659" t="s">
        <v>6232</v>
      </c>
    </row>
    <row r="660" spans="1:8" ht="18.399999999999999" hidden="1" customHeight="1">
      <c r="A660" s="11" t="s">
        <v>2438</v>
      </c>
      <c r="B660" s="2" t="s">
        <v>199</v>
      </c>
      <c r="C660" s="2" t="s">
        <v>1606</v>
      </c>
      <c r="D660" s="25">
        <f>자재조서!E661</f>
        <v>532000</v>
      </c>
      <c r="E660" s="20" t="s">
        <v>3622</v>
      </c>
      <c r="F660" t="s">
        <v>6232</v>
      </c>
      <c r="G660" t="s">
        <v>5881</v>
      </c>
      <c r="H660" t="s">
        <v>6232</v>
      </c>
    </row>
    <row r="661" spans="1:8" ht="18.399999999999999" hidden="1" customHeight="1">
      <c r="A661" s="11" t="s">
        <v>2438</v>
      </c>
      <c r="B661" s="2" t="s">
        <v>2485</v>
      </c>
      <c r="C661" s="2" t="s">
        <v>1606</v>
      </c>
      <c r="D661" s="25">
        <f>자재조서!E662</f>
        <v>553500</v>
      </c>
      <c r="E661" s="20" t="s">
        <v>3622</v>
      </c>
      <c r="F661" t="s">
        <v>6232</v>
      </c>
      <c r="G661" t="s">
        <v>2706</v>
      </c>
      <c r="H661" t="s">
        <v>6232</v>
      </c>
    </row>
    <row r="662" spans="1:8" ht="18.399999999999999" hidden="1" customHeight="1">
      <c r="A662" s="11" t="s">
        <v>2438</v>
      </c>
      <c r="B662" s="2" t="s">
        <v>2632</v>
      </c>
      <c r="C662" s="2" t="s">
        <v>1606</v>
      </c>
      <c r="D662" s="25">
        <f>자재조서!E663</f>
        <v>693900</v>
      </c>
      <c r="E662" s="20" t="s">
        <v>3622</v>
      </c>
      <c r="F662" t="s">
        <v>6232</v>
      </c>
      <c r="G662" t="s">
        <v>6196</v>
      </c>
      <c r="H662" t="s">
        <v>6232</v>
      </c>
    </row>
    <row r="663" spans="1:8" ht="18.399999999999999" hidden="1" customHeight="1">
      <c r="A663" s="11" t="s">
        <v>2438</v>
      </c>
      <c r="B663" s="2" t="s">
        <v>1709</v>
      </c>
      <c r="C663" s="2" t="s">
        <v>1606</v>
      </c>
      <c r="D663" s="25">
        <f>자재조서!E664</f>
        <v>551900</v>
      </c>
      <c r="E663" s="20" t="s">
        <v>3622</v>
      </c>
      <c r="F663" t="s">
        <v>6232</v>
      </c>
      <c r="G663" t="s">
        <v>4655</v>
      </c>
      <c r="H663" t="s">
        <v>6232</v>
      </c>
    </row>
    <row r="664" spans="1:8" ht="18.399999999999999" hidden="1" customHeight="1">
      <c r="A664" s="11" t="s">
        <v>2438</v>
      </c>
      <c r="B664" s="2" t="s">
        <v>997</v>
      </c>
      <c r="C664" s="2" t="s">
        <v>1606</v>
      </c>
      <c r="D664" s="25">
        <f>자재조서!E665</f>
        <v>671600</v>
      </c>
      <c r="E664" s="20" t="s">
        <v>3622</v>
      </c>
      <c r="F664" t="s">
        <v>6232</v>
      </c>
      <c r="G664" t="s">
        <v>1568</v>
      </c>
      <c r="H664" t="s">
        <v>6232</v>
      </c>
    </row>
    <row r="665" spans="1:8" ht="18.399999999999999" hidden="1" customHeight="1">
      <c r="A665" s="11" t="s">
        <v>2438</v>
      </c>
      <c r="B665" s="2" t="s">
        <v>868</v>
      </c>
      <c r="C665" s="2" t="s">
        <v>1606</v>
      </c>
      <c r="D665" s="25">
        <f>자재조서!E666</f>
        <v>775700</v>
      </c>
      <c r="E665" s="20" t="s">
        <v>3622</v>
      </c>
      <c r="F665" t="s">
        <v>6232</v>
      </c>
      <c r="G665" t="s">
        <v>4945</v>
      </c>
      <c r="H665" t="s">
        <v>6232</v>
      </c>
    </row>
    <row r="666" spans="1:8" ht="18.399999999999999" hidden="1" customHeight="1">
      <c r="A666" s="11" t="s">
        <v>2438</v>
      </c>
      <c r="B666" s="2" t="s">
        <v>1305</v>
      </c>
      <c r="C666" s="2" t="s">
        <v>1606</v>
      </c>
      <c r="D666" s="25">
        <f>자재조서!E667</f>
        <v>599200</v>
      </c>
      <c r="E666" s="20" t="s">
        <v>3622</v>
      </c>
      <c r="F666" t="s">
        <v>6232</v>
      </c>
      <c r="G666" t="s">
        <v>1596</v>
      </c>
      <c r="H666" t="s">
        <v>6232</v>
      </c>
    </row>
    <row r="667" spans="1:8" ht="18.399999999999999" hidden="1" customHeight="1">
      <c r="A667" s="11" t="s">
        <v>2438</v>
      </c>
      <c r="B667" s="2" t="s">
        <v>2136</v>
      </c>
      <c r="C667" s="2" t="s">
        <v>1606</v>
      </c>
      <c r="D667" s="25">
        <f>자재조서!E668</f>
        <v>721200</v>
      </c>
      <c r="E667" s="20" t="s">
        <v>3622</v>
      </c>
      <c r="F667" t="s">
        <v>6232</v>
      </c>
      <c r="G667" t="s">
        <v>4656</v>
      </c>
      <c r="H667" t="s">
        <v>6232</v>
      </c>
    </row>
    <row r="668" spans="1:8" ht="18.399999999999999" hidden="1" customHeight="1">
      <c r="A668" s="11" t="s">
        <v>2438</v>
      </c>
      <c r="B668" s="2" t="s">
        <v>1974</v>
      </c>
      <c r="C668" s="2" t="s">
        <v>1606</v>
      </c>
      <c r="D668" s="25">
        <f>자재조서!E669</f>
        <v>838200</v>
      </c>
      <c r="E668" s="20" t="s">
        <v>3622</v>
      </c>
      <c r="F668" t="s">
        <v>6232</v>
      </c>
      <c r="G668" t="s">
        <v>1868</v>
      </c>
      <c r="H668" t="s">
        <v>6232</v>
      </c>
    </row>
    <row r="669" spans="1:8" ht="18.399999999999999" hidden="1" customHeight="1">
      <c r="A669" s="11" t="s">
        <v>2438</v>
      </c>
      <c r="B669" s="2" t="s">
        <v>2926</v>
      </c>
      <c r="C669" s="2" t="s">
        <v>1606</v>
      </c>
      <c r="D669" s="25">
        <f>자재조서!E670</f>
        <v>620000</v>
      </c>
      <c r="E669" s="20" t="s">
        <v>3622</v>
      </c>
      <c r="F669" t="s">
        <v>6232</v>
      </c>
      <c r="G669" t="s">
        <v>2707</v>
      </c>
      <c r="H669" t="s">
        <v>6232</v>
      </c>
    </row>
    <row r="670" spans="1:8" ht="18.399999999999999" hidden="1" customHeight="1">
      <c r="A670" s="11" t="s">
        <v>2438</v>
      </c>
      <c r="B670" s="2" t="s">
        <v>583</v>
      </c>
      <c r="C670" s="2" t="s">
        <v>1606</v>
      </c>
      <c r="D670" s="25">
        <f>자재조서!E671</f>
        <v>740200</v>
      </c>
      <c r="E670" s="20" t="s">
        <v>3622</v>
      </c>
      <c r="F670" t="s">
        <v>6232</v>
      </c>
      <c r="G670" t="s">
        <v>5882</v>
      </c>
      <c r="H670" t="s">
        <v>6232</v>
      </c>
    </row>
    <row r="671" spans="1:8" ht="18.399999999999999" hidden="1" customHeight="1">
      <c r="A671" s="11" t="s">
        <v>2438</v>
      </c>
      <c r="B671" s="2" t="s">
        <v>719</v>
      </c>
      <c r="C671" s="2" t="s">
        <v>1606</v>
      </c>
      <c r="D671" s="25">
        <f>자재조서!E672</f>
        <v>862400</v>
      </c>
      <c r="E671" s="20" t="s">
        <v>3622</v>
      </c>
      <c r="F671" t="s">
        <v>6232</v>
      </c>
      <c r="G671" t="s">
        <v>2978</v>
      </c>
      <c r="H671" t="s">
        <v>6232</v>
      </c>
    </row>
    <row r="672" spans="1:8" ht="18.399999999999999" hidden="1" customHeight="1">
      <c r="A672" s="11" t="s">
        <v>1879</v>
      </c>
      <c r="B672" s="2" t="s">
        <v>2902</v>
      </c>
      <c r="C672" s="2" t="s">
        <v>1606</v>
      </c>
      <c r="D672" s="25">
        <f>자재조서!E673</f>
        <v>86300</v>
      </c>
      <c r="E672" s="20" t="s">
        <v>206</v>
      </c>
      <c r="F672" t="s">
        <v>6232</v>
      </c>
      <c r="G672" t="s">
        <v>3948</v>
      </c>
      <c r="H672" t="s">
        <v>6232</v>
      </c>
    </row>
    <row r="673" spans="1:8" ht="18.399999999999999" hidden="1" customHeight="1">
      <c r="A673" s="11" t="s">
        <v>1879</v>
      </c>
      <c r="B673" s="2" t="s">
        <v>1348</v>
      </c>
      <c r="C673" s="2" t="s">
        <v>1606</v>
      </c>
      <c r="D673" s="25">
        <f>자재조서!E674</f>
        <v>101700</v>
      </c>
      <c r="E673" s="20" t="s">
        <v>206</v>
      </c>
      <c r="F673" t="s">
        <v>6232</v>
      </c>
      <c r="G673" t="s">
        <v>4178</v>
      </c>
      <c r="H673" t="s">
        <v>6232</v>
      </c>
    </row>
    <row r="674" spans="1:8" ht="18.399999999999999" hidden="1" customHeight="1">
      <c r="A674" s="11" t="s">
        <v>1879</v>
      </c>
      <c r="B674" s="2" t="s">
        <v>2412</v>
      </c>
      <c r="C674" s="2" t="s">
        <v>1606</v>
      </c>
      <c r="D674" s="25">
        <f>자재조서!E675</f>
        <v>111300</v>
      </c>
      <c r="E674" s="20" t="s">
        <v>206</v>
      </c>
      <c r="F674" t="s">
        <v>6232</v>
      </c>
      <c r="G674" t="s">
        <v>5705</v>
      </c>
      <c r="H674" t="s">
        <v>6232</v>
      </c>
    </row>
    <row r="675" spans="1:8" ht="18.399999999999999" hidden="1" customHeight="1">
      <c r="A675" s="11" t="s">
        <v>1879</v>
      </c>
      <c r="B675" s="2" t="s">
        <v>3074</v>
      </c>
      <c r="C675" s="2" t="s">
        <v>1606</v>
      </c>
      <c r="D675" s="25">
        <f>자재조서!E676</f>
        <v>129600</v>
      </c>
      <c r="E675" s="20" t="s">
        <v>206</v>
      </c>
      <c r="F675" t="s">
        <v>6232</v>
      </c>
      <c r="G675" t="s">
        <v>4066</v>
      </c>
      <c r="H675" t="s">
        <v>6232</v>
      </c>
    </row>
    <row r="676" spans="1:8" ht="18.399999999999999" hidden="1" customHeight="1">
      <c r="A676" s="11" t="s">
        <v>1879</v>
      </c>
      <c r="B676" s="2" t="s">
        <v>1165</v>
      </c>
      <c r="C676" s="2" t="s">
        <v>1606</v>
      </c>
      <c r="D676" s="25">
        <f>자재조서!E677</f>
        <v>137500</v>
      </c>
      <c r="E676" s="20" t="s">
        <v>206</v>
      </c>
      <c r="F676" t="s">
        <v>6232</v>
      </c>
      <c r="G676" t="s">
        <v>4082</v>
      </c>
      <c r="H676" t="s">
        <v>6232</v>
      </c>
    </row>
    <row r="677" spans="1:8" ht="18.399999999999999" hidden="1" customHeight="1">
      <c r="A677" s="11" t="s">
        <v>1879</v>
      </c>
      <c r="B677" s="2" t="s">
        <v>1572</v>
      </c>
      <c r="C677" s="2" t="s">
        <v>1606</v>
      </c>
      <c r="D677" s="25">
        <f>자재조서!E678</f>
        <v>154500</v>
      </c>
      <c r="E677" s="20" t="s">
        <v>206</v>
      </c>
      <c r="F677" t="s">
        <v>6232</v>
      </c>
      <c r="G677" t="s">
        <v>3718</v>
      </c>
      <c r="H677" t="s">
        <v>6232</v>
      </c>
    </row>
    <row r="678" spans="1:8" ht="18.399999999999999" hidden="1" customHeight="1">
      <c r="A678" s="11" t="s">
        <v>1879</v>
      </c>
      <c r="B678" s="2" t="s">
        <v>2531</v>
      </c>
      <c r="C678" s="2" t="s">
        <v>1606</v>
      </c>
      <c r="D678" s="25">
        <f>자재조서!E679</f>
        <v>178600</v>
      </c>
      <c r="E678" s="20" t="s">
        <v>206</v>
      </c>
      <c r="F678" t="s">
        <v>6232</v>
      </c>
      <c r="G678" t="s">
        <v>3636</v>
      </c>
      <c r="H678" t="s">
        <v>6232</v>
      </c>
    </row>
    <row r="679" spans="1:8" ht="18.399999999999999" hidden="1" customHeight="1">
      <c r="A679" s="11" t="s">
        <v>1879</v>
      </c>
      <c r="B679" s="2" t="s">
        <v>4124</v>
      </c>
      <c r="C679" s="2" t="s">
        <v>1606</v>
      </c>
      <c r="D679" s="25">
        <f>자재조서!E680</f>
        <v>192500</v>
      </c>
      <c r="E679" s="20" t="s">
        <v>206</v>
      </c>
      <c r="F679" t="s">
        <v>6232</v>
      </c>
      <c r="G679" t="s">
        <v>5383</v>
      </c>
      <c r="H679" t="s">
        <v>6232</v>
      </c>
    </row>
    <row r="680" spans="1:8" ht="18.399999999999999" hidden="1" customHeight="1">
      <c r="A680" s="11" t="s">
        <v>1879</v>
      </c>
      <c r="B680" s="2" t="s">
        <v>4184</v>
      </c>
      <c r="C680" s="2" t="s">
        <v>1606</v>
      </c>
      <c r="D680" s="25">
        <f>자재조서!E681</f>
        <v>251000</v>
      </c>
      <c r="E680" s="20" t="s">
        <v>206</v>
      </c>
      <c r="F680" t="s">
        <v>6232</v>
      </c>
      <c r="G680" t="s">
        <v>4691</v>
      </c>
      <c r="H680" t="s">
        <v>6232</v>
      </c>
    </row>
    <row r="681" spans="1:8" ht="18.399999999999999" hidden="1" customHeight="1">
      <c r="A681" s="11" t="s">
        <v>1879</v>
      </c>
      <c r="B681" s="2" t="s">
        <v>1695</v>
      </c>
      <c r="C681" s="2" t="s">
        <v>1606</v>
      </c>
      <c r="D681" s="25">
        <f>자재조서!E682</f>
        <v>345500</v>
      </c>
      <c r="E681" s="20" t="s">
        <v>206</v>
      </c>
      <c r="F681" t="s">
        <v>6232</v>
      </c>
      <c r="G681" t="s">
        <v>3188</v>
      </c>
      <c r="H681" t="s">
        <v>6232</v>
      </c>
    </row>
    <row r="682" spans="1:8" ht="18.399999999999999" hidden="1" customHeight="1">
      <c r="A682" s="11" t="s">
        <v>1879</v>
      </c>
      <c r="B682" s="2" t="s">
        <v>4869</v>
      </c>
      <c r="C682" s="2" t="s">
        <v>1606</v>
      </c>
      <c r="D682" s="25">
        <f>자재조서!E683</f>
        <v>385000</v>
      </c>
      <c r="E682" s="20" t="s">
        <v>206</v>
      </c>
      <c r="F682" t="s">
        <v>6232</v>
      </c>
      <c r="G682" t="s">
        <v>6002</v>
      </c>
      <c r="H682" t="s">
        <v>6232</v>
      </c>
    </row>
    <row r="683" spans="1:8" ht="18.399999999999999" hidden="1" customHeight="1">
      <c r="A683" s="11" t="s">
        <v>1879</v>
      </c>
      <c r="B683" s="2" t="s">
        <v>809</v>
      </c>
      <c r="C683" s="2" t="s">
        <v>1606</v>
      </c>
      <c r="D683" s="25">
        <f>자재조서!E684</f>
        <v>417200</v>
      </c>
      <c r="E683" s="20" t="s">
        <v>206</v>
      </c>
      <c r="F683" t="s">
        <v>6232</v>
      </c>
      <c r="G683" t="s">
        <v>4363</v>
      </c>
      <c r="H683" t="s">
        <v>6232</v>
      </c>
    </row>
    <row r="684" spans="1:8" ht="18.399999999999999" hidden="1" customHeight="1">
      <c r="A684" s="11" t="s">
        <v>1879</v>
      </c>
      <c r="B684" s="2" t="s">
        <v>2695</v>
      </c>
      <c r="C684" s="2" t="s">
        <v>1606</v>
      </c>
      <c r="D684" s="25">
        <f>자재조서!E685</f>
        <v>497100</v>
      </c>
      <c r="E684" s="20" t="s">
        <v>206</v>
      </c>
      <c r="F684" t="s">
        <v>6232</v>
      </c>
      <c r="G684" t="s">
        <v>2779</v>
      </c>
      <c r="H684" t="s">
        <v>6232</v>
      </c>
    </row>
    <row r="685" spans="1:8" ht="18.399999999999999" hidden="1" customHeight="1">
      <c r="A685" s="11" t="s">
        <v>1879</v>
      </c>
      <c r="B685" s="2" t="s">
        <v>3762</v>
      </c>
      <c r="C685" s="2" t="s">
        <v>1606</v>
      </c>
      <c r="D685" s="25">
        <f>자재조서!E686</f>
        <v>547000</v>
      </c>
      <c r="E685" s="20" t="s">
        <v>206</v>
      </c>
      <c r="F685" t="s">
        <v>6232</v>
      </c>
      <c r="G685" t="s">
        <v>1308</v>
      </c>
      <c r="H685" t="s">
        <v>6232</v>
      </c>
    </row>
    <row r="686" spans="1:8" ht="18.399999999999999" hidden="1" customHeight="1">
      <c r="A686" s="11" t="s">
        <v>1879</v>
      </c>
      <c r="B686" s="2" t="s">
        <v>416</v>
      </c>
      <c r="C686" s="2" t="s">
        <v>1606</v>
      </c>
      <c r="D686" s="25">
        <f>자재조서!E687</f>
        <v>656500</v>
      </c>
      <c r="E686" s="20" t="s">
        <v>206</v>
      </c>
      <c r="F686" t="s">
        <v>6232</v>
      </c>
      <c r="G686" t="s">
        <v>5558</v>
      </c>
      <c r="H686" t="s">
        <v>6232</v>
      </c>
    </row>
    <row r="687" spans="1:8" ht="18.399999999999999" hidden="1" customHeight="1">
      <c r="A687" s="11" t="s">
        <v>1879</v>
      </c>
      <c r="B687" s="2" t="s">
        <v>6105</v>
      </c>
      <c r="C687" s="2" t="s">
        <v>1606</v>
      </c>
      <c r="D687" s="25">
        <f>자재조서!E688</f>
        <v>774700</v>
      </c>
      <c r="E687" s="20" t="s">
        <v>206</v>
      </c>
      <c r="F687" t="s">
        <v>6232</v>
      </c>
      <c r="G687" t="s">
        <v>723</v>
      </c>
      <c r="H687" t="s">
        <v>6232</v>
      </c>
    </row>
    <row r="688" spans="1:8" ht="18.399999999999999" hidden="1" customHeight="1">
      <c r="A688" s="11" t="s">
        <v>1879</v>
      </c>
      <c r="B688" s="2" t="s">
        <v>397</v>
      </c>
      <c r="C688" s="2" t="s">
        <v>1606</v>
      </c>
      <c r="D688" s="25">
        <f>자재조서!E689</f>
        <v>846500</v>
      </c>
      <c r="E688" s="20" t="s">
        <v>206</v>
      </c>
      <c r="F688" t="s">
        <v>6232</v>
      </c>
      <c r="G688" t="s">
        <v>2140</v>
      </c>
      <c r="H688" t="s">
        <v>6232</v>
      </c>
    </row>
    <row r="689" spans="1:8" ht="18.399999999999999" hidden="1" customHeight="1">
      <c r="A689" s="11" t="s">
        <v>1879</v>
      </c>
      <c r="B689" s="2" t="s">
        <v>3821</v>
      </c>
      <c r="C689" s="2" t="s">
        <v>1606</v>
      </c>
      <c r="D689" s="25">
        <f>자재조서!E690</f>
        <v>932900</v>
      </c>
      <c r="E689" s="20" t="s">
        <v>206</v>
      </c>
      <c r="F689" t="s">
        <v>6232</v>
      </c>
      <c r="G689" t="s">
        <v>1024</v>
      </c>
      <c r="H689" t="s">
        <v>6232</v>
      </c>
    </row>
    <row r="690" spans="1:8" ht="18.399999999999999" hidden="1" customHeight="1">
      <c r="A690" s="11" t="s">
        <v>1879</v>
      </c>
      <c r="B690" s="2" t="s">
        <v>2812</v>
      </c>
      <c r="C690" s="2" t="s">
        <v>1606</v>
      </c>
      <c r="D690" s="25">
        <f>자재조서!E691</f>
        <v>988000</v>
      </c>
      <c r="E690" s="20" t="s">
        <v>206</v>
      </c>
      <c r="F690" t="s">
        <v>6232</v>
      </c>
      <c r="G690" t="s">
        <v>2693</v>
      </c>
      <c r="H690" t="s">
        <v>6232</v>
      </c>
    </row>
    <row r="691" spans="1:8" ht="18.399999999999999" hidden="1" customHeight="1">
      <c r="A691" s="11" t="s">
        <v>1589</v>
      </c>
      <c r="B691" s="2" t="s">
        <v>4184</v>
      </c>
      <c r="C691" s="2" t="s">
        <v>6141</v>
      </c>
      <c r="D691" s="29">
        <f>자재조서!E692</f>
        <v>442000</v>
      </c>
      <c r="E691" s="20" t="s">
        <v>2554</v>
      </c>
      <c r="F691" t="s">
        <v>6232</v>
      </c>
      <c r="G691" t="s">
        <v>2487</v>
      </c>
      <c r="H691" t="s">
        <v>6232</v>
      </c>
    </row>
    <row r="692" spans="1:8" ht="18.399999999999999" hidden="1" customHeight="1">
      <c r="A692" s="11" t="s">
        <v>1589</v>
      </c>
      <c r="B692" s="2" t="s">
        <v>1695</v>
      </c>
      <c r="C692" s="2" t="s">
        <v>6141</v>
      </c>
      <c r="D692" s="29">
        <f>자재조서!E693</f>
        <v>459000</v>
      </c>
      <c r="E692" s="20" t="s">
        <v>2554</v>
      </c>
      <c r="F692" t="s">
        <v>6232</v>
      </c>
      <c r="G692" t="s">
        <v>855</v>
      </c>
      <c r="H692" t="s">
        <v>6232</v>
      </c>
    </row>
    <row r="693" spans="1:8" ht="18.399999999999999" hidden="1" customHeight="1">
      <c r="A693" s="11" t="s">
        <v>1589</v>
      </c>
      <c r="B693" s="2" t="s">
        <v>4869</v>
      </c>
      <c r="C693" s="2" t="s">
        <v>6141</v>
      </c>
      <c r="D693" s="29">
        <f>자재조서!E694</f>
        <v>509000</v>
      </c>
      <c r="E693" s="20" t="s">
        <v>2554</v>
      </c>
      <c r="F693" t="s">
        <v>6232</v>
      </c>
      <c r="G693" t="s">
        <v>1954</v>
      </c>
      <c r="H693" t="s">
        <v>6232</v>
      </c>
    </row>
    <row r="694" spans="1:8" ht="18.399999999999999" hidden="1" customHeight="1">
      <c r="A694" s="11" t="s">
        <v>1589</v>
      </c>
      <c r="B694" s="2" t="s">
        <v>809</v>
      </c>
      <c r="C694" s="2" t="s">
        <v>6141</v>
      </c>
      <c r="D694" s="29">
        <f>자재조서!E695</f>
        <v>554000</v>
      </c>
      <c r="E694" s="20" t="s">
        <v>2554</v>
      </c>
      <c r="F694" t="s">
        <v>6232</v>
      </c>
      <c r="G694" t="s">
        <v>480</v>
      </c>
      <c r="H694" t="s">
        <v>6232</v>
      </c>
    </row>
    <row r="695" spans="1:8" ht="18.399999999999999" hidden="1" customHeight="1">
      <c r="A695" s="11" t="s">
        <v>1589</v>
      </c>
      <c r="B695" s="2" t="s">
        <v>2695</v>
      </c>
      <c r="C695" s="2" t="s">
        <v>6141</v>
      </c>
      <c r="D695" s="29">
        <f>자재조서!E696</f>
        <v>626000</v>
      </c>
      <c r="E695" s="20" t="s">
        <v>2554</v>
      </c>
      <c r="F695" t="s">
        <v>6232</v>
      </c>
      <c r="G695" t="s">
        <v>5163</v>
      </c>
      <c r="H695" t="s">
        <v>6232</v>
      </c>
    </row>
    <row r="696" spans="1:8" ht="18.399999999999999" hidden="1" customHeight="1">
      <c r="A696" s="11" t="s">
        <v>1589</v>
      </c>
      <c r="B696" s="2" t="s">
        <v>3762</v>
      </c>
      <c r="C696" s="2" t="s">
        <v>6141</v>
      </c>
      <c r="D696" s="29">
        <f>자재조서!E697</f>
        <v>672000</v>
      </c>
      <c r="E696" s="20" t="s">
        <v>2554</v>
      </c>
      <c r="F696" t="s">
        <v>6232</v>
      </c>
      <c r="G696" t="s">
        <v>3510</v>
      </c>
      <c r="H696" t="s">
        <v>6232</v>
      </c>
    </row>
    <row r="697" spans="1:8" ht="18.399999999999999" hidden="1" customHeight="1">
      <c r="A697" s="11" t="s">
        <v>1589</v>
      </c>
      <c r="B697" s="2" t="s">
        <v>512</v>
      </c>
      <c r="C697" s="2" t="s">
        <v>6141</v>
      </c>
      <c r="D697" s="29">
        <f>자재조서!E698</f>
        <v>725000</v>
      </c>
      <c r="E697" s="20" t="s">
        <v>2554</v>
      </c>
      <c r="F697" t="s">
        <v>6232</v>
      </c>
      <c r="G697" t="s">
        <v>5530</v>
      </c>
      <c r="H697" t="s">
        <v>6232</v>
      </c>
    </row>
    <row r="698" spans="1:8" ht="18.399999999999999" hidden="1" customHeight="1">
      <c r="A698" s="11" t="s">
        <v>1589</v>
      </c>
      <c r="B698" s="2" t="s">
        <v>6186</v>
      </c>
      <c r="C698" s="2" t="s">
        <v>6141</v>
      </c>
      <c r="D698" s="29">
        <f>자재조서!E699</f>
        <v>734000</v>
      </c>
      <c r="E698" s="20" t="s">
        <v>2554</v>
      </c>
      <c r="F698" t="s">
        <v>6232</v>
      </c>
      <c r="G698" t="s">
        <v>4067</v>
      </c>
      <c r="H698" t="s">
        <v>6232</v>
      </c>
    </row>
    <row r="699" spans="1:8" ht="18.399999999999999" hidden="1" customHeight="1">
      <c r="A699" s="11" t="s">
        <v>1589</v>
      </c>
      <c r="B699" s="2" t="s">
        <v>6105</v>
      </c>
      <c r="C699" s="2" t="s">
        <v>6141</v>
      </c>
      <c r="D699" s="29">
        <f>자재조서!E700</f>
        <v>781000</v>
      </c>
      <c r="E699" s="20" t="s">
        <v>2554</v>
      </c>
      <c r="F699" t="s">
        <v>6232</v>
      </c>
      <c r="G699" t="s">
        <v>4513</v>
      </c>
      <c r="H699" t="s">
        <v>6232</v>
      </c>
    </row>
    <row r="700" spans="1:8" ht="18.399999999999999" hidden="1" customHeight="1">
      <c r="A700" s="11" t="s">
        <v>1589</v>
      </c>
      <c r="B700" s="2" t="s">
        <v>397</v>
      </c>
      <c r="C700" s="2" t="s">
        <v>6141</v>
      </c>
      <c r="D700" s="29">
        <f>자재조서!E701</f>
        <v>872000</v>
      </c>
      <c r="E700" s="20" t="s">
        <v>2554</v>
      </c>
      <c r="F700" t="s">
        <v>6232</v>
      </c>
      <c r="G700" t="s">
        <v>6229</v>
      </c>
      <c r="H700" t="s">
        <v>6232</v>
      </c>
    </row>
    <row r="701" spans="1:8" ht="18.399999999999999" hidden="1" customHeight="1">
      <c r="A701" s="11" t="s">
        <v>1589</v>
      </c>
      <c r="B701" s="2" t="s">
        <v>3821</v>
      </c>
      <c r="C701" s="2" t="s">
        <v>6141</v>
      </c>
      <c r="D701" s="29">
        <f>자재조서!E702</f>
        <v>921000</v>
      </c>
      <c r="E701" s="20" t="s">
        <v>2554</v>
      </c>
      <c r="F701" t="s">
        <v>6232</v>
      </c>
      <c r="G701" t="s">
        <v>3422</v>
      </c>
      <c r="H701" t="s">
        <v>6232</v>
      </c>
    </row>
    <row r="702" spans="1:8" ht="18.399999999999999" hidden="1" customHeight="1">
      <c r="A702" s="11" t="s">
        <v>1589</v>
      </c>
      <c r="B702" s="2" t="s">
        <v>2812</v>
      </c>
      <c r="C702" s="2" t="s">
        <v>6141</v>
      </c>
      <c r="D702" s="29">
        <f>자재조서!E703</f>
        <v>978000</v>
      </c>
      <c r="E702" s="20" t="s">
        <v>2554</v>
      </c>
      <c r="F702" t="s">
        <v>6232</v>
      </c>
      <c r="G702" t="s">
        <v>4866</v>
      </c>
      <c r="H702" t="s">
        <v>6232</v>
      </c>
    </row>
    <row r="703" spans="1:8" ht="18.399999999999999" hidden="1" customHeight="1">
      <c r="A703" s="11" t="s">
        <v>3193</v>
      </c>
      <c r="B703" s="2" t="s">
        <v>4184</v>
      </c>
      <c r="C703" s="2" t="s">
        <v>6141</v>
      </c>
      <c r="D703" s="29">
        <f>자재조서!E704</f>
        <v>173000</v>
      </c>
      <c r="E703" s="20" t="s">
        <v>2554</v>
      </c>
      <c r="F703" t="s">
        <v>6232</v>
      </c>
      <c r="G703" t="s">
        <v>6129</v>
      </c>
      <c r="H703" t="s">
        <v>6232</v>
      </c>
    </row>
    <row r="704" spans="1:8" ht="18.399999999999999" hidden="1" customHeight="1">
      <c r="A704" s="11" t="s">
        <v>3193</v>
      </c>
      <c r="B704" s="2" t="s">
        <v>1695</v>
      </c>
      <c r="C704" s="2" t="s">
        <v>6141</v>
      </c>
      <c r="D704" s="29">
        <f>자재조서!E705</f>
        <v>199000</v>
      </c>
      <c r="E704" s="20" t="s">
        <v>2554</v>
      </c>
      <c r="F704" t="s">
        <v>6232</v>
      </c>
      <c r="G704" t="s">
        <v>4613</v>
      </c>
      <c r="H704" t="s">
        <v>6232</v>
      </c>
    </row>
    <row r="705" spans="1:8" ht="18.399999999999999" hidden="1" customHeight="1">
      <c r="A705" s="11" t="s">
        <v>3193</v>
      </c>
      <c r="B705" s="2" t="s">
        <v>4869</v>
      </c>
      <c r="C705" s="2" t="s">
        <v>6141</v>
      </c>
      <c r="D705" s="29">
        <f>자재조서!E706</f>
        <v>216000</v>
      </c>
      <c r="E705" s="20" t="s">
        <v>2554</v>
      </c>
      <c r="F705" t="s">
        <v>6232</v>
      </c>
      <c r="G705" t="s">
        <v>4958</v>
      </c>
      <c r="H705" t="s">
        <v>6232</v>
      </c>
    </row>
    <row r="706" spans="1:8" ht="18.399999999999999" hidden="1" customHeight="1">
      <c r="A706" s="11" t="s">
        <v>3193</v>
      </c>
      <c r="B706" s="2" t="s">
        <v>809</v>
      </c>
      <c r="C706" s="2" t="s">
        <v>6141</v>
      </c>
      <c r="D706" s="29">
        <f>자재조서!E707</f>
        <v>235000</v>
      </c>
      <c r="E706" s="20" t="s">
        <v>2554</v>
      </c>
      <c r="F706" t="s">
        <v>6232</v>
      </c>
      <c r="G706" t="s">
        <v>3309</v>
      </c>
      <c r="H706" t="s">
        <v>6232</v>
      </c>
    </row>
    <row r="707" spans="1:8" ht="18.399999999999999" hidden="1" customHeight="1">
      <c r="A707" s="11" t="s">
        <v>3193</v>
      </c>
      <c r="B707" s="2" t="s">
        <v>2695</v>
      </c>
      <c r="C707" s="2" t="s">
        <v>6141</v>
      </c>
      <c r="D707" s="29">
        <f>자재조서!E708</f>
        <v>264000</v>
      </c>
      <c r="E707" s="20" t="s">
        <v>2554</v>
      </c>
      <c r="F707" t="s">
        <v>6232</v>
      </c>
      <c r="G707" t="s">
        <v>1759</v>
      </c>
      <c r="H707" t="s">
        <v>6232</v>
      </c>
    </row>
    <row r="708" spans="1:8" ht="18.399999999999999" hidden="1" customHeight="1">
      <c r="A708" s="11" t="s">
        <v>3193</v>
      </c>
      <c r="B708" s="2" t="s">
        <v>3762</v>
      </c>
      <c r="C708" s="2" t="s">
        <v>6141</v>
      </c>
      <c r="D708" s="29">
        <f>자재조서!E709</f>
        <v>286000</v>
      </c>
      <c r="E708" s="20" t="s">
        <v>2554</v>
      </c>
      <c r="F708" t="s">
        <v>6232</v>
      </c>
      <c r="G708" t="s">
        <v>277</v>
      </c>
      <c r="H708" t="s">
        <v>6232</v>
      </c>
    </row>
    <row r="709" spans="1:8" ht="18.399999999999999" hidden="1" customHeight="1">
      <c r="A709" s="11" t="s">
        <v>3193</v>
      </c>
      <c r="B709" s="2" t="s">
        <v>512</v>
      </c>
      <c r="C709" s="2" t="s">
        <v>6141</v>
      </c>
      <c r="D709" s="29">
        <f>자재조서!E710</f>
        <v>330000</v>
      </c>
      <c r="E709" s="20" t="s">
        <v>2554</v>
      </c>
      <c r="F709" t="s">
        <v>6232</v>
      </c>
      <c r="G709" t="s">
        <v>3046</v>
      </c>
      <c r="H709" t="s">
        <v>6232</v>
      </c>
    </row>
    <row r="710" spans="1:8" ht="18.399999999999999" hidden="1" customHeight="1">
      <c r="A710" s="11" t="s">
        <v>3193</v>
      </c>
      <c r="B710" s="2" t="s">
        <v>6186</v>
      </c>
      <c r="C710" s="2" t="s">
        <v>6141</v>
      </c>
      <c r="D710" s="29">
        <f>자재조서!E711</f>
        <v>325000</v>
      </c>
      <c r="E710" s="20" t="s">
        <v>2554</v>
      </c>
      <c r="F710" t="s">
        <v>6232</v>
      </c>
      <c r="G710" t="s">
        <v>1437</v>
      </c>
      <c r="H710" t="s">
        <v>6232</v>
      </c>
    </row>
    <row r="711" spans="1:8" ht="18.399999999999999" hidden="1" customHeight="1">
      <c r="A711" s="11" t="s">
        <v>3193</v>
      </c>
      <c r="B711" s="2" t="s">
        <v>6105</v>
      </c>
      <c r="C711" s="2" t="s">
        <v>6141</v>
      </c>
      <c r="D711" s="29">
        <f>자재조서!E712</f>
        <v>369000</v>
      </c>
      <c r="E711" s="20" t="s">
        <v>2554</v>
      </c>
      <c r="F711" t="s">
        <v>6232</v>
      </c>
      <c r="G711" t="s">
        <v>966</v>
      </c>
      <c r="H711" t="s">
        <v>6232</v>
      </c>
    </row>
    <row r="712" spans="1:8" ht="18.399999999999999" hidden="1" customHeight="1">
      <c r="A712" s="11" t="s">
        <v>3193</v>
      </c>
      <c r="B712" s="2" t="s">
        <v>397</v>
      </c>
      <c r="C712" s="2" t="s">
        <v>6141</v>
      </c>
      <c r="D712" s="29">
        <f>자재조서!E713</f>
        <v>379000</v>
      </c>
      <c r="E712" s="20" t="s">
        <v>2554</v>
      </c>
      <c r="F712" t="s">
        <v>6232</v>
      </c>
      <c r="G712" t="s">
        <v>2384</v>
      </c>
      <c r="H712" t="s">
        <v>6232</v>
      </c>
    </row>
    <row r="713" spans="1:8" ht="18.399999999999999" hidden="1" customHeight="1">
      <c r="A713" s="11" t="s">
        <v>3193</v>
      </c>
      <c r="B713" s="2" t="s">
        <v>3821</v>
      </c>
      <c r="C713" s="2" t="s">
        <v>6141</v>
      </c>
      <c r="D713" s="29">
        <f>자재조서!E714</f>
        <v>426000</v>
      </c>
      <c r="E713" s="20" t="s">
        <v>2554</v>
      </c>
      <c r="F713" t="s">
        <v>6232</v>
      </c>
      <c r="G713" t="s">
        <v>383</v>
      </c>
      <c r="H713" t="s">
        <v>6232</v>
      </c>
    </row>
    <row r="714" spans="1:8" ht="18.399999999999999" hidden="1" customHeight="1">
      <c r="A714" s="11" t="s">
        <v>3193</v>
      </c>
      <c r="B714" s="2" t="s">
        <v>2812</v>
      </c>
      <c r="C714" s="2" t="s">
        <v>6141</v>
      </c>
      <c r="D714" s="29">
        <f>자재조서!E715</f>
        <v>452000</v>
      </c>
      <c r="E714" s="20" t="s">
        <v>2554</v>
      </c>
      <c r="F714" t="s">
        <v>6232</v>
      </c>
      <c r="G714" t="s">
        <v>2064</v>
      </c>
      <c r="H714" t="s">
        <v>6232</v>
      </c>
    </row>
    <row r="715" spans="1:8" ht="18.399999999999999" hidden="1" customHeight="1">
      <c r="A715" s="11" t="s">
        <v>5929</v>
      </c>
      <c r="B715" s="2" t="s">
        <v>4184</v>
      </c>
      <c r="C715" s="2" t="s">
        <v>6141</v>
      </c>
      <c r="D715" s="29">
        <f>자재조서!E716</f>
        <v>883000</v>
      </c>
      <c r="E715" s="20" t="s">
        <v>2554</v>
      </c>
      <c r="F715" t="s">
        <v>6232</v>
      </c>
      <c r="G715" t="s">
        <v>1909</v>
      </c>
      <c r="H715" t="s">
        <v>6232</v>
      </c>
    </row>
    <row r="716" spans="1:8" ht="18.399999999999999" hidden="1" customHeight="1">
      <c r="A716" s="11" t="s">
        <v>5929</v>
      </c>
      <c r="B716" s="2" t="s">
        <v>1695</v>
      </c>
      <c r="C716" s="2" t="s">
        <v>6141</v>
      </c>
      <c r="D716" s="29">
        <f>자재조서!E717</f>
        <v>920000</v>
      </c>
      <c r="E716" s="20" t="s">
        <v>2554</v>
      </c>
      <c r="F716" t="s">
        <v>6232</v>
      </c>
      <c r="G716" t="s">
        <v>242</v>
      </c>
      <c r="H716" t="s">
        <v>6232</v>
      </c>
    </row>
    <row r="717" spans="1:8" ht="18.399999999999999" hidden="1" customHeight="1">
      <c r="A717" s="11" t="s">
        <v>5929</v>
      </c>
      <c r="B717" s="2" t="s">
        <v>4869</v>
      </c>
      <c r="C717" s="2" t="s">
        <v>6141</v>
      </c>
      <c r="D717" s="29">
        <f>자재조서!E718</f>
        <v>1020000</v>
      </c>
      <c r="E717" s="20" t="s">
        <v>2554</v>
      </c>
      <c r="F717" t="s">
        <v>6232</v>
      </c>
      <c r="G717" t="s">
        <v>2912</v>
      </c>
      <c r="H717" t="s">
        <v>6232</v>
      </c>
    </row>
    <row r="718" spans="1:8" ht="18.399999999999999" hidden="1" customHeight="1">
      <c r="A718" s="11" t="s">
        <v>5929</v>
      </c>
      <c r="B718" s="2" t="s">
        <v>809</v>
      </c>
      <c r="C718" s="2" t="s">
        <v>6141</v>
      </c>
      <c r="D718" s="29">
        <f>자재조서!E719</f>
        <v>1098000</v>
      </c>
      <c r="E718" s="20" t="s">
        <v>2554</v>
      </c>
      <c r="F718" t="s">
        <v>6232</v>
      </c>
      <c r="G718" t="s">
        <v>1480</v>
      </c>
      <c r="H718" t="s">
        <v>6232</v>
      </c>
    </row>
    <row r="719" spans="1:8" ht="18.399999999999999" hidden="1" customHeight="1">
      <c r="A719" s="11" t="s">
        <v>5929</v>
      </c>
      <c r="B719" s="2" t="s">
        <v>2695</v>
      </c>
      <c r="C719" s="2" t="s">
        <v>6141</v>
      </c>
      <c r="D719" s="29">
        <f>자재조서!E720</f>
        <v>1252000</v>
      </c>
      <c r="E719" s="20" t="s">
        <v>2554</v>
      </c>
      <c r="F719" t="s">
        <v>6232</v>
      </c>
      <c r="G719" t="s">
        <v>6183</v>
      </c>
      <c r="H719" t="s">
        <v>6232</v>
      </c>
    </row>
    <row r="720" spans="1:8" ht="18.399999999999999" hidden="1" customHeight="1">
      <c r="A720" s="11" t="s">
        <v>5929</v>
      </c>
      <c r="B720" s="2" t="s">
        <v>3762</v>
      </c>
      <c r="C720" s="2" t="s">
        <v>6141</v>
      </c>
      <c r="D720" s="29">
        <f>자재조서!E721</f>
        <v>1345000</v>
      </c>
      <c r="E720" s="20" t="s">
        <v>2554</v>
      </c>
      <c r="F720" t="s">
        <v>6232</v>
      </c>
      <c r="G720" t="s">
        <v>4470</v>
      </c>
      <c r="H720" t="s">
        <v>6232</v>
      </c>
    </row>
    <row r="721" spans="1:8" ht="18.399999999999999" hidden="1" customHeight="1">
      <c r="A721" s="11" t="s">
        <v>5929</v>
      </c>
      <c r="B721" s="2" t="s">
        <v>512</v>
      </c>
      <c r="C721" s="2" t="s">
        <v>6141</v>
      </c>
      <c r="D721" s="29">
        <f>자재조서!E722</f>
        <v>1448000</v>
      </c>
      <c r="E721" s="20" t="s">
        <v>2554</v>
      </c>
      <c r="F721" t="s">
        <v>6232</v>
      </c>
      <c r="G721" t="s">
        <v>4921</v>
      </c>
      <c r="H721" t="s">
        <v>6232</v>
      </c>
    </row>
    <row r="722" spans="1:8" ht="18.399999999999999" hidden="1" customHeight="1">
      <c r="A722" s="11" t="s">
        <v>5929</v>
      </c>
      <c r="B722" s="2" t="s">
        <v>6186</v>
      </c>
      <c r="C722" s="2" t="s">
        <v>6141</v>
      </c>
      <c r="D722" s="29">
        <f>자재조서!E723</f>
        <v>1448000</v>
      </c>
      <c r="E722" s="20" t="s">
        <v>2554</v>
      </c>
      <c r="F722" t="s">
        <v>6232</v>
      </c>
      <c r="G722" t="s">
        <v>3459</v>
      </c>
      <c r="H722" t="s">
        <v>6232</v>
      </c>
    </row>
    <row r="723" spans="1:8" ht="18.399999999999999" hidden="1" customHeight="1">
      <c r="A723" s="11" t="s">
        <v>5929</v>
      </c>
      <c r="B723" s="2" t="s">
        <v>6105</v>
      </c>
      <c r="C723" s="2" t="s">
        <v>6141</v>
      </c>
      <c r="D723" s="29">
        <f>자재조서!E724</f>
        <v>1562000</v>
      </c>
      <c r="E723" s="20" t="s">
        <v>2554</v>
      </c>
      <c r="F723" t="s">
        <v>6232</v>
      </c>
      <c r="G723" t="s">
        <v>3555</v>
      </c>
      <c r="H723" t="s">
        <v>6232</v>
      </c>
    </row>
    <row r="724" spans="1:8" ht="18.399999999999999" hidden="1" customHeight="1">
      <c r="A724" s="11" t="s">
        <v>5929</v>
      </c>
      <c r="B724" s="2" t="s">
        <v>397</v>
      </c>
      <c r="C724" s="2" t="s">
        <v>6141</v>
      </c>
      <c r="D724" s="29">
        <f>자재조서!E725</f>
        <v>1744000</v>
      </c>
      <c r="E724" s="20" t="s">
        <v>2554</v>
      </c>
      <c r="F724" t="s">
        <v>6232</v>
      </c>
      <c r="G724" t="s">
        <v>5214</v>
      </c>
      <c r="H724" t="s">
        <v>6232</v>
      </c>
    </row>
    <row r="725" spans="1:8" ht="18.399999999999999" hidden="1" customHeight="1">
      <c r="A725" s="11" t="s">
        <v>5929</v>
      </c>
      <c r="B725" s="2" t="s">
        <v>3821</v>
      </c>
      <c r="C725" s="2" t="s">
        <v>6141</v>
      </c>
      <c r="D725" s="29">
        <f>자재조서!E726</f>
        <v>1843000</v>
      </c>
      <c r="E725" s="20" t="s">
        <v>2554</v>
      </c>
      <c r="F725" t="s">
        <v>6232</v>
      </c>
      <c r="G725" t="s">
        <v>4017</v>
      </c>
      <c r="H725" t="s">
        <v>6232</v>
      </c>
    </row>
    <row r="726" spans="1:8" ht="18.399999999999999" hidden="1" customHeight="1">
      <c r="A726" s="11" t="s">
        <v>5929</v>
      </c>
      <c r="B726" s="2" t="s">
        <v>2812</v>
      </c>
      <c r="C726" s="2" t="s">
        <v>6141</v>
      </c>
      <c r="D726" s="29">
        <f>자재조서!E727</f>
        <v>1955000</v>
      </c>
      <c r="E726" s="20" t="s">
        <v>2554</v>
      </c>
      <c r="F726" t="s">
        <v>6232</v>
      </c>
      <c r="G726" t="s">
        <v>5471</v>
      </c>
      <c r="H726" t="s">
        <v>6232</v>
      </c>
    </row>
    <row r="727" spans="1:8" ht="18.399999999999999" hidden="1" customHeight="1">
      <c r="A727" s="11" t="s">
        <v>3675</v>
      </c>
      <c r="B727" s="2" t="s">
        <v>2832</v>
      </c>
      <c r="C727" s="2" t="s">
        <v>6141</v>
      </c>
      <c r="D727" s="29">
        <f>자재조서!E728</f>
        <v>1000</v>
      </c>
      <c r="E727" s="20" t="s">
        <v>2554</v>
      </c>
      <c r="F727" t="s">
        <v>6232</v>
      </c>
      <c r="G727" t="s">
        <v>2284</v>
      </c>
      <c r="H727" t="s">
        <v>6232</v>
      </c>
    </row>
    <row r="728" spans="1:8" ht="18.399999999999999" hidden="1" customHeight="1">
      <c r="A728" s="11" t="s">
        <v>2355</v>
      </c>
      <c r="B728" s="2" t="s">
        <v>1842</v>
      </c>
      <c r="C728" s="2" t="s">
        <v>6141</v>
      </c>
      <c r="D728" s="29">
        <f>자재조서!E729</f>
        <v>3000</v>
      </c>
      <c r="E728" s="20" t="s">
        <v>2554</v>
      </c>
      <c r="F728" t="s">
        <v>6232</v>
      </c>
      <c r="G728" t="s">
        <v>5561</v>
      </c>
      <c r="H728" t="s">
        <v>6232</v>
      </c>
    </row>
    <row r="729" spans="1:8" ht="18.399999999999999" hidden="1" customHeight="1">
      <c r="A729" s="11" t="s">
        <v>1522</v>
      </c>
      <c r="B729" s="2" t="s">
        <v>453</v>
      </c>
      <c r="C729" s="2" t="s">
        <v>6141</v>
      </c>
      <c r="D729" s="29">
        <f>자재조서!E730</f>
        <v>16000</v>
      </c>
      <c r="E729" s="20" t="s">
        <v>2554</v>
      </c>
      <c r="F729" t="s">
        <v>6232</v>
      </c>
      <c r="G729" t="s">
        <v>2757</v>
      </c>
      <c r="H729" t="s">
        <v>6232</v>
      </c>
    </row>
    <row r="730" spans="1:8" ht="18.399999999999999" hidden="1" customHeight="1">
      <c r="A730" s="11" t="s">
        <v>6045</v>
      </c>
      <c r="B730" s="2" t="s">
        <v>6232</v>
      </c>
      <c r="C730" s="2" t="s">
        <v>1054</v>
      </c>
      <c r="D730" s="29">
        <f>자재조서!E731</f>
        <v>7500</v>
      </c>
      <c r="E730" s="20" t="s">
        <v>2554</v>
      </c>
      <c r="F730" t="s">
        <v>6232</v>
      </c>
      <c r="G730" t="s">
        <v>159</v>
      </c>
      <c r="H730" t="s">
        <v>6232</v>
      </c>
    </row>
    <row r="731" spans="1:8" ht="18.399999999999999" hidden="1" customHeight="1">
      <c r="A731" s="11" t="s">
        <v>1807</v>
      </c>
      <c r="B731" s="2" t="s">
        <v>5114</v>
      </c>
      <c r="C731" s="2" t="s">
        <v>1054</v>
      </c>
      <c r="D731" s="29">
        <f>자재조서!E732</f>
        <v>7500</v>
      </c>
      <c r="E731" s="20" t="s">
        <v>2554</v>
      </c>
      <c r="F731" t="s">
        <v>6232</v>
      </c>
      <c r="G731" t="s">
        <v>2309</v>
      </c>
      <c r="H731" t="s">
        <v>6232</v>
      </c>
    </row>
    <row r="732" spans="1:8" ht="18.399999999999999" hidden="1" customHeight="1">
      <c r="A732" s="11" t="s">
        <v>3680</v>
      </c>
      <c r="B732" s="2" t="s">
        <v>6232</v>
      </c>
      <c r="C732" s="2" t="s">
        <v>6141</v>
      </c>
      <c r="D732" s="29">
        <f>자재조서!E733</f>
        <v>600</v>
      </c>
      <c r="E732" s="20" t="s">
        <v>2554</v>
      </c>
      <c r="F732" t="s">
        <v>6232</v>
      </c>
      <c r="G732" t="s">
        <v>2525</v>
      </c>
      <c r="H732" t="s">
        <v>6232</v>
      </c>
    </row>
    <row r="733" spans="1:8" ht="18.399999999999999" hidden="1" customHeight="1">
      <c r="A733" s="11" t="s">
        <v>5342</v>
      </c>
      <c r="B733" s="2" t="s">
        <v>5866</v>
      </c>
      <c r="C733" s="2" t="s">
        <v>3385</v>
      </c>
      <c r="D733" s="29">
        <f>자재조서!E734</f>
        <v>24000</v>
      </c>
      <c r="E733" s="20" t="s">
        <v>56</v>
      </c>
      <c r="F733" t="s">
        <v>6232</v>
      </c>
      <c r="G733" t="s">
        <v>475</v>
      </c>
      <c r="H733" t="s">
        <v>6232</v>
      </c>
    </row>
    <row r="734" spans="1:8" ht="18.399999999999999" hidden="1" customHeight="1">
      <c r="A734" s="11" t="s">
        <v>3985</v>
      </c>
      <c r="B734" s="2" t="s">
        <v>5866</v>
      </c>
      <c r="C734" s="2" t="s">
        <v>3385</v>
      </c>
      <c r="D734" s="29">
        <f>자재조서!E735</f>
        <v>18200</v>
      </c>
      <c r="E734" s="20" t="s">
        <v>2060</v>
      </c>
      <c r="F734" t="s">
        <v>6232</v>
      </c>
      <c r="G734" t="s">
        <v>4104</v>
      </c>
      <c r="H734" t="s">
        <v>6232</v>
      </c>
    </row>
    <row r="735" spans="1:8" ht="18.399999999999999" hidden="1" customHeight="1">
      <c r="A735" s="11" t="s">
        <v>971</v>
      </c>
      <c r="B735" s="2" t="s">
        <v>3849</v>
      </c>
      <c r="C735" s="2" t="s">
        <v>6141</v>
      </c>
      <c r="D735" s="29">
        <f>자재조서!E736</f>
        <v>7300000</v>
      </c>
      <c r="E735" s="20" t="s">
        <v>441</v>
      </c>
      <c r="F735" t="s">
        <v>6232</v>
      </c>
      <c r="G735" t="s">
        <v>5589</v>
      </c>
      <c r="H735" t="s">
        <v>6232</v>
      </c>
    </row>
    <row r="736" spans="1:8" ht="18.399999999999999" hidden="1" customHeight="1">
      <c r="A736" s="11" t="s">
        <v>3587</v>
      </c>
      <c r="B736" s="2" t="s">
        <v>3194</v>
      </c>
      <c r="C736" s="2" t="s">
        <v>5476</v>
      </c>
      <c r="D736" s="29">
        <f>자재조서!E737</f>
        <v>15000</v>
      </c>
      <c r="E736" s="20" t="s">
        <v>2745</v>
      </c>
      <c r="F736" t="s">
        <v>6232</v>
      </c>
      <c r="G736" t="s">
        <v>5061</v>
      </c>
      <c r="H736" t="s">
        <v>6232</v>
      </c>
    </row>
    <row r="737" spans="1:8" ht="18.399999999999999" hidden="1" customHeight="1">
      <c r="A737" s="11" t="s">
        <v>2696</v>
      </c>
      <c r="B737" s="2" t="s">
        <v>4430</v>
      </c>
      <c r="C737" s="2" t="s">
        <v>1070</v>
      </c>
      <c r="D737" s="29">
        <f>자재조서!E738</f>
        <v>19930000</v>
      </c>
      <c r="E737" s="20" t="s">
        <v>1046</v>
      </c>
      <c r="F737" t="s">
        <v>6232</v>
      </c>
      <c r="G737" t="s">
        <v>3276</v>
      </c>
      <c r="H737" t="s">
        <v>6232</v>
      </c>
    </row>
    <row r="738" spans="1:8" ht="18.399999999999999" customHeight="1">
      <c r="A738" s="11" t="s">
        <v>2216</v>
      </c>
      <c r="B738" s="2" t="s">
        <v>1572</v>
      </c>
      <c r="C738" s="2" t="s">
        <v>6141</v>
      </c>
      <c r="D738" s="29">
        <f>자재조서!E739</f>
        <v>2102000</v>
      </c>
      <c r="E738" s="20" t="s">
        <v>6545</v>
      </c>
      <c r="F738" t="s">
        <v>6232</v>
      </c>
      <c r="G738" t="s">
        <v>1459</v>
      </c>
      <c r="H738" t="s">
        <v>6232</v>
      </c>
    </row>
    <row r="739" spans="1:8" ht="18.399999999999999" customHeight="1">
      <c r="A739" s="11" t="s">
        <v>2216</v>
      </c>
      <c r="B739" s="2" t="s">
        <v>2531</v>
      </c>
      <c r="C739" s="2" t="s">
        <v>6141</v>
      </c>
      <c r="D739" s="29">
        <f>자재조서!E740</f>
        <v>2556000</v>
      </c>
      <c r="E739" s="20" t="s">
        <v>6545</v>
      </c>
      <c r="F739" t="s">
        <v>6232</v>
      </c>
      <c r="G739" t="s">
        <v>1149</v>
      </c>
      <c r="H739" t="s">
        <v>6232</v>
      </c>
    </row>
    <row r="740" spans="1:8" ht="18.399999999999999" customHeight="1">
      <c r="A740" s="11" t="s">
        <v>2216</v>
      </c>
      <c r="B740" s="2" t="s">
        <v>4124</v>
      </c>
      <c r="C740" s="2" t="s">
        <v>6141</v>
      </c>
      <c r="D740" s="29">
        <f>자재조서!E741</f>
        <v>3360000</v>
      </c>
      <c r="E740" s="20" t="s">
        <v>6545</v>
      </c>
      <c r="F740" t="s">
        <v>6232</v>
      </c>
      <c r="G740" t="s">
        <v>2890</v>
      </c>
      <c r="H740" t="s">
        <v>6232</v>
      </c>
    </row>
    <row r="741" spans="1:8" ht="18.399999999999999" customHeight="1">
      <c r="A741" s="11" t="s">
        <v>2216</v>
      </c>
      <c r="B741" s="2" t="s">
        <v>4184</v>
      </c>
      <c r="C741" s="2" t="s">
        <v>6141</v>
      </c>
      <c r="D741" s="29">
        <f>자재조서!E742</f>
        <v>5748000</v>
      </c>
      <c r="E741" s="20" t="s">
        <v>6545</v>
      </c>
      <c r="F741" t="s">
        <v>6232</v>
      </c>
      <c r="G741" t="s">
        <v>2417</v>
      </c>
      <c r="H741" t="s">
        <v>6232</v>
      </c>
    </row>
    <row r="742" spans="1:8" ht="18.399999999999999" customHeight="1">
      <c r="A742" s="11" t="s">
        <v>2216</v>
      </c>
      <c r="B742" s="2" t="s">
        <v>1695</v>
      </c>
      <c r="C742" s="2" t="s">
        <v>6141</v>
      </c>
      <c r="D742" s="29">
        <f>자재조서!E743</f>
        <v>7974000</v>
      </c>
      <c r="E742" s="20" t="s">
        <v>6545</v>
      </c>
      <c r="F742" t="s">
        <v>6232</v>
      </c>
      <c r="G742" t="s">
        <v>782</v>
      </c>
      <c r="H742" t="s">
        <v>6232</v>
      </c>
    </row>
    <row r="743" spans="1:8" ht="18.399999999999999" customHeight="1">
      <c r="A743" s="11" t="s">
        <v>2216</v>
      </c>
      <c r="B743" s="2" t="s">
        <v>4869</v>
      </c>
      <c r="C743" s="2" t="s">
        <v>6141</v>
      </c>
      <c r="D743" s="29">
        <f>자재조서!E744</f>
        <v>10275000</v>
      </c>
      <c r="E743" s="20" t="s">
        <v>6545</v>
      </c>
      <c r="F743" t="s">
        <v>6232</v>
      </c>
      <c r="G743" t="s">
        <v>1997</v>
      </c>
      <c r="H743" t="s">
        <v>6232</v>
      </c>
    </row>
    <row r="744" spans="1:8" ht="18.399999999999999" customHeight="1">
      <c r="A744" s="11" t="s">
        <v>2216</v>
      </c>
      <c r="B744" s="2" t="s">
        <v>809</v>
      </c>
      <c r="C744" s="2" t="s">
        <v>6141</v>
      </c>
      <c r="D744" s="29">
        <f>자재조서!E745</f>
        <v>16785000</v>
      </c>
      <c r="E744" s="20" t="s">
        <v>6545</v>
      </c>
      <c r="F744" t="s">
        <v>6232</v>
      </c>
      <c r="G744" t="s">
        <v>547</v>
      </c>
      <c r="H744" t="s">
        <v>6232</v>
      </c>
    </row>
    <row r="745" spans="1:8" ht="18.399999999999999" customHeight="1">
      <c r="A745" s="11" t="s">
        <v>2216</v>
      </c>
      <c r="B745" s="2" t="s">
        <v>2695</v>
      </c>
      <c r="C745" s="2" t="s">
        <v>6141</v>
      </c>
      <c r="D745" s="29">
        <f>자재조서!E746</f>
        <v>17211000</v>
      </c>
      <c r="E745" s="20" t="s">
        <v>6545</v>
      </c>
      <c r="F745" t="s">
        <v>6232</v>
      </c>
      <c r="G745" t="s">
        <v>5189</v>
      </c>
      <c r="H745" t="s">
        <v>6232</v>
      </c>
    </row>
    <row r="746" spans="1:8" ht="18.399999999999999" customHeight="1">
      <c r="A746" s="11" t="s">
        <v>2216</v>
      </c>
      <c r="B746" s="2" t="s">
        <v>3762</v>
      </c>
      <c r="C746" s="2" t="s">
        <v>6141</v>
      </c>
      <c r="D746" s="29">
        <f>자재조서!E747</f>
        <v>20780000</v>
      </c>
      <c r="E746" s="20" t="s">
        <v>6545</v>
      </c>
      <c r="F746" t="s">
        <v>6232</v>
      </c>
      <c r="G746" t="s">
        <v>3571</v>
      </c>
      <c r="H746" t="s">
        <v>6232</v>
      </c>
    </row>
    <row r="747" spans="1:8" ht="18.399999999999999" customHeight="1">
      <c r="A747" s="11" t="s">
        <v>2216</v>
      </c>
      <c r="B747" s="2" t="s">
        <v>512</v>
      </c>
      <c r="C747" s="2" t="s">
        <v>6141</v>
      </c>
      <c r="D747" s="29">
        <f>자재조서!E748</f>
        <v>23352000</v>
      </c>
      <c r="E747" s="20" t="s">
        <v>6545</v>
      </c>
      <c r="F747" t="s">
        <v>6232</v>
      </c>
      <c r="G747" t="s">
        <v>5455</v>
      </c>
      <c r="H747" t="s">
        <v>6232</v>
      </c>
    </row>
    <row r="748" spans="1:8" ht="18.399999999999999" customHeight="1">
      <c r="A748" s="11" t="s">
        <v>2216</v>
      </c>
      <c r="B748" s="2" t="s">
        <v>6186</v>
      </c>
      <c r="C748" s="2" t="s">
        <v>6141</v>
      </c>
      <c r="D748" s="29">
        <f>자재조서!E749</f>
        <v>24670000</v>
      </c>
      <c r="E748" s="20" t="s">
        <v>6545</v>
      </c>
      <c r="F748" t="s">
        <v>6232</v>
      </c>
      <c r="G748" t="s">
        <v>3989</v>
      </c>
      <c r="H748" t="s">
        <v>6232</v>
      </c>
    </row>
    <row r="749" spans="1:8" ht="18.399999999999999" customHeight="1">
      <c r="A749" s="11" t="s">
        <v>2216</v>
      </c>
      <c r="B749" s="2" t="s">
        <v>6105</v>
      </c>
      <c r="C749" s="2" t="s">
        <v>6141</v>
      </c>
      <c r="D749" s="29">
        <f>자재조서!E750</f>
        <v>31331000</v>
      </c>
      <c r="E749" s="20" t="s">
        <v>6545</v>
      </c>
      <c r="F749" t="s">
        <v>6232</v>
      </c>
      <c r="G749" t="s">
        <v>4454</v>
      </c>
      <c r="H749" t="s">
        <v>6232</v>
      </c>
    </row>
    <row r="750" spans="1:8" ht="18.399999999999999" customHeight="1">
      <c r="A750" s="11" t="s">
        <v>2216</v>
      </c>
      <c r="B750" s="2" t="s">
        <v>397</v>
      </c>
      <c r="C750" s="2" t="s">
        <v>6141</v>
      </c>
      <c r="D750" s="29">
        <f>자재조서!E751</f>
        <v>33632000</v>
      </c>
      <c r="E750" s="20" t="s">
        <v>6545</v>
      </c>
      <c r="F750" t="s">
        <v>6232</v>
      </c>
      <c r="G750" t="s">
        <v>6160</v>
      </c>
      <c r="H750" t="s">
        <v>6232</v>
      </c>
    </row>
    <row r="751" spans="1:8" ht="18.399999999999999" customHeight="1">
      <c r="A751" s="11" t="s">
        <v>2216</v>
      </c>
      <c r="B751" s="2" t="s">
        <v>3821</v>
      </c>
      <c r="C751" s="2" t="s">
        <v>6141</v>
      </c>
      <c r="D751" s="29">
        <f>자재조서!E752</f>
        <v>37556000</v>
      </c>
      <c r="E751" s="20" t="s">
        <v>6545</v>
      </c>
      <c r="F751" t="s">
        <v>6232</v>
      </c>
      <c r="G751" t="s">
        <v>3470</v>
      </c>
      <c r="H751" t="s">
        <v>6232</v>
      </c>
    </row>
    <row r="752" spans="1:8" ht="18.399999999999999" customHeight="1">
      <c r="A752" s="11" t="s">
        <v>2216</v>
      </c>
      <c r="B752" s="2" t="s">
        <v>2812</v>
      </c>
      <c r="C752" s="2" t="s">
        <v>6141</v>
      </c>
      <c r="D752" s="29">
        <f>자재조서!E753</f>
        <v>42887000</v>
      </c>
      <c r="E752" s="20" t="s">
        <v>6545</v>
      </c>
      <c r="F752" t="s">
        <v>6232</v>
      </c>
      <c r="G752" t="s">
        <v>4905</v>
      </c>
      <c r="H752" t="s">
        <v>6232</v>
      </c>
    </row>
    <row r="753" spans="1:8" ht="18.399999999999999" customHeight="1">
      <c r="A753" s="11" t="s">
        <v>2103</v>
      </c>
      <c r="B753" s="2" t="s">
        <v>1572</v>
      </c>
      <c r="C753" s="2" t="s">
        <v>6141</v>
      </c>
      <c r="D753" s="29">
        <f>자재조서!E754</f>
        <v>1432000</v>
      </c>
      <c r="E753" s="20" t="s">
        <v>6545</v>
      </c>
      <c r="F753" t="s">
        <v>6232</v>
      </c>
      <c r="G753" t="s">
        <v>1836</v>
      </c>
      <c r="H753" t="s">
        <v>6232</v>
      </c>
    </row>
    <row r="754" spans="1:8" ht="18.399999999999999" customHeight="1">
      <c r="A754" s="11" t="s">
        <v>2103</v>
      </c>
      <c r="B754" s="2" t="s">
        <v>2531</v>
      </c>
      <c r="C754" s="2" t="s">
        <v>6141</v>
      </c>
      <c r="D754" s="29">
        <f>자재조서!E755</f>
        <v>1656000</v>
      </c>
      <c r="E754" s="20" t="s">
        <v>6545</v>
      </c>
      <c r="F754" t="s">
        <v>6232</v>
      </c>
      <c r="G754" t="s">
        <v>1524</v>
      </c>
      <c r="H754" t="s">
        <v>6232</v>
      </c>
    </row>
    <row r="755" spans="1:8" ht="18.399999999999999" customHeight="1">
      <c r="A755" s="11" t="s">
        <v>2103</v>
      </c>
      <c r="B755" s="2" t="s">
        <v>4124</v>
      </c>
      <c r="C755" s="2" t="s">
        <v>6141</v>
      </c>
      <c r="D755" s="29">
        <f>자재조서!E756</f>
        <v>1953000</v>
      </c>
      <c r="E755" s="20" t="s">
        <v>6545</v>
      </c>
      <c r="F755" t="s">
        <v>6232</v>
      </c>
      <c r="G755" t="s">
        <v>183</v>
      </c>
      <c r="H755" t="s">
        <v>6232</v>
      </c>
    </row>
    <row r="756" spans="1:8" ht="18.399999999999999" customHeight="1">
      <c r="A756" s="11" t="s">
        <v>2103</v>
      </c>
      <c r="B756" s="2" t="s">
        <v>4184</v>
      </c>
      <c r="C756" s="2" t="s">
        <v>6141</v>
      </c>
      <c r="D756" s="29">
        <f>자재조서!E757</f>
        <v>3365000</v>
      </c>
      <c r="E756" s="20" t="s">
        <v>6545</v>
      </c>
      <c r="F756" t="s">
        <v>6232</v>
      </c>
      <c r="G756" t="s">
        <v>496</v>
      </c>
      <c r="H756" t="s">
        <v>6232</v>
      </c>
    </row>
    <row r="757" spans="1:8" ht="18.399999999999999" customHeight="1">
      <c r="A757" s="11" t="s">
        <v>2103</v>
      </c>
      <c r="B757" s="2" t="s">
        <v>1695</v>
      </c>
      <c r="C757" s="2" t="s">
        <v>6141</v>
      </c>
      <c r="D757" s="29">
        <f>자재조서!E758</f>
        <v>5214000</v>
      </c>
      <c r="E757" s="20" t="s">
        <v>6545</v>
      </c>
      <c r="F757" t="s">
        <v>6232</v>
      </c>
      <c r="G757" t="s">
        <v>1932</v>
      </c>
      <c r="H757" t="s">
        <v>6232</v>
      </c>
    </row>
    <row r="758" spans="1:8" ht="18.399999999999999" customHeight="1">
      <c r="A758" s="11" t="s">
        <v>2103</v>
      </c>
      <c r="B758" s="2" t="s">
        <v>4869</v>
      </c>
      <c r="C758" s="2" t="s">
        <v>6141</v>
      </c>
      <c r="D758" s="29">
        <f>자재조서!E759</f>
        <v>7069000</v>
      </c>
      <c r="E758" s="20" t="s">
        <v>6545</v>
      </c>
      <c r="F758" t="s">
        <v>6232</v>
      </c>
      <c r="G758" t="s">
        <v>866</v>
      </c>
      <c r="H758" t="s">
        <v>6232</v>
      </c>
    </row>
    <row r="759" spans="1:8" ht="18.399999999999999" customHeight="1">
      <c r="A759" s="11" t="s">
        <v>2103</v>
      </c>
      <c r="B759" s="2" t="s">
        <v>809</v>
      </c>
      <c r="C759" s="2" t="s">
        <v>6141</v>
      </c>
      <c r="D759" s="29">
        <f>자재조서!E760</f>
        <v>7094000</v>
      </c>
      <c r="E759" s="20" t="s">
        <v>6545</v>
      </c>
      <c r="F759" t="s">
        <v>6232</v>
      </c>
      <c r="G759" t="s">
        <v>2473</v>
      </c>
      <c r="H759" t="s">
        <v>6232</v>
      </c>
    </row>
    <row r="760" spans="1:8" ht="18.399999999999999" customHeight="1">
      <c r="A760" s="11" t="s">
        <v>2103</v>
      </c>
      <c r="B760" s="2" t="s">
        <v>2695</v>
      </c>
      <c r="C760" s="2" t="s">
        <v>6141</v>
      </c>
      <c r="D760" s="29">
        <f>자재조서!E761</f>
        <v>7309000</v>
      </c>
      <c r="E760" s="20" t="s">
        <v>6545</v>
      </c>
      <c r="F760" t="s">
        <v>6232</v>
      </c>
      <c r="G760" t="s">
        <v>4048</v>
      </c>
      <c r="H760" t="s">
        <v>6232</v>
      </c>
    </row>
    <row r="761" spans="1:8" ht="18.399999999999999" customHeight="1">
      <c r="A761" s="11" t="s">
        <v>2103</v>
      </c>
      <c r="B761" s="2" t="s">
        <v>3762</v>
      </c>
      <c r="C761" s="2" t="s">
        <v>6141</v>
      </c>
      <c r="D761" s="29">
        <f>자재조서!E762</f>
        <v>7776000</v>
      </c>
      <c r="E761" s="20" t="s">
        <v>6545</v>
      </c>
      <c r="F761" t="s">
        <v>6232</v>
      </c>
      <c r="G761" t="s">
        <v>5510</v>
      </c>
      <c r="H761" t="s">
        <v>6232</v>
      </c>
    </row>
    <row r="762" spans="1:8" ht="18.399999999999999" customHeight="1">
      <c r="A762" s="11" t="s">
        <v>2103</v>
      </c>
      <c r="B762" s="2" t="s">
        <v>512</v>
      </c>
      <c r="C762" s="2" t="s">
        <v>6141</v>
      </c>
      <c r="D762" s="29">
        <f>자재조서!E763</f>
        <v>8170000</v>
      </c>
      <c r="E762" s="20" t="s">
        <v>6545</v>
      </c>
      <c r="F762" t="s">
        <v>6232</v>
      </c>
      <c r="G762" t="s">
        <v>3495</v>
      </c>
      <c r="H762" t="s">
        <v>6232</v>
      </c>
    </row>
    <row r="763" spans="1:8" ht="18.399999999999999" customHeight="1">
      <c r="A763" s="11" t="s">
        <v>2103</v>
      </c>
      <c r="B763" s="2" t="s">
        <v>6186</v>
      </c>
      <c r="C763" s="2" t="s">
        <v>6141</v>
      </c>
      <c r="D763" s="29">
        <f>자재조서!E764</f>
        <v>8250000</v>
      </c>
      <c r="E763" s="20" t="s">
        <v>6545</v>
      </c>
      <c r="F763" t="s">
        <v>6232</v>
      </c>
      <c r="G763" t="s">
        <v>5148</v>
      </c>
      <c r="H763" t="s">
        <v>6232</v>
      </c>
    </row>
    <row r="764" spans="1:8" ht="18.399999999999999" customHeight="1">
      <c r="A764" s="11" t="s">
        <v>2103</v>
      </c>
      <c r="B764" s="2" t="s">
        <v>6105</v>
      </c>
      <c r="C764" s="2" t="s">
        <v>6141</v>
      </c>
      <c r="D764" s="29">
        <f>자재조서!E765</f>
        <v>10638000</v>
      </c>
      <c r="E764" s="20" t="s">
        <v>6545</v>
      </c>
      <c r="F764" t="s">
        <v>6232</v>
      </c>
      <c r="G764" t="s">
        <v>4847</v>
      </c>
      <c r="H764" t="s">
        <v>6232</v>
      </c>
    </row>
    <row r="765" spans="1:8" ht="18.399999999999999" customHeight="1">
      <c r="A765" s="11" t="s">
        <v>2103</v>
      </c>
      <c r="B765" s="2" t="s">
        <v>397</v>
      </c>
      <c r="C765" s="2" t="s">
        <v>6141</v>
      </c>
      <c r="D765" s="29">
        <f>자재조서!E766</f>
        <v>10749000</v>
      </c>
      <c r="E765" s="20" t="s">
        <v>6545</v>
      </c>
      <c r="F765" t="s">
        <v>6232</v>
      </c>
      <c r="G765" t="s">
        <v>3407</v>
      </c>
      <c r="H765" t="s">
        <v>6232</v>
      </c>
    </row>
    <row r="766" spans="1:8" ht="18.399999999999999" customHeight="1">
      <c r="A766" s="11" t="s">
        <v>2103</v>
      </c>
      <c r="B766" s="2" t="s">
        <v>3821</v>
      </c>
      <c r="C766" s="2" t="s">
        <v>6141</v>
      </c>
      <c r="D766" s="29">
        <f>자재조서!E767</f>
        <v>11521000</v>
      </c>
      <c r="E766" s="20" t="s">
        <v>6545</v>
      </c>
      <c r="F766" t="s">
        <v>6232</v>
      </c>
      <c r="G766" t="s">
        <v>6211</v>
      </c>
      <c r="H766" t="s">
        <v>6232</v>
      </c>
    </row>
    <row r="767" spans="1:8" ht="18.399999999999999" customHeight="1">
      <c r="A767" s="11" t="s">
        <v>2103</v>
      </c>
      <c r="B767" s="2" t="s">
        <v>2812</v>
      </c>
      <c r="C767" s="2" t="s">
        <v>6141</v>
      </c>
      <c r="D767" s="29">
        <f>자재조서!E768</f>
        <v>13989000</v>
      </c>
      <c r="E767" s="20" t="s">
        <v>6545</v>
      </c>
      <c r="F767" t="s">
        <v>6232</v>
      </c>
      <c r="G767" t="s">
        <v>4501</v>
      </c>
      <c r="H767" t="s">
        <v>6232</v>
      </c>
    </row>
    <row r="768" spans="1:8" ht="18.399999999999999" customHeight="1">
      <c r="A768" s="11" t="s">
        <v>4645</v>
      </c>
      <c r="B768" s="2" t="s">
        <v>1572</v>
      </c>
      <c r="C768" s="2" t="s">
        <v>6141</v>
      </c>
      <c r="D768" s="29">
        <f>자재조서!E769</f>
        <v>281000</v>
      </c>
      <c r="E768" s="20" t="s">
        <v>6545</v>
      </c>
      <c r="F768" t="s">
        <v>6232</v>
      </c>
      <c r="G768" t="s">
        <v>3804</v>
      </c>
      <c r="H768" t="s">
        <v>6232</v>
      </c>
    </row>
    <row r="769" spans="1:8" ht="18.399999999999999" customHeight="1">
      <c r="A769" s="11" t="s">
        <v>4645</v>
      </c>
      <c r="B769" s="2" t="s">
        <v>2531</v>
      </c>
      <c r="C769" s="2" t="s">
        <v>6141</v>
      </c>
      <c r="D769" s="29">
        <f>자재조서!E770</f>
        <v>298000</v>
      </c>
      <c r="E769" s="20" t="s">
        <v>6545</v>
      </c>
      <c r="F769" t="s">
        <v>6232</v>
      </c>
      <c r="G769" t="s">
        <v>3480</v>
      </c>
      <c r="H769" t="s">
        <v>6232</v>
      </c>
    </row>
    <row r="770" spans="1:8" ht="18.399999999999999" customHeight="1">
      <c r="A770" s="11" t="s">
        <v>4645</v>
      </c>
      <c r="B770" s="2" t="s">
        <v>4124</v>
      </c>
      <c r="C770" s="2" t="s">
        <v>6141</v>
      </c>
      <c r="D770" s="29">
        <f>자재조서!E771</f>
        <v>310000</v>
      </c>
      <c r="E770" s="20" t="s">
        <v>6545</v>
      </c>
      <c r="F770" t="s">
        <v>6232</v>
      </c>
      <c r="G770" t="s">
        <v>5241</v>
      </c>
      <c r="H770" t="s">
        <v>6232</v>
      </c>
    </row>
    <row r="771" spans="1:8" ht="18.399999999999999" customHeight="1">
      <c r="A771" s="11" t="s">
        <v>4645</v>
      </c>
      <c r="B771" s="2" t="s">
        <v>4184</v>
      </c>
      <c r="C771" s="2" t="s">
        <v>6141</v>
      </c>
      <c r="D771" s="29">
        <f>자재조서!E772</f>
        <v>333000</v>
      </c>
      <c r="E771" s="20" t="s">
        <v>6545</v>
      </c>
      <c r="F771" t="s">
        <v>6232</v>
      </c>
      <c r="G771" t="s">
        <v>4752</v>
      </c>
      <c r="H771" t="s">
        <v>6232</v>
      </c>
    </row>
    <row r="772" spans="1:8" ht="18.399999999999999" customHeight="1">
      <c r="A772" s="11" t="s">
        <v>4645</v>
      </c>
      <c r="B772" s="2" t="s">
        <v>1695</v>
      </c>
      <c r="C772" s="2" t="s">
        <v>6141</v>
      </c>
      <c r="D772" s="29">
        <f>자재조서!E773</f>
        <v>337000</v>
      </c>
      <c r="E772" s="20" t="s">
        <v>6545</v>
      </c>
      <c r="F772" t="s">
        <v>6232</v>
      </c>
      <c r="G772" t="s">
        <v>3103</v>
      </c>
      <c r="H772" t="s">
        <v>6232</v>
      </c>
    </row>
    <row r="773" spans="1:8" ht="18.399999999999999" customHeight="1">
      <c r="A773" s="11" t="s">
        <v>4645</v>
      </c>
      <c r="B773" s="2" t="s">
        <v>4869</v>
      </c>
      <c r="C773" s="2" t="s">
        <v>6141</v>
      </c>
      <c r="D773" s="29">
        <f>자재조서!E774</f>
        <v>357000</v>
      </c>
      <c r="E773" s="20" t="s">
        <v>6545</v>
      </c>
      <c r="F773" t="s">
        <v>6232</v>
      </c>
      <c r="G773" t="s">
        <v>5914</v>
      </c>
      <c r="H773" t="s">
        <v>6232</v>
      </c>
    </row>
    <row r="774" spans="1:8" ht="18.399999999999999" customHeight="1">
      <c r="A774" s="11" t="s">
        <v>4645</v>
      </c>
      <c r="B774" s="2" t="s">
        <v>809</v>
      </c>
      <c r="C774" s="2" t="s">
        <v>6141</v>
      </c>
      <c r="D774" s="29">
        <f>자재조서!E775</f>
        <v>427000</v>
      </c>
      <c r="E774" s="20" t="s">
        <v>6545</v>
      </c>
      <c r="F774" t="s">
        <v>6232</v>
      </c>
      <c r="G774" t="s">
        <v>4405</v>
      </c>
      <c r="H774" t="s">
        <v>6232</v>
      </c>
    </row>
    <row r="775" spans="1:8" ht="18.399999999999999" customHeight="1">
      <c r="A775" s="11" t="s">
        <v>4645</v>
      </c>
      <c r="B775" s="2" t="s">
        <v>2695</v>
      </c>
      <c r="C775" s="2" t="s">
        <v>6141</v>
      </c>
      <c r="D775" s="29">
        <f>자재조서!E776</f>
        <v>456000</v>
      </c>
      <c r="E775" s="20" t="s">
        <v>6545</v>
      </c>
      <c r="F775" t="s">
        <v>6232</v>
      </c>
      <c r="G775" t="s">
        <v>2838</v>
      </c>
      <c r="H775" t="s">
        <v>6232</v>
      </c>
    </row>
    <row r="776" spans="1:8" ht="18.399999999999999" customHeight="1">
      <c r="A776" s="11" t="s">
        <v>4645</v>
      </c>
      <c r="B776" s="2" t="s">
        <v>3762</v>
      </c>
      <c r="C776" s="2" t="s">
        <v>6141</v>
      </c>
      <c r="D776" s="29">
        <f>자재조서!E777</f>
        <v>541000</v>
      </c>
      <c r="E776" s="20" t="s">
        <v>6545</v>
      </c>
      <c r="F776" t="s">
        <v>6232</v>
      </c>
      <c r="G776" t="s">
        <v>1241</v>
      </c>
      <c r="H776" t="s">
        <v>6232</v>
      </c>
    </row>
    <row r="777" spans="1:8" ht="18.399999999999999" customHeight="1">
      <c r="A777" s="11" t="s">
        <v>4645</v>
      </c>
      <c r="B777" s="2" t="s">
        <v>512</v>
      </c>
      <c r="C777" s="2" t="s">
        <v>6141</v>
      </c>
      <c r="D777" s="29">
        <f>자재조서!E778</f>
        <v>974000</v>
      </c>
      <c r="E777" s="20" t="s">
        <v>6545</v>
      </c>
      <c r="F777" t="s">
        <v>6232</v>
      </c>
      <c r="G777" t="s">
        <v>1546</v>
      </c>
      <c r="H777" t="s">
        <v>6232</v>
      </c>
    </row>
    <row r="778" spans="1:8" ht="18.399999999999999" customHeight="1">
      <c r="A778" s="11" t="s">
        <v>4645</v>
      </c>
      <c r="B778" s="2" t="s">
        <v>6186</v>
      </c>
      <c r="C778" s="2" t="s">
        <v>6141</v>
      </c>
      <c r="D778" s="29">
        <f>자재조서!E779</f>
        <v>1220000</v>
      </c>
      <c r="E778" s="20" t="s">
        <v>6545</v>
      </c>
      <c r="F778" t="s">
        <v>6232</v>
      </c>
      <c r="G778" t="s">
        <v>89</v>
      </c>
      <c r="H778" t="s">
        <v>6232</v>
      </c>
    </row>
    <row r="779" spans="1:8" ht="18.399999999999999" customHeight="1">
      <c r="A779" s="11" t="s">
        <v>4645</v>
      </c>
      <c r="B779" s="2" t="s">
        <v>6105</v>
      </c>
      <c r="C779" s="2" t="s">
        <v>6141</v>
      </c>
      <c r="D779" s="29">
        <f>자재조서!E780</f>
        <v>1826000</v>
      </c>
      <c r="E779" s="20" t="s">
        <v>6545</v>
      </c>
      <c r="F779" t="s">
        <v>6232</v>
      </c>
      <c r="G779" t="s">
        <v>595</v>
      </c>
      <c r="H779" t="s">
        <v>6232</v>
      </c>
    </row>
    <row r="780" spans="1:8" ht="18.399999999999999" customHeight="1">
      <c r="A780" s="11" t="s">
        <v>4645</v>
      </c>
      <c r="B780" s="2" t="s">
        <v>397</v>
      </c>
      <c r="C780" s="2" t="s">
        <v>6141</v>
      </c>
      <c r="D780" s="29">
        <f>자재조서!E781</f>
        <v>2289000</v>
      </c>
      <c r="E780" s="20" t="s">
        <v>6545</v>
      </c>
      <c r="F780" t="s">
        <v>6232</v>
      </c>
      <c r="G780" t="s">
        <v>2256</v>
      </c>
      <c r="H780" t="s">
        <v>6232</v>
      </c>
    </row>
    <row r="781" spans="1:8" ht="18.399999999999999" customHeight="1">
      <c r="A781" s="11" t="s">
        <v>4645</v>
      </c>
      <c r="B781" s="2" t="s">
        <v>3821</v>
      </c>
      <c r="C781" s="2" t="s">
        <v>6141</v>
      </c>
      <c r="D781" s="29">
        <f>자재조서!E782</f>
        <v>2604000</v>
      </c>
      <c r="E781" s="20" t="s">
        <v>6545</v>
      </c>
      <c r="F781" t="s">
        <v>6232</v>
      </c>
      <c r="G781" t="s">
        <v>1118</v>
      </c>
      <c r="H781" t="s">
        <v>6232</v>
      </c>
    </row>
    <row r="782" spans="1:8" ht="18.399999999999999" customHeight="1">
      <c r="A782" s="11" t="s">
        <v>4645</v>
      </c>
      <c r="B782" s="2" t="s">
        <v>2812</v>
      </c>
      <c r="C782" s="2" t="s">
        <v>6141</v>
      </c>
      <c r="D782" s="29">
        <f>자재조서!E783</f>
        <v>2792000</v>
      </c>
      <c r="E782" s="20" t="s">
        <v>6545</v>
      </c>
      <c r="F782" t="s">
        <v>6232</v>
      </c>
      <c r="G782" t="s">
        <v>2579</v>
      </c>
      <c r="H782" t="s">
        <v>6232</v>
      </c>
    </row>
    <row r="783" spans="1:8" ht="18.399999999999999" customHeight="1">
      <c r="A783" s="11" t="s">
        <v>1066</v>
      </c>
      <c r="B783" s="2" t="s">
        <v>1572</v>
      </c>
      <c r="C783" s="2" t="s">
        <v>6141</v>
      </c>
      <c r="D783" s="29">
        <f>자재조서!E784</f>
        <v>688000</v>
      </c>
      <c r="E783" s="20" t="s">
        <v>6545</v>
      </c>
      <c r="F783" t="s">
        <v>6232</v>
      </c>
      <c r="G783" t="s">
        <v>973</v>
      </c>
      <c r="H783" t="s">
        <v>6232</v>
      </c>
    </row>
    <row r="784" spans="1:8" ht="18.399999999999999" customHeight="1">
      <c r="A784" s="11" t="s">
        <v>1066</v>
      </c>
      <c r="B784" s="2" t="s">
        <v>2531</v>
      </c>
      <c r="C784" s="2" t="s">
        <v>6141</v>
      </c>
      <c r="D784" s="29">
        <f>자재조서!E785</f>
        <v>756000</v>
      </c>
      <c r="E784" s="20" t="s">
        <v>6545</v>
      </c>
      <c r="F784" t="s">
        <v>6232</v>
      </c>
      <c r="G784" t="s">
        <v>892</v>
      </c>
      <c r="H784" t="s">
        <v>6232</v>
      </c>
    </row>
    <row r="785" spans="1:8" ht="18.399999999999999" customHeight="1">
      <c r="A785" s="11" t="s">
        <v>1066</v>
      </c>
      <c r="B785" s="2" t="s">
        <v>4124</v>
      </c>
      <c r="C785" s="2" t="s">
        <v>6141</v>
      </c>
      <c r="D785" s="29">
        <f>자재조서!E786</f>
        <v>996000</v>
      </c>
      <c r="E785" s="20" t="s">
        <v>6545</v>
      </c>
      <c r="F785" t="s">
        <v>6232</v>
      </c>
      <c r="G785" t="s">
        <v>2637</v>
      </c>
      <c r="H785" t="s">
        <v>6232</v>
      </c>
    </row>
    <row r="786" spans="1:8" ht="18.399999999999999" customHeight="1">
      <c r="A786" s="11" t="s">
        <v>1066</v>
      </c>
      <c r="B786" s="2" t="s">
        <v>4184</v>
      </c>
      <c r="C786" s="2" t="s">
        <v>6141</v>
      </c>
      <c r="D786" s="29">
        <f>자재조서!E787</f>
        <v>1056000</v>
      </c>
      <c r="E786" s="20" t="s">
        <v>6545</v>
      </c>
      <c r="F786" t="s">
        <v>6232</v>
      </c>
      <c r="G786" t="s">
        <v>2721</v>
      </c>
      <c r="H786" t="s">
        <v>6232</v>
      </c>
    </row>
    <row r="787" spans="1:8" ht="18.399999999999999" customHeight="1">
      <c r="A787" s="11" t="s">
        <v>1066</v>
      </c>
      <c r="B787" s="2" t="s">
        <v>1695</v>
      </c>
      <c r="C787" s="2" t="s">
        <v>6141</v>
      </c>
      <c r="D787" s="29">
        <f>자재조서!E788</f>
        <v>1070000</v>
      </c>
      <c r="E787" s="20" t="s">
        <v>6545</v>
      </c>
      <c r="F787" t="s">
        <v>6232</v>
      </c>
      <c r="G787" t="s">
        <v>1253</v>
      </c>
      <c r="H787" t="s">
        <v>6232</v>
      </c>
    </row>
    <row r="788" spans="1:8" ht="18.399999999999999" customHeight="1">
      <c r="A788" s="11" t="s">
        <v>1066</v>
      </c>
      <c r="B788" s="2" t="s">
        <v>4869</v>
      </c>
      <c r="C788" s="2" t="s">
        <v>6141</v>
      </c>
      <c r="D788" s="29">
        <f>자재조서!E789</f>
        <v>1114000</v>
      </c>
      <c r="E788" s="20" t="s">
        <v>6545</v>
      </c>
      <c r="F788" t="s">
        <v>6232</v>
      </c>
      <c r="G788" t="s">
        <v>1666</v>
      </c>
      <c r="H788" t="s">
        <v>6232</v>
      </c>
    </row>
    <row r="789" spans="1:8" ht="18.399999999999999" customHeight="1">
      <c r="A789" s="11" t="s">
        <v>1066</v>
      </c>
      <c r="B789" s="2" t="s">
        <v>809</v>
      </c>
      <c r="C789" s="2" t="s">
        <v>6141</v>
      </c>
      <c r="D789" s="29">
        <f>자재조서!E790</f>
        <v>1712000</v>
      </c>
      <c r="E789" s="20" t="s">
        <v>6545</v>
      </c>
      <c r="F789" t="s">
        <v>6232</v>
      </c>
      <c r="G789" t="s">
        <v>67</v>
      </c>
      <c r="H789" t="s">
        <v>6232</v>
      </c>
    </row>
    <row r="790" spans="1:8" ht="18.399999999999999" customHeight="1">
      <c r="A790" s="11" t="s">
        <v>1066</v>
      </c>
      <c r="B790" s="2" t="s">
        <v>2695</v>
      </c>
      <c r="C790" s="2" t="s">
        <v>6141</v>
      </c>
      <c r="D790" s="29">
        <f>자재조서!E791</f>
        <v>1718000</v>
      </c>
      <c r="E790" s="20" t="s">
        <v>6545</v>
      </c>
      <c r="F790" t="s">
        <v>6232</v>
      </c>
      <c r="G790" t="s">
        <v>4729</v>
      </c>
      <c r="H790" t="s">
        <v>6232</v>
      </c>
    </row>
    <row r="791" spans="1:8" ht="18.399999999999999" customHeight="1">
      <c r="A791" s="11" t="s">
        <v>1066</v>
      </c>
      <c r="B791" s="2" t="s">
        <v>3762</v>
      </c>
      <c r="C791" s="2" t="s">
        <v>6141</v>
      </c>
      <c r="D791" s="29">
        <f>자재조서!E792</f>
        <v>1892000</v>
      </c>
      <c r="E791" s="20" t="s">
        <v>6545</v>
      </c>
      <c r="F791" t="s">
        <v>6232</v>
      </c>
      <c r="G791" t="s">
        <v>3232</v>
      </c>
      <c r="H791" t="s">
        <v>6232</v>
      </c>
    </row>
    <row r="792" spans="1:8" ht="18.399999999999999" customHeight="1">
      <c r="A792" s="11" t="s">
        <v>1066</v>
      </c>
      <c r="B792" s="2" t="s">
        <v>512</v>
      </c>
      <c r="C792" s="2" t="s">
        <v>6141</v>
      </c>
      <c r="D792" s="29">
        <f>자재조서!E793</f>
        <v>2613000</v>
      </c>
      <c r="E792" s="20" t="s">
        <v>6545</v>
      </c>
      <c r="F792" t="s">
        <v>6232</v>
      </c>
      <c r="G792" t="s">
        <v>5930</v>
      </c>
      <c r="H792" t="s">
        <v>6232</v>
      </c>
    </row>
    <row r="793" spans="1:8" ht="18.399999999999999" customHeight="1">
      <c r="A793" s="11" t="s">
        <v>1066</v>
      </c>
      <c r="B793" s="2" t="s">
        <v>6186</v>
      </c>
      <c r="C793" s="2" t="s">
        <v>6141</v>
      </c>
      <c r="D793" s="29">
        <f>자재조서!E794</f>
        <v>2649000</v>
      </c>
      <c r="E793" s="20" t="s">
        <v>6545</v>
      </c>
      <c r="F793" t="s">
        <v>6232</v>
      </c>
      <c r="G793" t="s">
        <v>4304</v>
      </c>
      <c r="H793" t="s">
        <v>6232</v>
      </c>
    </row>
    <row r="794" spans="1:8" ht="18.399999999999999" customHeight="1">
      <c r="A794" s="11" t="s">
        <v>1066</v>
      </c>
      <c r="B794" s="2" t="s">
        <v>6105</v>
      </c>
      <c r="C794" s="2" t="s">
        <v>6141</v>
      </c>
      <c r="D794" s="29">
        <f>자재조서!E795</f>
        <v>3540000</v>
      </c>
      <c r="E794" s="20" t="s">
        <v>6545</v>
      </c>
      <c r="F794" t="s">
        <v>6232</v>
      </c>
      <c r="G794" t="s">
        <v>4204</v>
      </c>
      <c r="H794" t="s">
        <v>6232</v>
      </c>
    </row>
    <row r="795" spans="1:8" ht="18.399999999999999" customHeight="1">
      <c r="A795" s="11" t="s">
        <v>1066</v>
      </c>
      <c r="B795" s="2" t="s">
        <v>397</v>
      </c>
      <c r="C795" s="2" t="s">
        <v>6141</v>
      </c>
      <c r="D795" s="29">
        <f>자재조서!E796</f>
        <v>3603000</v>
      </c>
      <c r="E795" s="20" t="s">
        <v>6545</v>
      </c>
      <c r="F795" t="s">
        <v>6232</v>
      </c>
      <c r="G795" t="s">
        <v>5649</v>
      </c>
      <c r="H795" t="s">
        <v>6232</v>
      </c>
    </row>
    <row r="796" spans="1:8" ht="18.399999999999999" customHeight="1">
      <c r="A796" s="11" t="s">
        <v>1066</v>
      </c>
      <c r="B796" s="2" t="s">
        <v>3821</v>
      </c>
      <c r="C796" s="2" t="s">
        <v>6141</v>
      </c>
      <c r="D796" s="29">
        <f>자재조서!E797</f>
        <v>3881000</v>
      </c>
      <c r="E796" s="20" t="s">
        <v>6545</v>
      </c>
      <c r="F796" t="s">
        <v>6232</v>
      </c>
      <c r="G796" t="s">
        <v>3743</v>
      </c>
      <c r="H796" t="s">
        <v>6232</v>
      </c>
    </row>
    <row r="797" spans="1:8" ht="18.399999999999999" customHeight="1">
      <c r="A797" s="13" t="s">
        <v>1066</v>
      </c>
      <c r="B797" s="14" t="s">
        <v>2812</v>
      </c>
      <c r="C797" s="14" t="s">
        <v>6141</v>
      </c>
      <c r="D797" s="30">
        <f>자재조서!E798</f>
        <v>4313000</v>
      </c>
      <c r="E797" s="21" t="s">
        <v>6545</v>
      </c>
      <c r="F797" t="s">
        <v>6232</v>
      </c>
      <c r="G797" t="s">
        <v>5413</v>
      </c>
      <c r="H797" t="s">
        <v>6232</v>
      </c>
    </row>
  </sheetData>
  <phoneticPr fontId="7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H22"/>
  <sheetViews>
    <sheetView view="pageBreakPreview" zoomScale="145" zoomScaleNormal="100" zoomScaleSheetLayoutView="145" workbookViewId="0"/>
  </sheetViews>
  <sheetFormatPr defaultRowHeight="18.399999999999999" customHeight="1"/>
  <cols>
    <col min="1" max="1" width="30" customWidth="1"/>
    <col min="2" max="2" width="25" customWidth="1"/>
    <col min="3" max="3" width="10" customWidth="1"/>
    <col min="4" max="4" width="20" customWidth="1"/>
    <col min="5" max="5" width="45.5" bestFit="1" customWidth="1"/>
    <col min="6" max="8" width="8.83203125" customWidth="1"/>
  </cols>
  <sheetData>
    <row r="1" spans="1:8" ht="18.399999999999999" customHeight="1">
      <c r="A1" t="s">
        <v>5707</v>
      </c>
    </row>
    <row r="2" spans="1:8" ht="18.399999999999999" customHeight="1" thickBot="1">
      <c r="A2" s="16" t="s">
        <v>4375</v>
      </c>
      <c r="B2" s="17" t="s">
        <v>2290</v>
      </c>
      <c r="C2" s="17" t="s">
        <v>5786</v>
      </c>
      <c r="D2" s="17" t="s">
        <v>3330</v>
      </c>
      <c r="E2" s="19" t="s">
        <v>1571</v>
      </c>
    </row>
    <row r="3" spans="1:8" ht="18.399999999999999" customHeight="1">
      <c r="A3" s="11" t="s">
        <v>421</v>
      </c>
      <c r="B3" s="2" t="s">
        <v>3311</v>
      </c>
      <c r="C3" s="2" t="s">
        <v>3712</v>
      </c>
      <c r="D3" s="29">
        <f>172068</f>
        <v>172068</v>
      </c>
      <c r="E3" s="20" t="s">
        <v>6573</v>
      </c>
      <c r="F3" s="305" t="s">
        <v>6574</v>
      </c>
      <c r="G3" t="s">
        <v>5151</v>
      </c>
      <c r="H3" t="s">
        <v>5151</v>
      </c>
    </row>
    <row r="4" spans="1:8" ht="18.399999999999999" customHeight="1">
      <c r="A4" s="11" t="s">
        <v>280</v>
      </c>
      <c r="B4" s="2" t="s">
        <v>3311</v>
      </c>
      <c r="C4" s="2" t="s">
        <v>3712</v>
      </c>
      <c r="D4" s="29">
        <f>226122</f>
        <v>226122</v>
      </c>
      <c r="E4" s="20" t="s">
        <v>6573</v>
      </c>
      <c r="F4" s="306" t="s">
        <v>6574</v>
      </c>
      <c r="G4" t="s">
        <v>1597</v>
      </c>
      <c r="H4" t="s">
        <v>1597</v>
      </c>
    </row>
    <row r="5" spans="1:8" ht="18.399999999999999" customHeight="1">
      <c r="A5" s="11" t="s">
        <v>1455</v>
      </c>
      <c r="B5" s="2" t="s">
        <v>3311</v>
      </c>
      <c r="C5" s="2" t="s">
        <v>3712</v>
      </c>
      <c r="D5" s="29">
        <f>281939</f>
        <v>281939</v>
      </c>
      <c r="E5" s="20" t="s">
        <v>6572</v>
      </c>
      <c r="F5" s="306" t="s">
        <v>6574</v>
      </c>
      <c r="G5" t="s">
        <v>4971</v>
      </c>
      <c r="H5" t="s">
        <v>4971</v>
      </c>
    </row>
    <row r="6" spans="1:8" ht="18.399999999999999" customHeight="1">
      <c r="A6" s="11" t="s">
        <v>1333</v>
      </c>
      <c r="B6" s="2" t="s">
        <v>3311</v>
      </c>
      <c r="C6" s="2" t="s">
        <v>3712</v>
      </c>
      <c r="D6" s="29">
        <f>282536</f>
        <v>282536</v>
      </c>
      <c r="E6" s="20" t="s">
        <v>6572</v>
      </c>
      <c r="F6" s="306" t="s">
        <v>6574</v>
      </c>
      <c r="G6" t="s">
        <v>3620</v>
      </c>
      <c r="H6" t="s">
        <v>3620</v>
      </c>
    </row>
    <row r="7" spans="1:8" ht="18.399999999999999" customHeight="1">
      <c r="A7" s="11" t="s">
        <v>5922</v>
      </c>
      <c r="B7" s="2" t="s">
        <v>3311</v>
      </c>
      <c r="C7" s="2" t="s">
        <v>3712</v>
      </c>
      <c r="D7" s="29">
        <f>263017</f>
        <v>263017</v>
      </c>
      <c r="E7" s="20" t="s">
        <v>6572</v>
      </c>
      <c r="F7" s="306" t="s">
        <v>6574</v>
      </c>
      <c r="G7" t="s">
        <v>5392</v>
      </c>
      <c r="H7" t="s">
        <v>5392</v>
      </c>
    </row>
    <row r="8" spans="1:8" ht="18.399999999999999" customHeight="1">
      <c r="A8" s="11" t="s">
        <v>2907</v>
      </c>
      <c r="B8" s="2" t="s">
        <v>3311</v>
      </c>
      <c r="C8" s="2" t="s">
        <v>3712</v>
      </c>
      <c r="D8" s="29">
        <f>262580</f>
        <v>262580</v>
      </c>
      <c r="E8" s="20" t="s">
        <v>6572</v>
      </c>
      <c r="F8" s="306" t="s">
        <v>6574</v>
      </c>
      <c r="G8" t="s">
        <v>6140</v>
      </c>
      <c r="H8" t="s">
        <v>6140</v>
      </c>
    </row>
    <row r="9" spans="1:8" ht="18.399999999999999" customHeight="1">
      <c r="A9" s="11" t="s">
        <v>4936</v>
      </c>
      <c r="B9" s="2" t="s">
        <v>3311</v>
      </c>
      <c r="C9" s="2" t="s">
        <v>3712</v>
      </c>
      <c r="D9" s="29">
        <f>202472</f>
        <v>202472</v>
      </c>
      <c r="E9" s="20" t="s">
        <v>6572</v>
      </c>
      <c r="F9" s="306" t="s">
        <v>6574</v>
      </c>
      <c r="G9" t="s">
        <v>1674</v>
      </c>
      <c r="H9" t="s">
        <v>1674</v>
      </c>
    </row>
    <row r="10" spans="1:8" ht="18.399999999999999" customHeight="1">
      <c r="A10" s="11" t="s">
        <v>2266</v>
      </c>
      <c r="B10" s="2" t="s">
        <v>3311</v>
      </c>
      <c r="C10" s="2" t="s">
        <v>3712</v>
      </c>
      <c r="D10" s="29">
        <f>217012</f>
        <v>217012</v>
      </c>
      <c r="E10" s="20" t="s">
        <v>6572</v>
      </c>
      <c r="F10" s="306" t="s">
        <v>6574</v>
      </c>
      <c r="G10" t="s">
        <v>5570</v>
      </c>
      <c r="H10" t="s">
        <v>5570</v>
      </c>
    </row>
    <row r="11" spans="1:8" ht="18.399999999999999" customHeight="1">
      <c r="A11" s="11" t="s">
        <v>538</v>
      </c>
      <c r="B11" s="2" t="s">
        <v>3311</v>
      </c>
      <c r="C11" s="2" t="s">
        <v>3712</v>
      </c>
      <c r="D11" s="29">
        <f>320480</f>
        <v>320480</v>
      </c>
      <c r="E11" s="20" t="s">
        <v>6572</v>
      </c>
      <c r="F11" s="306" t="s">
        <v>6574</v>
      </c>
      <c r="G11" t="s">
        <v>3285</v>
      </c>
      <c r="H11" t="s">
        <v>3285</v>
      </c>
    </row>
    <row r="12" spans="1:8" ht="18.399999999999999" customHeight="1">
      <c r="A12" s="11" t="s">
        <v>4689</v>
      </c>
      <c r="B12" s="2" t="s">
        <v>3311</v>
      </c>
      <c r="C12" s="2" t="s">
        <v>3712</v>
      </c>
      <c r="D12" s="29">
        <f>292640</f>
        <v>292640</v>
      </c>
      <c r="E12" s="20" t="s">
        <v>6572</v>
      </c>
      <c r="F12" s="306" t="s">
        <v>6574</v>
      </c>
      <c r="G12" t="s">
        <v>3463</v>
      </c>
      <c r="H12" t="s">
        <v>3463</v>
      </c>
    </row>
    <row r="13" spans="1:8" ht="18.399999999999999" customHeight="1">
      <c r="A13" s="11" t="s">
        <v>3930</v>
      </c>
      <c r="B13" s="2" t="s">
        <v>3311</v>
      </c>
      <c r="C13" s="2" t="s">
        <v>3712</v>
      </c>
      <c r="D13" s="29">
        <f>273676</f>
        <v>273676</v>
      </c>
      <c r="E13" s="20" t="s">
        <v>6572</v>
      </c>
      <c r="F13" s="306" t="s">
        <v>6574</v>
      </c>
      <c r="G13" t="s">
        <v>4281</v>
      </c>
      <c r="H13" t="s">
        <v>4281</v>
      </c>
    </row>
    <row r="14" spans="1:8" ht="18.399999999999999" customHeight="1">
      <c r="A14" s="11" t="s">
        <v>2261</v>
      </c>
      <c r="B14" s="2" t="s">
        <v>3311</v>
      </c>
      <c r="C14" s="2" t="s">
        <v>3712</v>
      </c>
      <c r="D14" s="29">
        <f>304156</f>
        <v>304156</v>
      </c>
      <c r="E14" s="20" t="s">
        <v>6572</v>
      </c>
      <c r="F14" s="306" t="s">
        <v>6574</v>
      </c>
      <c r="G14" t="s">
        <v>285</v>
      </c>
      <c r="H14" t="s">
        <v>285</v>
      </c>
    </row>
    <row r="15" spans="1:8" ht="18.399999999999999" customHeight="1">
      <c r="A15" s="11" t="s">
        <v>2019</v>
      </c>
      <c r="B15" s="2" t="s">
        <v>3311</v>
      </c>
      <c r="C15" s="2" t="s">
        <v>3712</v>
      </c>
      <c r="D15" s="29">
        <f>269759</f>
        <v>269759</v>
      </c>
      <c r="E15" s="20" t="s">
        <v>6572</v>
      </c>
      <c r="F15" s="306" t="s">
        <v>6574</v>
      </c>
      <c r="G15" t="s">
        <v>1767</v>
      </c>
      <c r="H15" t="s">
        <v>1767</v>
      </c>
    </row>
    <row r="16" spans="1:8" ht="18.399999999999999" customHeight="1">
      <c r="A16" s="11" t="s">
        <v>3831</v>
      </c>
      <c r="B16" s="2" t="s">
        <v>4163</v>
      </c>
      <c r="C16" s="2" t="s">
        <v>3712</v>
      </c>
      <c r="D16" s="29">
        <v>373353</v>
      </c>
      <c r="E16" s="20" t="s">
        <v>6576</v>
      </c>
      <c r="F16" s="306" t="s">
        <v>6574</v>
      </c>
      <c r="G16" t="s">
        <v>1036</v>
      </c>
      <c r="H16" t="s">
        <v>1036</v>
      </c>
    </row>
    <row r="17" spans="1:8" ht="18.399999999999999" customHeight="1">
      <c r="A17" s="11" t="s">
        <v>2191</v>
      </c>
      <c r="B17" s="2" t="s">
        <v>4163</v>
      </c>
      <c r="C17" s="2" t="s">
        <v>3712</v>
      </c>
      <c r="D17" s="29">
        <v>310884</v>
      </c>
      <c r="E17" s="20" t="s">
        <v>6576</v>
      </c>
      <c r="F17" s="306" t="s">
        <v>6574</v>
      </c>
      <c r="G17" t="s">
        <v>1813</v>
      </c>
      <c r="H17" t="s">
        <v>1813</v>
      </c>
    </row>
    <row r="18" spans="1:8" ht="18.399999999999999" customHeight="1">
      <c r="A18" s="11" t="s">
        <v>577</v>
      </c>
      <c r="B18" s="2" t="s">
        <v>4163</v>
      </c>
      <c r="C18" s="2" t="s">
        <v>3712</v>
      </c>
      <c r="D18" s="29">
        <v>295138</v>
      </c>
      <c r="E18" s="20" t="s">
        <v>6575</v>
      </c>
      <c r="F18" s="306" t="s">
        <v>6574</v>
      </c>
      <c r="G18" t="s">
        <v>5302</v>
      </c>
      <c r="H18" t="s">
        <v>5302</v>
      </c>
    </row>
    <row r="19" spans="1:8" ht="18.399999999999999" customHeight="1">
      <c r="A19" s="11" t="s">
        <v>1370</v>
      </c>
      <c r="B19" s="2" t="s">
        <v>4163</v>
      </c>
      <c r="C19" s="2" t="s">
        <v>3712</v>
      </c>
      <c r="D19" s="29">
        <v>235459</v>
      </c>
      <c r="E19" s="20" t="s">
        <v>6575</v>
      </c>
      <c r="F19" s="306" t="s">
        <v>6574</v>
      </c>
      <c r="G19" t="s">
        <v>2318</v>
      </c>
      <c r="H19" t="s">
        <v>2318</v>
      </c>
    </row>
    <row r="20" spans="1:8" ht="18.399999999999999" customHeight="1">
      <c r="A20" s="11" t="s">
        <v>4595</v>
      </c>
      <c r="B20" s="2" t="s">
        <v>4163</v>
      </c>
      <c r="C20" s="2" t="s">
        <v>3712</v>
      </c>
      <c r="D20" s="29">
        <v>281075</v>
      </c>
      <c r="E20" s="20" t="s">
        <v>6575</v>
      </c>
      <c r="F20" s="306" t="s">
        <v>6574</v>
      </c>
      <c r="G20" t="s">
        <v>5973</v>
      </c>
      <c r="H20" t="s">
        <v>5973</v>
      </c>
    </row>
    <row r="21" spans="1:8" ht="18.399999999999999" customHeight="1">
      <c r="A21" s="11" t="s">
        <v>827</v>
      </c>
      <c r="B21" s="2" t="s">
        <v>4163</v>
      </c>
      <c r="C21" s="2" t="s">
        <v>3712</v>
      </c>
      <c r="D21" s="29">
        <v>250087</v>
      </c>
      <c r="E21" s="20" t="s">
        <v>6575</v>
      </c>
      <c r="F21" s="306" t="s">
        <v>6574</v>
      </c>
      <c r="G21" t="s">
        <v>2047</v>
      </c>
      <c r="H21" t="s">
        <v>2047</v>
      </c>
    </row>
    <row r="22" spans="1:8" ht="18.399999999999999" customHeight="1" thickBot="1">
      <c r="A22" s="13" t="s">
        <v>3714</v>
      </c>
      <c r="B22" s="14" t="s">
        <v>4163</v>
      </c>
      <c r="C22" s="14" t="s">
        <v>3712</v>
      </c>
      <c r="D22" s="30">
        <v>218142</v>
      </c>
      <c r="E22" s="21" t="s">
        <v>6575</v>
      </c>
      <c r="F22" s="306" t="s">
        <v>6574</v>
      </c>
      <c r="G22" t="s">
        <v>4731</v>
      </c>
      <c r="H22" t="s">
        <v>4731</v>
      </c>
    </row>
  </sheetData>
  <phoneticPr fontId="7" type="noConversion"/>
  <pageMargins left="0.31496062992125984" right="0.31496062992125984" top="1" bottom="0.59055118110236215" header="0.5" footer="0.5"/>
  <pageSetup paperSize="9" scale="92" orientation="portrait" r:id="rId1"/>
  <headerFooter alignWithMargins="0">
    <oddHeader>&amp;RPage : &amp;P/&amp;N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J13"/>
  <sheetViews>
    <sheetView view="pageBreakPreview" zoomScale="160" zoomScaleNormal="100" zoomScaleSheetLayoutView="160" workbookViewId="0">
      <selection activeCell="A5" sqref="A5"/>
    </sheetView>
  </sheetViews>
  <sheetFormatPr defaultRowHeight="18.399999999999999" customHeight="1"/>
  <cols>
    <col min="1" max="1" width="33" bestFit="1" customWidth="1"/>
    <col min="2" max="2" width="25" customWidth="1"/>
    <col min="3" max="3" width="5" customWidth="1"/>
    <col min="4" max="5" width="14" bestFit="1" customWidth="1"/>
    <col min="6" max="6" width="12.1640625" bestFit="1" customWidth="1"/>
    <col min="7" max="7" width="14" bestFit="1" customWidth="1"/>
    <col min="8" max="8" width="9.33203125" bestFit="1" customWidth="1"/>
    <col min="9" max="10" width="0" hidden="1" customWidth="1"/>
  </cols>
  <sheetData>
    <row r="1" spans="1:10" ht="18.399999999999999" customHeight="1">
      <c r="A1" t="s">
        <v>1004</v>
      </c>
    </row>
    <row r="2" spans="1:10" ht="18.399999999999999" customHeight="1">
      <c r="A2" s="16" t="s">
        <v>4375</v>
      </c>
      <c r="B2" s="17" t="s">
        <v>2290</v>
      </c>
      <c r="C2" s="17" t="s">
        <v>5786</v>
      </c>
      <c r="D2" s="17" t="s">
        <v>4254</v>
      </c>
      <c r="E2" s="17" t="s">
        <v>2493</v>
      </c>
      <c r="F2" s="17" t="s">
        <v>413</v>
      </c>
      <c r="G2" s="17" t="s">
        <v>6011</v>
      </c>
      <c r="H2" s="19" t="s">
        <v>1571</v>
      </c>
    </row>
    <row r="3" spans="1:10" ht="18.399999999999999" customHeight="1">
      <c r="A3" s="11" t="s">
        <v>2446</v>
      </c>
      <c r="B3" s="2" t="s">
        <v>5408</v>
      </c>
      <c r="C3" s="2" t="s">
        <v>6194</v>
      </c>
      <c r="D3" s="25">
        <v>0</v>
      </c>
      <c r="E3" s="25">
        <v>0</v>
      </c>
      <c r="F3" s="25">
        <v>150000</v>
      </c>
      <c r="G3" s="25">
        <f t="shared" ref="G3:G13" si="0">D3+E3+F3</f>
        <v>150000</v>
      </c>
      <c r="H3" s="20" t="s">
        <v>6232</v>
      </c>
      <c r="I3" t="s">
        <v>6232</v>
      </c>
      <c r="J3" t="s">
        <v>4319</v>
      </c>
    </row>
    <row r="4" spans="1:10" ht="18.399999999999999" customHeight="1">
      <c r="A4" s="11" t="s">
        <v>3347</v>
      </c>
      <c r="B4" s="2" t="s">
        <v>3602</v>
      </c>
      <c r="C4" s="2" t="s">
        <v>4202</v>
      </c>
      <c r="D4" s="25">
        <v>0</v>
      </c>
      <c r="E4" s="25">
        <v>0</v>
      </c>
      <c r="F4" s="25">
        <v>96620</v>
      </c>
      <c r="G4" s="25">
        <f t="shared" si="0"/>
        <v>96620</v>
      </c>
      <c r="H4" s="20" t="s">
        <v>6232</v>
      </c>
      <c r="I4" t="s">
        <v>6232</v>
      </c>
      <c r="J4" t="s">
        <v>4350</v>
      </c>
    </row>
    <row r="5" spans="1:10" ht="18.399999999999999" customHeight="1">
      <c r="A5" s="11" t="s">
        <v>4510</v>
      </c>
      <c r="B5" s="2" t="s">
        <v>3074</v>
      </c>
      <c r="C5" s="2" t="s">
        <v>6141</v>
      </c>
      <c r="D5" s="25">
        <v>1250000</v>
      </c>
      <c r="E5" s="25">
        <v>1300000</v>
      </c>
      <c r="F5" s="25">
        <v>0</v>
      </c>
      <c r="G5" s="25">
        <f t="shared" si="0"/>
        <v>2550000</v>
      </c>
      <c r="H5" s="20" t="s">
        <v>6232</v>
      </c>
      <c r="I5" t="s">
        <v>6232</v>
      </c>
      <c r="J5" t="s">
        <v>1741</v>
      </c>
    </row>
    <row r="6" spans="1:10" ht="18.399999999999999" customHeight="1">
      <c r="A6" s="11" t="s">
        <v>4510</v>
      </c>
      <c r="B6" s="2" t="s">
        <v>1165</v>
      </c>
      <c r="C6" s="2" t="s">
        <v>6141</v>
      </c>
      <c r="D6" s="25">
        <v>1350000</v>
      </c>
      <c r="E6" s="25">
        <v>1650000</v>
      </c>
      <c r="F6" s="25">
        <v>0</v>
      </c>
      <c r="G6" s="25">
        <f t="shared" si="0"/>
        <v>3000000</v>
      </c>
      <c r="H6" s="20" t="s">
        <v>6232</v>
      </c>
      <c r="I6" t="s">
        <v>6232</v>
      </c>
      <c r="J6" t="s">
        <v>1734</v>
      </c>
    </row>
    <row r="7" spans="1:10" ht="18.399999999999999" customHeight="1">
      <c r="A7" s="11" t="s">
        <v>4510</v>
      </c>
      <c r="B7" s="2" t="s">
        <v>1572</v>
      </c>
      <c r="C7" s="2" t="s">
        <v>6141</v>
      </c>
      <c r="D7" s="25">
        <v>1500000</v>
      </c>
      <c r="E7" s="25">
        <v>1800000</v>
      </c>
      <c r="F7" s="25">
        <v>0</v>
      </c>
      <c r="G7" s="25">
        <f t="shared" si="0"/>
        <v>3300000</v>
      </c>
      <c r="H7" s="20" t="s">
        <v>6232</v>
      </c>
      <c r="I7" t="s">
        <v>6232</v>
      </c>
      <c r="J7" t="s">
        <v>2863</v>
      </c>
    </row>
    <row r="8" spans="1:10" ht="18.399999999999999" customHeight="1">
      <c r="A8" s="11" t="s">
        <v>4510</v>
      </c>
      <c r="B8" s="2" t="s">
        <v>2531</v>
      </c>
      <c r="C8" s="2" t="s">
        <v>6141</v>
      </c>
      <c r="D8" s="25">
        <v>2750000</v>
      </c>
      <c r="E8" s="25">
        <v>2300000</v>
      </c>
      <c r="F8" s="25">
        <v>0</v>
      </c>
      <c r="G8" s="25">
        <f t="shared" si="0"/>
        <v>5050000</v>
      </c>
      <c r="H8" s="20" t="s">
        <v>6232</v>
      </c>
      <c r="I8" t="s">
        <v>6232</v>
      </c>
      <c r="J8" t="s">
        <v>2932</v>
      </c>
    </row>
    <row r="9" spans="1:10" ht="18.399999999999999" customHeight="1">
      <c r="A9" s="11" t="s">
        <v>4510</v>
      </c>
      <c r="B9" s="2" t="s">
        <v>4124</v>
      </c>
      <c r="C9" s="2" t="s">
        <v>6141</v>
      </c>
      <c r="D9" s="25">
        <v>3350000</v>
      </c>
      <c r="E9" s="25">
        <v>2650000</v>
      </c>
      <c r="F9" s="25">
        <v>0</v>
      </c>
      <c r="G9" s="25">
        <f t="shared" si="0"/>
        <v>6000000</v>
      </c>
      <c r="H9" s="20" t="s">
        <v>6232</v>
      </c>
      <c r="I9" t="s">
        <v>6232</v>
      </c>
      <c r="J9" t="s">
        <v>1191</v>
      </c>
    </row>
    <row r="10" spans="1:10" ht="18.399999999999999" customHeight="1">
      <c r="A10" s="11" t="s">
        <v>4510</v>
      </c>
      <c r="B10" s="2" t="s">
        <v>4184</v>
      </c>
      <c r="C10" s="2" t="s">
        <v>6141</v>
      </c>
      <c r="D10" s="25">
        <v>4500000</v>
      </c>
      <c r="E10" s="25">
        <v>2800000</v>
      </c>
      <c r="F10" s="25">
        <v>0</v>
      </c>
      <c r="G10" s="25">
        <f t="shared" si="0"/>
        <v>7300000</v>
      </c>
      <c r="H10" s="20" t="s">
        <v>6232</v>
      </c>
      <c r="I10" t="s">
        <v>6232</v>
      </c>
      <c r="J10" t="s">
        <v>1084</v>
      </c>
    </row>
    <row r="11" spans="1:10" ht="18.399999999999999" customHeight="1">
      <c r="A11" s="11" t="s">
        <v>4510</v>
      </c>
      <c r="B11" s="2" t="s">
        <v>1695</v>
      </c>
      <c r="C11" s="2" t="s">
        <v>6141</v>
      </c>
      <c r="D11" s="25">
        <v>5500000</v>
      </c>
      <c r="E11" s="25">
        <v>3150000</v>
      </c>
      <c r="F11" s="25">
        <v>0</v>
      </c>
      <c r="G11" s="25">
        <f t="shared" si="0"/>
        <v>8650000</v>
      </c>
      <c r="H11" s="20" t="s">
        <v>6232</v>
      </c>
      <c r="I11" t="s">
        <v>6232</v>
      </c>
      <c r="J11" t="s">
        <v>2586</v>
      </c>
    </row>
    <row r="12" spans="1:10" ht="18.399999999999999" customHeight="1">
      <c r="A12" s="11" t="s">
        <v>4510</v>
      </c>
      <c r="B12" s="2" t="s">
        <v>4869</v>
      </c>
      <c r="C12" s="2" t="s">
        <v>6141</v>
      </c>
      <c r="D12" s="25">
        <v>6400000</v>
      </c>
      <c r="E12" s="25">
        <v>3550000</v>
      </c>
      <c r="F12" s="25">
        <v>0</v>
      </c>
      <c r="G12" s="25">
        <f t="shared" si="0"/>
        <v>9950000</v>
      </c>
      <c r="H12" s="20" t="s">
        <v>6232</v>
      </c>
      <c r="I12" t="s">
        <v>6232</v>
      </c>
      <c r="J12" t="s">
        <v>616</v>
      </c>
    </row>
    <row r="13" spans="1:10" ht="18.399999999999999" customHeight="1">
      <c r="A13" s="13" t="s">
        <v>1661</v>
      </c>
      <c r="B13" s="14" t="s">
        <v>5806</v>
      </c>
      <c r="C13" s="14" t="s">
        <v>3179</v>
      </c>
      <c r="D13" s="26">
        <v>0</v>
      </c>
      <c r="E13" s="26">
        <v>0</v>
      </c>
      <c r="F13" s="26">
        <v>185000</v>
      </c>
      <c r="G13" s="26">
        <f t="shared" si="0"/>
        <v>185000</v>
      </c>
      <c r="H13" s="21" t="s">
        <v>108</v>
      </c>
      <c r="I13" t="s">
        <v>6232</v>
      </c>
      <c r="J13" t="s">
        <v>4133</v>
      </c>
    </row>
  </sheetData>
  <phoneticPr fontId="7" type="noConversion"/>
  <pageMargins left="0.31496062992125984" right="0.31496062992125984" top="1" bottom="0.59055118110236215" header="0.5" footer="0.5"/>
  <pageSetup paperSize="9" scale="95" orientation="portrait" r:id="rId1"/>
  <headerFooter alignWithMargins="0">
    <oddHeader>&amp;RPage : &amp;P/&amp;N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798"/>
  <sheetViews>
    <sheetView view="pageBreakPreview" zoomScale="130" zoomScaleNormal="100" zoomScaleSheetLayoutView="130" workbookViewId="0"/>
  </sheetViews>
  <sheetFormatPr defaultRowHeight="18.399999999999999" customHeight="1"/>
  <cols>
    <col min="1" max="1" width="17" customWidth="1"/>
    <col min="2" max="2" width="38.5" bestFit="1" customWidth="1"/>
    <col min="3" max="3" width="14.6640625" customWidth="1"/>
    <col min="4" max="4" width="8.33203125" bestFit="1" customWidth="1"/>
    <col min="5" max="5" width="16" customWidth="1"/>
    <col min="6" max="6" width="14" hidden="1" customWidth="1"/>
    <col min="7" max="7" width="5" hidden="1" customWidth="1"/>
    <col min="8" max="8" width="15" hidden="1" customWidth="1"/>
    <col min="9" max="9" width="5" hidden="1" customWidth="1"/>
    <col min="10" max="10" width="14" hidden="1" customWidth="1"/>
    <col min="11" max="11" width="5" hidden="1" customWidth="1"/>
    <col min="12" max="12" width="16.1640625" bestFit="1" customWidth="1"/>
    <col min="13" max="13" width="11.33203125" bestFit="1" customWidth="1"/>
    <col min="14" max="14" width="16.1640625" bestFit="1" customWidth="1"/>
    <col min="15" max="15" width="13.33203125" bestFit="1" customWidth="1"/>
    <col min="16" max="16" width="14" bestFit="1" customWidth="1"/>
    <col min="17" max="17" width="13.33203125" hidden="1" customWidth="1"/>
    <col min="21" max="24" width="0" hidden="1" customWidth="1"/>
  </cols>
  <sheetData>
    <row r="1" spans="1:24" ht="18.399999999999999" customHeight="1">
      <c r="A1" t="s">
        <v>843</v>
      </c>
    </row>
    <row r="2" spans="1:24" ht="18.399999999999999" customHeight="1">
      <c r="A2" s="416" t="s">
        <v>2238</v>
      </c>
      <c r="B2" s="413" t="s">
        <v>4375</v>
      </c>
      <c r="C2" s="413" t="s">
        <v>2290</v>
      </c>
      <c r="D2" s="413" t="s">
        <v>2236</v>
      </c>
      <c r="E2" s="413" t="s">
        <v>5113</v>
      </c>
      <c r="F2" s="413" t="s">
        <v>828</v>
      </c>
      <c r="G2" s="413" t="s">
        <v>6232</v>
      </c>
      <c r="H2" s="413" t="s">
        <v>5938</v>
      </c>
      <c r="I2" s="413" t="s">
        <v>6232</v>
      </c>
      <c r="J2" s="413" t="s">
        <v>4694</v>
      </c>
      <c r="K2" s="413" t="s">
        <v>6232</v>
      </c>
      <c r="L2" s="413" t="s">
        <v>2717</v>
      </c>
      <c r="M2" s="413" t="s">
        <v>6232</v>
      </c>
      <c r="N2" s="413" t="s">
        <v>4332</v>
      </c>
      <c r="O2" s="413" t="s">
        <v>6232</v>
      </c>
      <c r="P2" s="413" t="s">
        <v>6547</v>
      </c>
      <c r="Q2" s="448" t="s">
        <v>6232</v>
      </c>
      <c r="U2" t="s">
        <v>5536</v>
      </c>
    </row>
    <row r="3" spans="1:24" ht="18.399999999999999" customHeight="1" thickBot="1">
      <c r="A3" s="417" t="s">
        <v>6232</v>
      </c>
      <c r="B3" s="418" t="s">
        <v>6232</v>
      </c>
      <c r="C3" s="418" t="s">
        <v>6232</v>
      </c>
      <c r="D3" s="418" t="s">
        <v>6232</v>
      </c>
      <c r="E3" s="418" t="s">
        <v>6232</v>
      </c>
      <c r="F3" s="27" t="s">
        <v>3307</v>
      </c>
      <c r="G3" s="27" t="s">
        <v>5450</v>
      </c>
      <c r="H3" s="27" t="s">
        <v>3307</v>
      </c>
      <c r="I3" s="27" t="s">
        <v>5450</v>
      </c>
      <c r="J3" s="27" t="s">
        <v>3307</v>
      </c>
      <c r="K3" s="27" t="s">
        <v>5450</v>
      </c>
      <c r="L3" s="27" t="s">
        <v>3307</v>
      </c>
      <c r="M3" s="27" t="s">
        <v>5450</v>
      </c>
      <c r="N3" s="27" t="s">
        <v>3307</v>
      </c>
      <c r="O3" s="27" t="s">
        <v>5450</v>
      </c>
      <c r="P3" s="27" t="s">
        <v>3307</v>
      </c>
      <c r="Q3" s="28" t="s">
        <v>5450</v>
      </c>
      <c r="U3" t="s">
        <v>1739</v>
      </c>
    </row>
    <row r="4" spans="1:24" ht="18.399999999999999" hidden="1" customHeight="1">
      <c r="A4" s="11" t="s">
        <v>539</v>
      </c>
      <c r="B4" s="2" t="s">
        <v>2039</v>
      </c>
      <c r="C4" s="2" t="s">
        <v>557</v>
      </c>
      <c r="D4" s="2" t="s">
        <v>1636</v>
      </c>
      <c r="E4" s="25">
        <v>1060000</v>
      </c>
      <c r="F4" s="25">
        <v>1118000</v>
      </c>
      <c r="G4" s="2" t="s">
        <v>179</v>
      </c>
      <c r="H4" s="25">
        <v>1060000</v>
      </c>
      <c r="I4" s="2" t="s">
        <v>179</v>
      </c>
      <c r="J4" s="25">
        <v>1136300</v>
      </c>
      <c r="K4" s="2" t="s">
        <v>5672</v>
      </c>
      <c r="L4" s="2"/>
      <c r="M4" s="2" t="s">
        <v>6232</v>
      </c>
      <c r="N4" s="2"/>
      <c r="O4" s="2" t="s">
        <v>6232</v>
      </c>
      <c r="P4" s="2"/>
      <c r="Q4" s="12" t="s">
        <v>6232</v>
      </c>
      <c r="U4" t="s">
        <v>1739</v>
      </c>
      <c r="V4" t="s">
        <v>6232</v>
      </c>
      <c r="W4" t="s">
        <v>539</v>
      </c>
      <c r="X4" t="s">
        <v>6232</v>
      </c>
    </row>
    <row r="5" spans="1:24" ht="18.399999999999999" hidden="1" customHeight="1">
      <c r="A5" s="11" t="s">
        <v>452</v>
      </c>
      <c r="B5" s="2" t="s">
        <v>2039</v>
      </c>
      <c r="C5" s="2" t="s">
        <v>371</v>
      </c>
      <c r="D5" s="2" t="s">
        <v>1636</v>
      </c>
      <c r="E5" s="25">
        <v>1010000</v>
      </c>
      <c r="F5" s="25">
        <v>1018000</v>
      </c>
      <c r="G5" s="2" t="s">
        <v>179</v>
      </c>
      <c r="H5" s="25">
        <v>1010000</v>
      </c>
      <c r="I5" s="2" t="s">
        <v>179</v>
      </c>
      <c r="J5" s="25">
        <v>1038800</v>
      </c>
      <c r="K5" s="2" t="s">
        <v>5672</v>
      </c>
      <c r="L5" s="2"/>
      <c r="M5" s="2" t="s">
        <v>6232</v>
      </c>
      <c r="N5" s="2"/>
      <c r="O5" s="2" t="s">
        <v>6232</v>
      </c>
      <c r="P5" s="2"/>
      <c r="Q5" s="12" t="s">
        <v>6232</v>
      </c>
      <c r="V5" t="s">
        <v>6232</v>
      </c>
      <c r="W5" t="s">
        <v>452</v>
      </c>
      <c r="X5" t="s">
        <v>6232</v>
      </c>
    </row>
    <row r="6" spans="1:24" ht="18.399999999999999" hidden="1" customHeight="1">
      <c r="A6" s="11" t="s">
        <v>5473</v>
      </c>
      <c r="B6" s="2" t="s">
        <v>4706</v>
      </c>
      <c r="C6" s="2" t="s">
        <v>2924</v>
      </c>
      <c r="D6" s="2" t="s">
        <v>4532</v>
      </c>
      <c r="E6" s="25">
        <v>3726.732</v>
      </c>
      <c r="F6" s="2"/>
      <c r="G6" s="2" t="s">
        <v>6232</v>
      </c>
      <c r="H6" s="25">
        <v>3726.732</v>
      </c>
      <c r="I6" s="2" t="s">
        <v>1052</v>
      </c>
      <c r="J6" s="2"/>
      <c r="K6" s="2" t="s">
        <v>6232</v>
      </c>
      <c r="L6" s="2"/>
      <c r="M6" s="2" t="s">
        <v>6232</v>
      </c>
      <c r="N6" s="2"/>
      <c r="O6" s="2" t="s">
        <v>6232</v>
      </c>
      <c r="P6" s="2"/>
      <c r="Q6" s="12" t="s">
        <v>6232</v>
      </c>
      <c r="V6" t="s">
        <v>6232</v>
      </c>
      <c r="W6" t="s">
        <v>5473</v>
      </c>
      <c r="X6" t="s">
        <v>6232</v>
      </c>
    </row>
    <row r="7" spans="1:24" ht="18.399999999999999" hidden="1" customHeight="1">
      <c r="A7" s="11" t="s">
        <v>5965</v>
      </c>
      <c r="B7" s="2" t="s">
        <v>5849</v>
      </c>
      <c r="C7" s="2" t="s">
        <v>1443</v>
      </c>
      <c r="D7" s="2" t="s">
        <v>2272</v>
      </c>
      <c r="E7" s="25">
        <v>21.492000000000001</v>
      </c>
      <c r="F7" s="25">
        <v>23.356999999999999</v>
      </c>
      <c r="G7" s="2" t="s">
        <v>4132</v>
      </c>
      <c r="H7" s="25">
        <v>21.492000000000001</v>
      </c>
      <c r="I7" s="2" t="s">
        <v>3055</v>
      </c>
      <c r="J7" s="25">
        <v>25.754999999999999</v>
      </c>
      <c r="K7" s="2" t="s">
        <v>2885</v>
      </c>
      <c r="L7" s="2"/>
      <c r="M7" s="2" t="s">
        <v>6232</v>
      </c>
      <c r="N7" s="2"/>
      <c r="O7" s="2" t="s">
        <v>6232</v>
      </c>
      <c r="P7" s="2"/>
      <c r="Q7" s="12" t="s">
        <v>6232</v>
      </c>
      <c r="V7" t="s">
        <v>4130</v>
      </c>
      <c r="W7" t="s">
        <v>5965</v>
      </c>
      <c r="X7" t="s">
        <v>6232</v>
      </c>
    </row>
    <row r="8" spans="1:24" ht="18.399999999999999" hidden="1" customHeight="1">
      <c r="A8" s="11" t="s">
        <v>423</v>
      </c>
      <c r="B8" s="2" t="s">
        <v>4297</v>
      </c>
      <c r="C8" s="2" t="s">
        <v>4695</v>
      </c>
      <c r="D8" s="2" t="s">
        <v>5013</v>
      </c>
      <c r="E8" s="25">
        <v>51.9</v>
      </c>
      <c r="F8" s="25">
        <v>57.4</v>
      </c>
      <c r="G8" s="2" t="s">
        <v>5169</v>
      </c>
      <c r="H8" s="25">
        <v>53.5</v>
      </c>
      <c r="I8" s="2" t="s">
        <v>653</v>
      </c>
      <c r="J8" s="25">
        <v>51.9</v>
      </c>
      <c r="K8" s="2" t="s">
        <v>4498</v>
      </c>
      <c r="L8" s="2"/>
      <c r="M8" s="2" t="s">
        <v>6232</v>
      </c>
      <c r="N8" s="2"/>
      <c r="O8" s="2" t="s">
        <v>6232</v>
      </c>
      <c r="P8" s="2"/>
      <c r="Q8" s="12" t="s">
        <v>6232</v>
      </c>
      <c r="V8" t="s">
        <v>6232</v>
      </c>
      <c r="W8" t="s">
        <v>423</v>
      </c>
      <c r="X8" t="s">
        <v>6232</v>
      </c>
    </row>
    <row r="9" spans="1:24" ht="18.399999999999999" hidden="1" customHeight="1">
      <c r="A9" s="11" t="s">
        <v>2489</v>
      </c>
      <c r="B9" s="2" t="s">
        <v>4153</v>
      </c>
      <c r="C9" s="2" t="s">
        <v>1689</v>
      </c>
      <c r="D9" s="2" t="s">
        <v>6135</v>
      </c>
      <c r="E9" s="25">
        <v>8400</v>
      </c>
      <c r="F9" s="25">
        <v>8400</v>
      </c>
      <c r="G9" s="2" t="s">
        <v>3147</v>
      </c>
      <c r="H9" s="25">
        <v>10477.778</v>
      </c>
      <c r="I9" s="2" t="s">
        <v>5924</v>
      </c>
      <c r="J9" s="2"/>
      <c r="K9" s="2" t="s">
        <v>6232</v>
      </c>
      <c r="L9" s="2"/>
      <c r="M9" s="2" t="s">
        <v>6232</v>
      </c>
      <c r="N9" s="2"/>
      <c r="O9" s="2" t="s">
        <v>6232</v>
      </c>
      <c r="P9" s="2"/>
      <c r="Q9" s="12" t="s">
        <v>6232</v>
      </c>
      <c r="V9" t="s">
        <v>6232</v>
      </c>
      <c r="W9" t="s">
        <v>2489</v>
      </c>
      <c r="X9" t="s">
        <v>6232</v>
      </c>
    </row>
    <row r="10" spans="1:24" ht="18.399999999999999" hidden="1" customHeight="1">
      <c r="A10" s="11" t="s">
        <v>1519</v>
      </c>
      <c r="B10" s="2" t="s">
        <v>2565</v>
      </c>
      <c r="C10" s="2" t="s">
        <v>345</v>
      </c>
      <c r="D10" s="2" t="s">
        <v>6135</v>
      </c>
      <c r="E10" s="25">
        <v>3750</v>
      </c>
      <c r="F10" s="25">
        <v>3750</v>
      </c>
      <c r="G10" s="2" t="s">
        <v>3147</v>
      </c>
      <c r="H10" s="25">
        <v>4655.5559999999996</v>
      </c>
      <c r="I10" s="2" t="s">
        <v>5924</v>
      </c>
      <c r="J10" s="25">
        <v>5222.2219999999998</v>
      </c>
      <c r="K10" s="2" t="s">
        <v>1854</v>
      </c>
      <c r="L10" s="2"/>
      <c r="M10" s="2" t="s">
        <v>6232</v>
      </c>
      <c r="N10" s="2"/>
      <c r="O10" s="2" t="s">
        <v>6232</v>
      </c>
      <c r="P10" s="2"/>
      <c r="Q10" s="12" t="s">
        <v>6232</v>
      </c>
      <c r="V10" t="s">
        <v>6232</v>
      </c>
      <c r="W10" t="s">
        <v>1519</v>
      </c>
      <c r="X10" t="s">
        <v>6232</v>
      </c>
    </row>
    <row r="11" spans="1:24" ht="18.399999999999999" hidden="1" customHeight="1">
      <c r="A11" s="11" t="s">
        <v>5340</v>
      </c>
      <c r="B11" s="2" t="s">
        <v>2587</v>
      </c>
      <c r="C11" s="2" t="s">
        <v>2475</v>
      </c>
      <c r="D11" s="2" t="s">
        <v>6135</v>
      </c>
      <c r="E11" s="25">
        <v>2700</v>
      </c>
      <c r="F11" s="25">
        <v>2708.3330000000001</v>
      </c>
      <c r="G11" s="2" t="s">
        <v>3147</v>
      </c>
      <c r="H11" s="25">
        <v>2700</v>
      </c>
      <c r="I11" s="2" t="s">
        <v>5924</v>
      </c>
      <c r="J11" s="25">
        <v>3583.3330000000001</v>
      </c>
      <c r="K11" s="2" t="s">
        <v>1854</v>
      </c>
      <c r="L11" s="2"/>
      <c r="M11" s="2" t="s">
        <v>6232</v>
      </c>
      <c r="N11" s="2"/>
      <c r="O11" s="2" t="s">
        <v>6232</v>
      </c>
      <c r="P11" s="2"/>
      <c r="Q11" s="12" t="s">
        <v>6232</v>
      </c>
      <c r="U11" t="s">
        <v>5898</v>
      </c>
      <c r="V11" t="s">
        <v>5947</v>
      </c>
      <c r="W11" t="s">
        <v>5340</v>
      </c>
      <c r="X11" t="s">
        <v>6232</v>
      </c>
    </row>
    <row r="12" spans="1:24" ht="18.399999999999999" hidden="1" customHeight="1">
      <c r="A12" s="11" t="s">
        <v>745</v>
      </c>
      <c r="B12" s="2" t="s">
        <v>2597</v>
      </c>
      <c r="C12" s="2" t="s">
        <v>5612</v>
      </c>
      <c r="D12" s="2" t="s">
        <v>1112</v>
      </c>
      <c r="E12" s="25">
        <v>24120</v>
      </c>
      <c r="F12" s="2"/>
      <c r="G12" s="2" t="s">
        <v>6232</v>
      </c>
      <c r="H12" s="2"/>
      <c r="I12" s="2" t="s">
        <v>6232</v>
      </c>
      <c r="J12" s="25">
        <v>35560</v>
      </c>
      <c r="K12" s="2" t="s">
        <v>3799</v>
      </c>
      <c r="L12" s="25">
        <v>24120</v>
      </c>
      <c r="M12" s="2" t="s">
        <v>3761</v>
      </c>
      <c r="N12" s="25">
        <v>28890</v>
      </c>
      <c r="O12" s="2" t="s">
        <v>101</v>
      </c>
      <c r="P12" s="25">
        <v>42500</v>
      </c>
      <c r="Q12" s="12" t="s">
        <v>6051</v>
      </c>
      <c r="U12" t="s">
        <v>1739</v>
      </c>
      <c r="V12" t="s">
        <v>6232</v>
      </c>
      <c r="W12" t="s">
        <v>745</v>
      </c>
      <c r="X12" t="s">
        <v>6232</v>
      </c>
    </row>
    <row r="13" spans="1:24" ht="18.399999999999999" hidden="1" customHeight="1">
      <c r="A13" s="11" t="s">
        <v>3511</v>
      </c>
      <c r="B13" s="2" t="s">
        <v>2597</v>
      </c>
      <c r="C13" s="2" t="s">
        <v>3978</v>
      </c>
      <c r="D13" s="2" t="s">
        <v>1112</v>
      </c>
      <c r="E13" s="25">
        <v>25320</v>
      </c>
      <c r="F13" s="2"/>
      <c r="G13" s="2" t="s">
        <v>6232</v>
      </c>
      <c r="H13" s="2"/>
      <c r="I13" s="2" t="s">
        <v>6232</v>
      </c>
      <c r="J13" s="25">
        <v>37450</v>
      </c>
      <c r="K13" s="2" t="s">
        <v>3799</v>
      </c>
      <c r="L13" s="25">
        <v>25320</v>
      </c>
      <c r="M13" s="2" t="s">
        <v>3761</v>
      </c>
      <c r="N13" s="25">
        <v>29970</v>
      </c>
      <c r="O13" s="2" t="s">
        <v>101</v>
      </c>
      <c r="P13" s="25">
        <v>43700</v>
      </c>
      <c r="Q13" s="12" t="s">
        <v>6051</v>
      </c>
      <c r="U13" t="s">
        <v>2442</v>
      </c>
      <c r="V13" t="s">
        <v>6232</v>
      </c>
      <c r="W13" t="s">
        <v>3511</v>
      </c>
      <c r="X13" t="s">
        <v>6232</v>
      </c>
    </row>
    <row r="14" spans="1:24" ht="18.399999999999999" hidden="1" customHeight="1">
      <c r="A14" s="11" t="s">
        <v>23</v>
      </c>
      <c r="B14" s="2" t="s">
        <v>2597</v>
      </c>
      <c r="C14" s="2" t="s">
        <v>2004</v>
      </c>
      <c r="D14" s="2" t="s">
        <v>1112</v>
      </c>
      <c r="E14" s="25">
        <v>28540</v>
      </c>
      <c r="F14" s="2"/>
      <c r="G14" s="2" t="s">
        <v>6232</v>
      </c>
      <c r="H14" s="2"/>
      <c r="I14" s="2" t="s">
        <v>6232</v>
      </c>
      <c r="J14" s="25">
        <v>47450</v>
      </c>
      <c r="K14" s="2" t="s">
        <v>3799</v>
      </c>
      <c r="L14" s="25">
        <v>28540</v>
      </c>
      <c r="M14" s="2" t="s">
        <v>3761</v>
      </c>
      <c r="N14" s="25">
        <v>32980</v>
      </c>
      <c r="O14" s="2" t="s">
        <v>101</v>
      </c>
      <c r="P14" s="25">
        <v>47200</v>
      </c>
      <c r="Q14" s="12" t="s">
        <v>6051</v>
      </c>
      <c r="U14" t="s">
        <v>4842</v>
      </c>
      <c r="V14" t="s">
        <v>6232</v>
      </c>
      <c r="W14" t="s">
        <v>23</v>
      </c>
      <c r="X14" t="s">
        <v>6232</v>
      </c>
    </row>
    <row r="15" spans="1:24" ht="18.399999999999999" hidden="1" customHeight="1">
      <c r="A15" s="11" t="s">
        <v>4899</v>
      </c>
      <c r="B15" s="2" t="s">
        <v>2597</v>
      </c>
      <c r="C15" s="2" t="s">
        <v>2037</v>
      </c>
      <c r="D15" s="2" t="s">
        <v>1112</v>
      </c>
      <c r="E15" s="25">
        <v>29450</v>
      </c>
      <c r="F15" s="2"/>
      <c r="G15" s="2" t="s">
        <v>6232</v>
      </c>
      <c r="H15" s="2"/>
      <c r="I15" s="2" t="s">
        <v>6232</v>
      </c>
      <c r="J15" s="25">
        <v>49830</v>
      </c>
      <c r="K15" s="2" t="s">
        <v>3799</v>
      </c>
      <c r="L15" s="25">
        <v>29450</v>
      </c>
      <c r="M15" s="2" t="s">
        <v>3761</v>
      </c>
      <c r="N15" s="25">
        <v>33760</v>
      </c>
      <c r="O15" s="2" t="s">
        <v>101</v>
      </c>
      <c r="P15" s="25">
        <v>48100</v>
      </c>
      <c r="Q15" s="12" t="s">
        <v>6051</v>
      </c>
      <c r="U15" t="s">
        <v>1955</v>
      </c>
      <c r="V15" t="s">
        <v>6232</v>
      </c>
      <c r="W15" t="s">
        <v>4899</v>
      </c>
      <c r="X15" t="s">
        <v>6232</v>
      </c>
    </row>
    <row r="16" spans="1:24" ht="18.399999999999999" hidden="1" customHeight="1">
      <c r="A16" s="11" t="s">
        <v>2573</v>
      </c>
      <c r="B16" s="2" t="s">
        <v>2597</v>
      </c>
      <c r="C16" s="2" t="s">
        <v>2412</v>
      </c>
      <c r="D16" s="2" t="s">
        <v>1112</v>
      </c>
      <c r="E16" s="25">
        <v>33020</v>
      </c>
      <c r="F16" s="2"/>
      <c r="G16" s="2" t="s">
        <v>6232</v>
      </c>
      <c r="H16" s="2"/>
      <c r="I16" s="2" t="s">
        <v>6232</v>
      </c>
      <c r="J16" s="25">
        <v>58660</v>
      </c>
      <c r="K16" s="2" t="s">
        <v>3799</v>
      </c>
      <c r="L16" s="25">
        <v>33020</v>
      </c>
      <c r="M16" s="2" t="s">
        <v>3761</v>
      </c>
      <c r="N16" s="25">
        <v>36930</v>
      </c>
      <c r="O16" s="2" t="s">
        <v>101</v>
      </c>
      <c r="P16" s="25">
        <v>51700</v>
      </c>
      <c r="Q16" s="12" t="s">
        <v>6051</v>
      </c>
      <c r="U16" t="s">
        <v>5727</v>
      </c>
      <c r="V16" t="s">
        <v>6232</v>
      </c>
      <c r="W16" t="s">
        <v>2573</v>
      </c>
      <c r="X16" t="s">
        <v>6232</v>
      </c>
    </row>
    <row r="17" spans="1:24" ht="18.399999999999999" hidden="1" customHeight="1">
      <c r="A17" s="11" t="s">
        <v>5239</v>
      </c>
      <c r="B17" s="2" t="s">
        <v>2597</v>
      </c>
      <c r="C17" s="2" t="s">
        <v>3074</v>
      </c>
      <c r="D17" s="2" t="s">
        <v>1112</v>
      </c>
      <c r="E17" s="25">
        <v>40020</v>
      </c>
      <c r="F17" s="2"/>
      <c r="G17" s="2" t="s">
        <v>6232</v>
      </c>
      <c r="H17" s="2"/>
      <c r="I17" s="2" t="s">
        <v>6232</v>
      </c>
      <c r="J17" s="25">
        <v>67130</v>
      </c>
      <c r="K17" s="2" t="s">
        <v>3799</v>
      </c>
      <c r="L17" s="25">
        <v>40020</v>
      </c>
      <c r="M17" s="2" t="s">
        <v>3761</v>
      </c>
      <c r="N17" s="25">
        <v>41700</v>
      </c>
      <c r="O17" s="2" t="s">
        <v>101</v>
      </c>
      <c r="P17" s="25">
        <v>57200</v>
      </c>
      <c r="Q17" s="12" t="s">
        <v>6051</v>
      </c>
      <c r="V17" t="s">
        <v>6232</v>
      </c>
      <c r="W17" t="s">
        <v>5239</v>
      </c>
      <c r="X17" t="s">
        <v>6232</v>
      </c>
    </row>
    <row r="18" spans="1:24" ht="18.399999999999999" hidden="1" customHeight="1">
      <c r="A18" s="11" t="s">
        <v>4301</v>
      </c>
      <c r="B18" s="2" t="s">
        <v>2597</v>
      </c>
      <c r="C18" s="2" t="s">
        <v>1165</v>
      </c>
      <c r="D18" s="2" t="s">
        <v>1112</v>
      </c>
      <c r="E18" s="25">
        <v>45620</v>
      </c>
      <c r="F18" s="2"/>
      <c r="G18" s="2" t="s">
        <v>6232</v>
      </c>
      <c r="H18" s="2"/>
      <c r="I18" s="2" t="s">
        <v>6232</v>
      </c>
      <c r="J18" s="25">
        <v>76960</v>
      </c>
      <c r="K18" s="2" t="s">
        <v>3799</v>
      </c>
      <c r="L18" s="25">
        <v>45620</v>
      </c>
      <c r="M18" s="2" t="s">
        <v>3761</v>
      </c>
      <c r="N18" s="25">
        <v>45670</v>
      </c>
      <c r="O18" s="2" t="s">
        <v>101</v>
      </c>
      <c r="P18" s="25">
        <v>71200</v>
      </c>
      <c r="Q18" s="12" t="s">
        <v>6051</v>
      </c>
      <c r="V18" t="s">
        <v>6232</v>
      </c>
      <c r="W18" t="s">
        <v>4301</v>
      </c>
      <c r="X18" t="s">
        <v>6232</v>
      </c>
    </row>
    <row r="19" spans="1:24" ht="18.399999999999999" hidden="1" customHeight="1">
      <c r="A19" s="11" t="s">
        <v>1520</v>
      </c>
      <c r="B19" s="2" t="s">
        <v>2597</v>
      </c>
      <c r="C19" s="2" t="s">
        <v>1570</v>
      </c>
      <c r="D19" s="2" t="s">
        <v>1112</v>
      </c>
      <c r="E19" s="25">
        <v>54600</v>
      </c>
      <c r="F19" s="2"/>
      <c r="G19" s="2" t="s">
        <v>6232</v>
      </c>
      <c r="H19" s="2"/>
      <c r="I19" s="2" t="s">
        <v>6232</v>
      </c>
      <c r="J19" s="25">
        <v>92160</v>
      </c>
      <c r="K19" s="2" t="s">
        <v>3799</v>
      </c>
      <c r="L19" s="25">
        <v>54600</v>
      </c>
      <c r="M19" s="2" t="s">
        <v>3761</v>
      </c>
      <c r="N19" s="25">
        <v>60480</v>
      </c>
      <c r="O19" s="2" t="s">
        <v>101</v>
      </c>
      <c r="P19" s="25">
        <v>73000</v>
      </c>
      <c r="Q19" s="12" t="s">
        <v>6051</v>
      </c>
      <c r="V19" t="s">
        <v>6232</v>
      </c>
      <c r="W19" t="s">
        <v>1520</v>
      </c>
      <c r="X19" t="s">
        <v>6232</v>
      </c>
    </row>
    <row r="20" spans="1:24" ht="18.399999999999999" hidden="1" customHeight="1">
      <c r="A20" s="11" t="s">
        <v>3226</v>
      </c>
      <c r="B20" s="2" t="s">
        <v>2597</v>
      </c>
      <c r="C20" s="2" t="s">
        <v>2531</v>
      </c>
      <c r="D20" s="2" t="s">
        <v>1112</v>
      </c>
      <c r="E20" s="25">
        <v>53670</v>
      </c>
      <c r="F20" s="2"/>
      <c r="G20" s="2" t="s">
        <v>6232</v>
      </c>
      <c r="H20" s="2"/>
      <c r="I20" s="2" t="s">
        <v>6232</v>
      </c>
      <c r="J20" s="25">
        <v>104640</v>
      </c>
      <c r="K20" s="2" t="s">
        <v>3799</v>
      </c>
      <c r="L20" s="25">
        <v>57580</v>
      </c>
      <c r="M20" s="2" t="s">
        <v>3761</v>
      </c>
      <c r="N20" s="25">
        <v>53670</v>
      </c>
      <c r="O20" s="2" t="s">
        <v>101</v>
      </c>
      <c r="P20" s="25">
        <v>73500</v>
      </c>
      <c r="Q20" s="12" t="s">
        <v>6051</v>
      </c>
      <c r="V20" t="s">
        <v>6232</v>
      </c>
      <c r="W20" t="s">
        <v>3226</v>
      </c>
      <c r="X20" t="s">
        <v>6232</v>
      </c>
    </row>
    <row r="21" spans="1:24" ht="18.399999999999999" hidden="1" customHeight="1">
      <c r="A21" s="11" t="s">
        <v>2510</v>
      </c>
      <c r="B21" s="2" t="s">
        <v>2597</v>
      </c>
      <c r="C21" s="2" t="s">
        <v>4102</v>
      </c>
      <c r="D21" s="2" t="s">
        <v>1112</v>
      </c>
      <c r="E21" s="25">
        <v>69220</v>
      </c>
      <c r="F21" s="2"/>
      <c r="G21" s="2" t="s">
        <v>6232</v>
      </c>
      <c r="H21" s="2"/>
      <c r="I21" s="2" t="s">
        <v>6232</v>
      </c>
      <c r="J21" s="25">
        <v>115360</v>
      </c>
      <c r="K21" s="2" t="s">
        <v>3799</v>
      </c>
      <c r="L21" s="25">
        <v>69220</v>
      </c>
      <c r="M21" s="2" t="s">
        <v>3761</v>
      </c>
      <c r="N21" s="25">
        <v>73210</v>
      </c>
      <c r="O21" s="2" t="s">
        <v>101</v>
      </c>
      <c r="P21" s="25">
        <v>84500</v>
      </c>
      <c r="Q21" s="12" t="s">
        <v>6051</v>
      </c>
      <c r="U21" t="s">
        <v>828</v>
      </c>
      <c r="V21" t="s">
        <v>6232</v>
      </c>
      <c r="W21" t="s">
        <v>2510</v>
      </c>
      <c r="X21" t="s">
        <v>6232</v>
      </c>
    </row>
    <row r="22" spans="1:24" ht="18.399999999999999" hidden="1" customHeight="1">
      <c r="A22" s="11" t="s">
        <v>5385</v>
      </c>
      <c r="B22" s="2" t="s">
        <v>2597</v>
      </c>
      <c r="C22" s="2" t="s">
        <v>4184</v>
      </c>
      <c r="D22" s="2" t="s">
        <v>1112</v>
      </c>
      <c r="E22" s="25">
        <v>92290</v>
      </c>
      <c r="F22" s="2"/>
      <c r="G22" s="2" t="s">
        <v>6232</v>
      </c>
      <c r="H22" s="2"/>
      <c r="I22" s="2" t="s">
        <v>6232</v>
      </c>
      <c r="J22" s="25">
        <v>170280</v>
      </c>
      <c r="K22" s="2" t="s">
        <v>3799</v>
      </c>
      <c r="L22" s="25">
        <v>103420</v>
      </c>
      <c r="M22" s="2" t="s">
        <v>3761</v>
      </c>
      <c r="N22" s="25">
        <v>92290</v>
      </c>
      <c r="O22" s="2" t="s">
        <v>101</v>
      </c>
      <c r="P22" s="25">
        <v>119200</v>
      </c>
      <c r="Q22" s="12" t="s">
        <v>6051</v>
      </c>
      <c r="U22" t="s">
        <v>5938</v>
      </c>
      <c r="V22" t="s">
        <v>6232</v>
      </c>
      <c r="W22" t="s">
        <v>5385</v>
      </c>
      <c r="X22" t="s">
        <v>6232</v>
      </c>
    </row>
    <row r="23" spans="1:24" ht="18.399999999999999" hidden="1" customHeight="1">
      <c r="A23" s="11" t="s">
        <v>1979</v>
      </c>
      <c r="B23" s="2" t="s">
        <v>2597</v>
      </c>
      <c r="C23" s="2" t="s">
        <v>1695</v>
      </c>
      <c r="D23" s="2" t="s">
        <v>1112</v>
      </c>
      <c r="E23" s="25">
        <v>125740</v>
      </c>
      <c r="F23" s="2"/>
      <c r="G23" s="2" t="s">
        <v>6232</v>
      </c>
      <c r="H23" s="2"/>
      <c r="I23" s="2" t="s">
        <v>6232</v>
      </c>
      <c r="J23" s="25">
        <v>238140</v>
      </c>
      <c r="K23" s="2" t="s">
        <v>3799</v>
      </c>
      <c r="L23" s="25">
        <v>137150</v>
      </c>
      <c r="M23" s="2" t="s">
        <v>3761</v>
      </c>
      <c r="N23" s="25">
        <v>125740</v>
      </c>
      <c r="O23" s="2" t="s">
        <v>101</v>
      </c>
      <c r="P23" s="25">
        <v>153800</v>
      </c>
      <c r="Q23" s="12" t="s">
        <v>6051</v>
      </c>
      <c r="U23" t="s">
        <v>4694</v>
      </c>
      <c r="V23" t="s">
        <v>6232</v>
      </c>
      <c r="W23" t="s">
        <v>1979</v>
      </c>
      <c r="X23" t="s">
        <v>6232</v>
      </c>
    </row>
    <row r="24" spans="1:24" ht="18.399999999999999" hidden="1" customHeight="1">
      <c r="A24" s="11" t="s">
        <v>4743</v>
      </c>
      <c r="B24" s="2" t="s">
        <v>2597</v>
      </c>
      <c r="C24" s="2" t="s">
        <v>4869</v>
      </c>
      <c r="D24" s="2" t="s">
        <v>1112</v>
      </c>
      <c r="E24" s="25">
        <v>151600</v>
      </c>
      <c r="F24" s="2"/>
      <c r="G24" s="2" t="s">
        <v>6232</v>
      </c>
      <c r="H24" s="2"/>
      <c r="I24" s="2" t="s">
        <v>6232</v>
      </c>
      <c r="J24" s="25">
        <v>272160</v>
      </c>
      <c r="K24" s="2" t="s">
        <v>3799</v>
      </c>
      <c r="L24" s="25">
        <v>164360</v>
      </c>
      <c r="M24" s="2" t="s">
        <v>3761</v>
      </c>
      <c r="N24" s="25">
        <v>151600</v>
      </c>
      <c r="O24" s="2" t="s">
        <v>101</v>
      </c>
      <c r="P24" s="25">
        <v>177100</v>
      </c>
      <c r="Q24" s="12" t="s">
        <v>6051</v>
      </c>
      <c r="U24" t="s">
        <v>2717</v>
      </c>
      <c r="V24" t="s">
        <v>6232</v>
      </c>
      <c r="W24" t="s">
        <v>4743</v>
      </c>
      <c r="X24" t="s">
        <v>6232</v>
      </c>
    </row>
    <row r="25" spans="1:24" ht="18.399999999999999" hidden="1" customHeight="1">
      <c r="A25" s="11" t="s">
        <v>3400</v>
      </c>
      <c r="B25" s="2" t="s">
        <v>2597</v>
      </c>
      <c r="C25" s="2" t="s">
        <v>808</v>
      </c>
      <c r="D25" s="2" t="s">
        <v>1112</v>
      </c>
      <c r="E25" s="25">
        <v>173320</v>
      </c>
      <c r="F25" s="2"/>
      <c r="G25" s="2" t="s">
        <v>6232</v>
      </c>
      <c r="H25" s="2"/>
      <c r="I25" s="2" t="s">
        <v>6232</v>
      </c>
      <c r="J25" s="25">
        <v>328760</v>
      </c>
      <c r="K25" s="2" t="s">
        <v>3799</v>
      </c>
      <c r="L25" s="25">
        <v>192570</v>
      </c>
      <c r="M25" s="2" t="s">
        <v>3761</v>
      </c>
      <c r="N25" s="25">
        <v>173320</v>
      </c>
      <c r="O25" s="2" t="s">
        <v>101</v>
      </c>
      <c r="P25" s="25">
        <v>205600</v>
      </c>
      <c r="Q25" s="12" t="s">
        <v>6051</v>
      </c>
      <c r="U25" t="s">
        <v>4332</v>
      </c>
      <c r="V25" t="s">
        <v>6232</v>
      </c>
      <c r="W25" t="s">
        <v>3400</v>
      </c>
      <c r="X25" t="s">
        <v>6232</v>
      </c>
    </row>
    <row r="26" spans="1:24" ht="18.399999999999999" hidden="1" customHeight="1">
      <c r="A26" s="11" t="s">
        <v>1142</v>
      </c>
      <c r="B26" s="2" t="s">
        <v>2597</v>
      </c>
      <c r="C26" s="2" t="s">
        <v>2695</v>
      </c>
      <c r="D26" s="2" t="s">
        <v>1112</v>
      </c>
      <c r="E26" s="25">
        <v>203770</v>
      </c>
      <c r="F26" s="2"/>
      <c r="G26" s="2" t="s">
        <v>6232</v>
      </c>
      <c r="H26" s="2"/>
      <c r="I26" s="2" t="s">
        <v>6232</v>
      </c>
      <c r="J26" s="25">
        <v>395660</v>
      </c>
      <c r="K26" s="2" t="s">
        <v>3799</v>
      </c>
      <c r="L26" s="25">
        <v>223930</v>
      </c>
      <c r="M26" s="2" t="s">
        <v>3761</v>
      </c>
      <c r="N26" s="25">
        <v>203770</v>
      </c>
      <c r="O26" s="2" t="s">
        <v>101</v>
      </c>
      <c r="P26" s="25">
        <v>241200</v>
      </c>
      <c r="Q26" s="12" t="s">
        <v>6051</v>
      </c>
      <c r="U26" t="s">
        <v>5901</v>
      </c>
      <c r="V26" t="s">
        <v>6232</v>
      </c>
      <c r="W26" t="s">
        <v>1142</v>
      </c>
      <c r="X26" t="s">
        <v>6232</v>
      </c>
    </row>
    <row r="27" spans="1:24" ht="18.399999999999999" hidden="1" customHeight="1">
      <c r="A27" s="11" t="s">
        <v>3544</v>
      </c>
      <c r="B27" s="2" t="s">
        <v>2597</v>
      </c>
      <c r="C27" s="2" t="s">
        <v>3762</v>
      </c>
      <c r="D27" s="2" t="s">
        <v>1112</v>
      </c>
      <c r="E27" s="25">
        <v>241550</v>
      </c>
      <c r="F27" s="2"/>
      <c r="G27" s="2" t="s">
        <v>6232</v>
      </c>
      <c r="H27" s="2"/>
      <c r="I27" s="2" t="s">
        <v>6232</v>
      </c>
      <c r="J27" s="25">
        <v>452410</v>
      </c>
      <c r="K27" s="2" t="s">
        <v>3799</v>
      </c>
      <c r="L27" s="25">
        <v>266880</v>
      </c>
      <c r="M27" s="2" t="s">
        <v>3761</v>
      </c>
      <c r="N27" s="25">
        <v>241550</v>
      </c>
      <c r="O27" s="2" t="s">
        <v>101</v>
      </c>
      <c r="P27" s="25">
        <v>296800</v>
      </c>
      <c r="Q27" s="12" t="s">
        <v>6051</v>
      </c>
      <c r="V27" t="s">
        <v>6232</v>
      </c>
      <c r="W27" t="s">
        <v>3544</v>
      </c>
      <c r="X27" t="s">
        <v>6232</v>
      </c>
    </row>
    <row r="28" spans="1:24" ht="18.399999999999999" hidden="1" customHeight="1">
      <c r="A28" s="11" t="s">
        <v>2866</v>
      </c>
      <c r="B28" s="2" t="s">
        <v>2597</v>
      </c>
      <c r="C28" s="2" t="s">
        <v>512</v>
      </c>
      <c r="D28" s="2" t="s">
        <v>1112</v>
      </c>
      <c r="E28" s="25">
        <v>294420</v>
      </c>
      <c r="F28" s="2"/>
      <c r="G28" s="2" t="s">
        <v>6232</v>
      </c>
      <c r="H28" s="2"/>
      <c r="I28" s="2" t="s">
        <v>6232</v>
      </c>
      <c r="J28" s="25">
        <v>558000</v>
      </c>
      <c r="K28" s="2" t="s">
        <v>3799</v>
      </c>
      <c r="L28" s="25">
        <v>316350</v>
      </c>
      <c r="M28" s="2" t="s">
        <v>3761</v>
      </c>
      <c r="N28" s="25">
        <v>294420</v>
      </c>
      <c r="O28" s="2" t="s">
        <v>101</v>
      </c>
      <c r="P28" s="25">
        <v>348100</v>
      </c>
      <c r="Q28" s="12" t="s">
        <v>6051</v>
      </c>
      <c r="V28" t="s">
        <v>6232</v>
      </c>
      <c r="W28" t="s">
        <v>2866</v>
      </c>
      <c r="X28" t="s">
        <v>6232</v>
      </c>
    </row>
    <row r="29" spans="1:24" ht="18.399999999999999" hidden="1" customHeight="1">
      <c r="A29" s="11" t="s">
        <v>817</v>
      </c>
      <c r="B29" s="2" t="s">
        <v>2597</v>
      </c>
      <c r="C29" s="2" t="s">
        <v>6186</v>
      </c>
      <c r="D29" s="2" t="s">
        <v>1112</v>
      </c>
      <c r="E29" s="25">
        <v>353670</v>
      </c>
      <c r="F29" s="2"/>
      <c r="G29" s="2" t="s">
        <v>6232</v>
      </c>
      <c r="H29" s="2"/>
      <c r="I29" s="2" t="s">
        <v>6232</v>
      </c>
      <c r="J29" s="25">
        <v>558000</v>
      </c>
      <c r="K29" s="2" t="s">
        <v>3799</v>
      </c>
      <c r="L29" s="25">
        <v>382080</v>
      </c>
      <c r="M29" s="2" t="s">
        <v>3761</v>
      </c>
      <c r="N29" s="25">
        <v>353670</v>
      </c>
      <c r="O29" s="2" t="s">
        <v>101</v>
      </c>
      <c r="P29" s="25">
        <v>441500</v>
      </c>
      <c r="Q29" s="12" t="s">
        <v>6051</v>
      </c>
      <c r="V29" t="s">
        <v>6232</v>
      </c>
      <c r="W29" t="s">
        <v>2866</v>
      </c>
      <c r="X29" t="s">
        <v>6232</v>
      </c>
    </row>
    <row r="30" spans="1:24" ht="18.399999999999999" hidden="1" customHeight="1">
      <c r="A30" s="11" t="s">
        <v>1487</v>
      </c>
      <c r="B30" s="2" t="s">
        <v>2597</v>
      </c>
      <c r="C30" s="2" t="s">
        <v>6103</v>
      </c>
      <c r="D30" s="2" t="s">
        <v>1112</v>
      </c>
      <c r="E30" s="25">
        <v>411280</v>
      </c>
      <c r="F30" s="2"/>
      <c r="G30" s="2" t="s">
        <v>6232</v>
      </c>
      <c r="H30" s="2"/>
      <c r="I30" s="2" t="s">
        <v>6232</v>
      </c>
      <c r="J30" s="25">
        <v>558000</v>
      </c>
      <c r="K30" s="2" t="s">
        <v>3799</v>
      </c>
      <c r="L30" s="25">
        <v>450620</v>
      </c>
      <c r="M30" s="2" t="s">
        <v>3761</v>
      </c>
      <c r="N30" s="25">
        <v>411280</v>
      </c>
      <c r="O30" s="2" t="s">
        <v>101</v>
      </c>
      <c r="P30" s="25">
        <v>485100</v>
      </c>
      <c r="Q30" s="12" t="s">
        <v>6051</v>
      </c>
      <c r="V30" t="s">
        <v>6232</v>
      </c>
      <c r="W30" t="s">
        <v>2866</v>
      </c>
      <c r="X30" t="s">
        <v>6232</v>
      </c>
    </row>
    <row r="31" spans="1:24" ht="18.399999999999999" hidden="1" customHeight="1">
      <c r="A31" s="11" t="s">
        <v>2952</v>
      </c>
      <c r="B31" s="2" t="s">
        <v>2597</v>
      </c>
      <c r="C31" s="2" t="s">
        <v>369</v>
      </c>
      <c r="D31" s="2" t="s">
        <v>1112</v>
      </c>
      <c r="E31" s="25">
        <v>427050</v>
      </c>
      <c r="F31" s="2"/>
      <c r="G31" s="2" t="s">
        <v>6232</v>
      </c>
      <c r="H31" s="2"/>
      <c r="I31" s="2" t="s">
        <v>6232</v>
      </c>
      <c r="J31" s="25">
        <v>558000</v>
      </c>
      <c r="K31" s="2" t="s">
        <v>3799</v>
      </c>
      <c r="L31" s="25">
        <v>512850</v>
      </c>
      <c r="M31" s="2" t="s">
        <v>3761</v>
      </c>
      <c r="N31" s="25">
        <v>427050</v>
      </c>
      <c r="O31" s="2" t="s">
        <v>101</v>
      </c>
      <c r="P31" s="25">
        <v>574400</v>
      </c>
      <c r="Q31" s="12" t="s">
        <v>6051</v>
      </c>
      <c r="U31" t="s">
        <v>5406</v>
      </c>
      <c r="V31" t="s">
        <v>6232</v>
      </c>
      <c r="W31" t="s">
        <v>2866</v>
      </c>
      <c r="X31" t="s">
        <v>6232</v>
      </c>
    </row>
    <row r="32" spans="1:24" ht="18.399999999999999" hidden="1" customHeight="1">
      <c r="A32" s="11" t="s">
        <v>213</v>
      </c>
      <c r="B32" s="2" t="s">
        <v>2597</v>
      </c>
      <c r="C32" s="2" t="s">
        <v>3821</v>
      </c>
      <c r="D32" s="2" t="s">
        <v>1112</v>
      </c>
      <c r="E32" s="25">
        <v>460760</v>
      </c>
      <c r="F32" s="2"/>
      <c r="G32" s="2" t="s">
        <v>6232</v>
      </c>
      <c r="H32" s="2"/>
      <c r="I32" s="2" t="s">
        <v>6232</v>
      </c>
      <c r="J32" s="25">
        <v>558000</v>
      </c>
      <c r="K32" s="2" t="s">
        <v>3799</v>
      </c>
      <c r="L32" s="25">
        <v>557030</v>
      </c>
      <c r="M32" s="2" t="s">
        <v>3761</v>
      </c>
      <c r="N32" s="25">
        <v>460760</v>
      </c>
      <c r="O32" s="2" t="s">
        <v>101</v>
      </c>
      <c r="P32" s="25">
        <v>629700</v>
      </c>
      <c r="Q32" s="12" t="s">
        <v>6051</v>
      </c>
      <c r="U32" t="s">
        <v>5406</v>
      </c>
      <c r="V32" t="s">
        <v>6232</v>
      </c>
      <c r="W32" t="s">
        <v>2866</v>
      </c>
      <c r="X32" t="s">
        <v>6232</v>
      </c>
    </row>
    <row r="33" spans="1:24" ht="18.399999999999999" hidden="1" customHeight="1">
      <c r="A33" s="11" t="s">
        <v>1816</v>
      </c>
      <c r="B33" s="2" t="s">
        <v>2597</v>
      </c>
      <c r="C33" s="2" t="s">
        <v>2812</v>
      </c>
      <c r="D33" s="2" t="s">
        <v>1112</v>
      </c>
      <c r="E33" s="25">
        <v>493130</v>
      </c>
      <c r="F33" s="2"/>
      <c r="G33" s="2" t="s">
        <v>6232</v>
      </c>
      <c r="H33" s="2"/>
      <c r="I33" s="2" t="s">
        <v>6232</v>
      </c>
      <c r="J33" s="25">
        <v>558000</v>
      </c>
      <c r="K33" s="2" t="s">
        <v>3799</v>
      </c>
      <c r="L33" s="25">
        <v>591480</v>
      </c>
      <c r="M33" s="2" t="s">
        <v>3761</v>
      </c>
      <c r="N33" s="25">
        <v>493130</v>
      </c>
      <c r="O33" s="2" t="s">
        <v>101</v>
      </c>
      <c r="P33" s="25">
        <v>667700</v>
      </c>
      <c r="Q33" s="12" t="s">
        <v>6051</v>
      </c>
      <c r="U33" t="s">
        <v>5406</v>
      </c>
      <c r="V33" t="s">
        <v>6232</v>
      </c>
      <c r="W33" t="s">
        <v>2866</v>
      </c>
      <c r="X33" t="s">
        <v>6232</v>
      </c>
    </row>
    <row r="34" spans="1:24" ht="18.399999999999999" hidden="1" customHeight="1">
      <c r="A34" s="11" t="s">
        <v>65</v>
      </c>
      <c r="B34" s="2" t="s">
        <v>3167</v>
      </c>
      <c r="C34" s="2" t="s">
        <v>6190</v>
      </c>
      <c r="D34" s="2" t="s">
        <v>1112</v>
      </c>
      <c r="E34" s="25">
        <v>13430</v>
      </c>
      <c r="F34" s="25">
        <v>13430</v>
      </c>
      <c r="G34" s="2" t="s">
        <v>3124</v>
      </c>
      <c r="H34" s="25">
        <v>16860</v>
      </c>
      <c r="I34" s="2" t="s">
        <v>3172</v>
      </c>
      <c r="J34" s="25">
        <v>14050</v>
      </c>
      <c r="K34" s="2" t="s">
        <v>2114</v>
      </c>
      <c r="L34" s="2"/>
      <c r="M34" s="2" t="s">
        <v>6232</v>
      </c>
      <c r="N34" s="2"/>
      <c r="O34" s="2" t="s">
        <v>6232</v>
      </c>
      <c r="P34" s="2"/>
      <c r="Q34" s="12" t="s">
        <v>6232</v>
      </c>
      <c r="U34" t="s">
        <v>5406</v>
      </c>
      <c r="V34" t="s">
        <v>6232</v>
      </c>
      <c r="W34" t="s">
        <v>65</v>
      </c>
      <c r="X34" t="s">
        <v>6232</v>
      </c>
    </row>
    <row r="35" spans="1:24" ht="18.399999999999999" hidden="1" customHeight="1">
      <c r="A35" s="11" t="s">
        <v>1111</v>
      </c>
      <c r="B35" s="2" t="s">
        <v>3167</v>
      </c>
      <c r="C35" s="2" t="s">
        <v>5417</v>
      </c>
      <c r="D35" s="2" t="s">
        <v>1112</v>
      </c>
      <c r="E35" s="25">
        <v>20100</v>
      </c>
      <c r="F35" s="25">
        <v>20100</v>
      </c>
      <c r="G35" s="2" t="s">
        <v>3124</v>
      </c>
      <c r="H35" s="25">
        <v>25230</v>
      </c>
      <c r="I35" s="2" t="s">
        <v>3172</v>
      </c>
      <c r="J35" s="25">
        <v>21020</v>
      </c>
      <c r="K35" s="2" t="s">
        <v>2114</v>
      </c>
      <c r="L35" s="2"/>
      <c r="M35" s="2" t="s">
        <v>6232</v>
      </c>
      <c r="N35" s="2"/>
      <c r="O35" s="2" t="s">
        <v>6232</v>
      </c>
      <c r="P35" s="2"/>
      <c r="Q35" s="12" t="s">
        <v>6232</v>
      </c>
      <c r="U35" t="s">
        <v>5406</v>
      </c>
      <c r="V35" t="s">
        <v>6232</v>
      </c>
      <c r="W35" t="s">
        <v>1111</v>
      </c>
      <c r="X35" t="s">
        <v>6232</v>
      </c>
    </row>
    <row r="36" spans="1:24" ht="18.399999999999999" hidden="1" customHeight="1">
      <c r="A36" s="11" t="s">
        <v>998</v>
      </c>
      <c r="B36" s="2" t="s">
        <v>3167</v>
      </c>
      <c r="C36" s="2" t="s">
        <v>2836</v>
      </c>
      <c r="D36" s="2" t="s">
        <v>1112</v>
      </c>
      <c r="E36" s="25">
        <v>27900</v>
      </c>
      <c r="F36" s="25">
        <v>27900</v>
      </c>
      <c r="G36" s="2" t="s">
        <v>3124</v>
      </c>
      <c r="H36" s="25">
        <v>35010</v>
      </c>
      <c r="I36" s="2" t="s">
        <v>3172</v>
      </c>
      <c r="J36" s="25">
        <v>29170</v>
      </c>
      <c r="K36" s="2" t="s">
        <v>2114</v>
      </c>
      <c r="L36" s="2"/>
      <c r="M36" s="2" t="s">
        <v>6232</v>
      </c>
      <c r="N36" s="2"/>
      <c r="O36" s="2" t="s">
        <v>6232</v>
      </c>
      <c r="P36" s="2"/>
      <c r="Q36" s="12" t="s">
        <v>6232</v>
      </c>
      <c r="U36" t="s">
        <v>5406</v>
      </c>
      <c r="V36" t="s">
        <v>6232</v>
      </c>
      <c r="W36" t="s">
        <v>998</v>
      </c>
      <c r="X36" t="s">
        <v>6232</v>
      </c>
    </row>
    <row r="37" spans="1:24" ht="18.399999999999999" hidden="1" customHeight="1">
      <c r="A37" s="11" t="s">
        <v>1730</v>
      </c>
      <c r="B37" s="2" t="s">
        <v>2125</v>
      </c>
      <c r="C37" s="2" t="s">
        <v>3377</v>
      </c>
      <c r="D37" s="2" t="s">
        <v>1112</v>
      </c>
      <c r="E37" s="25">
        <v>47676</v>
      </c>
      <c r="F37" s="25">
        <v>49281</v>
      </c>
      <c r="G37" s="2" t="s">
        <v>2617</v>
      </c>
      <c r="H37" s="25">
        <v>47676</v>
      </c>
      <c r="I37" s="2" t="s">
        <v>1288</v>
      </c>
      <c r="J37" s="25">
        <v>50451</v>
      </c>
      <c r="K37" s="2" t="s">
        <v>5211</v>
      </c>
      <c r="L37" s="2"/>
      <c r="M37" s="2" t="s">
        <v>6232</v>
      </c>
      <c r="N37" s="2"/>
      <c r="O37" s="2" t="s">
        <v>6232</v>
      </c>
      <c r="P37" s="2"/>
      <c r="Q37" s="12" t="s">
        <v>6232</v>
      </c>
      <c r="V37" t="s">
        <v>4327</v>
      </c>
      <c r="W37" t="s">
        <v>1730</v>
      </c>
      <c r="X37" t="s">
        <v>6232</v>
      </c>
    </row>
    <row r="38" spans="1:24" ht="18.399999999999999" hidden="1" customHeight="1">
      <c r="A38" s="11" t="s">
        <v>5966</v>
      </c>
      <c r="B38" s="2" t="s">
        <v>5523</v>
      </c>
      <c r="C38" s="2" t="s">
        <v>1044</v>
      </c>
      <c r="D38" s="2" t="s">
        <v>5013</v>
      </c>
      <c r="E38" s="25">
        <v>681.81799999999998</v>
      </c>
      <c r="F38" s="2"/>
      <c r="G38" s="2" t="s">
        <v>6232</v>
      </c>
      <c r="H38" s="25">
        <v>681.81799999999998</v>
      </c>
      <c r="I38" s="2" t="s">
        <v>6074</v>
      </c>
      <c r="J38" s="25">
        <v>750</v>
      </c>
      <c r="K38" s="2" t="s">
        <v>49</v>
      </c>
      <c r="L38" s="2"/>
      <c r="M38" s="2" t="s">
        <v>6232</v>
      </c>
      <c r="N38" s="2"/>
      <c r="O38" s="2" t="s">
        <v>6232</v>
      </c>
      <c r="P38" s="2"/>
      <c r="Q38" s="12" t="s">
        <v>6232</v>
      </c>
      <c r="V38" t="s">
        <v>6232</v>
      </c>
      <c r="W38" t="s">
        <v>5966</v>
      </c>
      <c r="X38" t="s">
        <v>6232</v>
      </c>
    </row>
    <row r="39" spans="1:24" ht="18.399999999999999" hidden="1" customHeight="1">
      <c r="A39" s="11" t="s">
        <v>1731</v>
      </c>
      <c r="B39" s="2" t="s">
        <v>2999</v>
      </c>
      <c r="C39" s="2" t="s">
        <v>5053</v>
      </c>
      <c r="D39" s="2" t="s">
        <v>5803</v>
      </c>
      <c r="E39" s="25">
        <v>3886</v>
      </c>
      <c r="F39" s="2"/>
      <c r="G39" s="2" t="s">
        <v>6232</v>
      </c>
      <c r="H39" s="25">
        <v>3886</v>
      </c>
      <c r="I39" s="2" t="s">
        <v>636</v>
      </c>
      <c r="J39" s="2"/>
      <c r="K39" s="2" t="s">
        <v>6232</v>
      </c>
      <c r="L39" s="2"/>
      <c r="M39" s="2" t="s">
        <v>6232</v>
      </c>
      <c r="N39" s="2"/>
      <c r="O39" s="2" t="s">
        <v>6232</v>
      </c>
      <c r="P39" s="2"/>
      <c r="Q39" s="12" t="s">
        <v>6232</v>
      </c>
      <c r="V39" t="s">
        <v>6232</v>
      </c>
      <c r="W39" t="s">
        <v>1731</v>
      </c>
      <c r="X39" t="s">
        <v>6232</v>
      </c>
    </row>
    <row r="40" spans="1:24" ht="18.399999999999999" hidden="1" customHeight="1">
      <c r="A40" s="11" t="s">
        <v>335</v>
      </c>
      <c r="B40" s="2" t="s">
        <v>2999</v>
      </c>
      <c r="C40" s="2" t="s">
        <v>3178</v>
      </c>
      <c r="D40" s="2" t="s">
        <v>1054</v>
      </c>
      <c r="E40" s="25">
        <v>4802</v>
      </c>
      <c r="F40" s="25">
        <v>4802</v>
      </c>
      <c r="G40" s="2" t="s">
        <v>4649</v>
      </c>
      <c r="H40" s="25">
        <v>4967</v>
      </c>
      <c r="I40" s="2" t="s">
        <v>636</v>
      </c>
      <c r="J40" s="2"/>
      <c r="K40" s="2" t="s">
        <v>6232</v>
      </c>
      <c r="L40" s="2"/>
      <c r="M40" s="2" t="s">
        <v>6232</v>
      </c>
      <c r="N40" s="2"/>
      <c r="O40" s="2" t="s">
        <v>6232</v>
      </c>
      <c r="P40" s="2"/>
      <c r="Q40" s="12" t="s">
        <v>6232</v>
      </c>
      <c r="V40" t="s">
        <v>6232</v>
      </c>
      <c r="W40" t="s">
        <v>335</v>
      </c>
      <c r="X40" t="s">
        <v>6232</v>
      </c>
    </row>
    <row r="41" spans="1:24" ht="18.399999999999999" hidden="1" customHeight="1">
      <c r="A41" s="11" t="s">
        <v>5034</v>
      </c>
      <c r="B41" s="2" t="s">
        <v>3776</v>
      </c>
      <c r="C41" s="2" t="s">
        <v>2135</v>
      </c>
      <c r="D41" s="2" t="s">
        <v>1054</v>
      </c>
      <c r="E41" s="25">
        <v>10738</v>
      </c>
      <c r="F41" s="25">
        <v>11728</v>
      </c>
      <c r="G41" s="2" t="s">
        <v>4649</v>
      </c>
      <c r="H41" s="25">
        <v>10738</v>
      </c>
      <c r="I41" s="2" t="s">
        <v>636</v>
      </c>
      <c r="J41" s="2"/>
      <c r="K41" s="2" t="s">
        <v>6232</v>
      </c>
      <c r="L41" s="2"/>
      <c r="M41" s="2" t="s">
        <v>6232</v>
      </c>
      <c r="N41" s="2"/>
      <c r="O41" s="2" t="s">
        <v>6232</v>
      </c>
      <c r="P41" s="2"/>
      <c r="Q41" s="12" t="s">
        <v>6232</v>
      </c>
      <c r="V41" t="s">
        <v>3053</v>
      </c>
      <c r="W41" t="s">
        <v>5034</v>
      </c>
      <c r="X41" t="s">
        <v>6232</v>
      </c>
    </row>
    <row r="42" spans="1:24" ht="18.399999999999999" hidden="1" customHeight="1">
      <c r="A42" s="11" t="s">
        <v>3980</v>
      </c>
      <c r="B42" s="2" t="s">
        <v>2121</v>
      </c>
      <c r="C42" s="2" t="s">
        <v>3392</v>
      </c>
      <c r="D42" s="2" t="s">
        <v>6135</v>
      </c>
      <c r="E42" s="25">
        <v>2.3170000000000002</v>
      </c>
      <c r="F42" s="25">
        <v>3.3330000000000002</v>
      </c>
      <c r="G42" s="2" t="s">
        <v>6007</v>
      </c>
      <c r="H42" s="25">
        <v>2.3170000000000002</v>
      </c>
      <c r="I42" s="2" t="s">
        <v>942</v>
      </c>
      <c r="J42" s="25">
        <v>2.3170000000000002</v>
      </c>
      <c r="K42" s="2" t="s">
        <v>3639</v>
      </c>
      <c r="L42" s="2"/>
      <c r="M42" s="2" t="s">
        <v>6232</v>
      </c>
      <c r="N42" s="2"/>
      <c r="O42" s="2" t="s">
        <v>6232</v>
      </c>
      <c r="P42" s="2"/>
      <c r="Q42" s="12" t="s">
        <v>6232</v>
      </c>
      <c r="V42" t="s">
        <v>6232</v>
      </c>
      <c r="W42" t="s">
        <v>3980</v>
      </c>
      <c r="X42" t="s">
        <v>6232</v>
      </c>
    </row>
    <row r="43" spans="1:24" ht="18.399999999999999" hidden="1" customHeight="1">
      <c r="A43" s="11" t="s">
        <v>2276</v>
      </c>
      <c r="B43" s="2" t="s">
        <v>401</v>
      </c>
      <c r="C43" s="2" t="s">
        <v>4123</v>
      </c>
      <c r="D43" s="2" t="s">
        <v>3042</v>
      </c>
      <c r="E43" s="25">
        <v>1346.364</v>
      </c>
      <c r="F43" s="25">
        <v>1531.818</v>
      </c>
      <c r="G43" s="2" t="s">
        <v>6007</v>
      </c>
      <c r="H43" s="25">
        <v>1363.636</v>
      </c>
      <c r="I43" s="2" t="s">
        <v>6232</v>
      </c>
      <c r="J43" s="25">
        <v>1346.364</v>
      </c>
      <c r="K43" s="2" t="s">
        <v>2760</v>
      </c>
      <c r="L43" s="2"/>
      <c r="M43" s="2" t="s">
        <v>6232</v>
      </c>
      <c r="N43" s="2"/>
      <c r="O43" s="2" t="s">
        <v>6232</v>
      </c>
      <c r="P43" s="2"/>
      <c r="Q43" s="12" t="s">
        <v>6232</v>
      </c>
      <c r="V43" t="s">
        <v>6232</v>
      </c>
      <c r="W43" t="s">
        <v>2276</v>
      </c>
      <c r="X43" t="s">
        <v>6232</v>
      </c>
    </row>
    <row r="44" spans="1:24" ht="18.399999999999999" hidden="1" customHeight="1">
      <c r="A44" s="11" t="s">
        <v>5404</v>
      </c>
      <c r="B44" s="2" t="s">
        <v>2078</v>
      </c>
      <c r="C44" s="2" t="s">
        <v>6232</v>
      </c>
      <c r="D44" s="2" t="s">
        <v>1054</v>
      </c>
      <c r="E44" s="25">
        <v>1482.7270000000001</v>
      </c>
      <c r="F44" s="25">
        <v>2708.4450000000002</v>
      </c>
      <c r="G44" s="2" t="s">
        <v>6007</v>
      </c>
      <c r="H44" s="25">
        <v>2710.3</v>
      </c>
      <c r="I44" s="2" t="s">
        <v>6232</v>
      </c>
      <c r="J44" s="25">
        <v>1482.7270000000001</v>
      </c>
      <c r="K44" s="2" t="s">
        <v>2760</v>
      </c>
      <c r="L44" s="2"/>
      <c r="M44" s="2" t="s">
        <v>6232</v>
      </c>
      <c r="N44" s="2"/>
      <c r="O44" s="2" t="s">
        <v>6232</v>
      </c>
      <c r="P44" s="2"/>
      <c r="Q44" s="12" t="s">
        <v>6232</v>
      </c>
      <c r="V44" t="s">
        <v>1809</v>
      </c>
      <c r="W44" t="s">
        <v>5404</v>
      </c>
      <c r="X44" t="s">
        <v>6232</v>
      </c>
    </row>
    <row r="45" spans="1:24" ht="18.399999999999999" hidden="1" customHeight="1">
      <c r="A45" s="11" t="s">
        <v>5111</v>
      </c>
      <c r="B45" s="2" t="s">
        <v>5652</v>
      </c>
      <c r="C45" s="2" t="s">
        <v>507</v>
      </c>
      <c r="D45" s="2" t="s">
        <v>5803</v>
      </c>
      <c r="E45" s="25">
        <v>290</v>
      </c>
      <c r="F45" s="25">
        <v>290</v>
      </c>
      <c r="G45" s="2" t="s">
        <v>5779</v>
      </c>
      <c r="H45" s="25">
        <v>365</v>
      </c>
      <c r="I45" s="2" t="s">
        <v>6048</v>
      </c>
      <c r="J45" s="25">
        <v>352</v>
      </c>
      <c r="K45" s="2" t="s">
        <v>3984</v>
      </c>
      <c r="L45" s="2"/>
      <c r="M45" s="2" t="s">
        <v>6232</v>
      </c>
      <c r="N45" s="2"/>
      <c r="O45" s="2" t="s">
        <v>6232</v>
      </c>
      <c r="P45" s="2"/>
      <c r="Q45" s="12" t="s">
        <v>6232</v>
      </c>
      <c r="V45" t="s">
        <v>6232</v>
      </c>
      <c r="W45" t="s">
        <v>5111</v>
      </c>
      <c r="X45" t="s">
        <v>6232</v>
      </c>
    </row>
    <row r="46" spans="1:24" ht="18.399999999999999" hidden="1" customHeight="1">
      <c r="A46" s="11" t="s">
        <v>5809</v>
      </c>
      <c r="B46" s="2" t="s">
        <v>6045</v>
      </c>
      <c r="C46" s="2" t="s">
        <v>6232</v>
      </c>
      <c r="D46" s="2" t="s">
        <v>1054</v>
      </c>
      <c r="E46" s="25">
        <v>4500</v>
      </c>
      <c r="F46" s="2"/>
      <c r="G46" s="2" t="s">
        <v>6232</v>
      </c>
      <c r="H46" s="2"/>
      <c r="I46" s="2" t="s">
        <v>6232</v>
      </c>
      <c r="J46" s="2"/>
      <c r="K46" s="2" t="s">
        <v>6232</v>
      </c>
      <c r="L46" s="25">
        <v>4500</v>
      </c>
      <c r="M46" s="2" t="s">
        <v>4794</v>
      </c>
      <c r="N46" s="2"/>
      <c r="O46" s="2" t="s">
        <v>6232</v>
      </c>
      <c r="P46" s="2"/>
      <c r="Q46" s="12" t="s">
        <v>6232</v>
      </c>
      <c r="V46" t="s">
        <v>6232</v>
      </c>
      <c r="W46" t="s">
        <v>6232</v>
      </c>
      <c r="X46" t="s">
        <v>6232</v>
      </c>
    </row>
    <row r="47" spans="1:24" ht="18.399999999999999" hidden="1" customHeight="1">
      <c r="A47" s="11" t="s">
        <v>2046</v>
      </c>
      <c r="B47" s="2" t="s">
        <v>1807</v>
      </c>
      <c r="C47" s="2" t="s">
        <v>5114</v>
      </c>
      <c r="D47" s="2" t="s">
        <v>1054</v>
      </c>
      <c r="E47" s="25">
        <v>4000</v>
      </c>
      <c r="F47" s="2"/>
      <c r="G47" s="2" t="s">
        <v>6232</v>
      </c>
      <c r="H47" s="2"/>
      <c r="I47" s="2" t="s">
        <v>6232</v>
      </c>
      <c r="J47" s="2"/>
      <c r="K47" s="2" t="s">
        <v>6232</v>
      </c>
      <c r="L47" s="25">
        <v>4000</v>
      </c>
      <c r="M47" s="2" t="s">
        <v>4794</v>
      </c>
      <c r="N47" s="2"/>
      <c r="O47" s="2" t="s">
        <v>6232</v>
      </c>
      <c r="P47" s="2"/>
      <c r="Q47" s="12" t="s">
        <v>6232</v>
      </c>
      <c r="V47" t="s">
        <v>6232</v>
      </c>
      <c r="W47" t="s">
        <v>6232</v>
      </c>
      <c r="X47" t="s">
        <v>6232</v>
      </c>
    </row>
    <row r="48" spans="1:24" ht="18.399999999999999" hidden="1" customHeight="1">
      <c r="A48" s="11" t="s">
        <v>2317</v>
      </c>
      <c r="B48" s="2" t="s">
        <v>3549</v>
      </c>
      <c r="C48" s="2" t="s">
        <v>6232</v>
      </c>
      <c r="D48" s="2" t="s">
        <v>6141</v>
      </c>
      <c r="E48" s="25">
        <v>800</v>
      </c>
      <c r="F48" s="2"/>
      <c r="G48" s="2" t="s">
        <v>6232</v>
      </c>
      <c r="H48" s="2"/>
      <c r="I48" s="2" t="s">
        <v>6232</v>
      </c>
      <c r="J48" s="2"/>
      <c r="K48" s="2" t="s">
        <v>6232</v>
      </c>
      <c r="L48" s="25">
        <v>800</v>
      </c>
      <c r="M48" s="2" t="s">
        <v>1331</v>
      </c>
      <c r="N48" s="2"/>
      <c r="O48" s="2" t="s">
        <v>6232</v>
      </c>
      <c r="P48" s="2"/>
      <c r="Q48" s="12" t="s">
        <v>6232</v>
      </c>
      <c r="V48" t="s">
        <v>6232</v>
      </c>
      <c r="W48" t="s">
        <v>6232</v>
      </c>
      <c r="X48" t="s">
        <v>6232</v>
      </c>
    </row>
    <row r="49" spans="1:24" ht="18.399999999999999" hidden="1" customHeight="1">
      <c r="A49" s="11" t="s">
        <v>5971</v>
      </c>
      <c r="B49" s="2" t="s">
        <v>1299</v>
      </c>
      <c r="C49" s="2" t="s">
        <v>6232</v>
      </c>
      <c r="D49" s="2" t="s">
        <v>2701</v>
      </c>
      <c r="E49" s="25">
        <v>85</v>
      </c>
      <c r="F49" s="2"/>
      <c r="G49" s="2" t="s">
        <v>6232</v>
      </c>
      <c r="H49" s="2"/>
      <c r="I49" s="2" t="s">
        <v>6232</v>
      </c>
      <c r="J49" s="2"/>
      <c r="K49" s="2" t="s">
        <v>6232</v>
      </c>
      <c r="L49" s="2"/>
      <c r="M49" s="2" t="s">
        <v>6232</v>
      </c>
      <c r="N49" s="2"/>
      <c r="O49" s="2" t="s">
        <v>6232</v>
      </c>
      <c r="P49" s="2"/>
      <c r="Q49" s="12" t="s">
        <v>6232</v>
      </c>
      <c r="V49" t="s">
        <v>6232</v>
      </c>
      <c r="W49" t="s">
        <v>6232</v>
      </c>
      <c r="X49" t="s">
        <v>6232</v>
      </c>
    </row>
    <row r="50" spans="1:24" ht="18.399999999999999" hidden="1" customHeight="1">
      <c r="A50" s="11" t="s">
        <v>1435</v>
      </c>
      <c r="B50" s="2" t="s">
        <v>2251</v>
      </c>
      <c r="C50" s="2" t="s">
        <v>3074</v>
      </c>
      <c r="D50" s="2" t="s">
        <v>6141</v>
      </c>
      <c r="E50" s="25">
        <v>5580</v>
      </c>
      <c r="F50" s="25">
        <v>5580</v>
      </c>
      <c r="G50" s="2" t="s">
        <v>2970</v>
      </c>
      <c r="H50" s="2"/>
      <c r="I50" s="2" t="s">
        <v>6232</v>
      </c>
      <c r="J50" s="2"/>
      <c r="K50" s="2" t="s">
        <v>6232</v>
      </c>
      <c r="L50" s="2"/>
      <c r="M50" s="2" t="s">
        <v>6232</v>
      </c>
      <c r="N50" s="2"/>
      <c r="O50" s="2" t="s">
        <v>6232</v>
      </c>
      <c r="P50" s="2"/>
      <c r="Q50" s="12" t="s">
        <v>6232</v>
      </c>
      <c r="V50" t="s">
        <v>6232</v>
      </c>
      <c r="W50" t="s">
        <v>6232</v>
      </c>
      <c r="X50" t="s">
        <v>6232</v>
      </c>
    </row>
    <row r="51" spans="1:24" ht="18.399999999999999" hidden="1" customHeight="1">
      <c r="A51" s="11" t="s">
        <v>1414</v>
      </c>
      <c r="B51" s="2" t="s">
        <v>2251</v>
      </c>
      <c r="C51" s="2" t="s">
        <v>1165</v>
      </c>
      <c r="D51" s="2" t="s">
        <v>6141</v>
      </c>
      <c r="E51" s="25">
        <v>7580</v>
      </c>
      <c r="F51" s="25">
        <v>7580</v>
      </c>
      <c r="G51" s="2" t="s">
        <v>2970</v>
      </c>
      <c r="H51" s="2"/>
      <c r="I51" s="2" t="s">
        <v>6232</v>
      </c>
      <c r="J51" s="2"/>
      <c r="K51" s="2" t="s">
        <v>6232</v>
      </c>
      <c r="L51" s="2"/>
      <c r="M51" s="2" t="s">
        <v>6232</v>
      </c>
      <c r="N51" s="2"/>
      <c r="O51" s="2" t="s">
        <v>6232</v>
      </c>
      <c r="P51" s="2"/>
      <c r="Q51" s="12" t="s">
        <v>6232</v>
      </c>
      <c r="V51" t="s">
        <v>6232</v>
      </c>
      <c r="W51" t="s">
        <v>6232</v>
      </c>
      <c r="X51" t="s">
        <v>6232</v>
      </c>
    </row>
    <row r="52" spans="1:24" ht="18.399999999999999" hidden="1" customHeight="1">
      <c r="A52" s="11" t="s">
        <v>131</v>
      </c>
      <c r="B52" s="2" t="s">
        <v>2251</v>
      </c>
      <c r="C52" s="2" t="s">
        <v>1570</v>
      </c>
      <c r="D52" s="2" t="s">
        <v>6141</v>
      </c>
      <c r="E52" s="25">
        <v>10960</v>
      </c>
      <c r="F52" s="25">
        <v>10960</v>
      </c>
      <c r="G52" s="2" t="s">
        <v>2970</v>
      </c>
      <c r="H52" s="2"/>
      <c r="I52" s="2" t="s">
        <v>6232</v>
      </c>
      <c r="J52" s="2"/>
      <c r="K52" s="2" t="s">
        <v>6232</v>
      </c>
      <c r="L52" s="2"/>
      <c r="M52" s="2" t="s">
        <v>6232</v>
      </c>
      <c r="N52" s="2"/>
      <c r="O52" s="2" t="s">
        <v>6232</v>
      </c>
      <c r="P52" s="2"/>
      <c r="Q52" s="12" t="s">
        <v>6232</v>
      </c>
      <c r="V52" t="s">
        <v>6232</v>
      </c>
      <c r="W52" t="s">
        <v>6232</v>
      </c>
      <c r="X52" t="s">
        <v>6232</v>
      </c>
    </row>
    <row r="53" spans="1:24" ht="18.399999999999999" hidden="1" customHeight="1">
      <c r="A53" s="11" t="s">
        <v>202</v>
      </c>
      <c r="B53" s="2" t="s">
        <v>2251</v>
      </c>
      <c r="C53" s="2" t="s">
        <v>2531</v>
      </c>
      <c r="D53" s="2" t="s">
        <v>6141</v>
      </c>
      <c r="E53" s="25">
        <v>15530</v>
      </c>
      <c r="F53" s="25">
        <v>15530</v>
      </c>
      <c r="G53" s="2" t="s">
        <v>2970</v>
      </c>
      <c r="H53" s="2"/>
      <c r="I53" s="2" t="s">
        <v>6232</v>
      </c>
      <c r="J53" s="2"/>
      <c r="K53" s="2" t="s">
        <v>6232</v>
      </c>
      <c r="L53" s="2"/>
      <c r="M53" s="2" t="s">
        <v>6232</v>
      </c>
      <c r="N53" s="2"/>
      <c r="O53" s="2" t="s">
        <v>6232</v>
      </c>
      <c r="P53" s="2"/>
      <c r="Q53" s="12" t="s">
        <v>6232</v>
      </c>
      <c r="V53" t="s">
        <v>6232</v>
      </c>
      <c r="W53" t="s">
        <v>6232</v>
      </c>
      <c r="X53" t="s">
        <v>6232</v>
      </c>
    </row>
    <row r="54" spans="1:24" ht="18.399999999999999" hidden="1" customHeight="1">
      <c r="A54" s="11" t="s">
        <v>1542</v>
      </c>
      <c r="B54" s="2" t="s">
        <v>2251</v>
      </c>
      <c r="C54" s="2" t="s">
        <v>4124</v>
      </c>
      <c r="D54" s="2" t="s">
        <v>6141</v>
      </c>
      <c r="E54" s="25">
        <v>25480</v>
      </c>
      <c r="F54" s="25">
        <v>25480</v>
      </c>
      <c r="G54" s="2" t="s">
        <v>2970</v>
      </c>
      <c r="H54" s="2"/>
      <c r="I54" s="2" t="s">
        <v>6232</v>
      </c>
      <c r="J54" s="2"/>
      <c r="K54" s="2" t="s">
        <v>6232</v>
      </c>
      <c r="L54" s="2"/>
      <c r="M54" s="2" t="s">
        <v>6232</v>
      </c>
      <c r="N54" s="2"/>
      <c r="O54" s="2" t="s">
        <v>6232</v>
      </c>
      <c r="P54" s="2"/>
      <c r="Q54" s="12" t="s">
        <v>6232</v>
      </c>
      <c r="V54" t="s">
        <v>6232</v>
      </c>
      <c r="W54" t="s">
        <v>6232</v>
      </c>
      <c r="X54" t="s">
        <v>6232</v>
      </c>
    </row>
    <row r="55" spans="1:24" ht="18.399999999999999" hidden="1" customHeight="1">
      <c r="A55" s="11" t="s">
        <v>2231</v>
      </c>
      <c r="B55" s="2" t="s">
        <v>2251</v>
      </c>
      <c r="C55" s="2" t="s">
        <v>4184</v>
      </c>
      <c r="D55" s="2" t="s">
        <v>6141</v>
      </c>
      <c r="E55" s="25">
        <v>42980</v>
      </c>
      <c r="F55" s="25">
        <v>42980</v>
      </c>
      <c r="G55" s="2" t="s">
        <v>2970</v>
      </c>
      <c r="H55" s="2"/>
      <c r="I55" s="2" t="s">
        <v>6232</v>
      </c>
      <c r="J55" s="2"/>
      <c r="K55" s="2" t="s">
        <v>6232</v>
      </c>
      <c r="L55" s="2"/>
      <c r="M55" s="2" t="s">
        <v>6232</v>
      </c>
      <c r="N55" s="2"/>
      <c r="O55" s="2" t="s">
        <v>6232</v>
      </c>
      <c r="P55" s="2"/>
      <c r="Q55" s="12" t="s">
        <v>6232</v>
      </c>
      <c r="V55" t="s">
        <v>6232</v>
      </c>
      <c r="W55" t="s">
        <v>6232</v>
      </c>
      <c r="X55" t="s">
        <v>6232</v>
      </c>
    </row>
    <row r="56" spans="1:24" ht="18.399999999999999" hidden="1" customHeight="1">
      <c r="A56" s="11" t="s">
        <v>631</v>
      </c>
      <c r="B56" s="2" t="s">
        <v>2251</v>
      </c>
      <c r="C56" s="2" t="s">
        <v>1695</v>
      </c>
      <c r="D56" s="2" t="s">
        <v>6141</v>
      </c>
      <c r="E56" s="25">
        <v>71630</v>
      </c>
      <c r="F56" s="25">
        <v>71630</v>
      </c>
      <c r="G56" s="2" t="s">
        <v>2970</v>
      </c>
      <c r="H56" s="2"/>
      <c r="I56" s="2" t="s">
        <v>6232</v>
      </c>
      <c r="J56" s="2"/>
      <c r="K56" s="2" t="s">
        <v>6232</v>
      </c>
      <c r="L56" s="2"/>
      <c r="M56" s="2" t="s">
        <v>6232</v>
      </c>
      <c r="N56" s="2"/>
      <c r="O56" s="2" t="s">
        <v>6232</v>
      </c>
      <c r="P56" s="2"/>
      <c r="Q56" s="12" t="s">
        <v>6232</v>
      </c>
      <c r="V56" t="s">
        <v>6232</v>
      </c>
      <c r="W56" t="s">
        <v>6232</v>
      </c>
      <c r="X56" t="s">
        <v>6232</v>
      </c>
    </row>
    <row r="57" spans="1:24" ht="18.399999999999999" hidden="1" customHeight="1">
      <c r="A57" s="11" t="s">
        <v>2614</v>
      </c>
      <c r="B57" s="2" t="s">
        <v>2251</v>
      </c>
      <c r="C57" s="2" t="s">
        <v>4869</v>
      </c>
      <c r="D57" s="2" t="s">
        <v>6141</v>
      </c>
      <c r="E57" s="25">
        <v>103740</v>
      </c>
      <c r="F57" s="25">
        <v>103740</v>
      </c>
      <c r="G57" s="2" t="s">
        <v>2970</v>
      </c>
      <c r="H57" s="2"/>
      <c r="I57" s="2" t="s">
        <v>6232</v>
      </c>
      <c r="J57" s="2"/>
      <c r="K57" s="2" t="s">
        <v>6232</v>
      </c>
      <c r="L57" s="2"/>
      <c r="M57" s="2" t="s">
        <v>6232</v>
      </c>
      <c r="N57" s="2"/>
      <c r="O57" s="2" t="s">
        <v>6232</v>
      </c>
      <c r="P57" s="2"/>
      <c r="Q57" s="12" t="s">
        <v>6232</v>
      </c>
      <c r="V57" t="s">
        <v>6232</v>
      </c>
      <c r="W57" t="s">
        <v>6232</v>
      </c>
      <c r="X57" t="s">
        <v>6232</v>
      </c>
    </row>
    <row r="58" spans="1:24" ht="18.399999999999999" hidden="1" customHeight="1">
      <c r="A58" s="11" t="s">
        <v>1109</v>
      </c>
      <c r="B58" s="2" t="s">
        <v>2251</v>
      </c>
      <c r="C58" s="2" t="s">
        <v>808</v>
      </c>
      <c r="D58" s="2" t="s">
        <v>6141</v>
      </c>
      <c r="E58" s="25">
        <v>145620</v>
      </c>
      <c r="F58" s="25">
        <v>145620</v>
      </c>
      <c r="G58" s="2" t="s">
        <v>2970</v>
      </c>
      <c r="H58" s="2"/>
      <c r="I58" s="2" t="s">
        <v>6232</v>
      </c>
      <c r="J58" s="2"/>
      <c r="K58" s="2" t="s">
        <v>6232</v>
      </c>
      <c r="L58" s="2"/>
      <c r="M58" s="2" t="s">
        <v>6232</v>
      </c>
      <c r="N58" s="2"/>
      <c r="O58" s="2" t="s">
        <v>6232</v>
      </c>
      <c r="P58" s="2"/>
      <c r="Q58" s="12" t="s">
        <v>6232</v>
      </c>
      <c r="V58" t="s">
        <v>6232</v>
      </c>
      <c r="W58" t="s">
        <v>6232</v>
      </c>
      <c r="X58" t="s">
        <v>6232</v>
      </c>
    </row>
    <row r="59" spans="1:24" ht="18.399999999999999" hidden="1" customHeight="1">
      <c r="A59" s="11" t="s">
        <v>5802</v>
      </c>
      <c r="B59" s="2" t="s">
        <v>2251</v>
      </c>
      <c r="C59" s="2" t="s">
        <v>2695</v>
      </c>
      <c r="D59" s="2" t="s">
        <v>6141</v>
      </c>
      <c r="E59" s="25">
        <v>200620</v>
      </c>
      <c r="F59" s="25">
        <v>200620</v>
      </c>
      <c r="G59" s="2" t="s">
        <v>2970</v>
      </c>
      <c r="H59" s="2"/>
      <c r="I59" s="2" t="s">
        <v>6232</v>
      </c>
      <c r="J59" s="2"/>
      <c r="K59" s="2" t="s">
        <v>6232</v>
      </c>
      <c r="L59" s="2"/>
      <c r="M59" s="2" t="s">
        <v>6232</v>
      </c>
      <c r="N59" s="2"/>
      <c r="O59" s="2" t="s">
        <v>6232</v>
      </c>
      <c r="P59" s="2"/>
      <c r="Q59" s="12" t="s">
        <v>6232</v>
      </c>
      <c r="V59" t="s">
        <v>6232</v>
      </c>
      <c r="W59" t="s">
        <v>6232</v>
      </c>
      <c r="X59" t="s">
        <v>6232</v>
      </c>
    </row>
    <row r="60" spans="1:24" ht="18.399999999999999" hidden="1" customHeight="1">
      <c r="A60" s="11" t="s">
        <v>4177</v>
      </c>
      <c r="B60" s="2" t="s">
        <v>2251</v>
      </c>
      <c r="C60" s="2" t="s">
        <v>3762</v>
      </c>
      <c r="D60" s="2" t="s">
        <v>6141</v>
      </c>
      <c r="E60" s="25">
        <v>275050</v>
      </c>
      <c r="F60" s="25">
        <v>275050</v>
      </c>
      <c r="G60" s="2" t="s">
        <v>2970</v>
      </c>
      <c r="H60" s="2"/>
      <c r="I60" s="2" t="s">
        <v>6232</v>
      </c>
      <c r="J60" s="2"/>
      <c r="K60" s="2" t="s">
        <v>6232</v>
      </c>
      <c r="L60" s="2"/>
      <c r="M60" s="2" t="s">
        <v>6232</v>
      </c>
      <c r="N60" s="2"/>
      <c r="O60" s="2" t="s">
        <v>6232</v>
      </c>
      <c r="P60" s="2"/>
      <c r="Q60" s="12" t="s">
        <v>6232</v>
      </c>
      <c r="V60" t="s">
        <v>6232</v>
      </c>
      <c r="W60" t="s">
        <v>6232</v>
      </c>
      <c r="X60" t="s">
        <v>6232</v>
      </c>
    </row>
    <row r="61" spans="1:24" ht="18.399999999999999" hidden="1" customHeight="1">
      <c r="A61" s="11" t="s">
        <v>5292</v>
      </c>
      <c r="B61" s="2" t="s">
        <v>2251</v>
      </c>
      <c r="C61" s="2" t="s">
        <v>512</v>
      </c>
      <c r="D61" s="2" t="s">
        <v>6141</v>
      </c>
      <c r="E61" s="25">
        <v>339760</v>
      </c>
      <c r="F61" s="25">
        <v>339760</v>
      </c>
      <c r="G61" s="2" t="s">
        <v>2970</v>
      </c>
      <c r="H61" s="2"/>
      <c r="I61" s="2" t="s">
        <v>6232</v>
      </c>
      <c r="J61" s="2"/>
      <c r="K61" s="2" t="s">
        <v>6232</v>
      </c>
      <c r="L61" s="2"/>
      <c r="M61" s="2" t="s">
        <v>6232</v>
      </c>
      <c r="N61" s="2"/>
      <c r="O61" s="2" t="s">
        <v>6232</v>
      </c>
      <c r="P61" s="2"/>
      <c r="Q61" s="12" t="s">
        <v>6232</v>
      </c>
      <c r="V61" t="s">
        <v>6232</v>
      </c>
      <c r="W61" t="s">
        <v>6232</v>
      </c>
      <c r="X61" t="s">
        <v>6232</v>
      </c>
    </row>
    <row r="62" spans="1:24" ht="18.399999999999999" hidden="1" customHeight="1">
      <c r="A62" s="11" t="s">
        <v>3096</v>
      </c>
      <c r="B62" s="2" t="s">
        <v>2251</v>
      </c>
      <c r="C62" s="2" t="s">
        <v>6103</v>
      </c>
      <c r="D62" s="2" t="s">
        <v>6141</v>
      </c>
      <c r="E62" s="25">
        <v>1067796</v>
      </c>
      <c r="F62" s="25">
        <v>1067796</v>
      </c>
      <c r="G62" s="2" t="s">
        <v>2970</v>
      </c>
      <c r="H62" s="2"/>
      <c r="I62" s="2" t="s">
        <v>6232</v>
      </c>
      <c r="J62" s="2"/>
      <c r="K62" s="2" t="s">
        <v>6232</v>
      </c>
      <c r="L62" s="2"/>
      <c r="M62" s="2" t="s">
        <v>6232</v>
      </c>
      <c r="N62" s="2"/>
      <c r="O62" s="2" t="s">
        <v>6232</v>
      </c>
      <c r="P62" s="2"/>
      <c r="Q62" s="12" t="s">
        <v>6232</v>
      </c>
      <c r="V62" t="s">
        <v>6232</v>
      </c>
      <c r="W62" t="s">
        <v>6232</v>
      </c>
      <c r="X62" t="s">
        <v>6232</v>
      </c>
    </row>
    <row r="63" spans="1:24" ht="18.399999999999999" hidden="1" customHeight="1">
      <c r="A63" s="11" t="s">
        <v>4714</v>
      </c>
      <c r="B63" s="2" t="s">
        <v>3433</v>
      </c>
      <c r="C63" s="2" t="s">
        <v>5612</v>
      </c>
      <c r="D63" s="2" t="s">
        <v>2272</v>
      </c>
      <c r="E63" s="25">
        <v>6520</v>
      </c>
      <c r="F63" s="2"/>
      <c r="G63" s="2" t="s">
        <v>6232</v>
      </c>
      <c r="H63" s="2"/>
      <c r="I63" s="2" t="s">
        <v>6232</v>
      </c>
      <c r="J63" s="25">
        <v>6520</v>
      </c>
      <c r="K63" s="2" t="s">
        <v>838</v>
      </c>
      <c r="L63" s="2"/>
      <c r="M63" s="2" t="s">
        <v>6232</v>
      </c>
      <c r="N63" s="2"/>
      <c r="O63" s="2" t="s">
        <v>6232</v>
      </c>
      <c r="P63" s="2"/>
      <c r="Q63" s="12" t="s">
        <v>6232</v>
      </c>
      <c r="V63" t="s">
        <v>6232</v>
      </c>
      <c r="W63" t="s">
        <v>6232</v>
      </c>
      <c r="X63" t="s">
        <v>1884</v>
      </c>
    </row>
    <row r="64" spans="1:24" ht="18.399999999999999" hidden="1" customHeight="1">
      <c r="A64" s="11" t="s">
        <v>3261</v>
      </c>
      <c r="B64" s="2" t="s">
        <v>3433</v>
      </c>
      <c r="C64" s="2" t="s">
        <v>3978</v>
      </c>
      <c r="D64" s="2" t="s">
        <v>2272</v>
      </c>
      <c r="E64" s="25">
        <v>7280</v>
      </c>
      <c r="F64" s="2"/>
      <c r="G64" s="2" t="s">
        <v>6232</v>
      </c>
      <c r="H64" s="2"/>
      <c r="I64" s="2" t="s">
        <v>6232</v>
      </c>
      <c r="J64" s="25">
        <v>7280</v>
      </c>
      <c r="K64" s="2" t="s">
        <v>838</v>
      </c>
      <c r="L64" s="2"/>
      <c r="M64" s="2" t="s">
        <v>6232</v>
      </c>
      <c r="N64" s="2"/>
      <c r="O64" s="2" t="s">
        <v>6232</v>
      </c>
      <c r="P64" s="2"/>
      <c r="Q64" s="12" t="s">
        <v>6232</v>
      </c>
      <c r="V64" t="s">
        <v>6232</v>
      </c>
      <c r="W64" t="s">
        <v>6232</v>
      </c>
      <c r="X64" t="s">
        <v>1884</v>
      </c>
    </row>
    <row r="65" spans="1:24" ht="18.399999999999999" hidden="1" customHeight="1">
      <c r="A65" s="11" t="s">
        <v>2871</v>
      </c>
      <c r="B65" s="2" t="s">
        <v>3433</v>
      </c>
      <c r="C65" s="2" t="s">
        <v>2004</v>
      </c>
      <c r="D65" s="2" t="s">
        <v>2272</v>
      </c>
      <c r="E65" s="25">
        <v>8280</v>
      </c>
      <c r="F65" s="2"/>
      <c r="G65" s="2" t="s">
        <v>6232</v>
      </c>
      <c r="H65" s="2"/>
      <c r="I65" s="2" t="s">
        <v>6232</v>
      </c>
      <c r="J65" s="25">
        <v>8280</v>
      </c>
      <c r="K65" s="2" t="s">
        <v>838</v>
      </c>
      <c r="L65" s="2"/>
      <c r="M65" s="2" t="s">
        <v>6232</v>
      </c>
      <c r="N65" s="2"/>
      <c r="O65" s="2" t="s">
        <v>6232</v>
      </c>
      <c r="P65" s="2"/>
      <c r="Q65" s="12" t="s">
        <v>6232</v>
      </c>
      <c r="V65" t="s">
        <v>6232</v>
      </c>
      <c r="W65" t="s">
        <v>6232</v>
      </c>
      <c r="X65" t="s">
        <v>1884</v>
      </c>
    </row>
    <row r="66" spans="1:24" ht="18.399999999999999" hidden="1" customHeight="1">
      <c r="A66" s="11" t="s">
        <v>2703</v>
      </c>
      <c r="B66" s="2" t="s">
        <v>3433</v>
      </c>
      <c r="C66" s="2" t="s">
        <v>2037</v>
      </c>
      <c r="D66" s="2" t="s">
        <v>2272</v>
      </c>
      <c r="E66" s="25">
        <v>8920</v>
      </c>
      <c r="F66" s="2"/>
      <c r="G66" s="2" t="s">
        <v>6232</v>
      </c>
      <c r="H66" s="2"/>
      <c r="I66" s="2" t="s">
        <v>6232</v>
      </c>
      <c r="J66" s="25">
        <v>8920</v>
      </c>
      <c r="K66" s="2" t="s">
        <v>838</v>
      </c>
      <c r="L66" s="2"/>
      <c r="M66" s="2" t="s">
        <v>6232</v>
      </c>
      <c r="N66" s="2"/>
      <c r="O66" s="2" t="s">
        <v>6232</v>
      </c>
      <c r="P66" s="2"/>
      <c r="Q66" s="12" t="s">
        <v>6232</v>
      </c>
      <c r="V66" t="s">
        <v>6232</v>
      </c>
      <c r="W66" t="s">
        <v>6232</v>
      </c>
      <c r="X66" t="s">
        <v>1884</v>
      </c>
    </row>
    <row r="67" spans="1:24" ht="18.399999999999999" hidden="1" customHeight="1">
      <c r="A67" s="11" t="s">
        <v>1699</v>
      </c>
      <c r="B67" s="2" t="s">
        <v>3433</v>
      </c>
      <c r="C67" s="2" t="s">
        <v>2412</v>
      </c>
      <c r="D67" s="2" t="s">
        <v>2272</v>
      </c>
      <c r="E67" s="25">
        <v>10270</v>
      </c>
      <c r="F67" s="2"/>
      <c r="G67" s="2" t="s">
        <v>6232</v>
      </c>
      <c r="H67" s="2"/>
      <c r="I67" s="2" t="s">
        <v>6232</v>
      </c>
      <c r="J67" s="25">
        <v>10270</v>
      </c>
      <c r="K67" s="2" t="s">
        <v>838</v>
      </c>
      <c r="L67" s="2"/>
      <c r="M67" s="2" t="s">
        <v>6232</v>
      </c>
      <c r="N67" s="2"/>
      <c r="O67" s="2" t="s">
        <v>6232</v>
      </c>
      <c r="P67" s="2"/>
      <c r="Q67" s="12" t="s">
        <v>6232</v>
      </c>
      <c r="V67" t="s">
        <v>6232</v>
      </c>
      <c r="W67" t="s">
        <v>6232</v>
      </c>
      <c r="X67" t="s">
        <v>1884</v>
      </c>
    </row>
    <row r="68" spans="1:24" ht="18.399999999999999" hidden="1" customHeight="1">
      <c r="A68" s="11" t="s">
        <v>2190</v>
      </c>
      <c r="B68" s="2" t="s">
        <v>3433</v>
      </c>
      <c r="C68" s="2" t="s">
        <v>3074</v>
      </c>
      <c r="D68" s="2" t="s">
        <v>2272</v>
      </c>
      <c r="E68" s="25">
        <v>12030</v>
      </c>
      <c r="F68" s="2"/>
      <c r="G68" s="2" t="s">
        <v>6232</v>
      </c>
      <c r="H68" s="2"/>
      <c r="I68" s="2" t="s">
        <v>6232</v>
      </c>
      <c r="J68" s="25">
        <v>12030</v>
      </c>
      <c r="K68" s="2" t="s">
        <v>838</v>
      </c>
      <c r="L68" s="2"/>
      <c r="M68" s="2" t="s">
        <v>6232</v>
      </c>
      <c r="N68" s="2"/>
      <c r="O68" s="2" t="s">
        <v>6232</v>
      </c>
      <c r="P68" s="2"/>
      <c r="Q68" s="12" t="s">
        <v>6232</v>
      </c>
      <c r="V68" t="s">
        <v>6232</v>
      </c>
      <c r="W68" t="s">
        <v>6232</v>
      </c>
      <c r="X68" t="s">
        <v>1884</v>
      </c>
    </row>
    <row r="69" spans="1:24" ht="18.399999999999999" hidden="1" customHeight="1">
      <c r="A69" s="11" t="s">
        <v>487</v>
      </c>
      <c r="B69" s="2" t="s">
        <v>3433</v>
      </c>
      <c r="C69" s="2" t="s">
        <v>1165</v>
      </c>
      <c r="D69" s="2" t="s">
        <v>2272</v>
      </c>
      <c r="E69" s="25">
        <v>13480</v>
      </c>
      <c r="F69" s="2"/>
      <c r="G69" s="2" t="s">
        <v>6232</v>
      </c>
      <c r="H69" s="2"/>
      <c r="I69" s="2" t="s">
        <v>6232</v>
      </c>
      <c r="J69" s="25">
        <v>13480</v>
      </c>
      <c r="K69" s="2" t="s">
        <v>838</v>
      </c>
      <c r="L69" s="2"/>
      <c r="M69" s="2" t="s">
        <v>6232</v>
      </c>
      <c r="N69" s="2"/>
      <c r="O69" s="2" t="s">
        <v>6232</v>
      </c>
      <c r="P69" s="2"/>
      <c r="Q69" s="12" t="s">
        <v>6232</v>
      </c>
      <c r="V69" t="s">
        <v>6232</v>
      </c>
      <c r="W69" t="s">
        <v>6232</v>
      </c>
      <c r="X69" t="s">
        <v>1884</v>
      </c>
    </row>
    <row r="70" spans="1:24" ht="18.399999999999999" hidden="1" customHeight="1">
      <c r="A70" s="11" t="s">
        <v>4878</v>
      </c>
      <c r="B70" s="2" t="s">
        <v>3433</v>
      </c>
      <c r="C70" s="2" t="s">
        <v>1570</v>
      </c>
      <c r="D70" s="2" t="s">
        <v>2272</v>
      </c>
      <c r="E70" s="25">
        <v>22930</v>
      </c>
      <c r="F70" s="2"/>
      <c r="G70" s="2" t="s">
        <v>6232</v>
      </c>
      <c r="H70" s="2"/>
      <c r="I70" s="2" t="s">
        <v>6232</v>
      </c>
      <c r="J70" s="25">
        <v>22930</v>
      </c>
      <c r="K70" s="2" t="s">
        <v>838</v>
      </c>
      <c r="L70" s="2"/>
      <c r="M70" s="2" t="s">
        <v>6232</v>
      </c>
      <c r="N70" s="2"/>
      <c r="O70" s="2" t="s">
        <v>6232</v>
      </c>
      <c r="P70" s="2"/>
      <c r="Q70" s="12" t="s">
        <v>6232</v>
      </c>
      <c r="V70" t="s">
        <v>6232</v>
      </c>
      <c r="W70" t="s">
        <v>6232</v>
      </c>
      <c r="X70" t="s">
        <v>1884</v>
      </c>
    </row>
    <row r="71" spans="1:24" ht="18.399999999999999" hidden="1" customHeight="1">
      <c r="A71" s="11" t="s">
        <v>5484</v>
      </c>
      <c r="B71" s="2" t="s">
        <v>3433</v>
      </c>
      <c r="C71" s="2" t="s">
        <v>2531</v>
      </c>
      <c r="D71" s="2" t="s">
        <v>2272</v>
      </c>
      <c r="E71" s="25">
        <v>26590</v>
      </c>
      <c r="F71" s="2"/>
      <c r="G71" s="2" t="s">
        <v>6232</v>
      </c>
      <c r="H71" s="2"/>
      <c r="I71" s="2" t="s">
        <v>6232</v>
      </c>
      <c r="J71" s="25">
        <v>26590</v>
      </c>
      <c r="K71" s="2" t="s">
        <v>838</v>
      </c>
      <c r="L71" s="2"/>
      <c r="M71" s="2" t="s">
        <v>6232</v>
      </c>
      <c r="N71" s="2"/>
      <c r="O71" s="2" t="s">
        <v>6232</v>
      </c>
      <c r="P71" s="2"/>
      <c r="Q71" s="12" t="s">
        <v>6232</v>
      </c>
      <c r="V71" t="s">
        <v>6232</v>
      </c>
      <c r="W71" t="s">
        <v>6232</v>
      </c>
      <c r="X71" t="s">
        <v>1884</v>
      </c>
    </row>
    <row r="72" spans="1:24" ht="18.399999999999999" hidden="1" customHeight="1">
      <c r="A72" s="11" t="s">
        <v>818</v>
      </c>
      <c r="B72" s="2" t="s">
        <v>3433</v>
      </c>
      <c r="C72" s="2" t="s">
        <v>4124</v>
      </c>
      <c r="D72" s="2" t="s">
        <v>2272</v>
      </c>
      <c r="E72" s="25">
        <v>30350</v>
      </c>
      <c r="F72" s="2"/>
      <c r="G72" s="2" t="s">
        <v>6232</v>
      </c>
      <c r="H72" s="2"/>
      <c r="I72" s="2" t="s">
        <v>6232</v>
      </c>
      <c r="J72" s="25">
        <v>30350</v>
      </c>
      <c r="K72" s="2" t="s">
        <v>838</v>
      </c>
      <c r="L72" s="2"/>
      <c r="M72" s="2" t="s">
        <v>6232</v>
      </c>
      <c r="N72" s="2"/>
      <c r="O72" s="2" t="s">
        <v>6232</v>
      </c>
      <c r="P72" s="2"/>
      <c r="Q72" s="12" t="s">
        <v>6232</v>
      </c>
      <c r="V72" t="s">
        <v>6232</v>
      </c>
      <c r="W72" t="s">
        <v>6232</v>
      </c>
      <c r="X72" t="s">
        <v>1884</v>
      </c>
    </row>
    <row r="73" spans="1:24" ht="18.399999999999999" hidden="1" customHeight="1">
      <c r="A73" s="11" t="s">
        <v>951</v>
      </c>
      <c r="B73" s="2" t="s">
        <v>3433</v>
      </c>
      <c r="C73" s="2" t="s">
        <v>4184</v>
      </c>
      <c r="D73" s="2" t="s">
        <v>2272</v>
      </c>
      <c r="E73" s="25">
        <v>37910</v>
      </c>
      <c r="F73" s="2"/>
      <c r="G73" s="2" t="s">
        <v>6232</v>
      </c>
      <c r="H73" s="2"/>
      <c r="I73" s="2" t="s">
        <v>6232</v>
      </c>
      <c r="J73" s="25">
        <v>37910</v>
      </c>
      <c r="K73" s="2" t="s">
        <v>838</v>
      </c>
      <c r="L73" s="2"/>
      <c r="M73" s="2" t="s">
        <v>6232</v>
      </c>
      <c r="N73" s="2"/>
      <c r="O73" s="2" t="s">
        <v>6232</v>
      </c>
      <c r="P73" s="2"/>
      <c r="Q73" s="12" t="s">
        <v>6232</v>
      </c>
      <c r="V73" t="s">
        <v>6232</v>
      </c>
      <c r="W73" t="s">
        <v>6232</v>
      </c>
      <c r="X73" t="s">
        <v>1884</v>
      </c>
    </row>
    <row r="74" spans="1:24" ht="18.399999999999999" hidden="1" customHeight="1">
      <c r="A74" s="11" t="s">
        <v>4942</v>
      </c>
      <c r="B74" s="2" t="s">
        <v>3433</v>
      </c>
      <c r="C74" s="2" t="s">
        <v>1695</v>
      </c>
      <c r="D74" s="2" t="s">
        <v>2272</v>
      </c>
      <c r="E74" s="25">
        <v>55500</v>
      </c>
      <c r="F74" s="2"/>
      <c r="G74" s="2" t="s">
        <v>6232</v>
      </c>
      <c r="H74" s="2"/>
      <c r="I74" s="2" t="s">
        <v>6232</v>
      </c>
      <c r="J74" s="25">
        <v>55500</v>
      </c>
      <c r="K74" s="2" t="s">
        <v>838</v>
      </c>
      <c r="L74" s="2"/>
      <c r="M74" s="2" t="s">
        <v>6232</v>
      </c>
      <c r="N74" s="2"/>
      <c r="O74" s="2" t="s">
        <v>6232</v>
      </c>
      <c r="P74" s="2"/>
      <c r="Q74" s="12" t="s">
        <v>6232</v>
      </c>
      <c r="V74" t="s">
        <v>6232</v>
      </c>
      <c r="W74" t="s">
        <v>6232</v>
      </c>
      <c r="X74" t="s">
        <v>1884</v>
      </c>
    </row>
    <row r="75" spans="1:24" ht="18.399999999999999" hidden="1" customHeight="1">
      <c r="A75" s="11" t="s">
        <v>1581</v>
      </c>
      <c r="B75" s="2" t="s">
        <v>3433</v>
      </c>
      <c r="C75" s="2" t="s">
        <v>4869</v>
      </c>
      <c r="D75" s="2" t="s">
        <v>2272</v>
      </c>
      <c r="E75" s="25">
        <v>64310</v>
      </c>
      <c r="F75" s="2"/>
      <c r="G75" s="2" t="s">
        <v>6232</v>
      </c>
      <c r="H75" s="2"/>
      <c r="I75" s="2" t="s">
        <v>6232</v>
      </c>
      <c r="J75" s="25">
        <v>64310</v>
      </c>
      <c r="K75" s="2" t="s">
        <v>838</v>
      </c>
      <c r="L75" s="2"/>
      <c r="M75" s="2" t="s">
        <v>6232</v>
      </c>
      <c r="N75" s="2"/>
      <c r="O75" s="2" t="s">
        <v>6232</v>
      </c>
      <c r="P75" s="2"/>
      <c r="Q75" s="12" t="s">
        <v>6232</v>
      </c>
      <c r="V75" t="s">
        <v>6232</v>
      </c>
      <c r="W75" t="s">
        <v>6232</v>
      </c>
      <c r="X75" t="s">
        <v>1884</v>
      </c>
    </row>
    <row r="76" spans="1:24" ht="18.399999999999999" hidden="1" customHeight="1">
      <c r="A76" s="11" t="s">
        <v>4118</v>
      </c>
      <c r="B76" s="2" t="s">
        <v>3433</v>
      </c>
      <c r="C76" s="2" t="s">
        <v>808</v>
      </c>
      <c r="D76" s="2" t="s">
        <v>2272</v>
      </c>
      <c r="E76" s="25">
        <v>70640</v>
      </c>
      <c r="F76" s="2"/>
      <c r="G76" s="2" t="s">
        <v>6232</v>
      </c>
      <c r="H76" s="2"/>
      <c r="I76" s="2" t="s">
        <v>6232</v>
      </c>
      <c r="J76" s="25">
        <v>70640</v>
      </c>
      <c r="K76" s="2" t="s">
        <v>838</v>
      </c>
      <c r="L76" s="2"/>
      <c r="M76" s="2" t="s">
        <v>6232</v>
      </c>
      <c r="N76" s="2"/>
      <c r="O76" s="2" t="s">
        <v>6232</v>
      </c>
      <c r="P76" s="2"/>
      <c r="Q76" s="12" t="s">
        <v>6232</v>
      </c>
      <c r="V76" t="s">
        <v>6232</v>
      </c>
      <c r="W76" t="s">
        <v>6232</v>
      </c>
      <c r="X76" t="s">
        <v>1884</v>
      </c>
    </row>
    <row r="77" spans="1:24" ht="18.399999999999999" hidden="1" customHeight="1">
      <c r="A77" s="11" t="s">
        <v>6117</v>
      </c>
      <c r="B77" s="2" t="s">
        <v>3433</v>
      </c>
      <c r="C77" s="2" t="s">
        <v>2695</v>
      </c>
      <c r="D77" s="2" t="s">
        <v>2272</v>
      </c>
      <c r="E77" s="25">
        <v>125520</v>
      </c>
      <c r="F77" s="2"/>
      <c r="G77" s="2" t="s">
        <v>6232</v>
      </c>
      <c r="H77" s="2"/>
      <c r="I77" s="2" t="s">
        <v>6232</v>
      </c>
      <c r="J77" s="25">
        <v>125520</v>
      </c>
      <c r="K77" s="2" t="s">
        <v>838</v>
      </c>
      <c r="L77" s="2"/>
      <c r="M77" s="2" t="s">
        <v>6232</v>
      </c>
      <c r="N77" s="2"/>
      <c r="O77" s="2" t="s">
        <v>6232</v>
      </c>
      <c r="P77" s="2"/>
      <c r="Q77" s="12" t="s">
        <v>6232</v>
      </c>
      <c r="V77" t="s">
        <v>6232</v>
      </c>
      <c r="W77" t="s">
        <v>6232</v>
      </c>
      <c r="X77" t="s">
        <v>1884</v>
      </c>
    </row>
    <row r="78" spans="1:24" ht="18.399999999999999" hidden="1" customHeight="1">
      <c r="A78" s="11" t="s">
        <v>376</v>
      </c>
      <c r="B78" s="2" t="s">
        <v>3433</v>
      </c>
      <c r="C78" s="2" t="s">
        <v>3762</v>
      </c>
      <c r="D78" s="2" t="s">
        <v>2272</v>
      </c>
      <c r="E78" s="25">
        <v>138490</v>
      </c>
      <c r="F78" s="2"/>
      <c r="G78" s="2" t="s">
        <v>6232</v>
      </c>
      <c r="H78" s="2"/>
      <c r="I78" s="2" t="s">
        <v>6232</v>
      </c>
      <c r="J78" s="25">
        <v>138490</v>
      </c>
      <c r="K78" s="2" t="s">
        <v>838</v>
      </c>
      <c r="L78" s="2"/>
      <c r="M78" s="2" t="s">
        <v>6232</v>
      </c>
      <c r="N78" s="2"/>
      <c r="O78" s="2" t="s">
        <v>6232</v>
      </c>
      <c r="P78" s="2"/>
      <c r="Q78" s="12" t="s">
        <v>6232</v>
      </c>
      <c r="V78" t="s">
        <v>6232</v>
      </c>
      <c r="W78" t="s">
        <v>6232</v>
      </c>
      <c r="X78" t="s">
        <v>1884</v>
      </c>
    </row>
    <row r="79" spans="1:24" ht="18.399999999999999" hidden="1" customHeight="1">
      <c r="A79" s="11" t="s">
        <v>3830</v>
      </c>
      <c r="B79" s="2" t="s">
        <v>3433</v>
      </c>
      <c r="C79" s="2" t="s">
        <v>512</v>
      </c>
      <c r="D79" s="2" t="s">
        <v>2272</v>
      </c>
      <c r="E79" s="25">
        <v>178550</v>
      </c>
      <c r="F79" s="2"/>
      <c r="G79" s="2" t="s">
        <v>6232</v>
      </c>
      <c r="H79" s="2"/>
      <c r="I79" s="2" t="s">
        <v>6232</v>
      </c>
      <c r="J79" s="25">
        <v>178550</v>
      </c>
      <c r="K79" s="2" t="s">
        <v>838</v>
      </c>
      <c r="L79" s="2"/>
      <c r="M79" s="2" t="s">
        <v>6232</v>
      </c>
      <c r="N79" s="2"/>
      <c r="O79" s="2" t="s">
        <v>6232</v>
      </c>
      <c r="P79" s="2"/>
      <c r="Q79" s="12" t="s">
        <v>6232</v>
      </c>
      <c r="V79" t="s">
        <v>6232</v>
      </c>
      <c r="W79" t="s">
        <v>6232</v>
      </c>
      <c r="X79" t="s">
        <v>1884</v>
      </c>
    </row>
    <row r="80" spans="1:24" ht="18.399999999999999" hidden="1" customHeight="1">
      <c r="A80" s="11" t="s">
        <v>2819</v>
      </c>
      <c r="B80" s="2" t="s">
        <v>3433</v>
      </c>
      <c r="C80" s="2" t="s">
        <v>6186</v>
      </c>
      <c r="D80" s="2" t="s">
        <v>2272</v>
      </c>
      <c r="E80" s="25">
        <v>164270</v>
      </c>
      <c r="F80" s="2"/>
      <c r="G80" s="2" t="s">
        <v>6232</v>
      </c>
      <c r="H80" s="2"/>
      <c r="I80" s="2" t="s">
        <v>6232</v>
      </c>
      <c r="J80" s="25">
        <v>164270</v>
      </c>
      <c r="K80" s="2" t="s">
        <v>838</v>
      </c>
      <c r="L80" s="2"/>
      <c r="M80" s="2" t="s">
        <v>6232</v>
      </c>
      <c r="N80" s="2"/>
      <c r="O80" s="2" t="s">
        <v>6232</v>
      </c>
      <c r="P80" s="2"/>
      <c r="Q80" s="12" t="s">
        <v>6232</v>
      </c>
      <c r="V80" t="s">
        <v>6232</v>
      </c>
      <c r="W80" t="s">
        <v>6232</v>
      </c>
      <c r="X80" t="s">
        <v>1884</v>
      </c>
    </row>
    <row r="81" spans="1:24" ht="18.399999999999999" hidden="1" customHeight="1">
      <c r="A81" s="11" t="s">
        <v>2704</v>
      </c>
      <c r="B81" s="2" t="s">
        <v>3433</v>
      </c>
      <c r="C81" s="2" t="s">
        <v>6103</v>
      </c>
      <c r="D81" s="2" t="s">
        <v>2272</v>
      </c>
      <c r="E81" s="25">
        <v>207360</v>
      </c>
      <c r="F81" s="2"/>
      <c r="G81" s="2" t="s">
        <v>6232</v>
      </c>
      <c r="H81" s="2"/>
      <c r="I81" s="2" t="s">
        <v>6232</v>
      </c>
      <c r="J81" s="25">
        <v>207360</v>
      </c>
      <c r="K81" s="2" t="s">
        <v>838</v>
      </c>
      <c r="L81" s="2"/>
      <c r="M81" s="2" t="s">
        <v>6232</v>
      </c>
      <c r="N81" s="2"/>
      <c r="O81" s="2" t="s">
        <v>6232</v>
      </c>
      <c r="P81" s="2"/>
      <c r="Q81" s="12" t="s">
        <v>6232</v>
      </c>
      <c r="V81" t="s">
        <v>6232</v>
      </c>
      <c r="W81" t="s">
        <v>6232</v>
      </c>
      <c r="X81" t="s">
        <v>1884</v>
      </c>
    </row>
    <row r="82" spans="1:24" ht="18.399999999999999" hidden="1" customHeight="1">
      <c r="A82" s="11" t="s">
        <v>3767</v>
      </c>
      <c r="B82" s="2" t="s">
        <v>3433</v>
      </c>
      <c r="C82" s="2" t="s">
        <v>369</v>
      </c>
      <c r="D82" s="2" t="s">
        <v>2272</v>
      </c>
      <c r="E82" s="25">
        <v>218680</v>
      </c>
      <c r="F82" s="2"/>
      <c r="G82" s="2" t="s">
        <v>6232</v>
      </c>
      <c r="H82" s="2"/>
      <c r="I82" s="2" t="s">
        <v>6232</v>
      </c>
      <c r="J82" s="25">
        <v>218680</v>
      </c>
      <c r="K82" s="2" t="s">
        <v>838</v>
      </c>
      <c r="L82" s="2"/>
      <c r="M82" s="2" t="s">
        <v>6232</v>
      </c>
      <c r="N82" s="2"/>
      <c r="O82" s="2" t="s">
        <v>6232</v>
      </c>
      <c r="P82" s="2"/>
      <c r="Q82" s="12" t="s">
        <v>6232</v>
      </c>
      <c r="V82" t="s">
        <v>6232</v>
      </c>
      <c r="W82" t="s">
        <v>6232</v>
      </c>
      <c r="X82" t="s">
        <v>1884</v>
      </c>
    </row>
    <row r="83" spans="1:24" ht="18.399999999999999" hidden="1" customHeight="1">
      <c r="A83" s="11" t="s">
        <v>519</v>
      </c>
      <c r="B83" s="2" t="s">
        <v>3433</v>
      </c>
      <c r="C83" s="2" t="s">
        <v>3821</v>
      </c>
      <c r="D83" s="2" t="s">
        <v>2272</v>
      </c>
      <c r="E83" s="25">
        <v>239220</v>
      </c>
      <c r="F83" s="2"/>
      <c r="G83" s="2" t="s">
        <v>6232</v>
      </c>
      <c r="H83" s="2"/>
      <c r="I83" s="2" t="s">
        <v>6232</v>
      </c>
      <c r="J83" s="25">
        <v>239220</v>
      </c>
      <c r="K83" s="2" t="s">
        <v>838</v>
      </c>
      <c r="L83" s="2"/>
      <c r="M83" s="2" t="s">
        <v>6232</v>
      </c>
      <c r="N83" s="2"/>
      <c r="O83" s="2" t="s">
        <v>6232</v>
      </c>
      <c r="P83" s="2"/>
      <c r="Q83" s="12" t="s">
        <v>6232</v>
      </c>
      <c r="V83" t="s">
        <v>6232</v>
      </c>
      <c r="W83" t="s">
        <v>6232</v>
      </c>
      <c r="X83" t="s">
        <v>1884</v>
      </c>
    </row>
    <row r="84" spans="1:24" ht="18.399999999999999" hidden="1" customHeight="1">
      <c r="A84" s="11" t="s">
        <v>6193</v>
      </c>
      <c r="B84" s="2" t="s">
        <v>3433</v>
      </c>
      <c r="C84" s="2" t="s">
        <v>2812</v>
      </c>
      <c r="D84" s="2" t="s">
        <v>2272</v>
      </c>
      <c r="E84" s="25">
        <v>252530</v>
      </c>
      <c r="F84" s="2"/>
      <c r="G84" s="2" t="s">
        <v>6232</v>
      </c>
      <c r="H84" s="2"/>
      <c r="I84" s="2" t="s">
        <v>6232</v>
      </c>
      <c r="J84" s="25">
        <v>252530</v>
      </c>
      <c r="K84" s="2" t="s">
        <v>838</v>
      </c>
      <c r="L84" s="2"/>
      <c r="M84" s="2" t="s">
        <v>6232</v>
      </c>
      <c r="N84" s="2"/>
      <c r="O84" s="2" t="s">
        <v>6232</v>
      </c>
      <c r="P84" s="2"/>
      <c r="Q84" s="12" t="s">
        <v>6232</v>
      </c>
      <c r="V84" t="s">
        <v>6232</v>
      </c>
      <c r="W84" t="s">
        <v>6232</v>
      </c>
      <c r="X84" t="s">
        <v>1884</v>
      </c>
    </row>
    <row r="85" spans="1:24" ht="18.399999999999999" hidden="1" customHeight="1">
      <c r="A85" s="11" t="s">
        <v>4996</v>
      </c>
      <c r="B85" s="2" t="s">
        <v>4189</v>
      </c>
      <c r="C85" s="2" t="s">
        <v>6232</v>
      </c>
      <c r="D85" s="2" t="s">
        <v>2272</v>
      </c>
      <c r="E85" s="25">
        <v>16.5</v>
      </c>
      <c r="F85" s="2"/>
      <c r="G85" s="2" t="s">
        <v>6232</v>
      </c>
      <c r="H85" s="2"/>
      <c r="I85" s="2" t="s">
        <v>6232</v>
      </c>
      <c r="J85" s="2"/>
      <c r="K85" s="2" t="s">
        <v>6232</v>
      </c>
      <c r="L85" s="25">
        <v>16.5</v>
      </c>
      <c r="M85" s="2" t="s">
        <v>1664</v>
      </c>
      <c r="N85" s="2"/>
      <c r="O85" s="2" t="s">
        <v>6232</v>
      </c>
      <c r="P85" s="2"/>
      <c r="Q85" s="12" t="s">
        <v>6232</v>
      </c>
      <c r="V85" t="s">
        <v>6232</v>
      </c>
      <c r="W85" t="s">
        <v>6232</v>
      </c>
      <c r="X85" t="s">
        <v>6232</v>
      </c>
    </row>
    <row r="86" spans="1:24" ht="18.399999999999999" hidden="1" customHeight="1">
      <c r="A86" s="11" t="s">
        <v>1847</v>
      </c>
      <c r="B86" s="2" t="s">
        <v>3485</v>
      </c>
      <c r="C86" s="2" t="s">
        <v>6232</v>
      </c>
      <c r="D86" s="2" t="s">
        <v>2515</v>
      </c>
      <c r="E86" s="25">
        <v>3600</v>
      </c>
      <c r="F86" s="2"/>
      <c r="G86" s="2" t="s">
        <v>6232</v>
      </c>
      <c r="H86" s="2"/>
      <c r="I86" s="2" t="s">
        <v>6232</v>
      </c>
      <c r="J86" s="2"/>
      <c r="K86" s="2" t="s">
        <v>6232</v>
      </c>
      <c r="L86" s="25">
        <v>3600</v>
      </c>
      <c r="M86" s="2" t="s">
        <v>1664</v>
      </c>
      <c r="N86" s="2"/>
      <c r="O86" s="2" t="s">
        <v>6232</v>
      </c>
      <c r="P86" s="2"/>
      <c r="Q86" s="12" t="s">
        <v>6232</v>
      </c>
      <c r="V86" t="s">
        <v>6232</v>
      </c>
      <c r="W86" t="s">
        <v>6232</v>
      </c>
      <c r="X86" t="s">
        <v>6232</v>
      </c>
    </row>
    <row r="87" spans="1:24" ht="18.399999999999999" hidden="1" customHeight="1">
      <c r="A87" s="11" t="s">
        <v>1926</v>
      </c>
      <c r="B87" s="2" t="s">
        <v>2562</v>
      </c>
      <c r="C87" s="2" t="s">
        <v>5612</v>
      </c>
      <c r="D87" s="2" t="s">
        <v>6141</v>
      </c>
      <c r="E87" s="25">
        <v>129120</v>
      </c>
      <c r="F87" s="2"/>
      <c r="G87" s="2" t="s">
        <v>6232</v>
      </c>
      <c r="H87" s="2"/>
      <c r="I87" s="2" t="s">
        <v>6232</v>
      </c>
      <c r="J87" s="2"/>
      <c r="K87" s="2" t="s">
        <v>6232</v>
      </c>
      <c r="L87" s="25">
        <v>129120</v>
      </c>
      <c r="M87" s="2" t="s">
        <v>3761</v>
      </c>
      <c r="N87" s="25">
        <v>231000</v>
      </c>
      <c r="O87" s="2" t="s">
        <v>101</v>
      </c>
      <c r="P87" s="25">
        <v>223800</v>
      </c>
      <c r="Q87" s="12" t="s">
        <v>6051</v>
      </c>
      <c r="V87" t="s">
        <v>6232</v>
      </c>
      <c r="W87" t="s">
        <v>6232</v>
      </c>
      <c r="X87" t="s">
        <v>6232</v>
      </c>
    </row>
    <row r="88" spans="1:24" ht="18.399999999999999" hidden="1" customHeight="1">
      <c r="A88" s="11" t="s">
        <v>5430</v>
      </c>
      <c r="B88" s="2" t="s">
        <v>2562</v>
      </c>
      <c r="C88" s="2" t="s">
        <v>3978</v>
      </c>
      <c r="D88" s="2" t="s">
        <v>6141</v>
      </c>
      <c r="E88" s="25">
        <v>146300</v>
      </c>
      <c r="F88" s="2"/>
      <c r="G88" s="2" t="s">
        <v>6232</v>
      </c>
      <c r="H88" s="2"/>
      <c r="I88" s="2" t="s">
        <v>6232</v>
      </c>
      <c r="J88" s="2"/>
      <c r="K88" s="2" t="s">
        <v>6232</v>
      </c>
      <c r="L88" s="25">
        <v>146300</v>
      </c>
      <c r="M88" s="2" t="s">
        <v>3761</v>
      </c>
      <c r="N88" s="25">
        <v>244480</v>
      </c>
      <c r="O88" s="2" t="s">
        <v>101</v>
      </c>
      <c r="P88" s="25">
        <v>236200</v>
      </c>
      <c r="Q88" s="12" t="s">
        <v>6051</v>
      </c>
      <c r="V88" t="s">
        <v>6232</v>
      </c>
      <c r="W88" t="s">
        <v>6232</v>
      </c>
      <c r="X88" t="s">
        <v>6232</v>
      </c>
    </row>
    <row r="89" spans="1:24" ht="18.399999999999999" hidden="1" customHeight="1">
      <c r="A89" s="11" t="s">
        <v>1479</v>
      </c>
      <c r="B89" s="2" t="s">
        <v>2562</v>
      </c>
      <c r="C89" s="2" t="s">
        <v>2004</v>
      </c>
      <c r="D89" s="2" t="s">
        <v>6141</v>
      </c>
      <c r="E89" s="25">
        <v>163480</v>
      </c>
      <c r="F89" s="2"/>
      <c r="G89" s="2" t="s">
        <v>6232</v>
      </c>
      <c r="H89" s="2"/>
      <c r="I89" s="2" t="s">
        <v>6232</v>
      </c>
      <c r="J89" s="2"/>
      <c r="K89" s="2" t="s">
        <v>6232</v>
      </c>
      <c r="L89" s="25">
        <v>163480</v>
      </c>
      <c r="M89" s="2" t="s">
        <v>3761</v>
      </c>
      <c r="N89" s="25">
        <v>257510</v>
      </c>
      <c r="O89" s="2" t="s">
        <v>101</v>
      </c>
      <c r="P89" s="25">
        <v>253700</v>
      </c>
      <c r="Q89" s="12" t="s">
        <v>6051</v>
      </c>
      <c r="V89" t="s">
        <v>6232</v>
      </c>
      <c r="W89" t="s">
        <v>6232</v>
      </c>
      <c r="X89" t="s">
        <v>6232</v>
      </c>
    </row>
    <row r="90" spans="1:24" ht="18.399999999999999" hidden="1" customHeight="1">
      <c r="A90" s="11" t="s">
        <v>5213</v>
      </c>
      <c r="B90" s="2" t="s">
        <v>2562</v>
      </c>
      <c r="C90" s="2" t="s">
        <v>2037</v>
      </c>
      <c r="D90" s="2" t="s">
        <v>6141</v>
      </c>
      <c r="E90" s="25">
        <v>173210</v>
      </c>
      <c r="F90" s="2"/>
      <c r="G90" s="2" t="s">
        <v>6232</v>
      </c>
      <c r="H90" s="2"/>
      <c r="I90" s="2" t="s">
        <v>6232</v>
      </c>
      <c r="J90" s="2"/>
      <c r="K90" s="2" t="s">
        <v>6232</v>
      </c>
      <c r="L90" s="25">
        <v>173210</v>
      </c>
      <c r="M90" s="2" t="s">
        <v>3761</v>
      </c>
      <c r="N90" s="25">
        <v>264390</v>
      </c>
      <c r="O90" s="2" t="s">
        <v>101</v>
      </c>
      <c r="P90" s="25">
        <v>261000</v>
      </c>
      <c r="Q90" s="12" t="s">
        <v>6051</v>
      </c>
      <c r="V90" t="s">
        <v>6232</v>
      </c>
      <c r="W90" t="s">
        <v>6232</v>
      </c>
      <c r="X90" t="s">
        <v>6232</v>
      </c>
    </row>
    <row r="91" spans="1:24" ht="18.399999999999999" hidden="1" customHeight="1">
      <c r="A91" s="11" t="s">
        <v>3697</v>
      </c>
      <c r="B91" s="2" t="s">
        <v>2562</v>
      </c>
      <c r="C91" s="2" t="s">
        <v>2412</v>
      </c>
      <c r="D91" s="2" t="s">
        <v>6141</v>
      </c>
      <c r="E91" s="25">
        <v>182460</v>
      </c>
      <c r="F91" s="2"/>
      <c r="G91" s="2" t="s">
        <v>6232</v>
      </c>
      <c r="H91" s="2"/>
      <c r="I91" s="2" t="s">
        <v>6232</v>
      </c>
      <c r="J91" s="2"/>
      <c r="K91" s="2" t="s">
        <v>6232</v>
      </c>
      <c r="L91" s="25">
        <v>182460</v>
      </c>
      <c r="M91" s="2" t="s">
        <v>3761</v>
      </c>
      <c r="N91" s="25">
        <v>270710</v>
      </c>
      <c r="O91" s="2" t="s">
        <v>101</v>
      </c>
      <c r="P91" s="25">
        <v>268300</v>
      </c>
      <c r="Q91" s="12" t="s">
        <v>6051</v>
      </c>
      <c r="V91" t="s">
        <v>6232</v>
      </c>
      <c r="W91" t="s">
        <v>6232</v>
      </c>
      <c r="X91" t="s">
        <v>6232</v>
      </c>
    </row>
    <row r="92" spans="1:24" ht="18.399999999999999" hidden="1" customHeight="1">
      <c r="A92" s="11" t="s">
        <v>5339</v>
      </c>
      <c r="B92" s="2" t="s">
        <v>2562</v>
      </c>
      <c r="C92" s="2" t="s">
        <v>3074</v>
      </c>
      <c r="D92" s="2" t="s">
        <v>6141</v>
      </c>
      <c r="E92" s="25">
        <v>219040</v>
      </c>
      <c r="F92" s="2"/>
      <c r="G92" s="2" t="s">
        <v>6232</v>
      </c>
      <c r="H92" s="2"/>
      <c r="I92" s="2" t="s">
        <v>6232</v>
      </c>
      <c r="J92" s="2"/>
      <c r="K92" s="2" t="s">
        <v>6232</v>
      </c>
      <c r="L92" s="25">
        <v>219040</v>
      </c>
      <c r="M92" s="2" t="s">
        <v>3761</v>
      </c>
      <c r="N92" s="25">
        <v>298020</v>
      </c>
      <c r="O92" s="2" t="s">
        <v>101</v>
      </c>
      <c r="P92" s="25">
        <v>339900</v>
      </c>
      <c r="Q92" s="12" t="s">
        <v>6051</v>
      </c>
      <c r="V92" t="s">
        <v>6232</v>
      </c>
      <c r="W92" t="s">
        <v>6232</v>
      </c>
      <c r="X92" t="s">
        <v>6232</v>
      </c>
    </row>
    <row r="93" spans="1:24" ht="18.399999999999999" hidden="1" customHeight="1">
      <c r="A93" s="11" t="s">
        <v>5318</v>
      </c>
      <c r="B93" s="2" t="s">
        <v>2562</v>
      </c>
      <c r="C93" s="2" t="s">
        <v>1165</v>
      </c>
      <c r="D93" s="2" t="s">
        <v>6141</v>
      </c>
      <c r="E93" s="25">
        <v>246310</v>
      </c>
      <c r="F93" s="2"/>
      <c r="G93" s="2" t="s">
        <v>6232</v>
      </c>
      <c r="H93" s="2"/>
      <c r="I93" s="2" t="s">
        <v>6232</v>
      </c>
      <c r="J93" s="2"/>
      <c r="K93" s="2" t="s">
        <v>6232</v>
      </c>
      <c r="L93" s="25">
        <v>246310</v>
      </c>
      <c r="M93" s="2" t="s">
        <v>3761</v>
      </c>
      <c r="N93" s="25">
        <v>317910</v>
      </c>
      <c r="O93" s="2" t="s">
        <v>101</v>
      </c>
      <c r="P93" s="25">
        <v>364800</v>
      </c>
      <c r="Q93" s="12" t="s">
        <v>6051</v>
      </c>
      <c r="V93" t="s">
        <v>6232</v>
      </c>
      <c r="W93" t="s">
        <v>6232</v>
      </c>
      <c r="X93" t="s">
        <v>6232</v>
      </c>
    </row>
    <row r="94" spans="1:24" ht="18.399999999999999" hidden="1" customHeight="1">
      <c r="A94" s="11" t="s">
        <v>5587</v>
      </c>
      <c r="B94" s="2" t="s">
        <v>2562</v>
      </c>
      <c r="C94" s="2" t="s">
        <v>1570</v>
      </c>
      <c r="D94" s="2" t="s">
        <v>6141</v>
      </c>
      <c r="E94" s="25">
        <v>321270</v>
      </c>
      <c r="F94" s="2"/>
      <c r="G94" s="2" t="s">
        <v>6232</v>
      </c>
      <c r="H94" s="2"/>
      <c r="I94" s="2" t="s">
        <v>6232</v>
      </c>
      <c r="J94" s="2"/>
      <c r="K94" s="2" t="s">
        <v>6232</v>
      </c>
      <c r="L94" s="25">
        <v>321270</v>
      </c>
      <c r="M94" s="2" t="s">
        <v>3761</v>
      </c>
      <c r="N94" s="25">
        <v>436070</v>
      </c>
      <c r="O94" s="2" t="s">
        <v>101</v>
      </c>
      <c r="P94" s="25">
        <v>434700</v>
      </c>
      <c r="Q94" s="12" t="s">
        <v>6051</v>
      </c>
      <c r="V94" t="s">
        <v>6232</v>
      </c>
      <c r="W94" t="s">
        <v>6232</v>
      </c>
      <c r="X94" t="s">
        <v>6232</v>
      </c>
    </row>
    <row r="95" spans="1:24" ht="18.399999999999999" hidden="1" customHeight="1">
      <c r="A95" s="11" t="s">
        <v>5671</v>
      </c>
      <c r="B95" s="2" t="s">
        <v>2562</v>
      </c>
      <c r="C95" s="2" t="s">
        <v>2531</v>
      </c>
      <c r="D95" s="2" t="s">
        <v>6141</v>
      </c>
      <c r="E95" s="25">
        <v>399980</v>
      </c>
      <c r="F95" s="2"/>
      <c r="G95" s="2" t="s">
        <v>6232</v>
      </c>
      <c r="H95" s="2"/>
      <c r="I95" s="2" t="s">
        <v>6232</v>
      </c>
      <c r="J95" s="2"/>
      <c r="K95" s="2" t="s">
        <v>6232</v>
      </c>
      <c r="L95" s="25">
        <v>399980</v>
      </c>
      <c r="M95" s="2" t="s">
        <v>3761</v>
      </c>
      <c r="N95" s="25">
        <v>485520</v>
      </c>
      <c r="O95" s="2" t="s">
        <v>101</v>
      </c>
      <c r="P95" s="25">
        <v>531000</v>
      </c>
      <c r="Q95" s="12" t="s">
        <v>6051</v>
      </c>
      <c r="V95" t="s">
        <v>6232</v>
      </c>
      <c r="W95" t="s">
        <v>6232</v>
      </c>
      <c r="X95" t="s">
        <v>6232</v>
      </c>
    </row>
    <row r="96" spans="1:24" ht="18.399999999999999" hidden="1" customHeight="1">
      <c r="A96" s="11" t="s">
        <v>3900</v>
      </c>
      <c r="B96" s="2" t="s">
        <v>2562</v>
      </c>
      <c r="C96" s="2" t="s">
        <v>4124</v>
      </c>
      <c r="D96" s="2" t="s">
        <v>6141</v>
      </c>
      <c r="E96" s="25">
        <v>489990</v>
      </c>
      <c r="F96" s="2"/>
      <c r="G96" s="2" t="s">
        <v>6232</v>
      </c>
      <c r="H96" s="2"/>
      <c r="I96" s="2" t="s">
        <v>6232</v>
      </c>
      <c r="J96" s="2"/>
      <c r="K96" s="2" t="s">
        <v>6232</v>
      </c>
      <c r="L96" s="25">
        <v>489990</v>
      </c>
      <c r="M96" s="2" t="s">
        <v>3761</v>
      </c>
      <c r="N96" s="25">
        <v>536760</v>
      </c>
      <c r="O96" s="2" t="s">
        <v>101</v>
      </c>
      <c r="P96" s="25">
        <v>591900</v>
      </c>
      <c r="Q96" s="12" t="s">
        <v>6051</v>
      </c>
      <c r="V96" t="s">
        <v>6232</v>
      </c>
      <c r="W96" t="s">
        <v>6232</v>
      </c>
      <c r="X96" t="s">
        <v>6232</v>
      </c>
    </row>
    <row r="97" spans="1:24" ht="18.399999999999999" hidden="1" customHeight="1">
      <c r="A97" s="11" t="s">
        <v>4566</v>
      </c>
      <c r="B97" s="2" t="s">
        <v>2562</v>
      </c>
      <c r="C97" s="2" t="s">
        <v>4184</v>
      </c>
      <c r="D97" s="2" t="s">
        <v>6141</v>
      </c>
      <c r="E97" s="25">
        <v>662470</v>
      </c>
      <c r="F97" s="2"/>
      <c r="G97" s="2" t="s">
        <v>6232</v>
      </c>
      <c r="H97" s="2"/>
      <c r="I97" s="2" t="s">
        <v>6232</v>
      </c>
      <c r="J97" s="2"/>
      <c r="K97" s="2" t="s">
        <v>6232</v>
      </c>
      <c r="L97" s="25">
        <v>676300</v>
      </c>
      <c r="M97" s="2" t="s">
        <v>3761</v>
      </c>
      <c r="N97" s="25">
        <v>662470</v>
      </c>
      <c r="O97" s="2" t="s">
        <v>101</v>
      </c>
      <c r="P97" s="25">
        <v>754700</v>
      </c>
      <c r="Q97" s="12" t="s">
        <v>6051</v>
      </c>
      <c r="V97" t="s">
        <v>6232</v>
      </c>
      <c r="W97" t="s">
        <v>6232</v>
      </c>
      <c r="X97" t="s">
        <v>6232</v>
      </c>
    </row>
    <row r="98" spans="1:24" ht="18.399999999999999" hidden="1" customHeight="1">
      <c r="A98" s="11" t="s">
        <v>6067</v>
      </c>
      <c r="B98" s="2" t="s">
        <v>2562</v>
      </c>
      <c r="C98" s="2" t="s">
        <v>1695</v>
      </c>
      <c r="D98" s="2" t="s">
        <v>6141</v>
      </c>
      <c r="E98" s="25">
        <v>911880</v>
      </c>
      <c r="F98" s="2"/>
      <c r="G98" s="2" t="s">
        <v>6232</v>
      </c>
      <c r="H98" s="2"/>
      <c r="I98" s="2" t="s">
        <v>6232</v>
      </c>
      <c r="J98" s="2"/>
      <c r="K98" s="2" t="s">
        <v>6232</v>
      </c>
      <c r="L98" s="25">
        <v>911880</v>
      </c>
      <c r="M98" s="2" t="s">
        <v>3761</v>
      </c>
      <c r="N98" s="25">
        <v>943580</v>
      </c>
      <c r="O98" s="2" t="s">
        <v>101</v>
      </c>
      <c r="P98" s="25">
        <v>1028400</v>
      </c>
      <c r="Q98" s="12" t="s">
        <v>6051</v>
      </c>
      <c r="V98" t="s">
        <v>6232</v>
      </c>
      <c r="W98" t="s">
        <v>6232</v>
      </c>
      <c r="X98" t="s">
        <v>6232</v>
      </c>
    </row>
    <row r="99" spans="1:24" ht="18.399999999999999" hidden="1" customHeight="1">
      <c r="A99" s="11" t="s">
        <v>3384</v>
      </c>
      <c r="B99" s="2" t="s">
        <v>5554</v>
      </c>
      <c r="C99" s="2" t="s">
        <v>4869</v>
      </c>
      <c r="D99" s="2" t="s">
        <v>6141</v>
      </c>
      <c r="E99" s="25">
        <v>1031010</v>
      </c>
      <c r="F99" s="2"/>
      <c r="G99" s="2" t="s">
        <v>6232</v>
      </c>
      <c r="H99" s="2"/>
      <c r="I99" s="2" t="s">
        <v>6232</v>
      </c>
      <c r="J99" s="2"/>
      <c r="K99" s="2" t="s">
        <v>6232</v>
      </c>
      <c r="L99" s="25">
        <v>1031010</v>
      </c>
      <c r="M99" s="2" t="s">
        <v>3761</v>
      </c>
      <c r="N99" s="25">
        <v>1136890</v>
      </c>
      <c r="O99" s="2" t="s">
        <v>101</v>
      </c>
      <c r="P99" s="25">
        <v>1172900</v>
      </c>
      <c r="Q99" s="12" t="s">
        <v>6051</v>
      </c>
      <c r="V99" t="s">
        <v>6232</v>
      </c>
      <c r="W99" t="s">
        <v>6232</v>
      </c>
      <c r="X99" t="s">
        <v>6232</v>
      </c>
    </row>
    <row r="100" spans="1:24" ht="18.399999999999999" hidden="1" customHeight="1">
      <c r="A100" s="11" t="s">
        <v>5011</v>
      </c>
      <c r="B100" s="2" t="s">
        <v>5554</v>
      </c>
      <c r="C100" s="2" t="s">
        <v>808</v>
      </c>
      <c r="D100" s="2" t="s">
        <v>6141</v>
      </c>
      <c r="E100" s="25">
        <v>1336960</v>
      </c>
      <c r="F100" s="2"/>
      <c r="G100" s="2" t="s">
        <v>6232</v>
      </c>
      <c r="H100" s="2"/>
      <c r="I100" s="2" t="s">
        <v>6232</v>
      </c>
      <c r="J100" s="2"/>
      <c r="K100" s="2" t="s">
        <v>6232</v>
      </c>
      <c r="L100" s="25">
        <v>1336960</v>
      </c>
      <c r="M100" s="2" t="s">
        <v>3761</v>
      </c>
      <c r="N100" s="25">
        <v>1390340</v>
      </c>
      <c r="O100" s="2" t="s">
        <v>101</v>
      </c>
      <c r="P100" s="25">
        <v>1482300</v>
      </c>
      <c r="Q100" s="12" t="s">
        <v>6051</v>
      </c>
      <c r="V100" t="s">
        <v>6232</v>
      </c>
      <c r="W100" t="s">
        <v>6232</v>
      </c>
      <c r="X100" t="s">
        <v>6232</v>
      </c>
    </row>
    <row r="101" spans="1:24" ht="18.399999999999999" hidden="1" customHeight="1">
      <c r="A101" s="11" t="s">
        <v>333</v>
      </c>
      <c r="B101" s="2" t="s">
        <v>5554</v>
      </c>
      <c r="C101" s="2" t="s">
        <v>2695</v>
      </c>
      <c r="D101" s="2" t="s">
        <v>6141</v>
      </c>
      <c r="E101" s="25">
        <v>1570310</v>
      </c>
      <c r="F101" s="2"/>
      <c r="G101" s="2" t="s">
        <v>6232</v>
      </c>
      <c r="H101" s="2"/>
      <c r="I101" s="2" t="s">
        <v>6232</v>
      </c>
      <c r="J101" s="2"/>
      <c r="K101" s="2" t="s">
        <v>6232</v>
      </c>
      <c r="L101" s="25">
        <v>1585260</v>
      </c>
      <c r="M101" s="2" t="s">
        <v>3761</v>
      </c>
      <c r="N101" s="25">
        <v>1570310</v>
      </c>
      <c r="O101" s="2" t="s">
        <v>101</v>
      </c>
      <c r="P101" s="25">
        <v>1696600</v>
      </c>
      <c r="Q101" s="12" t="s">
        <v>6051</v>
      </c>
      <c r="V101" t="s">
        <v>6232</v>
      </c>
      <c r="W101" t="s">
        <v>6232</v>
      </c>
      <c r="X101" t="s">
        <v>6232</v>
      </c>
    </row>
    <row r="102" spans="1:24" ht="18.399999999999999" hidden="1" customHeight="1">
      <c r="A102" s="11" t="s">
        <v>1810</v>
      </c>
      <c r="B102" s="2" t="s">
        <v>5554</v>
      </c>
      <c r="C102" s="2" t="s">
        <v>3762</v>
      </c>
      <c r="D102" s="2" t="s">
        <v>6141</v>
      </c>
      <c r="E102" s="25">
        <v>1758020</v>
      </c>
      <c r="F102" s="2"/>
      <c r="G102" s="2" t="s">
        <v>6232</v>
      </c>
      <c r="H102" s="2"/>
      <c r="I102" s="2" t="s">
        <v>6232</v>
      </c>
      <c r="J102" s="2"/>
      <c r="K102" s="2" t="s">
        <v>6232</v>
      </c>
      <c r="L102" s="25">
        <v>1758020</v>
      </c>
      <c r="M102" s="2" t="s">
        <v>3761</v>
      </c>
      <c r="N102" s="25">
        <v>1907450</v>
      </c>
      <c r="O102" s="2" t="s">
        <v>101</v>
      </c>
      <c r="P102" s="25">
        <v>2068400</v>
      </c>
      <c r="Q102" s="12" t="s">
        <v>6051</v>
      </c>
      <c r="V102" t="s">
        <v>6232</v>
      </c>
      <c r="W102" t="s">
        <v>6232</v>
      </c>
      <c r="X102" t="s">
        <v>6232</v>
      </c>
    </row>
    <row r="103" spans="1:24" ht="18.399999999999999" hidden="1" customHeight="1">
      <c r="A103" s="11" t="s">
        <v>1387</v>
      </c>
      <c r="B103" s="2" t="s">
        <v>5554</v>
      </c>
      <c r="C103" s="2" t="s">
        <v>512</v>
      </c>
      <c r="D103" s="2" t="s">
        <v>6141</v>
      </c>
      <c r="E103" s="25">
        <v>2353140</v>
      </c>
      <c r="F103" s="2"/>
      <c r="G103" s="2" t="s">
        <v>6232</v>
      </c>
      <c r="H103" s="2"/>
      <c r="I103" s="2" t="s">
        <v>6232</v>
      </c>
      <c r="J103" s="2"/>
      <c r="K103" s="2" t="s">
        <v>6232</v>
      </c>
      <c r="L103" s="25">
        <v>2365220</v>
      </c>
      <c r="M103" s="2" t="s">
        <v>3761</v>
      </c>
      <c r="N103" s="25">
        <v>2353140</v>
      </c>
      <c r="O103" s="2" t="s">
        <v>101</v>
      </c>
      <c r="P103" s="25">
        <v>2589200</v>
      </c>
      <c r="Q103" s="12" t="s">
        <v>6051</v>
      </c>
      <c r="V103" t="s">
        <v>6232</v>
      </c>
      <c r="W103" t="s">
        <v>6232</v>
      </c>
      <c r="X103" t="s">
        <v>6232</v>
      </c>
    </row>
    <row r="104" spans="1:24" ht="18.399999999999999" hidden="1" customHeight="1">
      <c r="A104" s="11" t="s">
        <v>2998</v>
      </c>
      <c r="B104" s="2" t="s">
        <v>5554</v>
      </c>
      <c r="C104" s="2" t="s">
        <v>6186</v>
      </c>
      <c r="D104" s="2" t="s">
        <v>6141</v>
      </c>
      <c r="E104" s="25">
        <v>2850940</v>
      </c>
      <c r="F104" s="2"/>
      <c r="G104" s="2" t="s">
        <v>6232</v>
      </c>
      <c r="H104" s="2"/>
      <c r="I104" s="2" t="s">
        <v>6232</v>
      </c>
      <c r="J104" s="2"/>
      <c r="K104" s="2" t="s">
        <v>6232</v>
      </c>
      <c r="L104" s="25">
        <v>2850940</v>
      </c>
      <c r="M104" s="2" t="s">
        <v>3761</v>
      </c>
      <c r="N104" s="25">
        <v>2936650</v>
      </c>
      <c r="O104" s="2" t="s">
        <v>101</v>
      </c>
      <c r="P104" s="25">
        <v>3066100</v>
      </c>
      <c r="Q104" s="12" t="s">
        <v>6051</v>
      </c>
      <c r="V104" t="s">
        <v>6232</v>
      </c>
      <c r="W104" t="s">
        <v>6232</v>
      </c>
      <c r="X104" t="s">
        <v>6232</v>
      </c>
    </row>
    <row r="105" spans="1:24" ht="18.399999999999999" hidden="1" customHeight="1">
      <c r="A105" s="11" t="s">
        <v>2336</v>
      </c>
      <c r="B105" s="2" t="s">
        <v>5554</v>
      </c>
      <c r="C105" s="2" t="s">
        <v>6103</v>
      </c>
      <c r="D105" s="2" t="s">
        <v>6141</v>
      </c>
      <c r="E105" s="25">
        <v>3260260</v>
      </c>
      <c r="F105" s="2"/>
      <c r="G105" s="2" t="s">
        <v>6232</v>
      </c>
      <c r="H105" s="2"/>
      <c r="I105" s="2" t="s">
        <v>6232</v>
      </c>
      <c r="J105" s="2"/>
      <c r="K105" s="2" t="s">
        <v>6232</v>
      </c>
      <c r="L105" s="25">
        <v>3260260</v>
      </c>
      <c r="M105" s="2" t="s">
        <v>3761</v>
      </c>
      <c r="N105" s="25">
        <v>3300600</v>
      </c>
      <c r="O105" s="2" t="s">
        <v>101</v>
      </c>
      <c r="P105" s="25">
        <v>3670600</v>
      </c>
      <c r="Q105" s="12" t="s">
        <v>6051</v>
      </c>
      <c r="V105" t="s">
        <v>6232</v>
      </c>
      <c r="W105" t="s">
        <v>6232</v>
      </c>
      <c r="X105" t="s">
        <v>6232</v>
      </c>
    </row>
    <row r="106" spans="1:24" ht="18.399999999999999" hidden="1" customHeight="1">
      <c r="A106" s="11" t="s">
        <v>908</v>
      </c>
      <c r="B106" s="2" t="s">
        <v>5554</v>
      </c>
      <c r="C106" s="2" t="s">
        <v>369</v>
      </c>
      <c r="D106" s="2" t="s">
        <v>6141</v>
      </c>
      <c r="E106" s="25">
        <v>3609920</v>
      </c>
      <c r="F106" s="2"/>
      <c r="G106" s="2" t="s">
        <v>6232</v>
      </c>
      <c r="H106" s="2"/>
      <c r="I106" s="2" t="s">
        <v>6232</v>
      </c>
      <c r="J106" s="2"/>
      <c r="K106" s="2" t="s">
        <v>6232</v>
      </c>
      <c r="L106" s="25">
        <v>3717310</v>
      </c>
      <c r="M106" s="2" t="s">
        <v>3761</v>
      </c>
      <c r="N106" s="25">
        <v>3609920</v>
      </c>
      <c r="O106" s="2" t="s">
        <v>101</v>
      </c>
      <c r="P106" s="25">
        <v>4247000</v>
      </c>
      <c r="Q106" s="12" t="s">
        <v>6051</v>
      </c>
      <c r="V106" t="s">
        <v>6232</v>
      </c>
      <c r="W106" t="s">
        <v>6232</v>
      </c>
      <c r="X106" t="s">
        <v>6232</v>
      </c>
    </row>
    <row r="107" spans="1:24" ht="18.399999999999999" hidden="1" customHeight="1">
      <c r="A107" s="11" t="s">
        <v>2117</v>
      </c>
      <c r="B107" s="2" t="s">
        <v>5554</v>
      </c>
      <c r="C107" s="2" t="s">
        <v>3821</v>
      </c>
      <c r="D107" s="2" t="s">
        <v>6141</v>
      </c>
      <c r="E107" s="25">
        <v>3905740</v>
      </c>
      <c r="F107" s="2"/>
      <c r="G107" s="2" t="s">
        <v>6232</v>
      </c>
      <c r="H107" s="2"/>
      <c r="I107" s="2" t="s">
        <v>6232</v>
      </c>
      <c r="J107" s="2"/>
      <c r="K107" s="2" t="s">
        <v>6232</v>
      </c>
      <c r="L107" s="25">
        <v>4072950</v>
      </c>
      <c r="M107" s="2" t="s">
        <v>3761</v>
      </c>
      <c r="N107" s="25">
        <v>3905740</v>
      </c>
      <c r="O107" s="2" t="s">
        <v>101</v>
      </c>
      <c r="P107" s="25">
        <v>4582500</v>
      </c>
      <c r="Q107" s="12" t="s">
        <v>6051</v>
      </c>
      <c r="V107" t="s">
        <v>6232</v>
      </c>
      <c r="W107" t="s">
        <v>6232</v>
      </c>
      <c r="X107" t="s">
        <v>6232</v>
      </c>
    </row>
    <row r="108" spans="1:24" ht="18.399999999999999" hidden="1" customHeight="1">
      <c r="A108" s="11" t="s">
        <v>451</v>
      </c>
      <c r="B108" s="2" t="s">
        <v>5554</v>
      </c>
      <c r="C108" s="2" t="s">
        <v>2812</v>
      </c>
      <c r="D108" s="2" t="s">
        <v>6141</v>
      </c>
      <c r="E108" s="25">
        <v>4160250</v>
      </c>
      <c r="F108" s="2"/>
      <c r="G108" s="2" t="s">
        <v>6232</v>
      </c>
      <c r="H108" s="2"/>
      <c r="I108" s="2" t="s">
        <v>6232</v>
      </c>
      <c r="J108" s="2"/>
      <c r="K108" s="2" t="s">
        <v>6232</v>
      </c>
      <c r="L108" s="25">
        <v>4502820</v>
      </c>
      <c r="M108" s="2" t="s">
        <v>3761</v>
      </c>
      <c r="N108" s="25">
        <v>4160250</v>
      </c>
      <c r="O108" s="2" t="s">
        <v>101</v>
      </c>
      <c r="P108" s="25">
        <v>5163900</v>
      </c>
      <c r="Q108" s="12" t="s">
        <v>6051</v>
      </c>
      <c r="V108" t="s">
        <v>6232</v>
      </c>
      <c r="W108" t="s">
        <v>6232</v>
      </c>
      <c r="X108" t="s">
        <v>6232</v>
      </c>
    </row>
    <row r="109" spans="1:24" ht="18.399999999999999" hidden="1" customHeight="1">
      <c r="A109" s="11" t="s">
        <v>5560</v>
      </c>
      <c r="B109" s="2" t="s">
        <v>3722</v>
      </c>
      <c r="C109" s="2" t="s">
        <v>5612</v>
      </c>
      <c r="D109" s="2" t="s">
        <v>6141</v>
      </c>
      <c r="E109" s="25">
        <v>122960</v>
      </c>
      <c r="F109" s="2"/>
      <c r="G109" s="2" t="s">
        <v>6232</v>
      </c>
      <c r="H109" s="2"/>
      <c r="I109" s="2" t="s">
        <v>6232</v>
      </c>
      <c r="J109" s="2"/>
      <c r="K109" s="2" t="s">
        <v>6232</v>
      </c>
      <c r="L109" s="25">
        <v>122960</v>
      </c>
      <c r="M109" s="2" t="s">
        <v>3761</v>
      </c>
      <c r="N109" s="25">
        <v>226420</v>
      </c>
      <c r="O109" s="2" t="s">
        <v>101</v>
      </c>
      <c r="P109" s="25">
        <v>220100</v>
      </c>
      <c r="Q109" s="12" t="s">
        <v>6051</v>
      </c>
      <c r="V109" t="s">
        <v>6232</v>
      </c>
      <c r="W109" t="s">
        <v>6232</v>
      </c>
      <c r="X109" t="s">
        <v>6232</v>
      </c>
    </row>
    <row r="110" spans="1:24" ht="18.399999999999999" hidden="1" customHeight="1">
      <c r="A110" s="11" t="s">
        <v>2615</v>
      </c>
      <c r="B110" s="2" t="s">
        <v>3722</v>
      </c>
      <c r="C110" s="2" t="s">
        <v>3978</v>
      </c>
      <c r="D110" s="2" t="s">
        <v>6141</v>
      </c>
      <c r="E110" s="25">
        <v>139820</v>
      </c>
      <c r="F110" s="2"/>
      <c r="G110" s="2" t="s">
        <v>6232</v>
      </c>
      <c r="H110" s="2"/>
      <c r="I110" s="2" t="s">
        <v>6232</v>
      </c>
      <c r="J110" s="2"/>
      <c r="K110" s="2" t="s">
        <v>6232</v>
      </c>
      <c r="L110" s="25">
        <v>139820</v>
      </c>
      <c r="M110" s="2" t="s">
        <v>3761</v>
      </c>
      <c r="N110" s="25">
        <v>239650</v>
      </c>
      <c r="O110" s="2" t="s">
        <v>101</v>
      </c>
      <c r="P110" s="25">
        <v>231200</v>
      </c>
      <c r="Q110" s="12" t="s">
        <v>6051</v>
      </c>
      <c r="V110" t="s">
        <v>6232</v>
      </c>
      <c r="W110" t="s">
        <v>6232</v>
      </c>
      <c r="X110" t="s">
        <v>6232</v>
      </c>
    </row>
    <row r="111" spans="1:24" ht="18.399999999999999" hidden="1" customHeight="1">
      <c r="A111" s="11" t="s">
        <v>3332</v>
      </c>
      <c r="B111" s="2" t="s">
        <v>3722</v>
      </c>
      <c r="C111" s="2" t="s">
        <v>2004</v>
      </c>
      <c r="D111" s="2" t="s">
        <v>6141</v>
      </c>
      <c r="E111" s="25">
        <v>154920</v>
      </c>
      <c r="F111" s="2"/>
      <c r="G111" s="2" t="s">
        <v>6232</v>
      </c>
      <c r="H111" s="2"/>
      <c r="I111" s="2" t="s">
        <v>6232</v>
      </c>
      <c r="J111" s="2"/>
      <c r="K111" s="2" t="s">
        <v>6232</v>
      </c>
      <c r="L111" s="25">
        <v>154920</v>
      </c>
      <c r="M111" s="2" t="s">
        <v>3761</v>
      </c>
      <c r="N111" s="25">
        <v>251010</v>
      </c>
      <c r="O111" s="2" t="s">
        <v>101</v>
      </c>
      <c r="P111" s="25">
        <v>247800</v>
      </c>
      <c r="Q111" s="12" t="s">
        <v>6051</v>
      </c>
      <c r="V111" t="s">
        <v>6232</v>
      </c>
      <c r="W111" t="s">
        <v>6232</v>
      </c>
      <c r="X111" t="s">
        <v>6232</v>
      </c>
    </row>
    <row r="112" spans="1:24" ht="18.399999999999999" hidden="1" customHeight="1">
      <c r="A112" s="11" t="s">
        <v>2382</v>
      </c>
      <c r="B112" s="2" t="s">
        <v>3722</v>
      </c>
      <c r="C112" s="2" t="s">
        <v>2037</v>
      </c>
      <c r="D112" s="2" t="s">
        <v>6141</v>
      </c>
      <c r="E112" s="25">
        <v>164360</v>
      </c>
      <c r="F112" s="2"/>
      <c r="G112" s="2" t="s">
        <v>6232</v>
      </c>
      <c r="H112" s="2"/>
      <c r="I112" s="2" t="s">
        <v>6232</v>
      </c>
      <c r="J112" s="2"/>
      <c r="K112" s="2" t="s">
        <v>6232</v>
      </c>
      <c r="L112" s="25">
        <v>164360</v>
      </c>
      <c r="M112" s="2" t="s">
        <v>3761</v>
      </c>
      <c r="N112" s="25">
        <v>257920</v>
      </c>
      <c r="O112" s="2" t="s">
        <v>101</v>
      </c>
      <c r="P112" s="25">
        <v>254700</v>
      </c>
      <c r="Q112" s="12" t="s">
        <v>6051</v>
      </c>
      <c r="V112" t="s">
        <v>6232</v>
      </c>
      <c r="W112" t="s">
        <v>6232</v>
      </c>
      <c r="X112" t="s">
        <v>6232</v>
      </c>
    </row>
    <row r="113" spans="1:24" ht="18.399999999999999" hidden="1" customHeight="1">
      <c r="A113" s="11" t="s">
        <v>864</v>
      </c>
      <c r="B113" s="2" t="s">
        <v>3722</v>
      </c>
      <c r="C113" s="2" t="s">
        <v>2412</v>
      </c>
      <c r="D113" s="2" t="s">
        <v>6141</v>
      </c>
      <c r="E113" s="25">
        <v>173550</v>
      </c>
      <c r="F113" s="2"/>
      <c r="G113" s="2" t="s">
        <v>6232</v>
      </c>
      <c r="H113" s="2"/>
      <c r="I113" s="2" t="s">
        <v>6232</v>
      </c>
      <c r="J113" s="2"/>
      <c r="K113" s="2" t="s">
        <v>6232</v>
      </c>
      <c r="L113" s="25">
        <v>173550</v>
      </c>
      <c r="M113" s="2" t="s">
        <v>3761</v>
      </c>
      <c r="N113" s="25">
        <v>264230</v>
      </c>
      <c r="O113" s="2" t="s">
        <v>101</v>
      </c>
      <c r="P113" s="25">
        <v>262000</v>
      </c>
      <c r="Q113" s="12" t="s">
        <v>6051</v>
      </c>
      <c r="V113" t="s">
        <v>6232</v>
      </c>
      <c r="W113" t="s">
        <v>6232</v>
      </c>
      <c r="X113" t="s">
        <v>6232</v>
      </c>
    </row>
    <row r="114" spans="1:24" ht="18.399999999999999" hidden="1" customHeight="1">
      <c r="A114" s="11" t="s">
        <v>2692</v>
      </c>
      <c r="B114" s="2" t="s">
        <v>3722</v>
      </c>
      <c r="C114" s="2" t="s">
        <v>3074</v>
      </c>
      <c r="D114" s="2" t="s">
        <v>6141</v>
      </c>
      <c r="E114" s="25">
        <v>206070</v>
      </c>
      <c r="F114" s="2"/>
      <c r="G114" s="2" t="s">
        <v>6232</v>
      </c>
      <c r="H114" s="2"/>
      <c r="I114" s="2" t="s">
        <v>6232</v>
      </c>
      <c r="J114" s="2"/>
      <c r="K114" s="2" t="s">
        <v>6232</v>
      </c>
      <c r="L114" s="25">
        <v>206070</v>
      </c>
      <c r="M114" s="2" t="s">
        <v>3761</v>
      </c>
      <c r="N114" s="25">
        <v>288300</v>
      </c>
      <c r="O114" s="2" t="s">
        <v>101</v>
      </c>
      <c r="P114" s="25">
        <v>330200</v>
      </c>
      <c r="Q114" s="12" t="s">
        <v>6051</v>
      </c>
      <c r="V114" t="s">
        <v>6232</v>
      </c>
      <c r="W114" t="s">
        <v>6232</v>
      </c>
      <c r="X114" t="s">
        <v>6232</v>
      </c>
    </row>
    <row r="115" spans="1:24" ht="18.399999999999999" hidden="1" customHeight="1">
      <c r="A115" s="11" t="s">
        <v>2669</v>
      </c>
      <c r="B115" s="2" t="s">
        <v>3722</v>
      </c>
      <c r="C115" s="2" t="s">
        <v>1165</v>
      </c>
      <c r="D115" s="2" t="s">
        <v>6141</v>
      </c>
      <c r="E115" s="25">
        <v>234540</v>
      </c>
      <c r="F115" s="2"/>
      <c r="G115" s="2" t="s">
        <v>6232</v>
      </c>
      <c r="H115" s="2"/>
      <c r="I115" s="2" t="s">
        <v>6232</v>
      </c>
      <c r="J115" s="2"/>
      <c r="K115" s="2" t="s">
        <v>6232</v>
      </c>
      <c r="L115" s="25">
        <v>234540</v>
      </c>
      <c r="M115" s="2" t="s">
        <v>3761</v>
      </c>
      <c r="N115" s="25">
        <v>308930</v>
      </c>
      <c r="O115" s="2" t="s">
        <v>101</v>
      </c>
      <c r="P115" s="25">
        <v>355000</v>
      </c>
      <c r="Q115" s="12" t="s">
        <v>6051</v>
      </c>
      <c r="V115" t="s">
        <v>6232</v>
      </c>
      <c r="W115" t="s">
        <v>6232</v>
      </c>
      <c r="X115" t="s">
        <v>6232</v>
      </c>
    </row>
    <row r="116" spans="1:24" ht="18.399999999999999" hidden="1" customHeight="1">
      <c r="A116" s="11" t="s">
        <v>1953</v>
      </c>
      <c r="B116" s="2" t="s">
        <v>3722</v>
      </c>
      <c r="C116" s="2" t="s">
        <v>1570</v>
      </c>
      <c r="D116" s="2" t="s">
        <v>6141</v>
      </c>
      <c r="E116" s="25">
        <v>300880</v>
      </c>
      <c r="F116" s="2"/>
      <c r="G116" s="2" t="s">
        <v>6232</v>
      </c>
      <c r="H116" s="2"/>
      <c r="I116" s="2" t="s">
        <v>6232</v>
      </c>
      <c r="J116" s="2"/>
      <c r="K116" s="2" t="s">
        <v>6232</v>
      </c>
      <c r="L116" s="25">
        <v>300880</v>
      </c>
      <c r="M116" s="2" t="s">
        <v>3761</v>
      </c>
      <c r="N116" s="25">
        <v>419860</v>
      </c>
      <c r="O116" s="2" t="s">
        <v>101</v>
      </c>
      <c r="P116" s="25">
        <v>419900</v>
      </c>
      <c r="Q116" s="12" t="s">
        <v>6051</v>
      </c>
      <c r="V116" t="s">
        <v>6232</v>
      </c>
      <c r="W116" t="s">
        <v>6232</v>
      </c>
      <c r="X116" t="s">
        <v>6232</v>
      </c>
    </row>
    <row r="117" spans="1:24" ht="18.399999999999999" hidden="1" customHeight="1">
      <c r="A117" s="11" t="s">
        <v>2232</v>
      </c>
      <c r="B117" s="2" t="s">
        <v>3722</v>
      </c>
      <c r="C117" s="2" t="s">
        <v>2531</v>
      </c>
      <c r="D117" s="2" t="s">
        <v>6141</v>
      </c>
      <c r="E117" s="25">
        <v>379290</v>
      </c>
      <c r="F117" s="2"/>
      <c r="G117" s="2" t="s">
        <v>6232</v>
      </c>
      <c r="H117" s="2"/>
      <c r="I117" s="2" t="s">
        <v>6232</v>
      </c>
      <c r="J117" s="2"/>
      <c r="K117" s="2" t="s">
        <v>6232</v>
      </c>
      <c r="L117" s="25">
        <v>379290</v>
      </c>
      <c r="M117" s="2" t="s">
        <v>3761</v>
      </c>
      <c r="N117" s="25">
        <v>469320</v>
      </c>
      <c r="O117" s="2" t="s">
        <v>101</v>
      </c>
      <c r="P117" s="25">
        <v>515400</v>
      </c>
      <c r="Q117" s="12" t="s">
        <v>6051</v>
      </c>
      <c r="V117" t="s">
        <v>6232</v>
      </c>
      <c r="W117" t="s">
        <v>6232</v>
      </c>
      <c r="X117" t="s">
        <v>6232</v>
      </c>
    </row>
    <row r="118" spans="1:24" ht="18.399999999999999" hidden="1" customHeight="1">
      <c r="A118" s="11" t="s">
        <v>505</v>
      </c>
      <c r="B118" s="2" t="s">
        <v>3722</v>
      </c>
      <c r="C118" s="2" t="s">
        <v>4124</v>
      </c>
      <c r="D118" s="2" t="s">
        <v>6141</v>
      </c>
      <c r="E118" s="25">
        <v>476130</v>
      </c>
      <c r="F118" s="2"/>
      <c r="G118" s="2" t="s">
        <v>6232</v>
      </c>
      <c r="H118" s="2"/>
      <c r="I118" s="2" t="s">
        <v>6232</v>
      </c>
      <c r="J118" s="2"/>
      <c r="K118" s="2" t="s">
        <v>6232</v>
      </c>
      <c r="L118" s="25">
        <v>476130</v>
      </c>
      <c r="M118" s="2" t="s">
        <v>3761</v>
      </c>
      <c r="N118" s="25">
        <v>525420</v>
      </c>
      <c r="O118" s="2" t="s">
        <v>101</v>
      </c>
      <c r="P118" s="25">
        <v>578100</v>
      </c>
      <c r="Q118" s="12" t="s">
        <v>6051</v>
      </c>
      <c r="V118" t="s">
        <v>6232</v>
      </c>
      <c r="W118" t="s">
        <v>6232</v>
      </c>
      <c r="X118" t="s">
        <v>6232</v>
      </c>
    </row>
    <row r="119" spans="1:24" ht="18.399999999999999" hidden="1" customHeight="1">
      <c r="A119" s="11" t="s">
        <v>203</v>
      </c>
      <c r="B119" s="2" t="s">
        <v>3722</v>
      </c>
      <c r="C119" s="2" t="s">
        <v>4184</v>
      </c>
      <c r="D119" s="2" t="s">
        <v>6141</v>
      </c>
      <c r="E119" s="25">
        <v>639450</v>
      </c>
      <c r="F119" s="2"/>
      <c r="G119" s="2" t="s">
        <v>6232</v>
      </c>
      <c r="H119" s="2"/>
      <c r="I119" s="2" t="s">
        <v>6232</v>
      </c>
      <c r="J119" s="2"/>
      <c r="K119" s="2" t="s">
        <v>6232</v>
      </c>
      <c r="L119" s="25">
        <v>639450</v>
      </c>
      <c r="M119" s="2" t="s">
        <v>3761</v>
      </c>
      <c r="N119" s="25">
        <v>650670</v>
      </c>
      <c r="O119" s="2" t="s">
        <v>101</v>
      </c>
      <c r="P119" s="25">
        <v>766700</v>
      </c>
      <c r="Q119" s="12" t="s">
        <v>6051</v>
      </c>
      <c r="V119" t="s">
        <v>6232</v>
      </c>
      <c r="W119" t="s">
        <v>6232</v>
      </c>
      <c r="X119" t="s">
        <v>6232</v>
      </c>
    </row>
    <row r="120" spans="1:24" ht="18.399999999999999" hidden="1" customHeight="1">
      <c r="A120" s="11" t="s">
        <v>1852</v>
      </c>
      <c r="B120" s="2" t="s">
        <v>3722</v>
      </c>
      <c r="C120" s="2" t="s">
        <v>1695</v>
      </c>
      <c r="D120" s="2" t="s">
        <v>6141</v>
      </c>
      <c r="E120" s="25">
        <v>864850</v>
      </c>
      <c r="F120" s="2"/>
      <c r="G120" s="2" t="s">
        <v>6232</v>
      </c>
      <c r="H120" s="2"/>
      <c r="I120" s="2" t="s">
        <v>6232</v>
      </c>
      <c r="J120" s="2"/>
      <c r="K120" s="2" t="s">
        <v>6232</v>
      </c>
      <c r="L120" s="25">
        <v>864850</v>
      </c>
      <c r="M120" s="2" t="s">
        <v>3761</v>
      </c>
      <c r="N120" s="25">
        <v>931370</v>
      </c>
      <c r="O120" s="2" t="s">
        <v>101</v>
      </c>
      <c r="P120" s="25">
        <v>1040300</v>
      </c>
      <c r="Q120" s="12" t="s">
        <v>6051</v>
      </c>
      <c r="V120" t="s">
        <v>6232</v>
      </c>
      <c r="W120" t="s">
        <v>6232</v>
      </c>
      <c r="X120" t="s">
        <v>6232</v>
      </c>
    </row>
    <row r="121" spans="1:24" ht="18.399999999999999" hidden="1" customHeight="1">
      <c r="A121" s="11" t="s">
        <v>1518</v>
      </c>
      <c r="B121" s="2" t="s">
        <v>4427</v>
      </c>
      <c r="C121" s="2" t="s">
        <v>4869</v>
      </c>
      <c r="D121" s="2" t="s">
        <v>6141</v>
      </c>
      <c r="E121" s="25">
        <v>943910</v>
      </c>
      <c r="F121" s="2"/>
      <c r="G121" s="2" t="s">
        <v>6232</v>
      </c>
      <c r="H121" s="2"/>
      <c r="I121" s="2" t="s">
        <v>6232</v>
      </c>
      <c r="J121" s="2"/>
      <c r="K121" s="2" t="s">
        <v>6232</v>
      </c>
      <c r="L121" s="25">
        <v>943910</v>
      </c>
      <c r="M121" s="2" t="s">
        <v>3761</v>
      </c>
      <c r="N121" s="25">
        <v>1094650</v>
      </c>
      <c r="O121" s="2" t="s">
        <v>101</v>
      </c>
      <c r="P121" s="25">
        <v>1108100</v>
      </c>
      <c r="Q121" s="12" t="s">
        <v>6051</v>
      </c>
      <c r="V121" t="s">
        <v>6232</v>
      </c>
      <c r="W121" t="s">
        <v>6232</v>
      </c>
      <c r="X121" t="s">
        <v>6232</v>
      </c>
    </row>
    <row r="122" spans="1:24" ht="18.399999999999999" hidden="1" customHeight="1">
      <c r="A122" s="11" t="s">
        <v>2945</v>
      </c>
      <c r="B122" s="2" t="s">
        <v>4427</v>
      </c>
      <c r="C122" s="2" t="s">
        <v>808</v>
      </c>
      <c r="D122" s="2" t="s">
        <v>6141</v>
      </c>
      <c r="E122" s="25">
        <v>1187300</v>
      </c>
      <c r="F122" s="2"/>
      <c r="G122" s="2" t="s">
        <v>6232</v>
      </c>
      <c r="H122" s="2"/>
      <c r="I122" s="2" t="s">
        <v>6232</v>
      </c>
      <c r="J122" s="2"/>
      <c r="K122" s="2" t="s">
        <v>6232</v>
      </c>
      <c r="L122" s="25">
        <v>1187300</v>
      </c>
      <c r="M122" s="2" t="s">
        <v>3761</v>
      </c>
      <c r="N122" s="25">
        <v>1304240</v>
      </c>
      <c r="O122" s="2" t="s">
        <v>101</v>
      </c>
      <c r="P122" s="25">
        <v>1355400</v>
      </c>
      <c r="Q122" s="12" t="s">
        <v>6051</v>
      </c>
      <c r="V122" t="s">
        <v>6232</v>
      </c>
      <c r="W122" t="s">
        <v>6232</v>
      </c>
      <c r="X122" t="s">
        <v>6232</v>
      </c>
    </row>
    <row r="123" spans="1:24" ht="18.399999999999999" hidden="1" customHeight="1">
      <c r="A123" s="11" t="s">
        <v>4512</v>
      </c>
      <c r="B123" s="2" t="s">
        <v>4427</v>
      </c>
      <c r="C123" s="2" t="s">
        <v>2695</v>
      </c>
      <c r="D123" s="2" t="s">
        <v>6141</v>
      </c>
      <c r="E123" s="25">
        <v>1361240</v>
      </c>
      <c r="F123" s="2"/>
      <c r="G123" s="2" t="s">
        <v>6232</v>
      </c>
      <c r="H123" s="2"/>
      <c r="I123" s="2" t="s">
        <v>6232</v>
      </c>
      <c r="J123" s="2"/>
      <c r="K123" s="2" t="s">
        <v>6232</v>
      </c>
      <c r="L123" s="25">
        <v>1361240</v>
      </c>
      <c r="M123" s="2" t="s">
        <v>3761</v>
      </c>
      <c r="N123" s="25">
        <v>1450300</v>
      </c>
      <c r="O123" s="2" t="s">
        <v>101</v>
      </c>
      <c r="P123" s="25">
        <v>1496500</v>
      </c>
      <c r="Q123" s="12" t="s">
        <v>6051</v>
      </c>
      <c r="V123" t="s">
        <v>6232</v>
      </c>
      <c r="W123" t="s">
        <v>6232</v>
      </c>
      <c r="X123" t="s">
        <v>6232</v>
      </c>
    </row>
    <row r="124" spans="1:24" ht="18.399999999999999" hidden="1" customHeight="1">
      <c r="A124" s="11" t="s">
        <v>6227</v>
      </c>
      <c r="B124" s="2" t="s">
        <v>4427</v>
      </c>
      <c r="C124" s="2" t="s">
        <v>3762</v>
      </c>
      <c r="D124" s="2" t="s">
        <v>6141</v>
      </c>
      <c r="E124" s="25">
        <v>1480940</v>
      </c>
      <c r="F124" s="2"/>
      <c r="G124" s="2" t="s">
        <v>6232</v>
      </c>
      <c r="H124" s="2"/>
      <c r="I124" s="2" t="s">
        <v>6232</v>
      </c>
      <c r="J124" s="2"/>
      <c r="K124" s="2" t="s">
        <v>6232</v>
      </c>
      <c r="L124" s="25">
        <v>1480940</v>
      </c>
      <c r="M124" s="2" t="s">
        <v>3761</v>
      </c>
      <c r="N124" s="25">
        <v>1742250</v>
      </c>
      <c r="O124" s="2" t="s">
        <v>101</v>
      </c>
      <c r="P124" s="25">
        <v>1816200</v>
      </c>
      <c r="Q124" s="12" t="s">
        <v>6051</v>
      </c>
      <c r="V124" t="s">
        <v>6232</v>
      </c>
      <c r="W124" t="s">
        <v>6232</v>
      </c>
      <c r="X124" t="s">
        <v>6232</v>
      </c>
    </row>
    <row r="125" spans="1:24" ht="18.399999999999999" hidden="1" customHeight="1">
      <c r="A125" s="11" t="s">
        <v>3421</v>
      </c>
      <c r="B125" s="2" t="s">
        <v>4427</v>
      </c>
      <c r="C125" s="2" t="s">
        <v>512</v>
      </c>
      <c r="D125" s="2" t="s">
        <v>6141</v>
      </c>
      <c r="E125" s="25">
        <v>2025090</v>
      </c>
      <c r="F125" s="2"/>
      <c r="G125" s="2" t="s">
        <v>6232</v>
      </c>
      <c r="H125" s="2"/>
      <c r="I125" s="2" t="s">
        <v>6232</v>
      </c>
      <c r="J125" s="2"/>
      <c r="K125" s="2" t="s">
        <v>6232</v>
      </c>
      <c r="L125" s="25">
        <v>2025090</v>
      </c>
      <c r="M125" s="2" t="s">
        <v>3761</v>
      </c>
      <c r="N125" s="25">
        <v>2142510</v>
      </c>
      <c r="O125" s="2" t="s">
        <v>101</v>
      </c>
      <c r="P125" s="25">
        <v>2275400</v>
      </c>
      <c r="Q125" s="12" t="s">
        <v>6051</v>
      </c>
      <c r="V125" t="s">
        <v>6232</v>
      </c>
      <c r="W125" t="s">
        <v>6232</v>
      </c>
      <c r="X125" t="s">
        <v>6232</v>
      </c>
    </row>
    <row r="126" spans="1:24" ht="18.399999999999999" hidden="1" customHeight="1">
      <c r="A126" s="11" t="s">
        <v>4865</v>
      </c>
      <c r="B126" s="2" t="s">
        <v>4427</v>
      </c>
      <c r="C126" s="2" t="s">
        <v>6186</v>
      </c>
      <c r="D126" s="2" t="s">
        <v>6141</v>
      </c>
      <c r="E126" s="25">
        <v>2442120</v>
      </c>
      <c r="F126" s="2"/>
      <c r="G126" s="2" t="s">
        <v>6232</v>
      </c>
      <c r="H126" s="2"/>
      <c r="I126" s="2" t="s">
        <v>6232</v>
      </c>
      <c r="J126" s="2"/>
      <c r="K126" s="2" t="s">
        <v>6232</v>
      </c>
      <c r="L126" s="25">
        <v>2442120</v>
      </c>
      <c r="M126" s="2" t="s">
        <v>3761</v>
      </c>
      <c r="N126" s="25">
        <v>2711900</v>
      </c>
      <c r="O126" s="2" t="s">
        <v>101</v>
      </c>
      <c r="P126" s="25">
        <v>2680300</v>
      </c>
      <c r="Q126" s="12" t="s">
        <v>6051</v>
      </c>
      <c r="V126" t="s">
        <v>6232</v>
      </c>
      <c r="W126" t="s">
        <v>6232</v>
      </c>
      <c r="X126" t="s">
        <v>6232</v>
      </c>
    </row>
    <row r="127" spans="1:24" ht="18.399999999999999" hidden="1" customHeight="1">
      <c r="A127" s="11" t="s">
        <v>5165</v>
      </c>
      <c r="B127" s="2" t="s">
        <v>4427</v>
      </c>
      <c r="C127" s="2" t="s">
        <v>6103</v>
      </c>
      <c r="D127" s="2" t="s">
        <v>6141</v>
      </c>
      <c r="E127" s="25">
        <v>2706510</v>
      </c>
      <c r="F127" s="2"/>
      <c r="G127" s="2" t="s">
        <v>6232</v>
      </c>
      <c r="H127" s="2"/>
      <c r="I127" s="2" t="s">
        <v>6232</v>
      </c>
      <c r="J127" s="2"/>
      <c r="K127" s="2" t="s">
        <v>6232</v>
      </c>
      <c r="L127" s="25">
        <v>2706510</v>
      </c>
      <c r="M127" s="2" t="s">
        <v>3761</v>
      </c>
      <c r="N127" s="25">
        <v>2994060</v>
      </c>
      <c r="O127" s="2" t="s">
        <v>101</v>
      </c>
      <c r="P127" s="25">
        <v>3134600</v>
      </c>
      <c r="Q127" s="12" t="s">
        <v>6051</v>
      </c>
      <c r="V127" t="s">
        <v>6232</v>
      </c>
      <c r="W127" t="s">
        <v>6232</v>
      </c>
      <c r="X127" t="s">
        <v>6232</v>
      </c>
    </row>
    <row r="128" spans="1:24" ht="18.399999999999999" hidden="1" customHeight="1">
      <c r="A128" s="11" t="s">
        <v>3509</v>
      </c>
      <c r="B128" s="2" t="s">
        <v>4427</v>
      </c>
      <c r="C128" s="2" t="s">
        <v>369</v>
      </c>
      <c r="D128" s="2" t="s">
        <v>6141</v>
      </c>
      <c r="E128" s="25">
        <v>3030630</v>
      </c>
      <c r="F128" s="2"/>
      <c r="G128" s="2" t="s">
        <v>6232</v>
      </c>
      <c r="H128" s="2"/>
      <c r="I128" s="2" t="s">
        <v>6232</v>
      </c>
      <c r="J128" s="2"/>
      <c r="K128" s="2" t="s">
        <v>6232</v>
      </c>
      <c r="L128" s="25">
        <v>3030630</v>
      </c>
      <c r="M128" s="2" t="s">
        <v>3761</v>
      </c>
      <c r="N128" s="25">
        <v>3204000</v>
      </c>
      <c r="O128" s="2" t="s">
        <v>101</v>
      </c>
      <c r="P128" s="25">
        <v>3598900</v>
      </c>
      <c r="Q128" s="12" t="s">
        <v>6051</v>
      </c>
      <c r="V128" t="s">
        <v>6232</v>
      </c>
      <c r="W128" t="s">
        <v>6232</v>
      </c>
      <c r="X128" t="s">
        <v>6232</v>
      </c>
    </row>
    <row r="129" spans="1:24" ht="18.399999999999999" hidden="1" customHeight="1">
      <c r="A129" s="11" t="s">
        <v>5534</v>
      </c>
      <c r="B129" s="2" t="s">
        <v>4427</v>
      </c>
      <c r="C129" s="2" t="s">
        <v>3821</v>
      </c>
      <c r="D129" s="2" t="s">
        <v>6141</v>
      </c>
      <c r="E129" s="25">
        <v>3296150</v>
      </c>
      <c r="F129" s="2"/>
      <c r="G129" s="2" t="s">
        <v>6232</v>
      </c>
      <c r="H129" s="2"/>
      <c r="I129" s="2" t="s">
        <v>6232</v>
      </c>
      <c r="J129" s="2"/>
      <c r="K129" s="2" t="s">
        <v>6232</v>
      </c>
      <c r="L129" s="25">
        <v>3296150</v>
      </c>
      <c r="M129" s="2" t="s">
        <v>3761</v>
      </c>
      <c r="N129" s="25">
        <v>3424510</v>
      </c>
      <c r="O129" s="2" t="s">
        <v>101</v>
      </c>
      <c r="P129" s="25">
        <v>3851200</v>
      </c>
      <c r="Q129" s="12" t="s">
        <v>6051</v>
      </c>
      <c r="V129" t="s">
        <v>6232</v>
      </c>
      <c r="W129" t="s">
        <v>6232</v>
      </c>
      <c r="X129" t="s">
        <v>6232</v>
      </c>
    </row>
    <row r="130" spans="1:24" ht="18.399999999999999" hidden="1" customHeight="1">
      <c r="A130" s="11" t="s">
        <v>4065</v>
      </c>
      <c r="B130" s="2" t="s">
        <v>4427</v>
      </c>
      <c r="C130" s="2" t="s">
        <v>2812</v>
      </c>
      <c r="D130" s="2" t="s">
        <v>6141</v>
      </c>
      <c r="E130" s="25">
        <v>3600610</v>
      </c>
      <c r="F130" s="2"/>
      <c r="G130" s="2" t="s">
        <v>6232</v>
      </c>
      <c r="H130" s="2"/>
      <c r="I130" s="2" t="s">
        <v>6232</v>
      </c>
      <c r="J130" s="2"/>
      <c r="K130" s="2" t="s">
        <v>6232</v>
      </c>
      <c r="L130" s="25">
        <v>3600610</v>
      </c>
      <c r="M130" s="2" t="s">
        <v>3761</v>
      </c>
      <c r="N130" s="25">
        <v>3616020</v>
      </c>
      <c r="O130" s="2" t="s">
        <v>101</v>
      </c>
      <c r="P130" s="25">
        <v>4306400</v>
      </c>
      <c r="Q130" s="12" t="s">
        <v>6051</v>
      </c>
      <c r="V130" t="s">
        <v>6232</v>
      </c>
      <c r="W130" t="s">
        <v>6232</v>
      </c>
      <c r="X130" t="s">
        <v>6232</v>
      </c>
    </row>
    <row r="131" spans="1:24" ht="18.399999999999999" hidden="1" customHeight="1">
      <c r="A131" s="11" t="s">
        <v>2929</v>
      </c>
      <c r="B131" s="2" t="s">
        <v>3753</v>
      </c>
      <c r="C131" s="2" t="s">
        <v>5612</v>
      </c>
      <c r="D131" s="2" t="s">
        <v>6141</v>
      </c>
      <c r="E131" s="25">
        <v>122960</v>
      </c>
      <c r="F131" s="2"/>
      <c r="G131" s="2" t="s">
        <v>6232</v>
      </c>
      <c r="H131" s="2"/>
      <c r="I131" s="2" t="s">
        <v>6232</v>
      </c>
      <c r="J131" s="2"/>
      <c r="K131" s="2" t="s">
        <v>6232</v>
      </c>
      <c r="L131" s="25">
        <v>122960</v>
      </c>
      <c r="M131" s="2" t="s">
        <v>3761</v>
      </c>
      <c r="N131" s="25">
        <v>226420</v>
      </c>
      <c r="O131" s="2" t="s">
        <v>101</v>
      </c>
      <c r="P131" s="25">
        <v>220100</v>
      </c>
      <c r="Q131" s="12" t="s">
        <v>6051</v>
      </c>
      <c r="V131" t="s">
        <v>6232</v>
      </c>
      <c r="W131" t="s">
        <v>6232</v>
      </c>
      <c r="X131" t="s">
        <v>6232</v>
      </c>
    </row>
    <row r="132" spans="1:24" ht="18.399999999999999" hidden="1" customHeight="1">
      <c r="A132" s="11" t="s">
        <v>6001</v>
      </c>
      <c r="B132" s="2" t="s">
        <v>3753</v>
      </c>
      <c r="C132" s="2" t="s">
        <v>3978</v>
      </c>
      <c r="D132" s="2" t="s">
        <v>6141</v>
      </c>
      <c r="E132" s="25">
        <v>139820</v>
      </c>
      <c r="F132" s="2"/>
      <c r="G132" s="2" t="s">
        <v>6232</v>
      </c>
      <c r="H132" s="2"/>
      <c r="I132" s="2" t="s">
        <v>6232</v>
      </c>
      <c r="J132" s="2"/>
      <c r="K132" s="2" t="s">
        <v>6232</v>
      </c>
      <c r="L132" s="25">
        <v>139820</v>
      </c>
      <c r="M132" s="2" t="s">
        <v>3761</v>
      </c>
      <c r="N132" s="25">
        <v>239640</v>
      </c>
      <c r="O132" s="2" t="s">
        <v>101</v>
      </c>
      <c r="P132" s="25">
        <v>231200</v>
      </c>
      <c r="Q132" s="12" t="s">
        <v>6051</v>
      </c>
      <c r="V132" t="s">
        <v>6232</v>
      </c>
      <c r="W132" t="s">
        <v>6232</v>
      </c>
      <c r="X132" t="s">
        <v>6232</v>
      </c>
    </row>
    <row r="133" spans="1:24" ht="18.399999999999999" hidden="1" customHeight="1">
      <c r="A133" s="11" t="s">
        <v>506</v>
      </c>
      <c r="B133" s="2" t="s">
        <v>3753</v>
      </c>
      <c r="C133" s="2" t="s">
        <v>2004</v>
      </c>
      <c r="D133" s="2" t="s">
        <v>6141</v>
      </c>
      <c r="E133" s="25">
        <v>154920</v>
      </c>
      <c r="F133" s="2"/>
      <c r="G133" s="2" t="s">
        <v>6232</v>
      </c>
      <c r="H133" s="2"/>
      <c r="I133" s="2" t="s">
        <v>6232</v>
      </c>
      <c r="J133" s="2"/>
      <c r="K133" s="2" t="s">
        <v>6232</v>
      </c>
      <c r="L133" s="25">
        <v>154920</v>
      </c>
      <c r="M133" s="2" t="s">
        <v>3761</v>
      </c>
      <c r="N133" s="25">
        <v>251000</v>
      </c>
      <c r="O133" s="2" t="s">
        <v>101</v>
      </c>
      <c r="P133" s="25">
        <v>247800</v>
      </c>
      <c r="Q133" s="12" t="s">
        <v>6051</v>
      </c>
      <c r="V133" t="s">
        <v>6232</v>
      </c>
      <c r="W133" t="s">
        <v>6232</v>
      </c>
      <c r="X133" t="s">
        <v>6232</v>
      </c>
    </row>
    <row r="134" spans="1:24" ht="18.399999999999999" hidden="1" customHeight="1">
      <c r="A134" s="11" t="s">
        <v>6228</v>
      </c>
      <c r="B134" s="2" t="s">
        <v>3753</v>
      </c>
      <c r="C134" s="2" t="s">
        <v>2037</v>
      </c>
      <c r="D134" s="2" t="s">
        <v>6141</v>
      </c>
      <c r="E134" s="25">
        <v>164360</v>
      </c>
      <c r="F134" s="2"/>
      <c r="G134" s="2" t="s">
        <v>6232</v>
      </c>
      <c r="H134" s="2"/>
      <c r="I134" s="2" t="s">
        <v>6232</v>
      </c>
      <c r="J134" s="2"/>
      <c r="K134" s="2" t="s">
        <v>6232</v>
      </c>
      <c r="L134" s="25">
        <v>164360</v>
      </c>
      <c r="M134" s="2" t="s">
        <v>3761</v>
      </c>
      <c r="N134" s="25">
        <v>257910</v>
      </c>
      <c r="O134" s="2" t="s">
        <v>101</v>
      </c>
      <c r="P134" s="25">
        <v>254700</v>
      </c>
      <c r="Q134" s="12" t="s">
        <v>6051</v>
      </c>
      <c r="V134" t="s">
        <v>6232</v>
      </c>
      <c r="W134" t="s">
        <v>6232</v>
      </c>
      <c r="X134" t="s">
        <v>6232</v>
      </c>
    </row>
    <row r="135" spans="1:24" ht="18.399999999999999" hidden="1" customHeight="1">
      <c r="A135" s="11" t="s">
        <v>4612</v>
      </c>
      <c r="B135" s="2" t="s">
        <v>3753</v>
      </c>
      <c r="C135" s="2" t="s">
        <v>2412</v>
      </c>
      <c r="D135" s="2" t="s">
        <v>6141</v>
      </c>
      <c r="E135" s="25">
        <v>173550</v>
      </c>
      <c r="F135" s="2"/>
      <c r="G135" s="2" t="s">
        <v>6232</v>
      </c>
      <c r="H135" s="2"/>
      <c r="I135" s="2" t="s">
        <v>6232</v>
      </c>
      <c r="J135" s="2"/>
      <c r="K135" s="2" t="s">
        <v>6232</v>
      </c>
      <c r="L135" s="25">
        <v>173550</v>
      </c>
      <c r="M135" s="2" t="s">
        <v>3761</v>
      </c>
      <c r="N135" s="25">
        <v>264230</v>
      </c>
      <c r="O135" s="2" t="s">
        <v>101</v>
      </c>
      <c r="P135" s="25">
        <v>262000</v>
      </c>
      <c r="Q135" s="12" t="s">
        <v>6051</v>
      </c>
      <c r="V135" t="s">
        <v>6232</v>
      </c>
      <c r="W135" t="s">
        <v>6232</v>
      </c>
      <c r="X135" t="s">
        <v>6232</v>
      </c>
    </row>
    <row r="136" spans="1:24" ht="18.399999999999999" hidden="1" customHeight="1">
      <c r="A136" s="11" t="s">
        <v>5896</v>
      </c>
      <c r="B136" s="2" t="s">
        <v>3753</v>
      </c>
      <c r="C136" s="2" t="s">
        <v>3074</v>
      </c>
      <c r="D136" s="2" t="s">
        <v>6141</v>
      </c>
      <c r="E136" s="25">
        <v>206070</v>
      </c>
      <c r="F136" s="2"/>
      <c r="G136" s="2" t="s">
        <v>6232</v>
      </c>
      <c r="H136" s="2"/>
      <c r="I136" s="2" t="s">
        <v>6232</v>
      </c>
      <c r="J136" s="2"/>
      <c r="K136" s="2" t="s">
        <v>6232</v>
      </c>
      <c r="L136" s="25">
        <v>206070</v>
      </c>
      <c r="M136" s="2" t="s">
        <v>3761</v>
      </c>
      <c r="N136" s="25">
        <v>288290</v>
      </c>
      <c r="O136" s="2" t="s">
        <v>101</v>
      </c>
      <c r="P136" s="25">
        <v>330200</v>
      </c>
      <c r="Q136" s="12" t="s">
        <v>6051</v>
      </c>
      <c r="V136" t="s">
        <v>6232</v>
      </c>
      <c r="W136" t="s">
        <v>6232</v>
      </c>
      <c r="X136" t="s">
        <v>6232</v>
      </c>
    </row>
    <row r="137" spans="1:24" ht="18.399999999999999" hidden="1" customHeight="1">
      <c r="A137" s="11" t="s">
        <v>5923</v>
      </c>
      <c r="B137" s="2" t="s">
        <v>3753</v>
      </c>
      <c r="C137" s="2" t="s">
        <v>1165</v>
      </c>
      <c r="D137" s="2" t="s">
        <v>6141</v>
      </c>
      <c r="E137" s="25">
        <v>234540</v>
      </c>
      <c r="F137" s="2"/>
      <c r="G137" s="2" t="s">
        <v>6232</v>
      </c>
      <c r="H137" s="2"/>
      <c r="I137" s="2" t="s">
        <v>6232</v>
      </c>
      <c r="J137" s="2"/>
      <c r="K137" s="2" t="s">
        <v>6232</v>
      </c>
      <c r="L137" s="25">
        <v>234540</v>
      </c>
      <c r="M137" s="2" t="s">
        <v>3761</v>
      </c>
      <c r="N137" s="25">
        <v>308930</v>
      </c>
      <c r="O137" s="2" t="s">
        <v>101</v>
      </c>
      <c r="P137" s="25">
        <v>355000</v>
      </c>
      <c r="Q137" s="12" t="s">
        <v>6051</v>
      </c>
      <c r="V137" t="s">
        <v>6232</v>
      </c>
      <c r="W137" t="s">
        <v>6232</v>
      </c>
      <c r="X137" t="s">
        <v>6232</v>
      </c>
    </row>
    <row r="138" spans="1:24" ht="18.399999999999999" hidden="1" customHeight="1">
      <c r="A138" s="11" t="s">
        <v>4957</v>
      </c>
      <c r="B138" s="2" t="s">
        <v>3753</v>
      </c>
      <c r="C138" s="2" t="s">
        <v>1570</v>
      </c>
      <c r="D138" s="2" t="s">
        <v>6141</v>
      </c>
      <c r="E138" s="25">
        <v>300880</v>
      </c>
      <c r="F138" s="2"/>
      <c r="G138" s="2" t="s">
        <v>6232</v>
      </c>
      <c r="H138" s="2"/>
      <c r="I138" s="2" t="s">
        <v>6232</v>
      </c>
      <c r="J138" s="2"/>
      <c r="K138" s="2" t="s">
        <v>6232</v>
      </c>
      <c r="L138" s="25">
        <v>300880</v>
      </c>
      <c r="M138" s="2" t="s">
        <v>3761</v>
      </c>
      <c r="N138" s="25">
        <v>419860</v>
      </c>
      <c r="O138" s="2" t="s">
        <v>101</v>
      </c>
      <c r="P138" s="25">
        <v>419900</v>
      </c>
      <c r="Q138" s="12" t="s">
        <v>6051</v>
      </c>
      <c r="V138" t="s">
        <v>6232</v>
      </c>
      <c r="W138" t="s">
        <v>6232</v>
      </c>
      <c r="X138" t="s">
        <v>6232</v>
      </c>
    </row>
    <row r="139" spans="1:24" ht="18.399999999999999" hidden="1" customHeight="1">
      <c r="A139" s="11" t="s">
        <v>4703</v>
      </c>
      <c r="B139" s="2" t="s">
        <v>3753</v>
      </c>
      <c r="C139" s="2" t="s">
        <v>2531</v>
      </c>
      <c r="D139" s="2" t="s">
        <v>6141</v>
      </c>
      <c r="E139" s="25">
        <v>379290</v>
      </c>
      <c r="F139" s="2"/>
      <c r="G139" s="2" t="s">
        <v>6232</v>
      </c>
      <c r="H139" s="2"/>
      <c r="I139" s="2" t="s">
        <v>6232</v>
      </c>
      <c r="J139" s="2"/>
      <c r="K139" s="2" t="s">
        <v>6232</v>
      </c>
      <c r="L139" s="25">
        <v>379290</v>
      </c>
      <c r="M139" s="2" t="s">
        <v>3761</v>
      </c>
      <c r="N139" s="25">
        <v>469320</v>
      </c>
      <c r="O139" s="2" t="s">
        <v>101</v>
      </c>
      <c r="P139" s="25">
        <v>515400</v>
      </c>
      <c r="Q139" s="12" t="s">
        <v>6051</v>
      </c>
      <c r="V139" t="s">
        <v>6232</v>
      </c>
      <c r="W139" t="s">
        <v>6232</v>
      </c>
      <c r="X139" t="s">
        <v>6232</v>
      </c>
    </row>
    <row r="140" spans="1:24" ht="18.399999999999999" hidden="1" customHeight="1">
      <c r="A140" s="11" t="s">
        <v>3333</v>
      </c>
      <c r="B140" s="2" t="s">
        <v>3753</v>
      </c>
      <c r="C140" s="2" t="s">
        <v>4124</v>
      </c>
      <c r="D140" s="2" t="s">
        <v>6141</v>
      </c>
      <c r="E140" s="25">
        <v>476130</v>
      </c>
      <c r="F140" s="2"/>
      <c r="G140" s="2" t="s">
        <v>6232</v>
      </c>
      <c r="H140" s="2"/>
      <c r="I140" s="2" t="s">
        <v>6232</v>
      </c>
      <c r="J140" s="2"/>
      <c r="K140" s="2" t="s">
        <v>6232</v>
      </c>
      <c r="L140" s="25">
        <v>476130</v>
      </c>
      <c r="M140" s="2" t="s">
        <v>3761</v>
      </c>
      <c r="N140" s="25">
        <v>525410</v>
      </c>
      <c r="O140" s="2" t="s">
        <v>101</v>
      </c>
      <c r="P140" s="25">
        <v>578100</v>
      </c>
      <c r="Q140" s="12" t="s">
        <v>6051</v>
      </c>
      <c r="V140" t="s">
        <v>6232</v>
      </c>
      <c r="W140" t="s">
        <v>6232</v>
      </c>
      <c r="X140" t="s">
        <v>6232</v>
      </c>
    </row>
    <row r="141" spans="1:24" ht="18.399999999999999" hidden="1" customHeight="1">
      <c r="A141" s="11" t="s">
        <v>3635</v>
      </c>
      <c r="B141" s="2" t="s">
        <v>3753</v>
      </c>
      <c r="C141" s="2" t="s">
        <v>4184</v>
      </c>
      <c r="D141" s="2" t="s">
        <v>6141</v>
      </c>
      <c r="E141" s="25">
        <v>639450</v>
      </c>
      <c r="F141" s="2"/>
      <c r="G141" s="2" t="s">
        <v>6232</v>
      </c>
      <c r="H141" s="2"/>
      <c r="I141" s="2" t="s">
        <v>6232</v>
      </c>
      <c r="J141" s="2"/>
      <c r="K141" s="2" t="s">
        <v>6232</v>
      </c>
      <c r="L141" s="25">
        <v>639450</v>
      </c>
      <c r="M141" s="2" t="s">
        <v>3761</v>
      </c>
      <c r="N141" s="25">
        <v>650670</v>
      </c>
      <c r="O141" s="2" t="s">
        <v>101</v>
      </c>
      <c r="P141" s="25">
        <v>766700</v>
      </c>
      <c r="Q141" s="12" t="s">
        <v>6051</v>
      </c>
      <c r="V141" t="s">
        <v>6232</v>
      </c>
      <c r="W141" t="s">
        <v>6232</v>
      </c>
      <c r="X141" t="s">
        <v>6232</v>
      </c>
    </row>
    <row r="142" spans="1:24" ht="18.399999999999999" hidden="1" customHeight="1">
      <c r="A142" s="11" t="s">
        <v>5058</v>
      </c>
      <c r="B142" s="2" t="s">
        <v>3753</v>
      </c>
      <c r="C142" s="2" t="s">
        <v>1695</v>
      </c>
      <c r="D142" s="2" t="s">
        <v>6141</v>
      </c>
      <c r="E142" s="25">
        <v>864850</v>
      </c>
      <c r="F142" s="2"/>
      <c r="G142" s="2" t="s">
        <v>6232</v>
      </c>
      <c r="H142" s="2"/>
      <c r="I142" s="2" t="s">
        <v>6232</v>
      </c>
      <c r="J142" s="2"/>
      <c r="K142" s="2" t="s">
        <v>6232</v>
      </c>
      <c r="L142" s="25">
        <v>864850</v>
      </c>
      <c r="M142" s="2" t="s">
        <v>3761</v>
      </c>
      <c r="N142" s="25">
        <v>931370</v>
      </c>
      <c r="O142" s="2" t="s">
        <v>101</v>
      </c>
      <c r="P142" s="25">
        <v>1040300</v>
      </c>
      <c r="Q142" s="12" t="s">
        <v>6051</v>
      </c>
      <c r="V142" t="s">
        <v>6232</v>
      </c>
      <c r="W142" t="s">
        <v>6232</v>
      </c>
      <c r="X142" t="s">
        <v>6232</v>
      </c>
    </row>
    <row r="143" spans="1:24" ht="18.399999999999999" hidden="1" customHeight="1">
      <c r="A143" s="11" t="s">
        <v>3947</v>
      </c>
      <c r="B143" s="2" t="s">
        <v>5713</v>
      </c>
      <c r="C143" s="2" t="s">
        <v>4869</v>
      </c>
      <c r="D143" s="2" t="s">
        <v>6141</v>
      </c>
      <c r="E143" s="25">
        <v>908050</v>
      </c>
      <c r="F143" s="2"/>
      <c r="G143" s="2" t="s">
        <v>6232</v>
      </c>
      <c r="H143" s="2"/>
      <c r="I143" s="2" t="s">
        <v>6232</v>
      </c>
      <c r="J143" s="2"/>
      <c r="K143" s="2" t="s">
        <v>6232</v>
      </c>
      <c r="L143" s="25">
        <v>908050</v>
      </c>
      <c r="M143" s="2" t="s">
        <v>3761</v>
      </c>
      <c r="N143" s="25">
        <v>1075020</v>
      </c>
      <c r="O143" s="2" t="s">
        <v>101</v>
      </c>
      <c r="P143" s="25">
        <v>1070000</v>
      </c>
      <c r="Q143" s="12" t="s">
        <v>6051</v>
      </c>
      <c r="V143" t="s">
        <v>6232</v>
      </c>
      <c r="W143" t="s">
        <v>6232</v>
      </c>
      <c r="X143" t="s">
        <v>6232</v>
      </c>
    </row>
    <row r="144" spans="1:24" ht="18.399999999999999" hidden="1" customHeight="1">
      <c r="A144" s="11" t="s">
        <v>5644</v>
      </c>
      <c r="B144" s="2" t="s">
        <v>5713</v>
      </c>
      <c r="C144" s="2" t="s">
        <v>808</v>
      </c>
      <c r="D144" s="2" t="s">
        <v>6141</v>
      </c>
      <c r="E144" s="25">
        <v>1129990</v>
      </c>
      <c r="F144" s="2"/>
      <c r="G144" s="2" t="s">
        <v>6232</v>
      </c>
      <c r="H144" s="2"/>
      <c r="I144" s="2" t="s">
        <v>6232</v>
      </c>
      <c r="J144" s="2"/>
      <c r="K144" s="2" t="s">
        <v>6232</v>
      </c>
      <c r="L144" s="25">
        <v>1129990</v>
      </c>
      <c r="M144" s="2" t="s">
        <v>3761</v>
      </c>
      <c r="N144" s="25">
        <v>1270770</v>
      </c>
      <c r="O144" s="2" t="s">
        <v>101</v>
      </c>
      <c r="P144" s="25">
        <v>1294400</v>
      </c>
      <c r="Q144" s="12" t="s">
        <v>6051</v>
      </c>
      <c r="V144" t="s">
        <v>6232</v>
      </c>
      <c r="W144" t="s">
        <v>6232</v>
      </c>
      <c r="X144" t="s">
        <v>6232</v>
      </c>
    </row>
    <row r="145" spans="1:24" ht="18.399999999999999" hidden="1" customHeight="1">
      <c r="A145" s="11" t="s">
        <v>965</v>
      </c>
      <c r="B145" s="2" t="s">
        <v>5713</v>
      </c>
      <c r="C145" s="2" t="s">
        <v>2695</v>
      </c>
      <c r="D145" s="2" t="s">
        <v>6141</v>
      </c>
      <c r="E145" s="25">
        <v>1283690</v>
      </c>
      <c r="F145" s="2"/>
      <c r="G145" s="2" t="s">
        <v>6232</v>
      </c>
      <c r="H145" s="2"/>
      <c r="I145" s="2" t="s">
        <v>6232</v>
      </c>
      <c r="J145" s="2"/>
      <c r="K145" s="2" t="s">
        <v>6232</v>
      </c>
      <c r="L145" s="25">
        <v>1283690</v>
      </c>
      <c r="M145" s="2" t="s">
        <v>3761</v>
      </c>
      <c r="N145" s="25">
        <v>1404630</v>
      </c>
      <c r="O145" s="2" t="s">
        <v>101</v>
      </c>
      <c r="P145" s="25">
        <v>1414000</v>
      </c>
      <c r="Q145" s="12" t="s">
        <v>6051</v>
      </c>
      <c r="V145" t="s">
        <v>6232</v>
      </c>
      <c r="W145" t="s">
        <v>6232</v>
      </c>
      <c r="X145" t="s">
        <v>6232</v>
      </c>
    </row>
    <row r="146" spans="1:24" ht="18.399999999999999" hidden="1" customHeight="1">
      <c r="A146" s="11" t="s">
        <v>2383</v>
      </c>
      <c r="B146" s="2" t="s">
        <v>5713</v>
      </c>
      <c r="C146" s="2" t="s">
        <v>3762</v>
      </c>
      <c r="D146" s="2" t="s">
        <v>6141</v>
      </c>
      <c r="E146" s="25">
        <v>1375570</v>
      </c>
      <c r="F146" s="2"/>
      <c r="G146" s="2" t="s">
        <v>6232</v>
      </c>
      <c r="H146" s="2"/>
      <c r="I146" s="2" t="s">
        <v>6232</v>
      </c>
      <c r="J146" s="2"/>
      <c r="K146" s="2" t="s">
        <v>6232</v>
      </c>
      <c r="L146" s="25">
        <v>1375570</v>
      </c>
      <c r="M146" s="2" t="s">
        <v>3761</v>
      </c>
      <c r="N146" s="25">
        <v>1679710</v>
      </c>
      <c r="O146" s="2" t="s">
        <v>101</v>
      </c>
      <c r="P146" s="25">
        <v>1704200</v>
      </c>
      <c r="Q146" s="12" t="s">
        <v>6051</v>
      </c>
      <c r="V146" t="s">
        <v>6232</v>
      </c>
      <c r="W146" t="s">
        <v>6232</v>
      </c>
      <c r="X146" t="s">
        <v>6232</v>
      </c>
    </row>
    <row r="147" spans="1:24" ht="18.399999999999999" hidden="1" customHeight="1">
      <c r="A147" s="11" t="s">
        <v>398</v>
      </c>
      <c r="B147" s="2" t="s">
        <v>5713</v>
      </c>
      <c r="C147" s="2" t="s">
        <v>512</v>
      </c>
      <c r="D147" s="2" t="s">
        <v>6141</v>
      </c>
      <c r="E147" s="25">
        <v>1893760</v>
      </c>
      <c r="F147" s="2"/>
      <c r="G147" s="2" t="s">
        <v>6232</v>
      </c>
      <c r="H147" s="2"/>
      <c r="I147" s="2" t="s">
        <v>6232</v>
      </c>
      <c r="J147" s="2"/>
      <c r="K147" s="2" t="s">
        <v>6232</v>
      </c>
      <c r="L147" s="25">
        <v>1893760</v>
      </c>
      <c r="M147" s="2" t="s">
        <v>3761</v>
      </c>
      <c r="N147" s="25">
        <v>2064720</v>
      </c>
      <c r="O147" s="2" t="s">
        <v>101</v>
      </c>
      <c r="P147" s="25">
        <v>2136100</v>
      </c>
      <c r="Q147" s="12" t="s">
        <v>6051</v>
      </c>
      <c r="V147" t="s">
        <v>6232</v>
      </c>
      <c r="W147" t="s">
        <v>6232</v>
      </c>
      <c r="X147" t="s">
        <v>6232</v>
      </c>
    </row>
    <row r="148" spans="1:24" ht="18.399999999999999" hidden="1" customHeight="1">
      <c r="A148" s="11" t="s">
        <v>2063</v>
      </c>
      <c r="B148" s="2" t="s">
        <v>5713</v>
      </c>
      <c r="C148" s="2" t="s">
        <v>6186</v>
      </c>
      <c r="D148" s="2" t="s">
        <v>6141</v>
      </c>
      <c r="E148" s="25">
        <v>2262330</v>
      </c>
      <c r="F148" s="2"/>
      <c r="G148" s="2" t="s">
        <v>6232</v>
      </c>
      <c r="H148" s="2"/>
      <c r="I148" s="2" t="s">
        <v>6232</v>
      </c>
      <c r="J148" s="2"/>
      <c r="K148" s="2" t="s">
        <v>6232</v>
      </c>
      <c r="L148" s="25">
        <v>2262330</v>
      </c>
      <c r="M148" s="2" t="s">
        <v>3761</v>
      </c>
      <c r="N148" s="25">
        <v>2612400</v>
      </c>
      <c r="O148" s="2" t="s">
        <v>101</v>
      </c>
      <c r="P148" s="25">
        <v>2488700</v>
      </c>
      <c r="Q148" s="12" t="s">
        <v>6051</v>
      </c>
      <c r="V148" t="s">
        <v>6232</v>
      </c>
      <c r="W148" t="s">
        <v>6232</v>
      </c>
      <c r="X148" t="s">
        <v>6232</v>
      </c>
    </row>
    <row r="149" spans="1:24" ht="18.399999999999999" hidden="1" customHeight="1">
      <c r="A149" s="11" t="s">
        <v>1758</v>
      </c>
      <c r="B149" s="2" t="s">
        <v>5713</v>
      </c>
      <c r="C149" s="2" t="s">
        <v>6103</v>
      </c>
      <c r="D149" s="2" t="s">
        <v>6141</v>
      </c>
      <c r="E149" s="25">
        <v>2477520</v>
      </c>
      <c r="F149" s="2"/>
      <c r="G149" s="2" t="s">
        <v>6232</v>
      </c>
      <c r="H149" s="2"/>
      <c r="I149" s="2" t="s">
        <v>6232</v>
      </c>
      <c r="J149" s="2"/>
      <c r="K149" s="2" t="s">
        <v>6232</v>
      </c>
      <c r="L149" s="25">
        <v>2477520</v>
      </c>
      <c r="M149" s="2" t="s">
        <v>3761</v>
      </c>
      <c r="N149" s="25">
        <v>2865090</v>
      </c>
      <c r="O149" s="2" t="s">
        <v>101</v>
      </c>
      <c r="P149" s="25">
        <v>2890900</v>
      </c>
      <c r="Q149" s="12" t="s">
        <v>6051</v>
      </c>
      <c r="V149" t="s">
        <v>6232</v>
      </c>
      <c r="W149" t="s">
        <v>6232</v>
      </c>
      <c r="X149" t="s">
        <v>6232</v>
      </c>
    </row>
    <row r="150" spans="1:24" ht="18.399999999999999" hidden="1" customHeight="1">
      <c r="A150" s="11" t="s">
        <v>276</v>
      </c>
      <c r="B150" s="2" t="s">
        <v>5713</v>
      </c>
      <c r="C150" s="2" t="s">
        <v>369</v>
      </c>
      <c r="D150" s="2" t="s">
        <v>6141</v>
      </c>
      <c r="E150" s="25">
        <v>2743720</v>
      </c>
      <c r="F150" s="2"/>
      <c r="G150" s="2" t="s">
        <v>6232</v>
      </c>
      <c r="H150" s="2"/>
      <c r="I150" s="2" t="s">
        <v>6232</v>
      </c>
      <c r="J150" s="2"/>
      <c r="K150" s="2" t="s">
        <v>6232</v>
      </c>
      <c r="L150" s="25">
        <v>2743720</v>
      </c>
      <c r="M150" s="2" t="s">
        <v>3761</v>
      </c>
      <c r="N150" s="25">
        <v>3042470</v>
      </c>
      <c r="O150" s="2" t="s">
        <v>101</v>
      </c>
      <c r="P150" s="25">
        <v>3288200</v>
      </c>
      <c r="Q150" s="12" t="s">
        <v>6051</v>
      </c>
      <c r="V150" t="s">
        <v>6232</v>
      </c>
      <c r="W150" t="s">
        <v>6232</v>
      </c>
      <c r="X150" t="s">
        <v>6232</v>
      </c>
    </row>
    <row r="151" spans="1:24" ht="18.399999999999999" hidden="1" customHeight="1">
      <c r="A151" s="11" t="s">
        <v>3054</v>
      </c>
      <c r="B151" s="2" t="s">
        <v>5713</v>
      </c>
      <c r="C151" s="2" t="s">
        <v>3821</v>
      </c>
      <c r="D151" s="2" t="s">
        <v>6141</v>
      </c>
      <c r="E151" s="25">
        <v>2962210</v>
      </c>
      <c r="F151" s="2"/>
      <c r="G151" s="2" t="s">
        <v>6232</v>
      </c>
      <c r="H151" s="2"/>
      <c r="I151" s="2" t="s">
        <v>6232</v>
      </c>
      <c r="J151" s="2"/>
      <c r="K151" s="2" t="s">
        <v>6232</v>
      </c>
      <c r="L151" s="25">
        <v>2962210</v>
      </c>
      <c r="M151" s="2" t="s">
        <v>3761</v>
      </c>
      <c r="N151" s="25">
        <v>3235880</v>
      </c>
      <c r="O151" s="2" t="s">
        <v>101</v>
      </c>
      <c r="P151" s="25">
        <v>3489500</v>
      </c>
      <c r="Q151" s="12" t="s">
        <v>6051</v>
      </c>
      <c r="V151" t="s">
        <v>6232</v>
      </c>
      <c r="W151" t="s">
        <v>6232</v>
      </c>
      <c r="X151" t="s">
        <v>6232</v>
      </c>
    </row>
    <row r="152" spans="1:24" ht="18.399999999999999" hidden="1" customHeight="1">
      <c r="A152" s="11" t="s">
        <v>1436</v>
      </c>
      <c r="B152" s="2" t="s">
        <v>5713</v>
      </c>
      <c r="C152" s="2" t="s">
        <v>2812</v>
      </c>
      <c r="D152" s="2" t="s">
        <v>6141</v>
      </c>
      <c r="E152" s="25">
        <v>3218250</v>
      </c>
      <c r="F152" s="2"/>
      <c r="G152" s="2" t="s">
        <v>6232</v>
      </c>
      <c r="H152" s="2"/>
      <c r="I152" s="2" t="s">
        <v>6232</v>
      </c>
      <c r="J152" s="2"/>
      <c r="K152" s="2" t="s">
        <v>6232</v>
      </c>
      <c r="L152" s="25">
        <v>3218250</v>
      </c>
      <c r="M152" s="2" t="s">
        <v>3761</v>
      </c>
      <c r="N152" s="25">
        <v>3403460</v>
      </c>
      <c r="O152" s="2" t="s">
        <v>101</v>
      </c>
      <c r="P152" s="25">
        <v>3892300</v>
      </c>
      <c r="Q152" s="12" t="s">
        <v>6051</v>
      </c>
      <c r="V152" t="s">
        <v>6232</v>
      </c>
      <c r="W152" t="s">
        <v>6232</v>
      </c>
      <c r="X152" t="s">
        <v>6232</v>
      </c>
    </row>
    <row r="153" spans="1:24" ht="18.399999999999999" hidden="1" customHeight="1">
      <c r="A153" s="11" t="s">
        <v>5268</v>
      </c>
      <c r="B153" s="2" t="s">
        <v>5403</v>
      </c>
      <c r="C153" s="2" t="s">
        <v>107</v>
      </c>
      <c r="D153" s="2" t="s">
        <v>6141</v>
      </c>
      <c r="E153" s="25">
        <v>379900</v>
      </c>
      <c r="F153" s="2"/>
      <c r="G153" s="2" t="s">
        <v>6232</v>
      </c>
      <c r="H153" s="2"/>
      <c r="I153" s="2" t="s">
        <v>6232</v>
      </c>
      <c r="J153" s="2"/>
      <c r="K153" s="2" t="s">
        <v>6232</v>
      </c>
      <c r="L153" s="25">
        <v>395510</v>
      </c>
      <c r="M153" s="2" t="s">
        <v>3761</v>
      </c>
      <c r="N153" s="25">
        <v>379900</v>
      </c>
      <c r="O153" s="2" t="s">
        <v>101</v>
      </c>
      <c r="P153" s="25">
        <v>468100</v>
      </c>
      <c r="Q153" s="12" t="s">
        <v>6051</v>
      </c>
      <c r="V153" t="s">
        <v>6232</v>
      </c>
      <c r="W153" t="s">
        <v>6232</v>
      </c>
      <c r="X153" t="s">
        <v>6232</v>
      </c>
    </row>
    <row r="154" spans="1:24" ht="18.399999999999999" hidden="1" customHeight="1">
      <c r="A154" s="11" t="s">
        <v>5726</v>
      </c>
      <c r="B154" s="2" t="s">
        <v>5403</v>
      </c>
      <c r="C154" s="2" t="s">
        <v>2808</v>
      </c>
      <c r="D154" s="2" t="s">
        <v>6141</v>
      </c>
      <c r="E154" s="25">
        <v>387340</v>
      </c>
      <c r="F154" s="2"/>
      <c r="G154" s="2" t="s">
        <v>6232</v>
      </c>
      <c r="H154" s="2"/>
      <c r="I154" s="2" t="s">
        <v>6232</v>
      </c>
      <c r="J154" s="2"/>
      <c r="K154" s="2" t="s">
        <v>6232</v>
      </c>
      <c r="L154" s="25">
        <v>400780</v>
      </c>
      <c r="M154" s="2" t="s">
        <v>3761</v>
      </c>
      <c r="N154" s="25">
        <v>387340</v>
      </c>
      <c r="O154" s="2" t="s">
        <v>101</v>
      </c>
      <c r="P154" s="25">
        <v>473500</v>
      </c>
      <c r="Q154" s="12" t="s">
        <v>6051</v>
      </c>
      <c r="V154" t="s">
        <v>6232</v>
      </c>
      <c r="W154" t="s">
        <v>6232</v>
      </c>
      <c r="X154" t="s">
        <v>6232</v>
      </c>
    </row>
    <row r="155" spans="1:24" ht="18.399999999999999" hidden="1" customHeight="1">
      <c r="A155" s="11" t="s">
        <v>2439</v>
      </c>
      <c r="B155" s="2" t="s">
        <v>5403</v>
      </c>
      <c r="C155" s="2" t="s">
        <v>1189</v>
      </c>
      <c r="D155" s="2" t="s">
        <v>6141</v>
      </c>
      <c r="E155" s="25">
        <v>396890</v>
      </c>
      <c r="F155" s="2"/>
      <c r="G155" s="2" t="s">
        <v>6232</v>
      </c>
      <c r="H155" s="2"/>
      <c r="I155" s="2" t="s">
        <v>6232</v>
      </c>
      <c r="J155" s="2"/>
      <c r="K155" s="2" t="s">
        <v>6232</v>
      </c>
      <c r="L155" s="25">
        <v>408810</v>
      </c>
      <c r="M155" s="2" t="s">
        <v>3761</v>
      </c>
      <c r="N155" s="25">
        <v>396890</v>
      </c>
      <c r="O155" s="2" t="s">
        <v>101</v>
      </c>
      <c r="P155" s="25">
        <v>481800</v>
      </c>
      <c r="Q155" s="12" t="s">
        <v>6051</v>
      </c>
      <c r="V155" t="s">
        <v>6232</v>
      </c>
      <c r="W155" t="s">
        <v>6232</v>
      </c>
      <c r="X155" t="s">
        <v>6232</v>
      </c>
    </row>
    <row r="156" spans="1:24" ht="18.399999999999999" hidden="1" customHeight="1">
      <c r="A156" s="11" t="s">
        <v>5504</v>
      </c>
      <c r="B156" s="2" t="s">
        <v>5403</v>
      </c>
      <c r="C156" s="2" t="s">
        <v>4688</v>
      </c>
      <c r="D156" s="2" t="s">
        <v>6141</v>
      </c>
      <c r="E156" s="25">
        <v>399690</v>
      </c>
      <c r="F156" s="2"/>
      <c r="G156" s="2" t="s">
        <v>6232</v>
      </c>
      <c r="H156" s="2"/>
      <c r="I156" s="2" t="s">
        <v>6232</v>
      </c>
      <c r="J156" s="2"/>
      <c r="K156" s="2" t="s">
        <v>6232</v>
      </c>
      <c r="L156" s="25">
        <v>412750</v>
      </c>
      <c r="M156" s="2" t="s">
        <v>3761</v>
      </c>
      <c r="N156" s="25">
        <v>399690</v>
      </c>
      <c r="O156" s="2" t="s">
        <v>101</v>
      </c>
      <c r="P156" s="25">
        <v>486000</v>
      </c>
      <c r="Q156" s="12" t="s">
        <v>6051</v>
      </c>
      <c r="V156" t="s">
        <v>6232</v>
      </c>
      <c r="W156" t="s">
        <v>6232</v>
      </c>
      <c r="X156" t="s">
        <v>6232</v>
      </c>
    </row>
    <row r="157" spans="1:24" ht="18.399999999999999" hidden="1" customHeight="1">
      <c r="A157" s="11" t="s">
        <v>2651</v>
      </c>
      <c r="B157" s="2" t="s">
        <v>5403</v>
      </c>
      <c r="C157" s="2" t="s">
        <v>3182</v>
      </c>
      <c r="D157" s="2" t="s">
        <v>6141</v>
      </c>
      <c r="E157" s="25">
        <v>409240</v>
      </c>
      <c r="F157" s="2"/>
      <c r="G157" s="2" t="s">
        <v>6232</v>
      </c>
      <c r="H157" s="2"/>
      <c r="I157" s="2" t="s">
        <v>6232</v>
      </c>
      <c r="J157" s="2"/>
      <c r="K157" s="2" t="s">
        <v>6232</v>
      </c>
      <c r="L157" s="25">
        <v>420770</v>
      </c>
      <c r="M157" s="2" t="s">
        <v>3761</v>
      </c>
      <c r="N157" s="25">
        <v>409240</v>
      </c>
      <c r="O157" s="2" t="s">
        <v>101</v>
      </c>
      <c r="P157" s="25">
        <v>494200</v>
      </c>
      <c r="Q157" s="12" t="s">
        <v>6051</v>
      </c>
      <c r="V157" t="s">
        <v>6232</v>
      </c>
      <c r="W157" t="s">
        <v>6232</v>
      </c>
      <c r="X157" t="s">
        <v>6232</v>
      </c>
    </row>
    <row r="158" spans="1:24" ht="18.399999999999999" hidden="1" customHeight="1">
      <c r="A158" s="11" t="s">
        <v>3454</v>
      </c>
      <c r="B158" s="2" t="s">
        <v>5403</v>
      </c>
      <c r="C158" s="2" t="s">
        <v>2809</v>
      </c>
      <c r="D158" s="2" t="s">
        <v>6141</v>
      </c>
      <c r="E158" s="25">
        <v>424830</v>
      </c>
      <c r="F158" s="2"/>
      <c r="G158" s="2" t="s">
        <v>6232</v>
      </c>
      <c r="H158" s="2"/>
      <c r="I158" s="2" t="s">
        <v>6232</v>
      </c>
      <c r="J158" s="2"/>
      <c r="K158" s="2" t="s">
        <v>6232</v>
      </c>
      <c r="L158" s="25">
        <v>433260</v>
      </c>
      <c r="M158" s="2" t="s">
        <v>3761</v>
      </c>
      <c r="N158" s="25">
        <v>424830</v>
      </c>
      <c r="O158" s="2" t="s">
        <v>101</v>
      </c>
      <c r="P158" s="25">
        <v>507200</v>
      </c>
      <c r="Q158" s="12" t="s">
        <v>6051</v>
      </c>
      <c r="V158" t="s">
        <v>6232</v>
      </c>
      <c r="W158" t="s">
        <v>6232</v>
      </c>
      <c r="X158" t="s">
        <v>6232</v>
      </c>
    </row>
    <row r="159" spans="1:24" ht="18.399999999999999" hidden="1" customHeight="1">
      <c r="A159" s="11" t="s">
        <v>2928</v>
      </c>
      <c r="B159" s="2" t="s">
        <v>5403</v>
      </c>
      <c r="C159" s="2" t="s">
        <v>632</v>
      </c>
      <c r="D159" s="2" t="s">
        <v>6141</v>
      </c>
      <c r="E159" s="25">
        <v>410930</v>
      </c>
      <c r="F159" s="2"/>
      <c r="G159" s="2" t="s">
        <v>6232</v>
      </c>
      <c r="H159" s="2"/>
      <c r="I159" s="2" t="s">
        <v>6232</v>
      </c>
      <c r="J159" s="2"/>
      <c r="K159" s="2" t="s">
        <v>6232</v>
      </c>
      <c r="L159" s="25">
        <v>462060</v>
      </c>
      <c r="M159" s="2" t="s">
        <v>3761</v>
      </c>
      <c r="N159" s="25">
        <v>410930</v>
      </c>
      <c r="O159" s="2" t="s">
        <v>101</v>
      </c>
      <c r="P159" s="25">
        <v>564500</v>
      </c>
      <c r="Q159" s="12" t="s">
        <v>6051</v>
      </c>
      <c r="V159" t="s">
        <v>6232</v>
      </c>
      <c r="W159" t="s">
        <v>6232</v>
      </c>
      <c r="X159" t="s">
        <v>6232</v>
      </c>
    </row>
    <row r="160" spans="1:24" ht="18.399999999999999" hidden="1" customHeight="1">
      <c r="A160" s="11" t="s">
        <v>5996</v>
      </c>
      <c r="B160" s="2" t="s">
        <v>5403</v>
      </c>
      <c r="C160" s="2" t="s">
        <v>2220</v>
      </c>
      <c r="D160" s="2" t="s">
        <v>6141</v>
      </c>
      <c r="E160" s="25">
        <v>420790</v>
      </c>
      <c r="F160" s="2"/>
      <c r="G160" s="2" t="s">
        <v>6232</v>
      </c>
      <c r="H160" s="2"/>
      <c r="I160" s="2" t="s">
        <v>6232</v>
      </c>
      <c r="J160" s="2"/>
      <c r="K160" s="2" t="s">
        <v>6232</v>
      </c>
      <c r="L160" s="25">
        <v>429190</v>
      </c>
      <c r="M160" s="2" t="s">
        <v>3761</v>
      </c>
      <c r="N160" s="25">
        <v>420790</v>
      </c>
      <c r="O160" s="2" t="s">
        <v>101</v>
      </c>
      <c r="P160" s="25">
        <v>502900</v>
      </c>
      <c r="Q160" s="12" t="s">
        <v>6051</v>
      </c>
      <c r="V160" t="s">
        <v>6232</v>
      </c>
      <c r="W160" t="s">
        <v>6232</v>
      </c>
      <c r="X160" t="s">
        <v>6232</v>
      </c>
    </row>
    <row r="161" spans="1:24" ht="18.399999999999999" hidden="1" customHeight="1">
      <c r="A161" s="11" t="s">
        <v>485</v>
      </c>
      <c r="B161" s="2" t="s">
        <v>5403</v>
      </c>
      <c r="C161" s="2" t="s">
        <v>4194</v>
      </c>
      <c r="D161" s="2" t="s">
        <v>6141</v>
      </c>
      <c r="E161" s="25">
        <v>436280</v>
      </c>
      <c r="F161" s="2"/>
      <c r="G161" s="2" t="s">
        <v>6232</v>
      </c>
      <c r="H161" s="2"/>
      <c r="I161" s="2" t="s">
        <v>6232</v>
      </c>
      <c r="J161" s="2"/>
      <c r="K161" s="2" t="s">
        <v>6232</v>
      </c>
      <c r="L161" s="25">
        <v>441680</v>
      </c>
      <c r="M161" s="2" t="s">
        <v>3761</v>
      </c>
      <c r="N161" s="25">
        <v>436280</v>
      </c>
      <c r="O161" s="2" t="s">
        <v>101</v>
      </c>
      <c r="P161" s="25">
        <v>515900</v>
      </c>
      <c r="Q161" s="12" t="s">
        <v>6051</v>
      </c>
      <c r="V161" t="s">
        <v>6232</v>
      </c>
      <c r="W161" t="s">
        <v>6232</v>
      </c>
      <c r="X161" t="s">
        <v>6232</v>
      </c>
    </row>
    <row r="162" spans="1:24" ht="18.399999999999999" hidden="1" customHeight="1">
      <c r="A162" s="11" t="s">
        <v>6226</v>
      </c>
      <c r="B162" s="2" t="s">
        <v>5403</v>
      </c>
      <c r="C162" s="2" t="s">
        <v>4180</v>
      </c>
      <c r="D162" s="2" t="s">
        <v>6141</v>
      </c>
      <c r="E162" s="25">
        <v>450440</v>
      </c>
      <c r="F162" s="2"/>
      <c r="G162" s="2" t="s">
        <v>6232</v>
      </c>
      <c r="H162" s="2"/>
      <c r="I162" s="2" t="s">
        <v>6232</v>
      </c>
      <c r="J162" s="2"/>
      <c r="K162" s="2" t="s">
        <v>6232</v>
      </c>
      <c r="L162" s="25">
        <v>450440</v>
      </c>
      <c r="M162" s="2" t="s">
        <v>3761</v>
      </c>
      <c r="N162" s="25">
        <v>450760</v>
      </c>
      <c r="O162" s="2" t="s">
        <v>101</v>
      </c>
      <c r="P162" s="25">
        <v>524800</v>
      </c>
      <c r="Q162" s="12" t="s">
        <v>6051</v>
      </c>
      <c r="V162" t="s">
        <v>6232</v>
      </c>
      <c r="W162" t="s">
        <v>6232</v>
      </c>
      <c r="X162" t="s">
        <v>6232</v>
      </c>
    </row>
    <row r="163" spans="1:24" ht="18.399999999999999" hidden="1" customHeight="1">
      <c r="A163" s="11" t="s">
        <v>4898</v>
      </c>
      <c r="B163" s="2" t="s">
        <v>5403</v>
      </c>
      <c r="C163" s="2" t="s">
        <v>4543</v>
      </c>
      <c r="D163" s="2" t="s">
        <v>6141</v>
      </c>
      <c r="E163" s="25">
        <v>431130</v>
      </c>
      <c r="F163" s="2"/>
      <c r="G163" s="2" t="s">
        <v>6232</v>
      </c>
      <c r="H163" s="2"/>
      <c r="I163" s="2" t="s">
        <v>6232</v>
      </c>
      <c r="J163" s="2"/>
      <c r="K163" s="2" t="s">
        <v>6232</v>
      </c>
      <c r="L163" s="25">
        <v>482070</v>
      </c>
      <c r="M163" s="2" t="s">
        <v>3761</v>
      </c>
      <c r="N163" s="25">
        <v>431130</v>
      </c>
      <c r="O163" s="2" t="s">
        <v>101</v>
      </c>
      <c r="P163" s="25">
        <v>585400</v>
      </c>
      <c r="Q163" s="12" t="s">
        <v>6051</v>
      </c>
      <c r="V163" t="s">
        <v>6232</v>
      </c>
      <c r="W163" t="s">
        <v>6232</v>
      </c>
      <c r="X163" t="s">
        <v>6232</v>
      </c>
    </row>
    <row r="164" spans="1:24" ht="18.399999999999999" hidden="1" customHeight="1">
      <c r="A164" s="11" t="s">
        <v>1690</v>
      </c>
      <c r="B164" s="2" t="s">
        <v>5403</v>
      </c>
      <c r="C164" s="2" t="s">
        <v>6050</v>
      </c>
      <c r="D164" s="2" t="s">
        <v>6141</v>
      </c>
      <c r="E164" s="25">
        <v>440680</v>
      </c>
      <c r="F164" s="2"/>
      <c r="G164" s="2" t="s">
        <v>6232</v>
      </c>
      <c r="H164" s="2"/>
      <c r="I164" s="2" t="s">
        <v>6232</v>
      </c>
      <c r="J164" s="2"/>
      <c r="K164" s="2" t="s">
        <v>6232</v>
      </c>
      <c r="L164" s="25">
        <v>491830</v>
      </c>
      <c r="M164" s="2" t="s">
        <v>3761</v>
      </c>
      <c r="N164" s="25">
        <v>440680</v>
      </c>
      <c r="O164" s="2" t="s">
        <v>101</v>
      </c>
      <c r="P164" s="25">
        <v>595500</v>
      </c>
      <c r="Q164" s="12" t="s">
        <v>6051</v>
      </c>
      <c r="V164" t="s">
        <v>6232</v>
      </c>
      <c r="W164" t="s">
        <v>6232</v>
      </c>
      <c r="X164" t="s">
        <v>6232</v>
      </c>
    </row>
    <row r="165" spans="1:24" ht="18.399999999999999" hidden="1" customHeight="1">
      <c r="A165" s="11" t="s">
        <v>4014</v>
      </c>
      <c r="B165" s="2" t="s">
        <v>5403</v>
      </c>
      <c r="C165" s="2" t="s">
        <v>218</v>
      </c>
      <c r="D165" s="2" t="s">
        <v>6141</v>
      </c>
      <c r="E165" s="25">
        <v>456180</v>
      </c>
      <c r="F165" s="2"/>
      <c r="G165" s="2" t="s">
        <v>6232</v>
      </c>
      <c r="H165" s="2"/>
      <c r="I165" s="2" t="s">
        <v>6232</v>
      </c>
      <c r="J165" s="2"/>
      <c r="K165" s="2" t="s">
        <v>6232</v>
      </c>
      <c r="L165" s="25">
        <v>461550</v>
      </c>
      <c r="M165" s="2" t="s">
        <v>3761</v>
      </c>
      <c r="N165" s="25">
        <v>456180</v>
      </c>
      <c r="O165" s="2" t="s">
        <v>101</v>
      </c>
      <c r="P165" s="25">
        <v>536700</v>
      </c>
      <c r="Q165" s="12" t="s">
        <v>6051</v>
      </c>
      <c r="V165" t="s">
        <v>6232</v>
      </c>
      <c r="W165" t="s">
        <v>6232</v>
      </c>
      <c r="X165" t="s">
        <v>6232</v>
      </c>
    </row>
    <row r="166" spans="1:24" ht="18.399999999999999" hidden="1" customHeight="1">
      <c r="A166" s="11" t="s">
        <v>1907</v>
      </c>
      <c r="B166" s="2" t="s">
        <v>5403</v>
      </c>
      <c r="C166" s="2" t="s">
        <v>320</v>
      </c>
      <c r="D166" s="2" t="s">
        <v>6141</v>
      </c>
      <c r="E166" s="25">
        <v>470560</v>
      </c>
      <c r="F166" s="2"/>
      <c r="G166" s="2" t="s">
        <v>6232</v>
      </c>
      <c r="H166" s="2"/>
      <c r="I166" s="2" t="s">
        <v>6232</v>
      </c>
      <c r="J166" s="2"/>
      <c r="K166" s="2" t="s">
        <v>6232</v>
      </c>
      <c r="L166" s="25">
        <v>471110</v>
      </c>
      <c r="M166" s="2" t="s">
        <v>3761</v>
      </c>
      <c r="N166" s="25">
        <v>470560</v>
      </c>
      <c r="O166" s="2" t="s">
        <v>101</v>
      </c>
      <c r="P166" s="25">
        <v>546400</v>
      </c>
      <c r="Q166" s="12" t="s">
        <v>6051</v>
      </c>
      <c r="V166" t="s">
        <v>6232</v>
      </c>
      <c r="W166" t="s">
        <v>6232</v>
      </c>
      <c r="X166" t="s">
        <v>6232</v>
      </c>
    </row>
    <row r="167" spans="1:24" ht="18.399999999999999" hidden="1" customHeight="1">
      <c r="A167" s="11" t="s">
        <v>327</v>
      </c>
      <c r="B167" s="2" t="s">
        <v>5403</v>
      </c>
      <c r="C167" s="2" t="s">
        <v>1388</v>
      </c>
      <c r="D167" s="2" t="s">
        <v>6141</v>
      </c>
      <c r="E167" s="25">
        <v>491520</v>
      </c>
      <c r="F167" s="2"/>
      <c r="G167" s="2" t="s">
        <v>6232</v>
      </c>
      <c r="H167" s="2"/>
      <c r="I167" s="2" t="s">
        <v>6232</v>
      </c>
      <c r="J167" s="2"/>
      <c r="K167" s="2" t="s">
        <v>6232</v>
      </c>
      <c r="L167" s="25">
        <v>491520</v>
      </c>
      <c r="M167" s="2" t="s">
        <v>3761</v>
      </c>
      <c r="N167" s="25">
        <v>493510</v>
      </c>
      <c r="O167" s="2" t="s">
        <v>101</v>
      </c>
      <c r="P167" s="25">
        <v>567800</v>
      </c>
      <c r="Q167" s="12" t="s">
        <v>6051</v>
      </c>
      <c r="V167" t="s">
        <v>6232</v>
      </c>
      <c r="W167" t="s">
        <v>6232</v>
      </c>
      <c r="X167" t="s">
        <v>6232</v>
      </c>
    </row>
    <row r="168" spans="1:24" ht="18.399999999999999" hidden="1" customHeight="1">
      <c r="A168" s="11" t="s">
        <v>1049</v>
      </c>
      <c r="B168" s="2" t="s">
        <v>5403</v>
      </c>
      <c r="C168" s="2" t="s">
        <v>2385</v>
      </c>
      <c r="D168" s="2" t="s">
        <v>6141</v>
      </c>
      <c r="E168" s="25">
        <v>516550</v>
      </c>
      <c r="F168" s="2"/>
      <c r="G168" s="2" t="s">
        <v>6232</v>
      </c>
      <c r="H168" s="2"/>
      <c r="I168" s="2" t="s">
        <v>6232</v>
      </c>
      <c r="J168" s="2"/>
      <c r="K168" s="2" t="s">
        <v>6232</v>
      </c>
      <c r="L168" s="25">
        <v>613440</v>
      </c>
      <c r="M168" s="2" t="s">
        <v>3761</v>
      </c>
      <c r="N168" s="25">
        <v>516550</v>
      </c>
      <c r="O168" s="2" t="s">
        <v>101</v>
      </c>
      <c r="P168" s="25">
        <v>710500</v>
      </c>
      <c r="Q168" s="12" t="s">
        <v>6051</v>
      </c>
      <c r="V168" t="s">
        <v>6232</v>
      </c>
      <c r="W168" t="s">
        <v>6232</v>
      </c>
      <c r="X168" t="s">
        <v>6232</v>
      </c>
    </row>
    <row r="169" spans="1:24" ht="18.399999999999999" hidden="1" customHeight="1">
      <c r="A169" s="11" t="s">
        <v>4015</v>
      </c>
      <c r="B169" s="2" t="s">
        <v>5403</v>
      </c>
      <c r="C169" s="2" t="s">
        <v>967</v>
      </c>
      <c r="D169" s="2" t="s">
        <v>6141</v>
      </c>
      <c r="E169" s="25">
        <v>530980</v>
      </c>
      <c r="F169" s="2"/>
      <c r="G169" s="2" t="s">
        <v>6232</v>
      </c>
      <c r="H169" s="2"/>
      <c r="I169" s="2" t="s">
        <v>6232</v>
      </c>
      <c r="J169" s="2"/>
      <c r="K169" s="2" t="s">
        <v>6232</v>
      </c>
      <c r="L169" s="25">
        <v>623120</v>
      </c>
      <c r="M169" s="2" t="s">
        <v>3761</v>
      </c>
      <c r="N169" s="25">
        <v>530980</v>
      </c>
      <c r="O169" s="2" t="s">
        <v>101</v>
      </c>
      <c r="P169" s="25">
        <v>720600</v>
      </c>
      <c r="Q169" s="12" t="s">
        <v>6051</v>
      </c>
      <c r="V169" t="s">
        <v>6232</v>
      </c>
      <c r="W169" t="s">
        <v>6232</v>
      </c>
      <c r="X169" t="s">
        <v>6232</v>
      </c>
    </row>
    <row r="170" spans="1:24" ht="18.399999999999999" hidden="1" customHeight="1">
      <c r="A170" s="11" t="s">
        <v>1691</v>
      </c>
      <c r="B170" s="2" t="s">
        <v>5403</v>
      </c>
      <c r="C170" s="2" t="s">
        <v>5237</v>
      </c>
      <c r="D170" s="2" t="s">
        <v>6141</v>
      </c>
      <c r="E170" s="25">
        <v>553230</v>
      </c>
      <c r="F170" s="2"/>
      <c r="G170" s="2" t="s">
        <v>6232</v>
      </c>
      <c r="H170" s="2"/>
      <c r="I170" s="2" t="s">
        <v>6232</v>
      </c>
      <c r="J170" s="2"/>
      <c r="K170" s="2" t="s">
        <v>6232</v>
      </c>
      <c r="L170" s="25">
        <v>637110</v>
      </c>
      <c r="M170" s="2" t="s">
        <v>3761</v>
      </c>
      <c r="N170" s="25">
        <v>553230</v>
      </c>
      <c r="O170" s="2" t="s">
        <v>101</v>
      </c>
      <c r="P170" s="25">
        <v>735100</v>
      </c>
      <c r="Q170" s="12" t="s">
        <v>6051</v>
      </c>
      <c r="V170" t="s">
        <v>6232</v>
      </c>
      <c r="W170" t="s">
        <v>6232</v>
      </c>
      <c r="X170" t="s">
        <v>6232</v>
      </c>
    </row>
    <row r="171" spans="1:24" ht="18.399999999999999" hidden="1" customHeight="1">
      <c r="A171" s="11" t="s">
        <v>4225</v>
      </c>
      <c r="B171" s="2" t="s">
        <v>5403</v>
      </c>
      <c r="C171" s="2" t="s">
        <v>5048</v>
      </c>
      <c r="D171" s="2" t="s">
        <v>6141</v>
      </c>
      <c r="E171" s="25">
        <v>511650</v>
      </c>
      <c r="F171" s="2"/>
      <c r="G171" s="2" t="s">
        <v>6232</v>
      </c>
      <c r="H171" s="2"/>
      <c r="I171" s="2" t="s">
        <v>6232</v>
      </c>
      <c r="J171" s="2"/>
      <c r="K171" s="2" t="s">
        <v>6232</v>
      </c>
      <c r="L171" s="25">
        <v>601450</v>
      </c>
      <c r="M171" s="2" t="s">
        <v>3761</v>
      </c>
      <c r="N171" s="25">
        <v>511650</v>
      </c>
      <c r="O171" s="2" t="s">
        <v>101</v>
      </c>
      <c r="P171" s="25">
        <v>670500</v>
      </c>
      <c r="Q171" s="12" t="s">
        <v>6051</v>
      </c>
      <c r="V171" t="s">
        <v>6232</v>
      </c>
      <c r="W171" t="s">
        <v>6232</v>
      </c>
      <c r="X171" t="s">
        <v>6232</v>
      </c>
    </row>
    <row r="172" spans="1:24" ht="18.399999999999999" hidden="1" customHeight="1">
      <c r="A172" s="11" t="s">
        <v>5752</v>
      </c>
      <c r="B172" s="2" t="s">
        <v>5403</v>
      </c>
      <c r="C172" s="2" t="s">
        <v>5633</v>
      </c>
      <c r="D172" s="2" t="s">
        <v>6141</v>
      </c>
      <c r="E172" s="25">
        <v>534410</v>
      </c>
      <c r="F172" s="2"/>
      <c r="G172" s="2" t="s">
        <v>6232</v>
      </c>
      <c r="H172" s="2"/>
      <c r="I172" s="2" t="s">
        <v>6232</v>
      </c>
      <c r="J172" s="2"/>
      <c r="K172" s="2" t="s">
        <v>6232</v>
      </c>
      <c r="L172" s="25">
        <v>622530</v>
      </c>
      <c r="M172" s="2" t="s">
        <v>3761</v>
      </c>
      <c r="N172" s="25">
        <v>534410</v>
      </c>
      <c r="O172" s="2" t="s">
        <v>101</v>
      </c>
      <c r="P172" s="25">
        <v>692600</v>
      </c>
      <c r="Q172" s="12" t="s">
        <v>6051</v>
      </c>
      <c r="V172" t="s">
        <v>6232</v>
      </c>
      <c r="W172" t="s">
        <v>6232</v>
      </c>
      <c r="X172" t="s">
        <v>6232</v>
      </c>
    </row>
    <row r="173" spans="1:24" ht="18.399999999999999" hidden="1" customHeight="1">
      <c r="A173" s="11" t="s">
        <v>3897</v>
      </c>
      <c r="B173" s="2" t="s">
        <v>5403</v>
      </c>
      <c r="C173" s="2" t="s">
        <v>6100</v>
      </c>
      <c r="D173" s="2" t="s">
        <v>6141</v>
      </c>
      <c r="E173" s="25">
        <v>594260</v>
      </c>
      <c r="F173" s="2"/>
      <c r="G173" s="2" t="s">
        <v>6232</v>
      </c>
      <c r="H173" s="2"/>
      <c r="I173" s="2" t="s">
        <v>6232</v>
      </c>
      <c r="J173" s="2"/>
      <c r="K173" s="2" t="s">
        <v>6232</v>
      </c>
      <c r="L173" s="25">
        <v>815800</v>
      </c>
      <c r="M173" s="2" t="s">
        <v>3761</v>
      </c>
      <c r="N173" s="25">
        <v>594260</v>
      </c>
      <c r="O173" s="2" t="s">
        <v>101</v>
      </c>
      <c r="P173" s="25">
        <v>752600</v>
      </c>
      <c r="Q173" s="12" t="s">
        <v>6051</v>
      </c>
      <c r="V173" t="s">
        <v>6232</v>
      </c>
      <c r="W173" t="s">
        <v>6232</v>
      </c>
      <c r="X173" t="s">
        <v>6232</v>
      </c>
    </row>
    <row r="174" spans="1:24" ht="18.399999999999999" hidden="1" customHeight="1">
      <c r="A174" s="11" t="s">
        <v>2908</v>
      </c>
      <c r="B174" s="2" t="s">
        <v>5403</v>
      </c>
      <c r="C174" s="2" t="s">
        <v>2386</v>
      </c>
      <c r="D174" s="2" t="s">
        <v>6141</v>
      </c>
      <c r="E174" s="25">
        <v>538980</v>
      </c>
      <c r="F174" s="2"/>
      <c r="G174" s="2" t="s">
        <v>6232</v>
      </c>
      <c r="H174" s="2"/>
      <c r="I174" s="2" t="s">
        <v>6232</v>
      </c>
      <c r="J174" s="2"/>
      <c r="K174" s="2" t="s">
        <v>6232</v>
      </c>
      <c r="L174" s="25">
        <v>637360</v>
      </c>
      <c r="M174" s="2" t="s">
        <v>3761</v>
      </c>
      <c r="N174" s="25">
        <v>538980</v>
      </c>
      <c r="O174" s="2" t="s">
        <v>101</v>
      </c>
      <c r="P174" s="25">
        <v>741900</v>
      </c>
      <c r="Q174" s="12" t="s">
        <v>6051</v>
      </c>
      <c r="V174" t="s">
        <v>6232</v>
      </c>
      <c r="W174" t="s">
        <v>6232</v>
      </c>
      <c r="X174" t="s">
        <v>6232</v>
      </c>
    </row>
    <row r="175" spans="1:24" ht="18.399999999999999" hidden="1" customHeight="1">
      <c r="A175" s="11" t="s">
        <v>6025</v>
      </c>
      <c r="B175" s="2" t="s">
        <v>5403</v>
      </c>
      <c r="C175" s="2" t="s">
        <v>968</v>
      </c>
      <c r="D175" s="2" t="s">
        <v>6141</v>
      </c>
      <c r="E175" s="25">
        <v>553410</v>
      </c>
      <c r="F175" s="2"/>
      <c r="G175" s="2" t="s">
        <v>6232</v>
      </c>
      <c r="H175" s="2"/>
      <c r="I175" s="2" t="s">
        <v>6232</v>
      </c>
      <c r="J175" s="2"/>
      <c r="K175" s="2" t="s">
        <v>6232</v>
      </c>
      <c r="L175" s="25">
        <v>645160</v>
      </c>
      <c r="M175" s="2" t="s">
        <v>3761</v>
      </c>
      <c r="N175" s="25">
        <v>553410</v>
      </c>
      <c r="O175" s="2" t="s">
        <v>101</v>
      </c>
      <c r="P175" s="25">
        <v>750800</v>
      </c>
      <c r="Q175" s="12" t="s">
        <v>6051</v>
      </c>
      <c r="V175" t="s">
        <v>6232</v>
      </c>
      <c r="W175" t="s">
        <v>6232</v>
      </c>
      <c r="X175" t="s">
        <v>6232</v>
      </c>
    </row>
    <row r="176" spans="1:24" ht="18.399999999999999" hidden="1" customHeight="1">
      <c r="A176" s="11" t="s">
        <v>535</v>
      </c>
      <c r="B176" s="2" t="s">
        <v>5403</v>
      </c>
      <c r="C176" s="2" t="s">
        <v>5238</v>
      </c>
      <c r="D176" s="2" t="s">
        <v>6141</v>
      </c>
      <c r="E176" s="25">
        <v>575640</v>
      </c>
      <c r="F176" s="2"/>
      <c r="G176" s="2" t="s">
        <v>6232</v>
      </c>
      <c r="H176" s="2"/>
      <c r="I176" s="2" t="s">
        <v>6232</v>
      </c>
      <c r="J176" s="2"/>
      <c r="K176" s="2" t="s">
        <v>6232</v>
      </c>
      <c r="L176" s="25">
        <v>656360</v>
      </c>
      <c r="M176" s="2" t="s">
        <v>3761</v>
      </c>
      <c r="N176" s="25">
        <v>575640</v>
      </c>
      <c r="O176" s="2" t="s">
        <v>101</v>
      </c>
      <c r="P176" s="25">
        <v>763700</v>
      </c>
      <c r="Q176" s="12" t="s">
        <v>6051</v>
      </c>
      <c r="V176" t="s">
        <v>6232</v>
      </c>
      <c r="W176" t="s">
        <v>6232</v>
      </c>
      <c r="X176" t="s">
        <v>6232</v>
      </c>
    </row>
    <row r="177" spans="1:24" ht="18.399999999999999" hidden="1" customHeight="1">
      <c r="A177" s="11" t="s">
        <v>6205</v>
      </c>
      <c r="B177" s="2" t="s">
        <v>5403</v>
      </c>
      <c r="C177" s="2" t="s">
        <v>5059</v>
      </c>
      <c r="D177" s="2" t="s">
        <v>6141</v>
      </c>
      <c r="E177" s="25">
        <v>597880</v>
      </c>
      <c r="F177" s="2"/>
      <c r="G177" s="2" t="s">
        <v>6232</v>
      </c>
      <c r="H177" s="2"/>
      <c r="I177" s="2" t="s">
        <v>6232</v>
      </c>
      <c r="J177" s="2"/>
      <c r="K177" s="2" t="s">
        <v>6232</v>
      </c>
      <c r="L177" s="25">
        <v>666140</v>
      </c>
      <c r="M177" s="2" t="s">
        <v>3761</v>
      </c>
      <c r="N177" s="25">
        <v>597880</v>
      </c>
      <c r="O177" s="2" t="s">
        <v>101</v>
      </c>
      <c r="P177" s="25">
        <v>773800</v>
      </c>
      <c r="Q177" s="12" t="s">
        <v>6051</v>
      </c>
      <c r="V177" t="s">
        <v>6232</v>
      </c>
      <c r="W177" t="s">
        <v>6232</v>
      </c>
      <c r="X177" t="s">
        <v>6232</v>
      </c>
    </row>
    <row r="178" spans="1:24" ht="18.399999999999999" hidden="1" customHeight="1">
      <c r="A178" s="11" t="s">
        <v>4638</v>
      </c>
      <c r="B178" s="2" t="s">
        <v>5403</v>
      </c>
      <c r="C178" s="2" t="s">
        <v>5634</v>
      </c>
      <c r="D178" s="2" t="s">
        <v>6141</v>
      </c>
      <c r="E178" s="25">
        <v>556820</v>
      </c>
      <c r="F178" s="2"/>
      <c r="G178" s="2" t="s">
        <v>6232</v>
      </c>
      <c r="H178" s="2"/>
      <c r="I178" s="2" t="s">
        <v>6232</v>
      </c>
      <c r="J178" s="2"/>
      <c r="K178" s="2" t="s">
        <v>6232</v>
      </c>
      <c r="L178" s="25">
        <v>640320</v>
      </c>
      <c r="M178" s="2" t="s">
        <v>3761</v>
      </c>
      <c r="N178" s="25">
        <v>556820</v>
      </c>
      <c r="O178" s="2" t="s">
        <v>101</v>
      </c>
      <c r="P178" s="25">
        <v>720000</v>
      </c>
      <c r="Q178" s="12" t="s">
        <v>6051</v>
      </c>
      <c r="V178" t="s">
        <v>6232</v>
      </c>
      <c r="W178" t="s">
        <v>6232</v>
      </c>
      <c r="X178" t="s">
        <v>6232</v>
      </c>
    </row>
    <row r="179" spans="1:24" ht="18.399999999999999" hidden="1" customHeight="1">
      <c r="A179" s="11" t="s">
        <v>5908</v>
      </c>
      <c r="B179" s="2" t="s">
        <v>5403</v>
      </c>
      <c r="C179" s="2" t="s">
        <v>6101</v>
      </c>
      <c r="D179" s="2" t="s">
        <v>6141</v>
      </c>
      <c r="E179" s="25">
        <v>616420</v>
      </c>
      <c r="F179" s="2"/>
      <c r="G179" s="2" t="s">
        <v>6232</v>
      </c>
      <c r="H179" s="2"/>
      <c r="I179" s="2" t="s">
        <v>6232</v>
      </c>
      <c r="J179" s="2"/>
      <c r="K179" s="2" t="s">
        <v>6232</v>
      </c>
      <c r="L179" s="25">
        <v>831100</v>
      </c>
      <c r="M179" s="2" t="s">
        <v>3761</v>
      </c>
      <c r="N179" s="25">
        <v>616420</v>
      </c>
      <c r="O179" s="2" t="s">
        <v>101</v>
      </c>
      <c r="P179" s="25">
        <v>778700</v>
      </c>
      <c r="Q179" s="12" t="s">
        <v>6051</v>
      </c>
      <c r="V179" t="s">
        <v>6232</v>
      </c>
      <c r="W179" t="s">
        <v>6232</v>
      </c>
      <c r="X179" t="s">
        <v>6232</v>
      </c>
    </row>
    <row r="180" spans="1:24" ht="18.399999999999999" hidden="1" customHeight="1">
      <c r="A180" s="11" t="s">
        <v>5892</v>
      </c>
      <c r="B180" s="2" t="s">
        <v>5403</v>
      </c>
      <c r="C180" s="2" t="s">
        <v>4379</v>
      </c>
      <c r="D180" s="2" t="s">
        <v>6141</v>
      </c>
      <c r="E180" s="25">
        <v>651290</v>
      </c>
      <c r="F180" s="2"/>
      <c r="G180" s="2" t="s">
        <v>6232</v>
      </c>
      <c r="H180" s="2"/>
      <c r="I180" s="2" t="s">
        <v>6232</v>
      </c>
      <c r="J180" s="2"/>
      <c r="K180" s="2" t="s">
        <v>6232</v>
      </c>
      <c r="L180" s="25">
        <v>855680</v>
      </c>
      <c r="M180" s="2" t="s">
        <v>3761</v>
      </c>
      <c r="N180" s="25">
        <v>651290</v>
      </c>
      <c r="O180" s="2" t="s">
        <v>101</v>
      </c>
      <c r="P180" s="25">
        <v>814300</v>
      </c>
      <c r="Q180" s="12" t="s">
        <v>6051</v>
      </c>
      <c r="V180" t="s">
        <v>6232</v>
      </c>
      <c r="W180" t="s">
        <v>6232</v>
      </c>
      <c r="X180" t="s">
        <v>6232</v>
      </c>
    </row>
    <row r="181" spans="1:24" ht="18.399999999999999" hidden="1" customHeight="1">
      <c r="A181" s="11" t="s">
        <v>693</v>
      </c>
      <c r="B181" s="2" t="s">
        <v>5403</v>
      </c>
      <c r="C181" s="2" t="s">
        <v>1258</v>
      </c>
      <c r="D181" s="2" t="s">
        <v>6141</v>
      </c>
      <c r="E181" s="25">
        <v>643350</v>
      </c>
      <c r="F181" s="2"/>
      <c r="G181" s="2" t="s">
        <v>6232</v>
      </c>
      <c r="H181" s="2"/>
      <c r="I181" s="2" t="s">
        <v>6232</v>
      </c>
      <c r="J181" s="2"/>
      <c r="K181" s="2" t="s">
        <v>6232</v>
      </c>
      <c r="L181" s="25">
        <v>670210</v>
      </c>
      <c r="M181" s="2" t="s">
        <v>3761</v>
      </c>
      <c r="N181" s="25">
        <v>643350</v>
      </c>
      <c r="O181" s="2" t="s">
        <v>101</v>
      </c>
      <c r="P181" s="25">
        <v>777200</v>
      </c>
      <c r="Q181" s="12" t="s">
        <v>6051</v>
      </c>
      <c r="V181" t="s">
        <v>6232</v>
      </c>
      <c r="W181" t="s">
        <v>6232</v>
      </c>
      <c r="X181" t="s">
        <v>6232</v>
      </c>
    </row>
    <row r="182" spans="1:24" ht="18.399999999999999" hidden="1" customHeight="1">
      <c r="A182" s="11" t="s">
        <v>3559</v>
      </c>
      <c r="B182" s="2" t="s">
        <v>5403</v>
      </c>
      <c r="C182" s="2" t="s">
        <v>2726</v>
      </c>
      <c r="D182" s="2" t="s">
        <v>6141</v>
      </c>
      <c r="E182" s="25">
        <v>657960</v>
      </c>
      <c r="F182" s="2"/>
      <c r="G182" s="2" t="s">
        <v>6232</v>
      </c>
      <c r="H182" s="2"/>
      <c r="I182" s="2" t="s">
        <v>6232</v>
      </c>
      <c r="J182" s="2"/>
      <c r="K182" s="2" t="s">
        <v>6232</v>
      </c>
      <c r="L182" s="25">
        <v>679860</v>
      </c>
      <c r="M182" s="2" t="s">
        <v>3761</v>
      </c>
      <c r="N182" s="25">
        <v>657960</v>
      </c>
      <c r="O182" s="2" t="s">
        <v>101</v>
      </c>
      <c r="P182" s="25">
        <v>787200</v>
      </c>
      <c r="Q182" s="12" t="s">
        <v>6051</v>
      </c>
      <c r="V182" t="s">
        <v>6232</v>
      </c>
      <c r="W182" t="s">
        <v>6232</v>
      </c>
      <c r="X182" t="s">
        <v>6232</v>
      </c>
    </row>
    <row r="183" spans="1:24" ht="18.399999999999999" hidden="1" customHeight="1">
      <c r="A183" s="11" t="s">
        <v>2736</v>
      </c>
      <c r="B183" s="2" t="s">
        <v>5403</v>
      </c>
      <c r="C183" s="2" t="s">
        <v>3112</v>
      </c>
      <c r="D183" s="2" t="s">
        <v>6141</v>
      </c>
      <c r="E183" s="25">
        <v>680860</v>
      </c>
      <c r="F183" s="2"/>
      <c r="G183" s="2" t="s">
        <v>6232</v>
      </c>
      <c r="H183" s="2"/>
      <c r="I183" s="2" t="s">
        <v>6232</v>
      </c>
      <c r="J183" s="2"/>
      <c r="K183" s="2" t="s">
        <v>6232</v>
      </c>
      <c r="L183" s="25">
        <v>693710</v>
      </c>
      <c r="M183" s="2" t="s">
        <v>3761</v>
      </c>
      <c r="N183" s="25">
        <v>680860</v>
      </c>
      <c r="O183" s="2" t="s">
        <v>101</v>
      </c>
      <c r="P183" s="25">
        <v>801500</v>
      </c>
      <c r="Q183" s="12" t="s">
        <v>6051</v>
      </c>
      <c r="V183" t="s">
        <v>6232</v>
      </c>
      <c r="W183" t="s">
        <v>6232</v>
      </c>
      <c r="X183" t="s">
        <v>6232</v>
      </c>
    </row>
    <row r="184" spans="1:24" ht="18.399999999999999" hidden="1" customHeight="1">
      <c r="A184" s="11" t="s">
        <v>3755</v>
      </c>
      <c r="B184" s="2" t="s">
        <v>5403</v>
      </c>
      <c r="C184" s="2" t="s">
        <v>3240</v>
      </c>
      <c r="D184" s="2" t="s">
        <v>6141</v>
      </c>
      <c r="E184" s="25">
        <v>704050</v>
      </c>
      <c r="F184" s="2"/>
      <c r="G184" s="2" t="s">
        <v>6232</v>
      </c>
      <c r="H184" s="2"/>
      <c r="I184" s="2" t="s">
        <v>6232</v>
      </c>
      <c r="J184" s="2"/>
      <c r="K184" s="2" t="s">
        <v>6232</v>
      </c>
      <c r="L184" s="25">
        <v>704050</v>
      </c>
      <c r="M184" s="2" t="s">
        <v>3761</v>
      </c>
      <c r="N184" s="25">
        <v>720020</v>
      </c>
      <c r="O184" s="2" t="s">
        <v>101</v>
      </c>
      <c r="P184" s="25">
        <v>812000</v>
      </c>
      <c r="Q184" s="12" t="s">
        <v>6051</v>
      </c>
      <c r="V184" t="s">
        <v>6232</v>
      </c>
      <c r="W184" t="s">
        <v>6232</v>
      </c>
      <c r="X184" t="s">
        <v>6232</v>
      </c>
    </row>
    <row r="185" spans="1:24" ht="18.399999999999999" hidden="1" customHeight="1">
      <c r="A185" s="11" t="s">
        <v>5337</v>
      </c>
      <c r="B185" s="2" t="s">
        <v>5403</v>
      </c>
      <c r="C185" s="2" t="s">
        <v>4308</v>
      </c>
      <c r="D185" s="2" t="s">
        <v>6141</v>
      </c>
      <c r="E185" s="25">
        <v>728390</v>
      </c>
      <c r="F185" s="2"/>
      <c r="G185" s="2" t="s">
        <v>6232</v>
      </c>
      <c r="H185" s="2"/>
      <c r="I185" s="2" t="s">
        <v>6232</v>
      </c>
      <c r="J185" s="2"/>
      <c r="K185" s="2" t="s">
        <v>6232</v>
      </c>
      <c r="L185" s="25">
        <v>728390</v>
      </c>
      <c r="M185" s="2" t="s">
        <v>3761</v>
      </c>
      <c r="N185" s="25">
        <v>734550</v>
      </c>
      <c r="O185" s="2" t="s">
        <v>101</v>
      </c>
      <c r="P185" s="25">
        <v>837400</v>
      </c>
      <c r="Q185" s="12" t="s">
        <v>6051</v>
      </c>
      <c r="V185" t="s">
        <v>6232</v>
      </c>
      <c r="W185" t="s">
        <v>6232</v>
      </c>
      <c r="X185" t="s">
        <v>6232</v>
      </c>
    </row>
    <row r="186" spans="1:24" ht="18.399999999999999" hidden="1" customHeight="1">
      <c r="A186" s="11" t="s">
        <v>3694</v>
      </c>
      <c r="B186" s="2" t="s">
        <v>5403</v>
      </c>
      <c r="C186" s="2" t="s">
        <v>4223</v>
      </c>
      <c r="D186" s="2" t="s">
        <v>6141</v>
      </c>
      <c r="E186" s="25">
        <v>720450</v>
      </c>
      <c r="F186" s="2"/>
      <c r="G186" s="2" t="s">
        <v>6232</v>
      </c>
      <c r="H186" s="2"/>
      <c r="I186" s="2" t="s">
        <v>6232</v>
      </c>
      <c r="J186" s="2"/>
      <c r="K186" s="2" t="s">
        <v>6232</v>
      </c>
      <c r="L186" s="25">
        <v>871710</v>
      </c>
      <c r="M186" s="2" t="s">
        <v>3761</v>
      </c>
      <c r="N186" s="25">
        <v>720450</v>
      </c>
      <c r="O186" s="2" t="s">
        <v>101</v>
      </c>
      <c r="P186" s="25">
        <v>817900</v>
      </c>
      <c r="Q186" s="12" t="s">
        <v>6051</v>
      </c>
      <c r="V186" t="s">
        <v>6232</v>
      </c>
      <c r="W186" t="s">
        <v>6232</v>
      </c>
      <c r="X186" t="s">
        <v>6232</v>
      </c>
    </row>
    <row r="187" spans="1:24" ht="18.399999999999999" hidden="1" customHeight="1">
      <c r="A187" s="11" t="s">
        <v>3663</v>
      </c>
      <c r="B187" s="2" t="s">
        <v>5403</v>
      </c>
      <c r="C187" s="2" t="s">
        <v>5500</v>
      </c>
      <c r="D187" s="2" t="s">
        <v>6141</v>
      </c>
      <c r="E187" s="25">
        <v>761970</v>
      </c>
      <c r="F187" s="2"/>
      <c r="G187" s="2" t="s">
        <v>6232</v>
      </c>
      <c r="H187" s="2"/>
      <c r="I187" s="2" t="s">
        <v>6232</v>
      </c>
      <c r="J187" s="2"/>
      <c r="K187" s="2" t="s">
        <v>6232</v>
      </c>
      <c r="L187" s="25">
        <v>899890</v>
      </c>
      <c r="M187" s="2" t="s">
        <v>3761</v>
      </c>
      <c r="N187" s="25">
        <v>761970</v>
      </c>
      <c r="O187" s="2" t="s">
        <v>101</v>
      </c>
      <c r="P187" s="25">
        <v>856800</v>
      </c>
      <c r="Q187" s="12" t="s">
        <v>6051</v>
      </c>
      <c r="V187" t="s">
        <v>6232</v>
      </c>
      <c r="W187" t="s">
        <v>6232</v>
      </c>
      <c r="X187" t="s">
        <v>6232</v>
      </c>
    </row>
    <row r="188" spans="1:24" ht="18.399999999999999" hidden="1" customHeight="1">
      <c r="A188" s="11" t="s">
        <v>4125</v>
      </c>
      <c r="B188" s="2" t="s">
        <v>5403</v>
      </c>
      <c r="C188" s="2" t="s">
        <v>911</v>
      </c>
      <c r="D188" s="2" t="s">
        <v>6141</v>
      </c>
      <c r="E188" s="25">
        <v>812660</v>
      </c>
      <c r="F188" s="2"/>
      <c r="G188" s="2" t="s">
        <v>6232</v>
      </c>
      <c r="H188" s="2"/>
      <c r="I188" s="2" t="s">
        <v>6232</v>
      </c>
      <c r="J188" s="2"/>
      <c r="K188" s="2" t="s">
        <v>6232</v>
      </c>
      <c r="L188" s="25">
        <v>941570</v>
      </c>
      <c r="M188" s="2" t="s">
        <v>3761</v>
      </c>
      <c r="N188" s="25">
        <v>812660</v>
      </c>
      <c r="O188" s="2" t="s">
        <v>101</v>
      </c>
      <c r="P188" s="25">
        <v>898700</v>
      </c>
      <c r="Q188" s="12" t="s">
        <v>6051</v>
      </c>
      <c r="V188" t="s">
        <v>6232</v>
      </c>
      <c r="W188" t="s">
        <v>6232</v>
      </c>
      <c r="X188" t="s">
        <v>6232</v>
      </c>
    </row>
    <row r="189" spans="1:24" ht="18.399999999999999" hidden="1" customHeight="1">
      <c r="A189" s="11" t="s">
        <v>1880</v>
      </c>
      <c r="B189" s="2" t="s">
        <v>5403</v>
      </c>
      <c r="C189" s="2" t="s">
        <v>1895</v>
      </c>
      <c r="D189" s="2" t="s">
        <v>6141</v>
      </c>
      <c r="E189" s="25">
        <v>689020</v>
      </c>
      <c r="F189" s="2"/>
      <c r="G189" s="2" t="s">
        <v>6232</v>
      </c>
      <c r="H189" s="2"/>
      <c r="I189" s="2" t="s">
        <v>6232</v>
      </c>
      <c r="J189" s="2"/>
      <c r="K189" s="2" t="s">
        <v>6232</v>
      </c>
      <c r="L189" s="25">
        <v>724810</v>
      </c>
      <c r="M189" s="2" t="s">
        <v>3761</v>
      </c>
      <c r="N189" s="25">
        <v>689020</v>
      </c>
      <c r="O189" s="2" t="s">
        <v>101</v>
      </c>
      <c r="P189" s="25">
        <v>907100</v>
      </c>
      <c r="Q189" s="12" t="s">
        <v>6051</v>
      </c>
      <c r="V189" t="s">
        <v>6232</v>
      </c>
      <c r="W189" t="s">
        <v>6232</v>
      </c>
      <c r="X189" t="s">
        <v>6232</v>
      </c>
    </row>
    <row r="190" spans="1:24" ht="18.399999999999999" hidden="1" customHeight="1">
      <c r="A190" s="11" t="s">
        <v>4683</v>
      </c>
      <c r="B190" s="2" t="s">
        <v>5403</v>
      </c>
      <c r="C190" s="2" t="s">
        <v>230</v>
      </c>
      <c r="D190" s="2" t="s">
        <v>6141</v>
      </c>
      <c r="E190" s="25">
        <v>703550</v>
      </c>
      <c r="F190" s="2"/>
      <c r="G190" s="2" t="s">
        <v>6232</v>
      </c>
      <c r="H190" s="2"/>
      <c r="I190" s="2" t="s">
        <v>6232</v>
      </c>
      <c r="J190" s="2"/>
      <c r="K190" s="2" t="s">
        <v>6232</v>
      </c>
      <c r="L190" s="25">
        <v>734440</v>
      </c>
      <c r="M190" s="2" t="s">
        <v>3761</v>
      </c>
      <c r="N190" s="25">
        <v>703550</v>
      </c>
      <c r="O190" s="2" t="s">
        <v>101</v>
      </c>
      <c r="P190" s="25">
        <v>917000</v>
      </c>
      <c r="Q190" s="12" t="s">
        <v>6051</v>
      </c>
      <c r="V190" t="s">
        <v>6232</v>
      </c>
      <c r="W190" t="s">
        <v>6232</v>
      </c>
      <c r="X190" t="s">
        <v>6232</v>
      </c>
    </row>
    <row r="191" spans="1:24" ht="18.399999999999999" hidden="1" customHeight="1">
      <c r="A191" s="11" t="s">
        <v>851</v>
      </c>
      <c r="B191" s="2" t="s">
        <v>5403</v>
      </c>
      <c r="C191" s="2" t="s">
        <v>6086</v>
      </c>
      <c r="D191" s="2" t="s">
        <v>6141</v>
      </c>
      <c r="E191" s="25">
        <v>725870</v>
      </c>
      <c r="F191" s="2"/>
      <c r="G191" s="2" t="s">
        <v>6232</v>
      </c>
      <c r="H191" s="2"/>
      <c r="I191" s="2" t="s">
        <v>6232</v>
      </c>
      <c r="J191" s="2"/>
      <c r="K191" s="2" t="s">
        <v>6232</v>
      </c>
      <c r="L191" s="25">
        <v>748230</v>
      </c>
      <c r="M191" s="2" t="s">
        <v>3761</v>
      </c>
      <c r="N191" s="25">
        <v>725870</v>
      </c>
      <c r="O191" s="2" t="s">
        <v>101</v>
      </c>
      <c r="P191" s="25">
        <v>931300</v>
      </c>
      <c r="Q191" s="12" t="s">
        <v>6051</v>
      </c>
      <c r="V191" t="s">
        <v>6232</v>
      </c>
      <c r="W191" t="s">
        <v>6232</v>
      </c>
      <c r="X191" t="s">
        <v>6232</v>
      </c>
    </row>
    <row r="192" spans="1:24" ht="18.399999999999999" hidden="1" customHeight="1">
      <c r="A192" s="11" t="s">
        <v>4863</v>
      </c>
      <c r="B192" s="2" t="s">
        <v>5403</v>
      </c>
      <c r="C192" s="2" t="s">
        <v>6163</v>
      </c>
      <c r="D192" s="2" t="s">
        <v>6141</v>
      </c>
      <c r="E192" s="25">
        <v>748210</v>
      </c>
      <c r="F192" s="2"/>
      <c r="G192" s="2" t="s">
        <v>6232</v>
      </c>
      <c r="H192" s="2"/>
      <c r="I192" s="2" t="s">
        <v>6232</v>
      </c>
      <c r="J192" s="2"/>
      <c r="K192" s="2" t="s">
        <v>6232</v>
      </c>
      <c r="L192" s="25">
        <v>758520</v>
      </c>
      <c r="M192" s="2" t="s">
        <v>3761</v>
      </c>
      <c r="N192" s="25">
        <v>748210</v>
      </c>
      <c r="O192" s="2" t="s">
        <v>101</v>
      </c>
      <c r="P192" s="25">
        <v>941800</v>
      </c>
      <c r="Q192" s="12" t="s">
        <v>6051</v>
      </c>
      <c r="V192" t="s">
        <v>6232</v>
      </c>
      <c r="W192" t="s">
        <v>6232</v>
      </c>
      <c r="X192" t="s">
        <v>6232</v>
      </c>
    </row>
    <row r="193" spans="1:24" ht="18.399999999999999" hidden="1" customHeight="1">
      <c r="A193" s="11" t="s">
        <v>3313</v>
      </c>
      <c r="B193" s="2" t="s">
        <v>5403</v>
      </c>
      <c r="C193" s="2" t="s">
        <v>4910</v>
      </c>
      <c r="D193" s="2" t="s">
        <v>6141</v>
      </c>
      <c r="E193" s="25">
        <v>780080</v>
      </c>
      <c r="F193" s="2"/>
      <c r="G193" s="2" t="s">
        <v>6232</v>
      </c>
      <c r="H193" s="2"/>
      <c r="I193" s="2" t="s">
        <v>6232</v>
      </c>
      <c r="J193" s="2"/>
      <c r="K193" s="2" t="s">
        <v>6232</v>
      </c>
      <c r="L193" s="25">
        <v>782700</v>
      </c>
      <c r="M193" s="2" t="s">
        <v>3761</v>
      </c>
      <c r="N193" s="25">
        <v>780080</v>
      </c>
      <c r="O193" s="2" t="s">
        <v>101</v>
      </c>
      <c r="P193" s="25">
        <v>967100</v>
      </c>
      <c r="Q193" s="12" t="s">
        <v>6051</v>
      </c>
      <c r="V193" t="s">
        <v>6232</v>
      </c>
      <c r="W193" t="s">
        <v>6232</v>
      </c>
      <c r="X193" t="s">
        <v>6232</v>
      </c>
    </row>
    <row r="194" spans="1:24" ht="18.399999999999999" hidden="1" customHeight="1">
      <c r="A194" s="11" t="s">
        <v>4799</v>
      </c>
      <c r="B194" s="2" t="s">
        <v>5403</v>
      </c>
      <c r="C194" s="2" t="s">
        <v>5193</v>
      </c>
      <c r="D194" s="2" t="s">
        <v>6141</v>
      </c>
      <c r="E194" s="25">
        <v>765960</v>
      </c>
      <c r="F194" s="2"/>
      <c r="G194" s="2" t="s">
        <v>6232</v>
      </c>
      <c r="H194" s="2"/>
      <c r="I194" s="2" t="s">
        <v>6232</v>
      </c>
      <c r="J194" s="2"/>
      <c r="K194" s="2" t="s">
        <v>6232</v>
      </c>
      <c r="L194" s="25">
        <v>925980</v>
      </c>
      <c r="M194" s="2" t="s">
        <v>3761</v>
      </c>
      <c r="N194" s="25">
        <v>765960</v>
      </c>
      <c r="O194" s="2" t="s">
        <v>101</v>
      </c>
      <c r="P194" s="25">
        <v>947600</v>
      </c>
      <c r="Q194" s="12" t="s">
        <v>6051</v>
      </c>
      <c r="V194" t="s">
        <v>6232</v>
      </c>
      <c r="W194" t="s">
        <v>6232</v>
      </c>
      <c r="X194" t="s">
        <v>6232</v>
      </c>
    </row>
    <row r="195" spans="1:24" ht="18.399999999999999" hidden="1" customHeight="1">
      <c r="A195" s="11" t="s">
        <v>4775</v>
      </c>
      <c r="B195" s="2" t="s">
        <v>5403</v>
      </c>
      <c r="C195" s="2" t="s">
        <v>3735</v>
      </c>
      <c r="D195" s="2" t="s">
        <v>6141</v>
      </c>
      <c r="E195" s="25">
        <v>808640</v>
      </c>
      <c r="F195" s="2"/>
      <c r="G195" s="2" t="s">
        <v>6232</v>
      </c>
      <c r="H195" s="2"/>
      <c r="I195" s="2" t="s">
        <v>6232</v>
      </c>
      <c r="J195" s="2"/>
      <c r="K195" s="2" t="s">
        <v>6232</v>
      </c>
      <c r="L195" s="25">
        <v>955170</v>
      </c>
      <c r="M195" s="2" t="s">
        <v>3761</v>
      </c>
      <c r="N195" s="25">
        <v>808640</v>
      </c>
      <c r="O195" s="2" t="s">
        <v>101</v>
      </c>
      <c r="P195" s="25">
        <v>988200</v>
      </c>
      <c r="Q195" s="12" t="s">
        <v>6051</v>
      </c>
      <c r="V195" t="s">
        <v>6232</v>
      </c>
      <c r="W195" t="s">
        <v>6232</v>
      </c>
      <c r="X195" t="s">
        <v>6232</v>
      </c>
    </row>
    <row r="196" spans="1:24" ht="18.399999999999999" hidden="1" customHeight="1">
      <c r="A196" s="11" t="s">
        <v>6114</v>
      </c>
      <c r="B196" s="2" t="s">
        <v>5403</v>
      </c>
      <c r="C196" s="2" t="s">
        <v>4619</v>
      </c>
      <c r="D196" s="2" t="s">
        <v>6141</v>
      </c>
      <c r="E196" s="25">
        <v>858760</v>
      </c>
      <c r="F196" s="2"/>
      <c r="G196" s="2" t="s">
        <v>6232</v>
      </c>
      <c r="H196" s="2"/>
      <c r="I196" s="2" t="s">
        <v>6232</v>
      </c>
      <c r="J196" s="2"/>
      <c r="K196" s="2" t="s">
        <v>6232</v>
      </c>
      <c r="L196" s="25">
        <v>996050</v>
      </c>
      <c r="M196" s="2" t="s">
        <v>3761</v>
      </c>
      <c r="N196" s="25">
        <v>858760</v>
      </c>
      <c r="O196" s="2" t="s">
        <v>101</v>
      </c>
      <c r="P196" s="25">
        <v>1029300</v>
      </c>
      <c r="Q196" s="12" t="s">
        <v>6051</v>
      </c>
      <c r="V196" t="s">
        <v>6232</v>
      </c>
      <c r="W196" t="s">
        <v>6232</v>
      </c>
      <c r="X196" t="s">
        <v>6232</v>
      </c>
    </row>
    <row r="197" spans="1:24" ht="18.399999999999999" hidden="1" customHeight="1">
      <c r="A197" s="11" t="s">
        <v>5997</v>
      </c>
      <c r="B197" s="2" t="s">
        <v>5403</v>
      </c>
      <c r="C197" s="2" t="s">
        <v>3613</v>
      </c>
      <c r="D197" s="2" t="s">
        <v>6141</v>
      </c>
      <c r="E197" s="25">
        <v>902240</v>
      </c>
      <c r="F197" s="2"/>
      <c r="G197" s="2" t="s">
        <v>6232</v>
      </c>
      <c r="H197" s="2"/>
      <c r="I197" s="2" t="s">
        <v>6232</v>
      </c>
      <c r="J197" s="2"/>
      <c r="K197" s="2" t="s">
        <v>6232</v>
      </c>
      <c r="L197" s="25">
        <v>1036040</v>
      </c>
      <c r="M197" s="2" t="s">
        <v>3761</v>
      </c>
      <c r="N197" s="25">
        <v>902240</v>
      </c>
      <c r="O197" s="2" t="s">
        <v>101</v>
      </c>
      <c r="P197" s="25">
        <v>1063600</v>
      </c>
      <c r="Q197" s="12" t="s">
        <v>6051</v>
      </c>
      <c r="V197" t="s">
        <v>6232</v>
      </c>
      <c r="W197" t="s">
        <v>6232</v>
      </c>
      <c r="X197" t="s">
        <v>6232</v>
      </c>
    </row>
    <row r="198" spans="1:24" ht="18.399999999999999" hidden="1" customHeight="1">
      <c r="A198" s="11" t="s">
        <v>2633</v>
      </c>
      <c r="B198" s="2" t="s">
        <v>5403</v>
      </c>
      <c r="C198" s="2" t="s">
        <v>3262</v>
      </c>
      <c r="D198" s="2" t="s">
        <v>6141</v>
      </c>
      <c r="E198" s="25">
        <v>755280</v>
      </c>
      <c r="F198" s="2"/>
      <c r="G198" s="2" t="s">
        <v>6232</v>
      </c>
      <c r="H198" s="2"/>
      <c r="I198" s="2" t="s">
        <v>6232</v>
      </c>
      <c r="J198" s="2"/>
      <c r="K198" s="2" t="s">
        <v>6232</v>
      </c>
      <c r="L198" s="25">
        <v>790240</v>
      </c>
      <c r="M198" s="2" t="s">
        <v>3761</v>
      </c>
      <c r="N198" s="25">
        <v>755280</v>
      </c>
      <c r="O198" s="2" t="s">
        <v>101</v>
      </c>
      <c r="P198" s="25">
        <v>975700</v>
      </c>
      <c r="Q198" s="12" t="s">
        <v>6051</v>
      </c>
      <c r="V198" t="s">
        <v>6232</v>
      </c>
      <c r="W198" t="s">
        <v>6232</v>
      </c>
      <c r="X198" t="s">
        <v>6232</v>
      </c>
    </row>
    <row r="199" spans="1:24" ht="18.399999999999999" hidden="1" customHeight="1">
      <c r="A199" s="11" t="s">
        <v>5518</v>
      </c>
      <c r="B199" s="2" t="s">
        <v>5403</v>
      </c>
      <c r="C199" s="2" t="s">
        <v>4716</v>
      </c>
      <c r="D199" s="2" t="s">
        <v>6141</v>
      </c>
      <c r="E199" s="25">
        <v>770040</v>
      </c>
      <c r="F199" s="2"/>
      <c r="G199" s="2" t="s">
        <v>6232</v>
      </c>
      <c r="H199" s="2"/>
      <c r="I199" s="2" t="s">
        <v>6232</v>
      </c>
      <c r="J199" s="2"/>
      <c r="K199" s="2" t="s">
        <v>6232</v>
      </c>
      <c r="L199" s="25">
        <v>800090</v>
      </c>
      <c r="M199" s="2" t="s">
        <v>3761</v>
      </c>
      <c r="N199" s="25">
        <v>770040</v>
      </c>
      <c r="O199" s="2" t="s">
        <v>101</v>
      </c>
      <c r="P199" s="25">
        <v>985800</v>
      </c>
      <c r="Q199" s="12" t="s">
        <v>6051</v>
      </c>
      <c r="V199" t="s">
        <v>6232</v>
      </c>
      <c r="W199" t="s">
        <v>6232</v>
      </c>
      <c r="X199" t="s">
        <v>6232</v>
      </c>
    </row>
    <row r="200" spans="1:24" ht="18.399999999999999" hidden="1" customHeight="1">
      <c r="A200" s="11" t="s">
        <v>47</v>
      </c>
      <c r="B200" s="2" t="s">
        <v>5403</v>
      </c>
      <c r="C200" s="2" t="s">
        <v>1201</v>
      </c>
      <c r="D200" s="2" t="s">
        <v>6141</v>
      </c>
      <c r="E200" s="25">
        <v>792920</v>
      </c>
      <c r="F200" s="2"/>
      <c r="G200" s="2" t="s">
        <v>6232</v>
      </c>
      <c r="H200" s="2"/>
      <c r="I200" s="2" t="s">
        <v>6232</v>
      </c>
      <c r="J200" s="2"/>
      <c r="K200" s="2" t="s">
        <v>6232</v>
      </c>
      <c r="L200" s="25">
        <v>814540</v>
      </c>
      <c r="M200" s="2" t="s">
        <v>3761</v>
      </c>
      <c r="N200" s="25">
        <v>792920</v>
      </c>
      <c r="O200" s="2" t="s">
        <v>101</v>
      </c>
      <c r="P200" s="25">
        <v>1000800</v>
      </c>
      <c r="Q200" s="12" t="s">
        <v>6051</v>
      </c>
      <c r="V200" t="s">
        <v>6232</v>
      </c>
      <c r="W200" t="s">
        <v>6232</v>
      </c>
      <c r="X200" t="s">
        <v>6232</v>
      </c>
    </row>
    <row r="201" spans="1:24" ht="18.399999999999999" hidden="1" customHeight="1">
      <c r="A201" s="11" t="s">
        <v>5701</v>
      </c>
      <c r="B201" s="2" t="s">
        <v>5403</v>
      </c>
      <c r="C201" s="2" t="s">
        <v>1275</v>
      </c>
      <c r="D201" s="2" t="s">
        <v>6141</v>
      </c>
      <c r="E201" s="25">
        <v>814840</v>
      </c>
      <c r="F201" s="2"/>
      <c r="G201" s="2" t="s">
        <v>6232</v>
      </c>
      <c r="H201" s="2"/>
      <c r="I201" s="2" t="s">
        <v>6232</v>
      </c>
      <c r="J201" s="2"/>
      <c r="K201" s="2" t="s">
        <v>6232</v>
      </c>
      <c r="L201" s="25">
        <v>824880</v>
      </c>
      <c r="M201" s="2" t="s">
        <v>3761</v>
      </c>
      <c r="N201" s="25">
        <v>814840</v>
      </c>
      <c r="O201" s="2" t="s">
        <v>101</v>
      </c>
      <c r="P201" s="25">
        <v>1011400</v>
      </c>
      <c r="Q201" s="12" t="s">
        <v>6051</v>
      </c>
      <c r="V201" t="s">
        <v>6232</v>
      </c>
      <c r="W201" t="s">
        <v>6232</v>
      </c>
      <c r="X201" t="s">
        <v>6232</v>
      </c>
    </row>
    <row r="202" spans="1:24" ht="18.399999999999999" hidden="1" customHeight="1">
      <c r="A202" s="11" t="s">
        <v>4174</v>
      </c>
      <c r="B202" s="2" t="s">
        <v>5403</v>
      </c>
      <c r="C202" s="2" t="s">
        <v>55</v>
      </c>
      <c r="D202" s="2" t="s">
        <v>6141</v>
      </c>
      <c r="E202" s="25">
        <v>848770</v>
      </c>
      <c r="F202" s="2"/>
      <c r="G202" s="2" t="s">
        <v>6232</v>
      </c>
      <c r="H202" s="2"/>
      <c r="I202" s="2" t="s">
        <v>6232</v>
      </c>
      <c r="J202" s="2"/>
      <c r="K202" s="2" t="s">
        <v>6232</v>
      </c>
      <c r="L202" s="25">
        <v>849770</v>
      </c>
      <c r="M202" s="2" t="s">
        <v>3761</v>
      </c>
      <c r="N202" s="25">
        <v>848770</v>
      </c>
      <c r="O202" s="2" t="s">
        <v>101</v>
      </c>
      <c r="P202" s="25">
        <v>1037400</v>
      </c>
      <c r="Q202" s="12" t="s">
        <v>6051</v>
      </c>
      <c r="V202" t="s">
        <v>6232</v>
      </c>
      <c r="W202" t="s">
        <v>6232</v>
      </c>
      <c r="X202" t="s">
        <v>6232</v>
      </c>
    </row>
    <row r="203" spans="1:24" ht="18.399999999999999" hidden="1" customHeight="1">
      <c r="A203" s="11" t="s">
        <v>5639</v>
      </c>
      <c r="B203" s="2" t="s">
        <v>5403</v>
      </c>
      <c r="C203" s="2" t="s">
        <v>733</v>
      </c>
      <c r="D203" s="2" t="s">
        <v>6141</v>
      </c>
      <c r="E203" s="25">
        <v>935290</v>
      </c>
      <c r="F203" s="2"/>
      <c r="G203" s="2" t="s">
        <v>6232</v>
      </c>
      <c r="H203" s="2"/>
      <c r="I203" s="2" t="s">
        <v>6232</v>
      </c>
      <c r="J203" s="2"/>
      <c r="K203" s="2" t="s">
        <v>6232</v>
      </c>
      <c r="L203" s="25">
        <v>1107540</v>
      </c>
      <c r="M203" s="2" t="s">
        <v>3761</v>
      </c>
      <c r="N203" s="25">
        <v>935290</v>
      </c>
      <c r="O203" s="2" t="s">
        <v>101</v>
      </c>
      <c r="P203" s="25">
        <v>1117400</v>
      </c>
      <c r="Q203" s="12" t="s">
        <v>6051</v>
      </c>
      <c r="V203" t="s">
        <v>6232</v>
      </c>
      <c r="W203" t="s">
        <v>6232</v>
      </c>
      <c r="X203" t="s">
        <v>6232</v>
      </c>
    </row>
    <row r="204" spans="1:24" ht="18.399999999999999" hidden="1" customHeight="1">
      <c r="A204" s="11" t="s">
        <v>5609</v>
      </c>
      <c r="B204" s="2" t="s">
        <v>5403</v>
      </c>
      <c r="C204" s="2" t="s">
        <v>1940</v>
      </c>
      <c r="D204" s="2" t="s">
        <v>6141</v>
      </c>
      <c r="E204" s="25">
        <v>884000</v>
      </c>
      <c r="F204" s="2"/>
      <c r="G204" s="2" t="s">
        <v>6232</v>
      </c>
      <c r="H204" s="2"/>
      <c r="I204" s="2" t="s">
        <v>6232</v>
      </c>
      <c r="J204" s="2"/>
      <c r="K204" s="2" t="s">
        <v>6232</v>
      </c>
      <c r="L204" s="25">
        <v>1090850</v>
      </c>
      <c r="M204" s="2" t="s">
        <v>3761</v>
      </c>
      <c r="N204" s="25">
        <v>884000</v>
      </c>
      <c r="O204" s="2" t="s">
        <v>101</v>
      </c>
      <c r="P204" s="25">
        <v>1110500</v>
      </c>
      <c r="Q204" s="12" t="s">
        <v>6051</v>
      </c>
      <c r="V204" t="s">
        <v>6232</v>
      </c>
      <c r="W204" t="s">
        <v>6232</v>
      </c>
      <c r="X204" t="s">
        <v>6232</v>
      </c>
    </row>
    <row r="205" spans="1:24" ht="18.399999999999999" hidden="1" customHeight="1">
      <c r="A205" s="11" t="s">
        <v>5269</v>
      </c>
      <c r="B205" s="2" t="s">
        <v>5403</v>
      </c>
      <c r="C205" s="2" t="s">
        <v>3128</v>
      </c>
      <c r="D205" s="2" t="s">
        <v>6141</v>
      </c>
      <c r="E205" s="25">
        <v>936690</v>
      </c>
      <c r="F205" s="2"/>
      <c r="G205" s="2" t="s">
        <v>6232</v>
      </c>
      <c r="H205" s="2"/>
      <c r="I205" s="2" t="s">
        <v>6232</v>
      </c>
      <c r="J205" s="2"/>
      <c r="K205" s="2" t="s">
        <v>6232</v>
      </c>
      <c r="L205" s="25">
        <v>1133360</v>
      </c>
      <c r="M205" s="2" t="s">
        <v>3761</v>
      </c>
      <c r="N205" s="25">
        <v>936690</v>
      </c>
      <c r="O205" s="2" t="s">
        <v>101</v>
      </c>
      <c r="P205" s="25">
        <v>1152900</v>
      </c>
      <c r="Q205" s="12" t="s">
        <v>6051</v>
      </c>
      <c r="V205" t="s">
        <v>6232</v>
      </c>
      <c r="W205" t="s">
        <v>6232</v>
      </c>
      <c r="X205" t="s">
        <v>6232</v>
      </c>
    </row>
    <row r="206" spans="1:24" ht="18.399999999999999" hidden="1" customHeight="1">
      <c r="A206" s="11" t="s">
        <v>5142</v>
      </c>
      <c r="B206" s="2" t="s">
        <v>5403</v>
      </c>
      <c r="C206" s="2" t="s">
        <v>4107</v>
      </c>
      <c r="D206" s="2" t="s">
        <v>6141</v>
      </c>
      <c r="E206" s="25">
        <v>980440</v>
      </c>
      <c r="F206" s="2"/>
      <c r="G206" s="2" t="s">
        <v>6232</v>
      </c>
      <c r="H206" s="2"/>
      <c r="I206" s="2" t="s">
        <v>6232</v>
      </c>
      <c r="J206" s="2"/>
      <c r="K206" s="2" t="s">
        <v>6232</v>
      </c>
      <c r="L206" s="25">
        <v>1174760</v>
      </c>
      <c r="M206" s="2" t="s">
        <v>3761</v>
      </c>
      <c r="N206" s="25">
        <v>980440</v>
      </c>
      <c r="O206" s="2" t="s">
        <v>101</v>
      </c>
      <c r="P206" s="25">
        <v>1187700</v>
      </c>
      <c r="Q206" s="12" t="s">
        <v>6051</v>
      </c>
      <c r="V206" t="s">
        <v>6232</v>
      </c>
      <c r="W206" t="s">
        <v>6232</v>
      </c>
      <c r="X206" t="s">
        <v>6232</v>
      </c>
    </row>
    <row r="207" spans="1:24" ht="18.399999999999999" hidden="1" customHeight="1">
      <c r="A207" s="11" t="s">
        <v>3797</v>
      </c>
      <c r="B207" s="2" t="s">
        <v>5403</v>
      </c>
      <c r="C207" s="2" t="s">
        <v>2553</v>
      </c>
      <c r="D207" s="2" t="s">
        <v>6141</v>
      </c>
      <c r="E207" s="25">
        <v>1050920</v>
      </c>
      <c r="F207" s="2"/>
      <c r="G207" s="2" t="s">
        <v>6232</v>
      </c>
      <c r="H207" s="2"/>
      <c r="I207" s="2" t="s">
        <v>6232</v>
      </c>
      <c r="J207" s="2"/>
      <c r="K207" s="2" t="s">
        <v>6232</v>
      </c>
      <c r="L207" s="25">
        <v>1164400</v>
      </c>
      <c r="M207" s="2" t="s">
        <v>3761</v>
      </c>
      <c r="N207" s="25">
        <v>1050920</v>
      </c>
      <c r="O207" s="2" t="s">
        <v>101</v>
      </c>
      <c r="P207" s="25">
        <v>1198200</v>
      </c>
      <c r="Q207" s="12" t="s">
        <v>6051</v>
      </c>
      <c r="V207" t="s">
        <v>6232</v>
      </c>
      <c r="W207" t="s">
        <v>6232</v>
      </c>
      <c r="X207" t="s">
        <v>6232</v>
      </c>
    </row>
    <row r="208" spans="1:24" ht="18.399999999999999" hidden="1" customHeight="1">
      <c r="A208" s="11" t="s">
        <v>1386</v>
      </c>
      <c r="B208" s="2" t="s">
        <v>5403</v>
      </c>
      <c r="C208" s="2" t="s">
        <v>1152</v>
      </c>
      <c r="D208" s="2" t="s">
        <v>6141</v>
      </c>
      <c r="E208" s="25">
        <v>1039990</v>
      </c>
      <c r="F208" s="2"/>
      <c r="G208" s="2" t="s">
        <v>6232</v>
      </c>
      <c r="H208" s="2"/>
      <c r="I208" s="2" t="s">
        <v>6232</v>
      </c>
      <c r="J208" s="2"/>
      <c r="K208" s="2" t="s">
        <v>6232</v>
      </c>
      <c r="L208" s="25">
        <v>1224460</v>
      </c>
      <c r="M208" s="2" t="s">
        <v>3761</v>
      </c>
      <c r="N208" s="25">
        <v>1039990</v>
      </c>
      <c r="O208" s="2" t="s">
        <v>101</v>
      </c>
      <c r="P208" s="25">
        <v>1235800</v>
      </c>
      <c r="Q208" s="12" t="s">
        <v>6051</v>
      </c>
      <c r="V208" t="s">
        <v>6232</v>
      </c>
      <c r="W208" t="s">
        <v>6232</v>
      </c>
      <c r="X208" t="s">
        <v>6232</v>
      </c>
    </row>
    <row r="209" spans="1:24" ht="18.399999999999999" hidden="1" customHeight="1">
      <c r="A209" s="11" t="s">
        <v>1360</v>
      </c>
      <c r="B209" s="2" t="s">
        <v>5403</v>
      </c>
      <c r="C209" s="2" t="s">
        <v>3065</v>
      </c>
      <c r="D209" s="2" t="s">
        <v>6141</v>
      </c>
      <c r="E209" s="25">
        <v>1109580</v>
      </c>
      <c r="F209" s="2"/>
      <c r="G209" s="2" t="s">
        <v>6232</v>
      </c>
      <c r="H209" s="2"/>
      <c r="I209" s="2" t="s">
        <v>6232</v>
      </c>
      <c r="J209" s="2"/>
      <c r="K209" s="2" t="s">
        <v>6232</v>
      </c>
      <c r="L209" s="25">
        <v>1264040</v>
      </c>
      <c r="M209" s="2" t="s">
        <v>3761</v>
      </c>
      <c r="N209" s="25">
        <v>1109580</v>
      </c>
      <c r="O209" s="2" t="s">
        <v>101</v>
      </c>
      <c r="P209" s="25">
        <v>1289000</v>
      </c>
      <c r="Q209" s="12" t="s">
        <v>6051</v>
      </c>
      <c r="V209" t="s">
        <v>6232</v>
      </c>
      <c r="W209" t="s">
        <v>6232</v>
      </c>
      <c r="X209" t="s">
        <v>6232</v>
      </c>
    </row>
    <row r="210" spans="1:24" ht="18.399999999999999" hidden="1" customHeight="1">
      <c r="A210" s="11" t="s">
        <v>178</v>
      </c>
      <c r="B210" s="2" t="s">
        <v>5403</v>
      </c>
      <c r="C210" s="2" t="s">
        <v>4824</v>
      </c>
      <c r="D210" s="2" t="s">
        <v>6141</v>
      </c>
      <c r="E210" s="25">
        <v>1179510</v>
      </c>
      <c r="F210" s="2"/>
      <c r="G210" s="2" t="s">
        <v>6232</v>
      </c>
      <c r="H210" s="2"/>
      <c r="I210" s="2" t="s">
        <v>6232</v>
      </c>
      <c r="J210" s="2"/>
      <c r="K210" s="2" t="s">
        <v>6232</v>
      </c>
      <c r="L210" s="25">
        <v>1312700</v>
      </c>
      <c r="M210" s="2" t="s">
        <v>3761</v>
      </c>
      <c r="N210" s="25">
        <v>1179510</v>
      </c>
      <c r="O210" s="2" t="s">
        <v>101</v>
      </c>
      <c r="P210" s="25">
        <v>1337700</v>
      </c>
      <c r="Q210" s="12" t="s">
        <v>6051</v>
      </c>
      <c r="V210" t="s">
        <v>6232</v>
      </c>
      <c r="W210" t="s">
        <v>6232</v>
      </c>
      <c r="X210" t="s">
        <v>6232</v>
      </c>
    </row>
    <row r="211" spans="1:24" ht="18.399999999999999" hidden="1" customHeight="1">
      <c r="A211" s="11" t="s">
        <v>239</v>
      </c>
      <c r="B211" s="2" t="s">
        <v>5403</v>
      </c>
      <c r="C211" s="2" t="s">
        <v>5765</v>
      </c>
      <c r="D211" s="2" t="s">
        <v>6141</v>
      </c>
      <c r="E211" s="25">
        <v>1088030</v>
      </c>
      <c r="F211" s="2"/>
      <c r="G211" s="2" t="s">
        <v>6232</v>
      </c>
      <c r="H211" s="2"/>
      <c r="I211" s="2" t="s">
        <v>6232</v>
      </c>
      <c r="J211" s="2"/>
      <c r="K211" s="2" t="s">
        <v>6232</v>
      </c>
      <c r="L211" s="25">
        <v>1229220</v>
      </c>
      <c r="M211" s="2" t="s">
        <v>3761</v>
      </c>
      <c r="N211" s="25">
        <v>1088030</v>
      </c>
      <c r="O211" s="2" t="s">
        <v>101</v>
      </c>
      <c r="P211" s="25">
        <v>1262000</v>
      </c>
      <c r="Q211" s="12" t="s">
        <v>6051</v>
      </c>
      <c r="V211" t="s">
        <v>6232</v>
      </c>
      <c r="W211" t="s">
        <v>6232</v>
      </c>
      <c r="X211" t="s">
        <v>6232</v>
      </c>
    </row>
    <row r="212" spans="1:24" ht="18.399999999999999" hidden="1" customHeight="1">
      <c r="A212" s="11" t="s">
        <v>1575</v>
      </c>
      <c r="B212" s="2" t="s">
        <v>5403</v>
      </c>
      <c r="C212" s="2" t="s">
        <v>1072</v>
      </c>
      <c r="D212" s="2" t="s">
        <v>6141</v>
      </c>
      <c r="E212" s="25">
        <v>1157440</v>
      </c>
      <c r="F212" s="2"/>
      <c r="G212" s="2" t="s">
        <v>6232</v>
      </c>
      <c r="H212" s="2"/>
      <c r="I212" s="2" t="s">
        <v>6232</v>
      </c>
      <c r="J212" s="2"/>
      <c r="K212" s="2" t="s">
        <v>6232</v>
      </c>
      <c r="L212" s="25">
        <v>1281930</v>
      </c>
      <c r="M212" s="2" t="s">
        <v>3761</v>
      </c>
      <c r="N212" s="25">
        <v>1157440</v>
      </c>
      <c r="O212" s="2" t="s">
        <v>101</v>
      </c>
      <c r="P212" s="25">
        <v>1316800</v>
      </c>
      <c r="Q212" s="12" t="s">
        <v>6051</v>
      </c>
      <c r="V212" t="s">
        <v>6232</v>
      </c>
      <c r="W212" t="s">
        <v>6232</v>
      </c>
      <c r="X212" t="s">
        <v>6232</v>
      </c>
    </row>
    <row r="213" spans="1:24" ht="18.399999999999999" hidden="1" customHeight="1">
      <c r="A213" s="11" t="s">
        <v>2282</v>
      </c>
      <c r="B213" s="2" t="s">
        <v>5403</v>
      </c>
      <c r="C213" s="2" t="s">
        <v>984</v>
      </c>
      <c r="D213" s="2" t="s">
        <v>6141</v>
      </c>
      <c r="E213" s="25">
        <v>1276450</v>
      </c>
      <c r="F213" s="2"/>
      <c r="G213" s="2" t="s">
        <v>6232</v>
      </c>
      <c r="H213" s="2"/>
      <c r="I213" s="2" t="s">
        <v>6232</v>
      </c>
      <c r="J213" s="2"/>
      <c r="K213" s="2" t="s">
        <v>6232</v>
      </c>
      <c r="L213" s="25">
        <v>1399880</v>
      </c>
      <c r="M213" s="2" t="s">
        <v>3761</v>
      </c>
      <c r="N213" s="25">
        <v>1276450</v>
      </c>
      <c r="O213" s="2" t="s">
        <v>101</v>
      </c>
      <c r="P213" s="25">
        <v>1437400</v>
      </c>
      <c r="Q213" s="12" t="s">
        <v>6051</v>
      </c>
      <c r="V213" t="s">
        <v>6232</v>
      </c>
      <c r="W213" t="s">
        <v>6232</v>
      </c>
      <c r="X213" t="s">
        <v>6232</v>
      </c>
    </row>
    <row r="214" spans="1:24" ht="18.399999999999999" hidden="1" customHeight="1">
      <c r="A214" s="11" t="s">
        <v>1755</v>
      </c>
      <c r="B214" s="2" t="s">
        <v>5403</v>
      </c>
      <c r="C214" s="2" t="s">
        <v>3158</v>
      </c>
      <c r="D214" s="2" t="s">
        <v>6141</v>
      </c>
      <c r="E214" s="25">
        <v>1359590</v>
      </c>
      <c r="F214" s="2"/>
      <c r="G214" s="2" t="s">
        <v>6232</v>
      </c>
      <c r="H214" s="2"/>
      <c r="I214" s="2" t="s">
        <v>6232</v>
      </c>
      <c r="J214" s="2"/>
      <c r="K214" s="2" t="s">
        <v>6232</v>
      </c>
      <c r="L214" s="25">
        <v>1491020</v>
      </c>
      <c r="M214" s="2" t="s">
        <v>3761</v>
      </c>
      <c r="N214" s="25">
        <v>1359590</v>
      </c>
      <c r="O214" s="2" t="s">
        <v>101</v>
      </c>
      <c r="P214" s="25">
        <v>1680300</v>
      </c>
      <c r="Q214" s="12" t="s">
        <v>6051</v>
      </c>
      <c r="V214" t="s">
        <v>6232</v>
      </c>
      <c r="W214" t="s">
        <v>6232</v>
      </c>
      <c r="X214" t="s">
        <v>6232</v>
      </c>
    </row>
    <row r="215" spans="1:24" ht="18.399999999999999" hidden="1" customHeight="1">
      <c r="A215" s="11" t="s">
        <v>1718</v>
      </c>
      <c r="B215" s="2" t="s">
        <v>5403</v>
      </c>
      <c r="C215" s="2" t="s">
        <v>4944</v>
      </c>
      <c r="D215" s="2" t="s">
        <v>6141</v>
      </c>
      <c r="E215" s="25">
        <v>1440390</v>
      </c>
      <c r="F215" s="2"/>
      <c r="G215" s="2" t="s">
        <v>6232</v>
      </c>
      <c r="H215" s="2"/>
      <c r="I215" s="2" t="s">
        <v>6232</v>
      </c>
      <c r="J215" s="2"/>
      <c r="K215" s="2" t="s">
        <v>6232</v>
      </c>
      <c r="L215" s="25">
        <v>1541260</v>
      </c>
      <c r="M215" s="2" t="s">
        <v>3761</v>
      </c>
      <c r="N215" s="25">
        <v>1440390</v>
      </c>
      <c r="O215" s="2" t="s">
        <v>101</v>
      </c>
      <c r="P215" s="25">
        <v>1747100</v>
      </c>
      <c r="Q215" s="12" t="s">
        <v>6051</v>
      </c>
      <c r="V215" t="s">
        <v>6232</v>
      </c>
      <c r="W215" t="s">
        <v>6232</v>
      </c>
      <c r="X215" t="s">
        <v>6232</v>
      </c>
    </row>
    <row r="216" spans="1:24" ht="18.399999999999999" hidden="1" customHeight="1">
      <c r="A216" s="11" t="s">
        <v>2881</v>
      </c>
      <c r="B216" s="2" t="s">
        <v>5403</v>
      </c>
      <c r="C216" s="2" t="s">
        <v>2362</v>
      </c>
      <c r="D216" s="2" t="s">
        <v>6141</v>
      </c>
      <c r="E216" s="25">
        <v>1515960</v>
      </c>
      <c r="F216" s="2"/>
      <c r="G216" s="2" t="s">
        <v>6232</v>
      </c>
      <c r="H216" s="2"/>
      <c r="I216" s="2" t="s">
        <v>6232</v>
      </c>
      <c r="J216" s="2"/>
      <c r="K216" s="2" t="s">
        <v>6232</v>
      </c>
      <c r="L216" s="25">
        <v>1590930</v>
      </c>
      <c r="M216" s="2" t="s">
        <v>3761</v>
      </c>
      <c r="N216" s="25">
        <v>1515960</v>
      </c>
      <c r="O216" s="2" t="s">
        <v>101</v>
      </c>
      <c r="P216" s="25">
        <v>1796800</v>
      </c>
      <c r="Q216" s="12" t="s">
        <v>6051</v>
      </c>
      <c r="V216" t="s">
        <v>6232</v>
      </c>
      <c r="W216" t="s">
        <v>6232</v>
      </c>
      <c r="X216" t="s">
        <v>6232</v>
      </c>
    </row>
    <row r="217" spans="1:24" ht="18.399999999999999" hidden="1" customHeight="1">
      <c r="A217" s="11" t="s">
        <v>2944</v>
      </c>
      <c r="B217" s="2" t="s">
        <v>5403</v>
      </c>
      <c r="C217" s="2" t="s">
        <v>1789</v>
      </c>
      <c r="D217" s="2" t="s">
        <v>6141</v>
      </c>
      <c r="E217" s="25">
        <v>1585540</v>
      </c>
      <c r="F217" s="2"/>
      <c r="G217" s="2" t="s">
        <v>6232</v>
      </c>
      <c r="H217" s="2"/>
      <c r="I217" s="2" t="s">
        <v>6232</v>
      </c>
      <c r="J217" s="2"/>
      <c r="K217" s="2" t="s">
        <v>6232</v>
      </c>
      <c r="L217" s="25">
        <v>1642440</v>
      </c>
      <c r="M217" s="2" t="s">
        <v>3761</v>
      </c>
      <c r="N217" s="25">
        <v>1585540</v>
      </c>
      <c r="O217" s="2" t="s">
        <v>101</v>
      </c>
      <c r="P217" s="25">
        <v>1839500</v>
      </c>
      <c r="Q217" s="12" t="s">
        <v>6051</v>
      </c>
      <c r="V217" t="s">
        <v>6232</v>
      </c>
      <c r="W217" t="s">
        <v>6232</v>
      </c>
      <c r="X217" t="s">
        <v>6232</v>
      </c>
    </row>
    <row r="218" spans="1:24" ht="18.399999999999999" hidden="1" customHeight="1">
      <c r="A218" s="11" t="s">
        <v>1219</v>
      </c>
      <c r="B218" s="2" t="s">
        <v>5403</v>
      </c>
      <c r="C218" s="2" t="s">
        <v>3340</v>
      </c>
      <c r="D218" s="2" t="s">
        <v>6141</v>
      </c>
      <c r="E218" s="25">
        <v>1500560</v>
      </c>
      <c r="F218" s="2"/>
      <c r="G218" s="2" t="s">
        <v>6232</v>
      </c>
      <c r="H218" s="2"/>
      <c r="I218" s="2" t="s">
        <v>6232</v>
      </c>
      <c r="J218" s="2"/>
      <c r="K218" s="2" t="s">
        <v>6232</v>
      </c>
      <c r="L218" s="25">
        <v>1566100</v>
      </c>
      <c r="M218" s="2" t="s">
        <v>3761</v>
      </c>
      <c r="N218" s="25">
        <v>1500560</v>
      </c>
      <c r="O218" s="2" t="s">
        <v>101</v>
      </c>
      <c r="P218" s="25">
        <v>1781000</v>
      </c>
      <c r="Q218" s="12" t="s">
        <v>6051</v>
      </c>
      <c r="V218" t="s">
        <v>6232</v>
      </c>
      <c r="W218" t="s">
        <v>6232</v>
      </c>
      <c r="X218" t="s">
        <v>6232</v>
      </c>
    </row>
    <row r="219" spans="1:24" ht="18.399999999999999" hidden="1" customHeight="1">
      <c r="A219" s="11" t="s">
        <v>1108</v>
      </c>
      <c r="B219" s="2" t="s">
        <v>5403</v>
      </c>
      <c r="C219" s="2" t="s">
        <v>3468</v>
      </c>
      <c r="D219" s="2" t="s">
        <v>6141</v>
      </c>
      <c r="E219" s="25">
        <v>1622570</v>
      </c>
      <c r="F219" s="2"/>
      <c r="G219" s="2" t="s">
        <v>6232</v>
      </c>
      <c r="H219" s="2"/>
      <c r="I219" s="2" t="s">
        <v>6232</v>
      </c>
      <c r="J219" s="2"/>
      <c r="K219" s="2" t="s">
        <v>6232</v>
      </c>
      <c r="L219" s="25">
        <v>1691790</v>
      </c>
      <c r="M219" s="2" t="s">
        <v>3761</v>
      </c>
      <c r="N219" s="25">
        <v>1622570</v>
      </c>
      <c r="O219" s="2" t="s">
        <v>101</v>
      </c>
      <c r="P219" s="25">
        <v>1909200</v>
      </c>
      <c r="Q219" s="12" t="s">
        <v>6051</v>
      </c>
      <c r="V219" t="s">
        <v>6232</v>
      </c>
      <c r="W219" t="s">
        <v>6232</v>
      </c>
      <c r="X219" t="s">
        <v>6232</v>
      </c>
    </row>
    <row r="220" spans="1:24" ht="18.399999999999999" hidden="1" customHeight="1">
      <c r="A220" s="11" t="s">
        <v>2613</v>
      </c>
      <c r="B220" s="2" t="s">
        <v>5403</v>
      </c>
      <c r="C220" s="2" t="s">
        <v>2441</v>
      </c>
      <c r="D220" s="2" t="s">
        <v>6141</v>
      </c>
      <c r="E220" s="25">
        <v>1795890</v>
      </c>
      <c r="F220" s="2"/>
      <c r="G220" s="2" t="s">
        <v>6232</v>
      </c>
      <c r="H220" s="2"/>
      <c r="I220" s="2" t="s">
        <v>6232</v>
      </c>
      <c r="J220" s="2"/>
      <c r="K220" s="2" t="s">
        <v>6232</v>
      </c>
      <c r="L220" s="25">
        <v>1886240</v>
      </c>
      <c r="M220" s="2" t="s">
        <v>3761</v>
      </c>
      <c r="N220" s="25">
        <v>1795890</v>
      </c>
      <c r="O220" s="2" t="s">
        <v>101</v>
      </c>
      <c r="P220" s="25">
        <v>2089300</v>
      </c>
      <c r="Q220" s="12" t="s">
        <v>6051</v>
      </c>
      <c r="V220" t="s">
        <v>6232</v>
      </c>
      <c r="W220" t="s">
        <v>6232</v>
      </c>
      <c r="X220" t="s">
        <v>6232</v>
      </c>
    </row>
    <row r="221" spans="1:24" ht="18.399999999999999" hidden="1" customHeight="1">
      <c r="A221" s="11" t="s">
        <v>3798</v>
      </c>
      <c r="B221" s="2" t="s">
        <v>5403</v>
      </c>
      <c r="C221" s="2" t="s">
        <v>3175</v>
      </c>
      <c r="D221" s="2" t="s">
        <v>6141</v>
      </c>
      <c r="E221" s="25">
        <v>1503890</v>
      </c>
      <c r="F221" s="2"/>
      <c r="G221" s="2" t="s">
        <v>6232</v>
      </c>
      <c r="H221" s="2"/>
      <c r="I221" s="2" t="s">
        <v>6232</v>
      </c>
      <c r="J221" s="2"/>
      <c r="K221" s="2" t="s">
        <v>6232</v>
      </c>
      <c r="L221" s="25">
        <v>1670900</v>
      </c>
      <c r="M221" s="2" t="s">
        <v>3761</v>
      </c>
      <c r="N221" s="25">
        <v>1503890</v>
      </c>
      <c r="O221" s="2" t="s">
        <v>101</v>
      </c>
      <c r="P221" s="25">
        <v>1849400</v>
      </c>
      <c r="Q221" s="12" t="s">
        <v>6051</v>
      </c>
      <c r="V221" t="s">
        <v>6232</v>
      </c>
      <c r="W221" t="s">
        <v>6232</v>
      </c>
      <c r="X221" t="s">
        <v>6232</v>
      </c>
    </row>
    <row r="222" spans="1:24" ht="18.399999999999999" hidden="1" customHeight="1">
      <c r="A222" s="11" t="s">
        <v>3816</v>
      </c>
      <c r="B222" s="2" t="s">
        <v>5403</v>
      </c>
      <c r="C222" s="2" t="s">
        <v>4928</v>
      </c>
      <c r="D222" s="2" t="s">
        <v>6141</v>
      </c>
      <c r="E222" s="25">
        <v>1591880</v>
      </c>
      <c r="F222" s="2"/>
      <c r="G222" s="2" t="s">
        <v>6232</v>
      </c>
      <c r="H222" s="2"/>
      <c r="I222" s="2" t="s">
        <v>6232</v>
      </c>
      <c r="J222" s="2"/>
      <c r="K222" s="2" t="s">
        <v>6232</v>
      </c>
      <c r="L222" s="25">
        <v>1725200</v>
      </c>
      <c r="M222" s="2" t="s">
        <v>3761</v>
      </c>
      <c r="N222" s="25">
        <v>1591880</v>
      </c>
      <c r="O222" s="2" t="s">
        <v>101</v>
      </c>
      <c r="P222" s="25">
        <v>1920000</v>
      </c>
      <c r="Q222" s="12" t="s">
        <v>6051</v>
      </c>
      <c r="V222" t="s">
        <v>6232</v>
      </c>
      <c r="W222" t="s">
        <v>6232</v>
      </c>
      <c r="X222" t="s">
        <v>6232</v>
      </c>
    </row>
    <row r="223" spans="1:24" ht="18.399999999999999" hidden="1" customHeight="1">
      <c r="A223" s="11" t="s">
        <v>3943</v>
      </c>
      <c r="B223" s="2" t="s">
        <v>5403</v>
      </c>
      <c r="C223" s="2" t="s">
        <v>2143</v>
      </c>
      <c r="D223" s="2" t="s">
        <v>6141</v>
      </c>
      <c r="E223" s="25">
        <v>1665340</v>
      </c>
      <c r="F223" s="2"/>
      <c r="G223" s="2" t="s">
        <v>6232</v>
      </c>
      <c r="H223" s="2"/>
      <c r="I223" s="2" t="s">
        <v>6232</v>
      </c>
      <c r="J223" s="2"/>
      <c r="K223" s="2" t="s">
        <v>6232</v>
      </c>
      <c r="L223" s="25">
        <v>1776100</v>
      </c>
      <c r="M223" s="2" t="s">
        <v>3761</v>
      </c>
      <c r="N223" s="25">
        <v>1665340</v>
      </c>
      <c r="O223" s="2" t="s">
        <v>101</v>
      </c>
      <c r="P223" s="25">
        <v>1970600</v>
      </c>
      <c r="Q223" s="12" t="s">
        <v>6051</v>
      </c>
      <c r="V223" t="s">
        <v>6232</v>
      </c>
      <c r="W223" t="s">
        <v>6232</v>
      </c>
      <c r="X223" t="s">
        <v>6232</v>
      </c>
    </row>
    <row r="224" spans="1:24" ht="18.399999999999999" hidden="1" customHeight="1">
      <c r="A224" s="11" t="s">
        <v>4274</v>
      </c>
      <c r="B224" s="2" t="s">
        <v>5403</v>
      </c>
      <c r="C224" s="2" t="s">
        <v>2780</v>
      </c>
      <c r="D224" s="2" t="s">
        <v>6141</v>
      </c>
      <c r="E224" s="25">
        <v>1734510</v>
      </c>
      <c r="F224" s="2"/>
      <c r="G224" s="2" t="s">
        <v>6232</v>
      </c>
      <c r="H224" s="2"/>
      <c r="I224" s="2" t="s">
        <v>6232</v>
      </c>
      <c r="J224" s="2"/>
      <c r="K224" s="2" t="s">
        <v>6232</v>
      </c>
      <c r="L224" s="25">
        <v>1825850</v>
      </c>
      <c r="M224" s="2" t="s">
        <v>3761</v>
      </c>
      <c r="N224" s="25">
        <v>1734510</v>
      </c>
      <c r="O224" s="2" t="s">
        <v>101</v>
      </c>
      <c r="P224" s="25">
        <v>2011500</v>
      </c>
      <c r="Q224" s="12" t="s">
        <v>6051</v>
      </c>
      <c r="V224" t="s">
        <v>6232</v>
      </c>
      <c r="W224" t="s">
        <v>6232</v>
      </c>
      <c r="X224" t="s">
        <v>6232</v>
      </c>
    </row>
    <row r="225" spans="1:24" ht="18.399999999999999" hidden="1" customHeight="1">
      <c r="A225" s="11" t="s">
        <v>5640</v>
      </c>
      <c r="B225" s="2" t="s">
        <v>5403</v>
      </c>
      <c r="C225" s="2" t="s">
        <v>4364</v>
      </c>
      <c r="D225" s="2" t="s">
        <v>6141</v>
      </c>
      <c r="E225" s="25">
        <v>1833050</v>
      </c>
      <c r="F225" s="2"/>
      <c r="G225" s="2" t="s">
        <v>6232</v>
      </c>
      <c r="H225" s="2"/>
      <c r="I225" s="2" t="s">
        <v>6232</v>
      </c>
      <c r="J225" s="2"/>
      <c r="K225" s="2" t="s">
        <v>6232</v>
      </c>
      <c r="L225" s="25">
        <v>1888190</v>
      </c>
      <c r="M225" s="2" t="s">
        <v>3761</v>
      </c>
      <c r="N225" s="25">
        <v>1833050</v>
      </c>
      <c r="O225" s="2" t="s">
        <v>101</v>
      </c>
      <c r="P225" s="25">
        <v>2076200</v>
      </c>
      <c r="Q225" s="12" t="s">
        <v>6051</v>
      </c>
      <c r="V225" t="s">
        <v>6232</v>
      </c>
      <c r="W225" t="s">
        <v>6232</v>
      </c>
      <c r="X225" t="s">
        <v>6232</v>
      </c>
    </row>
    <row r="226" spans="1:24" ht="18.399999999999999" hidden="1" customHeight="1">
      <c r="A226" s="11" t="s">
        <v>6136</v>
      </c>
      <c r="B226" s="2" t="s">
        <v>5403</v>
      </c>
      <c r="C226" s="2" t="s">
        <v>4404</v>
      </c>
      <c r="D226" s="2" t="s">
        <v>6141</v>
      </c>
      <c r="E226" s="25">
        <v>1770430</v>
      </c>
      <c r="F226" s="2"/>
      <c r="G226" s="2" t="s">
        <v>6232</v>
      </c>
      <c r="H226" s="2"/>
      <c r="I226" s="2" t="s">
        <v>6232</v>
      </c>
      <c r="J226" s="2"/>
      <c r="K226" s="2" t="s">
        <v>6232</v>
      </c>
      <c r="L226" s="25">
        <v>1872760</v>
      </c>
      <c r="M226" s="2" t="s">
        <v>3761</v>
      </c>
      <c r="N226" s="25">
        <v>1770430</v>
      </c>
      <c r="O226" s="2" t="s">
        <v>101</v>
      </c>
      <c r="P226" s="25">
        <v>2078900</v>
      </c>
      <c r="Q226" s="12" t="s">
        <v>6051</v>
      </c>
      <c r="V226" t="s">
        <v>6232</v>
      </c>
      <c r="W226" t="s">
        <v>6232</v>
      </c>
      <c r="X226" t="s">
        <v>6232</v>
      </c>
    </row>
    <row r="227" spans="1:24" ht="18.399999999999999" hidden="1" customHeight="1">
      <c r="A227" s="11" t="s">
        <v>4610</v>
      </c>
      <c r="B227" s="2" t="s">
        <v>5403</v>
      </c>
      <c r="C227" s="2" t="s">
        <v>2257</v>
      </c>
      <c r="D227" s="2" t="s">
        <v>6141</v>
      </c>
      <c r="E227" s="25">
        <v>1939790</v>
      </c>
      <c r="F227" s="2"/>
      <c r="G227" s="2" t="s">
        <v>6232</v>
      </c>
      <c r="H227" s="2"/>
      <c r="I227" s="2" t="s">
        <v>6232</v>
      </c>
      <c r="J227" s="2"/>
      <c r="K227" s="2" t="s">
        <v>6232</v>
      </c>
      <c r="L227" s="25">
        <v>2060980</v>
      </c>
      <c r="M227" s="2" t="s">
        <v>3761</v>
      </c>
      <c r="N227" s="25">
        <v>1939790</v>
      </c>
      <c r="O227" s="2" t="s">
        <v>101</v>
      </c>
      <c r="P227" s="25">
        <v>2252300</v>
      </c>
      <c r="Q227" s="12" t="s">
        <v>6051</v>
      </c>
      <c r="V227" t="s">
        <v>6232</v>
      </c>
      <c r="W227" t="s">
        <v>6232</v>
      </c>
      <c r="X227" t="s">
        <v>6232</v>
      </c>
    </row>
    <row r="228" spans="1:24" ht="18.399999999999999" hidden="1" customHeight="1">
      <c r="A228" s="11" t="s">
        <v>4955</v>
      </c>
      <c r="B228" s="2" t="s">
        <v>5403</v>
      </c>
      <c r="C228" s="2" t="s">
        <v>5135</v>
      </c>
      <c r="D228" s="2" t="s">
        <v>6141</v>
      </c>
      <c r="E228" s="25">
        <v>2151250</v>
      </c>
      <c r="F228" s="2"/>
      <c r="G228" s="2" t="s">
        <v>6232</v>
      </c>
      <c r="H228" s="2"/>
      <c r="I228" s="2" t="s">
        <v>6232</v>
      </c>
      <c r="J228" s="2"/>
      <c r="K228" s="2" t="s">
        <v>6232</v>
      </c>
      <c r="L228" s="25">
        <v>2285890</v>
      </c>
      <c r="M228" s="2" t="s">
        <v>3761</v>
      </c>
      <c r="N228" s="25">
        <v>2151250</v>
      </c>
      <c r="O228" s="2" t="s">
        <v>101</v>
      </c>
      <c r="P228" s="25">
        <v>2462800</v>
      </c>
      <c r="Q228" s="12" t="s">
        <v>6051</v>
      </c>
      <c r="V228" t="s">
        <v>6232</v>
      </c>
      <c r="W228" t="s">
        <v>6232</v>
      </c>
      <c r="X228" t="s">
        <v>6232</v>
      </c>
    </row>
    <row r="229" spans="1:24" ht="18.399999999999999" hidden="1" customHeight="1">
      <c r="A229" s="11" t="s">
        <v>5753</v>
      </c>
      <c r="B229" s="2" t="s">
        <v>5403</v>
      </c>
      <c r="C229" s="2" t="s">
        <v>1319</v>
      </c>
      <c r="D229" s="2" t="s">
        <v>6141</v>
      </c>
      <c r="E229" s="25">
        <v>1672380</v>
      </c>
      <c r="F229" s="2"/>
      <c r="G229" s="2" t="s">
        <v>6232</v>
      </c>
      <c r="H229" s="2"/>
      <c r="I229" s="2" t="s">
        <v>6232</v>
      </c>
      <c r="J229" s="2"/>
      <c r="K229" s="2" t="s">
        <v>6232</v>
      </c>
      <c r="L229" s="25">
        <v>1883320</v>
      </c>
      <c r="M229" s="2" t="s">
        <v>3761</v>
      </c>
      <c r="N229" s="25">
        <v>1672380</v>
      </c>
      <c r="O229" s="2" t="s">
        <v>101</v>
      </c>
      <c r="P229" s="25">
        <v>2057600</v>
      </c>
      <c r="Q229" s="12" t="s">
        <v>6051</v>
      </c>
      <c r="V229" t="s">
        <v>6232</v>
      </c>
      <c r="W229" t="s">
        <v>6232</v>
      </c>
      <c r="X229" t="s">
        <v>6232</v>
      </c>
    </row>
    <row r="230" spans="1:24" ht="18.399999999999999" hidden="1" customHeight="1">
      <c r="A230" s="11" t="s">
        <v>5776</v>
      </c>
      <c r="B230" s="2" t="s">
        <v>5403</v>
      </c>
      <c r="C230" s="2" t="s">
        <v>2895</v>
      </c>
      <c r="D230" s="2" t="s">
        <v>6141</v>
      </c>
      <c r="E230" s="25">
        <v>1769590</v>
      </c>
      <c r="F230" s="2"/>
      <c r="G230" s="2" t="s">
        <v>6232</v>
      </c>
      <c r="H230" s="2"/>
      <c r="I230" s="2" t="s">
        <v>6232</v>
      </c>
      <c r="J230" s="2"/>
      <c r="K230" s="2" t="s">
        <v>6232</v>
      </c>
      <c r="L230" s="25">
        <v>1943380</v>
      </c>
      <c r="M230" s="2" t="s">
        <v>3761</v>
      </c>
      <c r="N230" s="25">
        <v>1769590</v>
      </c>
      <c r="O230" s="2" t="s">
        <v>101</v>
      </c>
      <c r="P230" s="25">
        <v>2135000</v>
      </c>
      <c r="Q230" s="12" t="s">
        <v>6051</v>
      </c>
      <c r="V230" t="s">
        <v>6232</v>
      </c>
      <c r="W230" t="s">
        <v>6232</v>
      </c>
      <c r="X230" t="s">
        <v>6232</v>
      </c>
    </row>
    <row r="231" spans="1:24" ht="18.399999999999999" hidden="1" customHeight="1">
      <c r="A231" s="11" t="s">
        <v>5107</v>
      </c>
      <c r="B231" s="2" t="s">
        <v>5403</v>
      </c>
      <c r="C231" s="2" t="s">
        <v>6231</v>
      </c>
      <c r="D231" s="2" t="s">
        <v>6141</v>
      </c>
      <c r="E231" s="25">
        <v>1842720</v>
      </c>
      <c r="F231" s="2"/>
      <c r="G231" s="2" t="s">
        <v>6232</v>
      </c>
      <c r="H231" s="2"/>
      <c r="I231" s="2" t="s">
        <v>6232</v>
      </c>
      <c r="J231" s="2"/>
      <c r="K231" s="2" t="s">
        <v>6232</v>
      </c>
      <c r="L231" s="25">
        <v>1993040</v>
      </c>
      <c r="M231" s="2" t="s">
        <v>3761</v>
      </c>
      <c r="N231" s="25">
        <v>1842720</v>
      </c>
      <c r="O231" s="2" t="s">
        <v>101</v>
      </c>
      <c r="P231" s="25">
        <v>2184300</v>
      </c>
      <c r="Q231" s="12" t="s">
        <v>6051</v>
      </c>
      <c r="V231" t="s">
        <v>6232</v>
      </c>
      <c r="W231" t="s">
        <v>6232</v>
      </c>
      <c r="X231" t="s">
        <v>6232</v>
      </c>
    </row>
    <row r="232" spans="1:24" ht="18.399999999999999" hidden="1" customHeight="1">
      <c r="A232" s="11" t="s">
        <v>5429</v>
      </c>
      <c r="B232" s="2" t="s">
        <v>5403</v>
      </c>
      <c r="C232" s="2" t="s">
        <v>5159</v>
      </c>
      <c r="D232" s="2" t="s">
        <v>6141</v>
      </c>
      <c r="E232" s="25">
        <v>1911820</v>
      </c>
      <c r="F232" s="2"/>
      <c r="G232" s="2" t="s">
        <v>6232</v>
      </c>
      <c r="H232" s="2"/>
      <c r="I232" s="2" t="s">
        <v>6232</v>
      </c>
      <c r="J232" s="2"/>
      <c r="K232" s="2" t="s">
        <v>6232</v>
      </c>
      <c r="L232" s="25">
        <v>2043160</v>
      </c>
      <c r="M232" s="2" t="s">
        <v>3761</v>
      </c>
      <c r="N232" s="25">
        <v>1911820</v>
      </c>
      <c r="O232" s="2" t="s">
        <v>101</v>
      </c>
      <c r="P232" s="25">
        <v>2256000</v>
      </c>
      <c r="Q232" s="12" t="s">
        <v>6051</v>
      </c>
      <c r="V232" t="s">
        <v>6232</v>
      </c>
      <c r="W232" t="s">
        <v>6232</v>
      </c>
      <c r="X232" t="s">
        <v>6232</v>
      </c>
    </row>
    <row r="233" spans="1:24" ht="18.399999999999999" hidden="1" customHeight="1">
      <c r="A233" s="11" t="s">
        <v>3695</v>
      </c>
      <c r="B233" s="2" t="s">
        <v>5403</v>
      </c>
      <c r="C233" s="2" t="s">
        <v>497</v>
      </c>
      <c r="D233" s="2" t="s">
        <v>6141</v>
      </c>
      <c r="E233" s="25">
        <v>2010010</v>
      </c>
      <c r="F233" s="2"/>
      <c r="G233" s="2" t="s">
        <v>6232</v>
      </c>
      <c r="H233" s="2"/>
      <c r="I233" s="2" t="s">
        <v>6232</v>
      </c>
      <c r="J233" s="2"/>
      <c r="K233" s="2" t="s">
        <v>6232</v>
      </c>
      <c r="L233" s="25">
        <v>2105700</v>
      </c>
      <c r="M233" s="2" t="s">
        <v>3761</v>
      </c>
      <c r="N233" s="25">
        <v>2010010</v>
      </c>
      <c r="O233" s="2" t="s">
        <v>101</v>
      </c>
      <c r="P233" s="25">
        <v>2290200</v>
      </c>
      <c r="Q233" s="12" t="s">
        <v>6051</v>
      </c>
      <c r="V233" t="s">
        <v>6232</v>
      </c>
      <c r="W233" t="s">
        <v>6232</v>
      </c>
      <c r="X233" t="s">
        <v>6232</v>
      </c>
    </row>
    <row r="234" spans="1:24" ht="18.399999999999999" hidden="1" customHeight="1">
      <c r="A234" s="11" t="s">
        <v>3382</v>
      </c>
      <c r="B234" s="2" t="s">
        <v>5403</v>
      </c>
      <c r="C234" s="2" t="s">
        <v>424</v>
      </c>
      <c r="D234" s="2" t="s">
        <v>6141</v>
      </c>
      <c r="E234" s="25">
        <v>1947030</v>
      </c>
      <c r="F234" s="2"/>
      <c r="G234" s="2" t="s">
        <v>6232</v>
      </c>
      <c r="H234" s="2"/>
      <c r="I234" s="2" t="s">
        <v>6232</v>
      </c>
      <c r="J234" s="2"/>
      <c r="K234" s="2" t="s">
        <v>6232</v>
      </c>
      <c r="L234" s="25">
        <v>2090100</v>
      </c>
      <c r="M234" s="2" t="s">
        <v>3761</v>
      </c>
      <c r="N234" s="25">
        <v>1947030</v>
      </c>
      <c r="O234" s="2" t="s">
        <v>101</v>
      </c>
      <c r="P234" s="25">
        <v>2292300</v>
      </c>
      <c r="Q234" s="12" t="s">
        <v>6051</v>
      </c>
      <c r="V234" t="s">
        <v>6232</v>
      </c>
      <c r="W234" t="s">
        <v>6232</v>
      </c>
      <c r="X234" t="s">
        <v>6232</v>
      </c>
    </row>
    <row r="235" spans="1:24" ht="18.399999999999999" hidden="1" customHeight="1">
      <c r="A235" s="11" t="s">
        <v>5009</v>
      </c>
      <c r="B235" s="2" t="s">
        <v>5403</v>
      </c>
      <c r="C235" s="2" t="s">
        <v>6079</v>
      </c>
      <c r="D235" s="2" t="s">
        <v>6141</v>
      </c>
      <c r="E235" s="25">
        <v>2115320</v>
      </c>
      <c r="F235" s="2"/>
      <c r="G235" s="2" t="s">
        <v>6232</v>
      </c>
      <c r="H235" s="2"/>
      <c r="I235" s="2" t="s">
        <v>6232</v>
      </c>
      <c r="J235" s="2"/>
      <c r="K235" s="2" t="s">
        <v>6232</v>
      </c>
      <c r="L235" s="25">
        <v>2276910</v>
      </c>
      <c r="M235" s="2" t="s">
        <v>3761</v>
      </c>
      <c r="N235" s="25">
        <v>2115320</v>
      </c>
      <c r="O235" s="2" t="s">
        <v>101</v>
      </c>
      <c r="P235" s="25">
        <v>2463800</v>
      </c>
      <c r="Q235" s="12" t="s">
        <v>6051</v>
      </c>
      <c r="V235" t="s">
        <v>6232</v>
      </c>
      <c r="W235" t="s">
        <v>6232</v>
      </c>
      <c r="X235" t="s">
        <v>6232</v>
      </c>
    </row>
    <row r="236" spans="1:24" ht="18.399999999999999" hidden="1" customHeight="1">
      <c r="A236" s="11" t="s">
        <v>4544</v>
      </c>
      <c r="B236" s="2" t="s">
        <v>5403</v>
      </c>
      <c r="C236" s="2" t="s">
        <v>2787</v>
      </c>
      <c r="D236" s="2" t="s">
        <v>6141</v>
      </c>
      <c r="E236" s="25">
        <v>2325050</v>
      </c>
      <c r="F236" s="2"/>
      <c r="G236" s="2" t="s">
        <v>6232</v>
      </c>
      <c r="H236" s="2"/>
      <c r="I236" s="2" t="s">
        <v>6232</v>
      </c>
      <c r="J236" s="2"/>
      <c r="K236" s="2" t="s">
        <v>6232</v>
      </c>
      <c r="L236" s="25">
        <v>2500000</v>
      </c>
      <c r="M236" s="2" t="s">
        <v>3761</v>
      </c>
      <c r="N236" s="25">
        <v>2325050</v>
      </c>
      <c r="O236" s="2" t="s">
        <v>101</v>
      </c>
      <c r="P236" s="25">
        <v>2672500</v>
      </c>
      <c r="Q236" s="12" t="s">
        <v>6051</v>
      </c>
      <c r="V236" t="s">
        <v>6232</v>
      </c>
      <c r="W236" t="s">
        <v>6232</v>
      </c>
      <c r="X236" t="s">
        <v>6232</v>
      </c>
    </row>
    <row r="237" spans="1:24" ht="18.399999999999999" hidden="1" customHeight="1">
      <c r="A237" s="11" t="s">
        <v>6065</v>
      </c>
      <c r="B237" s="2" t="s">
        <v>5403</v>
      </c>
      <c r="C237" s="2" t="s">
        <v>3872</v>
      </c>
      <c r="D237" s="2" t="s">
        <v>6141</v>
      </c>
      <c r="E237" s="25">
        <v>2536270</v>
      </c>
      <c r="F237" s="2"/>
      <c r="G237" s="2" t="s">
        <v>6232</v>
      </c>
      <c r="H237" s="2"/>
      <c r="I237" s="2" t="s">
        <v>6232</v>
      </c>
      <c r="J237" s="2"/>
      <c r="K237" s="2" t="s">
        <v>6232</v>
      </c>
      <c r="L237" s="25">
        <v>2744780</v>
      </c>
      <c r="M237" s="2" t="s">
        <v>3761</v>
      </c>
      <c r="N237" s="25">
        <v>2536270</v>
      </c>
      <c r="O237" s="2" t="s">
        <v>101</v>
      </c>
      <c r="P237" s="25">
        <v>2910400</v>
      </c>
      <c r="Q237" s="12" t="s">
        <v>6051</v>
      </c>
      <c r="V237" t="s">
        <v>6232</v>
      </c>
      <c r="W237" t="s">
        <v>6232</v>
      </c>
      <c r="X237" t="s">
        <v>6232</v>
      </c>
    </row>
    <row r="238" spans="1:24" ht="18.399999999999999" hidden="1" customHeight="1">
      <c r="A238" s="11" t="s">
        <v>904</v>
      </c>
      <c r="B238" s="2" t="s">
        <v>5403</v>
      </c>
      <c r="C238" s="2" t="s">
        <v>1647</v>
      </c>
      <c r="D238" s="2" t="s">
        <v>6141</v>
      </c>
      <c r="E238" s="25">
        <v>1939420</v>
      </c>
      <c r="F238" s="2"/>
      <c r="G238" s="2" t="s">
        <v>6232</v>
      </c>
      <c r="H238" s="2"/>
      <c r="I238" s="2" t="s">
        <v>6232</v>
      </c>
      <c r="J238" s="2"/>
      <c r="K238" s="2" t="s">
        <v>6232</v>
      </c>
      <c r="L238" s="25">
        <v>2235420</v>
      </c>
      <c r="M238" s="2" t="s">
        <v>3761</v>
      </c>
      <c r="N238" s="25">
        <v>1939420</v>
      </c>
      <c r="O238" s="2" t="s">
        <v>101</v>
      </c>
      <c r="P238" s="25">
        <v>2341900</v>
      </c>
      <c r="Q238" s="12" t="s">
        <v>6051</v>
      </c>
      <c r="V238" t="s">
        <v>6232</v>
      </c>
      <c r="W238" t="s">
        <v>6232</v>
      </c>
      <c r="X238" t="s">
        <v>6232</v>
      </c>
    </row>
    <row r="239" spans="1:24" ht="18.399999999999999" hidden="1" customHeight="1">
      <c r="A239" s="11" t="s">
        <v>651</v>
      </c>
      <c r="B239" s="2" t="s">
        <v>5403</v>
      </c>
      <c r="C239" s="2" t="s">
        <v>1566</v>
      </c>
      <c r="D239" s="2" t="s">
        <v>6141</v>
      </c>
      <c r="E239" s="25">
        <v>2017290</v>
      </c>
      <c r="F239" s="2"/>
      <c r="G239" s="2" t="s">
        <v>6232</v>
      </c>
      <c r="H239" s="2"/>
      <c r="I239" s="2" t="s">
        <v>6232</v>
      </c>
      <c r="J239" s="2"/>
      <c r="K239" s="2" t="s">
        <v>6232</v>
      </c>
      <c r="L239" s="25">
        <v>2284550</v>
      </c>
      <c r="M239" s="2" t="s">
        <v>3761</v>
      </c>
      <c r="N239" s="25">
        <v>2017290</v>
      </c>
      <c r="O239" s="2" t="s">
        <v>101</v>
      </c>
      <c r="P239" s="25">
        <v>2390600</v>
      </c>
      <c r="Q239" s="12" t="s">
        <v>6051</v>
      </c>
      <c r="V239" t="s">
        <v>6232</v>
      </c>
      <c r="W239" t="s">
        <v>6232</v>
      </c>
      <c r="X239" t="s">
        <v>6232</v>
      </c>
    </row>
    <row r="240" spans="1:24" ht="18.399999999999999" hidden="1" customHeight="1">
      <c r="A240" s="11" t="s">
        <v>584</v>
      </c>
      <c r="B240" s="2" t="s">
        <v>5403</v>
      </c>
      <c r="C240" s="2" t="s">
        <v>2574</v>
      </c>
      <c r="D240" s="2" t="s">
        <v>6141</v>
      </c>
      <c r="E240" s="25">
        <v>2086600</v>
      </c>
      <c r="F240" s="2"/>
      <c r="G240" s="2" t="s">
        <v>6232</v>
      </c>
      <c r="H240" s="2"/>
      <c r="I240" s="2" t="s">
        <v>6232</v>
      </c>
      <c r="J240" s="2"/>
      <c r="K240" s="2" t="s">
        <v>6232</v>
      </c>
      <c r="L240" s="25">
        <v>2334110</v>
      </c>
      <c r="M240" s="2" t="s">
        <v>3761</v>
      </c>
      <c r="N240" s="25">
        <v>2086600</v>
      </c>
      <c r="O240" s="2" t="s">
        <v>101</v>
      </c>
      <c r="P240" s="25">
        <v>2431300</v>
      </c>
      <c r="Q240" s="12" t="s">
        <v>6051</v>
      </c>
      <c r="V240" t="s">
        <v>6232</v>
      </c>
      <c r="W240" t="s">
        <v>6232</v>
      </c>
      <c r="X240" t="s">
        <v>6232</v>
      </c>
    </row>
    <row r="241" spans="1:24" ht="18.399999999999999" hidden="1" customHeight="1">
      <c r="A241" s="11" t="s">
        <v>2307</v>
      </c>
      <c r="B241" s="2" t="s">
        <v>5403</v>
      </c>
      <c r="C241" s="2" t="s">
        <v>4157</v>
      </c>
      <c r="D241" s="2" t="s">
        <v>6141</v>
      </c>
      <c r="E241" s="25">
        <v>2178880</v>
      </c>
      <c r="F241" s="2"/>
      <c r="G241" s="2" t="s">
        <v>6232</v>
      </c>
      <c r="H241" s="2"/>
      <c r="I241" s="2" t="s">
        <v>6232</v>
      </c>
      <c r="J241" s="2"/>
      <c r="K241" s="2" t="s">
        <v>6232</v>
      </c>
      <c r="L241" s="25">
        <v>2396100</v>
      </c>
      <c r="M241" s="2" t="s">
        <v>3761</v>
      </c>
      <c r="N241" s="25">
        <v>2178880</v>
      </c>
      <c r="O241" s="2" t="s">
        <v>101</v>
      </c>
      <c r="P241" s="25">
        <v>2495300</v>
      </c>
      <c r="Q241" s="12" t="s">
        <v>6051</v>
      </c>
      <c r="V241" t="s">
        <v>6232</v>
      </c>
      <c r="W241" t="s">
        <v>6232</v>
      </c>
      <c r="X241" t="s">
        <v>6232</v>
      </c>
    </row>
    <row r="242" spans="1:24" ht="18.399999999999999" hidden="1" customHeight="1">
      <c r="A242" s="11" t="s">
        <v>1615</v>
      </c>
      <c r="B242" s="2" t="s">
        <v>5403</v>
      </c>
      <c r="C242" s="2" t="s">
        <v>4275</v>
      </c>
      <c r="D242" s="2" t="s">
        <v>6141</v>
      </c>
      <c r="E242" s="25">
        <v>2348680</v>
      </c>
      <c r="F242" s="2"/>
      <c r="G242" s="2" t="s">
        <v>6232</v>
      </c>
      <c r="H242" s="2"/>
      <c r="I242" s="2" t="s">
        <v>6232</v>
      </c>
      <c r="J242" s="2"/>
      <c r="K242" s="2" t="s">
        <v>6232</v>
      </c>
      <c r="L242" s="25">
        <v>2533900</v>
      </c>
      <c r="M242" s="2" t="s">
        <v>3761</v>
      </c>
      <c r="N242" s="25">
        <v>2348680</v>
      </c>
      <c r="O242" s="2" t="s">
        <v>101</v>
      </c>
      <c r="P242" s="25">
        <v>2634700</v>
      </c>
      <c r="Q242" s="12" t="s">
        <v>6051</v>
      </c>
      <c r="V242" t="s">
        <v>6232</v>
      </c>
      <c r="W242" t="s">
        <v>6232</v>
      </c>
      <c r="X242" t="s">
        <v>6232</v>
      </c>
    </row>
    <row r="243" spans="1:24" ht="18.399999999999999" hidden="1" customHeight="1">
      <c r="A243" s="11" t="s">
        <v>155</v>
      </c>
      <c r="B243" s="2" t="s">
        <v>5403</v>
      </c>
      <c r="C243" s="2" t="s">
        <v>1638</v>
      </c>
      <c r="D243" s="2" t="s">
        <v>6141</v>
      </c>
      <c r="E243" s="25">
        <v>2282720</v>
      </c>
      <c r="F243" s="2"/>
      <c r="G243" s="2" t="s">
        <v>6232</v>
      </c>
      <c r="H243" s="2"/>
      <c r="I243" s="2" t="s">
        <v>6232</v>
      </c>
      <c r="J243" s="2"/>
      <c r="K243" s="2" t="s">
        <v>6232</v>
      </c>
      <c r="L243" s="25">
        <v>2564980</v>
      </c>
      <c r="M243" s="2" t="s">
        <v>3761</v>
      </c>
      <c r="N243" s="25">
        <v>2282720</v>
      </c>
      <c r="O243" s="2" t="s">
        <v>101</v>
      </c>
      <c r="P243" s="25">
        <v>2665900</v>
      </c>
      <c r="Q243" s="12" t="s">
        <v>6051</v>
      </c>
      <c r="V243" t="s">
        <v>6232</v>
      </c>
      <c r="W243" t="s">
        <v>6232</v>
      </c>
      <c r="X243" t="s">
        <v>6232</v>
      </c>
    </row>
    <row r="244" spans="1:24" ht="18.399999999999999" hidden="1" customHeight="1">
      <c r="A244" s="11" t="s">
        <v>2806</v>
      </c>
      <c r="B244" s="2" t="s">
        <v>5403</v>
      </c>
      <c r="C244" s="2" t="s">
        <v>4904</v>
      </c>
      <c r="D244" s="2" t="s">
        <v>6141</v>
      </c>
      <c r="E244" s="25">
        <v>2497050</v>
      </c>
      <c r="F244" s="2"/>
      <c r="G244" s="2" t="s">
        <v>6232</v>
      </c>
      <c r="H244" s="2"/>
      <c r="I244" s="2" t="s">
        <v>6232</v>
      </c>
      <c r="J244" s="2"/>
      <c r="K244" s="2" t="s">
        <v>6232</v>
      </c>
      <c r="L244" s="25">
        <v>2791090</v>
      </c>
      <c r="M244" s="2" t="s">
        <v>3761</v>
      </c>
      <c r="N244" s="25">
        <v>2497050</v>
      </c>
      <c r="O244" s="2" t="s">
        <v>101</v>
      </c>
      <c r="P244" s="25">
        <v>2877800</v>
      </c>
      <c r="Q244" s="12" t="s">
        <v>6051</v>
      </c>
      <c r="V244" t="s">
        <v>6232</v>
      </c>
      <c r="W244" t="s">
        <v>6232</v>
      </c>
      <c r="X244" t="s">
        <v>6232</v>
      </c>
    </row>
    <row r="245" spans="1:24" ht="18.399999999999999" hidden="1" customHeight="1">
      <c r="A245" s="11" t="s">
        <v>1184</v>
      </c>
      <c r="B245" s="2" t="s">
        <v>5403</v>
      </c>
      <c r="C245" s="2" t="s">
        <v>781</v>
      </c>
      <c r="D245" s="2" t="s">
        <v>6141</v>
      </c>
      <c r="E245" s="25">
        <v>2702620</v>
      </c>
      <c r="F245" s="2"/>
      <c r="G245" s="2" t="s">
        <v>6232</v>
      </c>
      <c r="H245" s="2"/>
      <c r="I245" s="2" t="s">
        <v>6232</v>
      </c>
      <c r="J245" s="2"/>
      <c r="K245" s="2" t="s">
        <v>6232</v>
      </c>
      <c r="L245" s="25">
        <v>3028210</v>
      </c>
      <c r="M245" s="2" t="s">
        <v>3761</v>
      </c>
      <c r="N245" s="25">
        <v>2702620</v>
      </c>
      <c r="O245" s="2" t="s">
        <v>101</v>
      </c>
      <c r="P245" s="25">
        <v>3106700</v>
      </c>
      <c r="Q245" s="12" t="s">
        <v>6051</v>
      </c>
      <c r="V245" t="s">
        <v>6232</v>
      </c>
      <c r="W245" t="s">
        <v>6232</v>
      </c>
      <c r="X245" t="s">
        <v>6232</v>
      </c>
    </row>
    <row r="246" spans="1:24" ht="18.399999999999999" hidden="1" customHeight="1">
      <c r="A246" s="11" t="s">
        <v>5868</v>
      </c>
      <c r="B246" s="2" t="s">
        <v>5403</v>
      </c>
      <c r="C246" s="2" t="s">
        <v>2781</v>
      </c>
      <c r="D246" s="2" t="s">
        <v>6141</v>
      </c>
      <c r="E246" s="25">
        <v>2886650</v>
      </c>
      <c r="F246" s="2"/>
      <c r="G246" s="2" t="s">
        <v>6232</v>
      </c>
      <c r="H246" s="2"/>
      <c r="I246" s="2" t="s">
        <v>6232</v>
      </c>
      <c r="J246" s="2"/>
      <c r="K246" s="2" t="s">
        <v>6232</v>
      </c>
      <c r="L246" s="25">
        <v>3222280</v>
      </c>
      <c r="M246" s="2" t="s">
        <v>3761</v>
      </c>
      <c r="N246" s="25">
        <v>2886650</v>
      </c>
      <c r="O246" s="2" t="s">
        <v>101</v>
      </c>
      <c r="P246" s="25">
        <v>3314000</v>
      </c>
      <c r="Q246" s="12" t="s">
        <v>6051</v>
      </c>
      <c r="V246" t="s">
        <v>6232</v>
      </c>
      <c r="W246" t="s">
        <v>6232</v>
      </c>
      <c r="X246" t="s">
        <v>6232</v>
      </c>
    </row>
    <row r="247" spans="1:24" ht="18.399999999999999" hidden="1" customHeight="1">
      <c r="A247" s="11" t="s">
        <v>2061</v>
      </c>
      <c r="B247" s="2" t="s">
        <v>5403</v>
      </c>
      <c r="C247" s="2" t="s">
        <v>1427</v>
      </c>
      <c r="D247" s="2" t="s">
        <v>6141</v>
      </c>
      <c r="E247" s="25">
        <v>2274390</v>
      </c>
      <c r="F247" s="2"/>
      <c r="G247" s="2" t="s">
        <v>6232</v>
      </c>
      <c r="H247" s="2"/>
      <c r="I247" s="2" t="s">
        <v>6232</v>
      </c>
      <c r="J247" s="2"/>
      <c r="K247" s="2" t="s">
        <v>6232</v>
      </c>
      <c r="L247" s="25">
        <v>2302780</v>
      </c>
      <c r="M247" s="2" t="s">
        <v>3761</v>
      </c>
      <c r="N247" s="25">
        <v>2274390</v>
      </c>
      <c r="O247" s="2" t="s">
        <v>101</v>
      </c>
      <c r="P247" s="25">
        <v>2679900</v>
      </c>
      <c r="Q247" s="12" t="s">
        <v>6051</v>
      </c>
      <c r="V247" t="s">
        <v>6232</v>
      </c>
      <c r="W247" t="s">
        <v>6232</v>
      </c>
      <c r="X247" t="s">
        <v>6232</v>
      </c>
    </row>
    <row r="248" spans="1:24" ht="18.399999999999999" hidden="1" customHeight="1">
      <c r="A248" s="11" t="s">
        <v>2559</v>
      </c>
      <c r="B248" s="2" t="s">
        <v>5403</v>
      </c>
      <c r="C248" s="2" t="s">
        <v>5606</v>
      </c>
      <c r="D248" s="2" t="s">
        <v>6141</v>
      </c>
      <c r="E248" s="25">
        <v>2344420</v>
      </c>
      <c r="F248" s="2"/>
      <c r="G248" s="2" t="s">
        <v>6232</v>
      </c>
      <c r="H248" s="2"/>
      <c r="I248" s="2" t="s">
        <v>6232</v>
      </c>
      <c r="J248" s="2"/>
      <c r="K248" s="2" t="s">
        <v>6232</v>
      </c>
      <c r="L248" s="25">
        <v>2344420</v>
      </c>
      <c r="M248" s="2" t="s">
        <v>3761</v>
      </c>
      <c r="N248" s="25">
        <v>2352320</v>
      </c>
      <c r="O248" s="2" t="s">
        <v>101</v>
      </c>
      <c r="P248" s="25">
        <v>2720900</v>
      </c>
      <c r="Q248" s="12" t="s">
        <v>6051</v>
      </c>
      <c r="V248" t="s">
        <v>6232</v>
      </c>
      <c r="W248" t="s">
        <v>6232</v>
      </c>
      <c r="X248" t="s">
        <v>6232</v>
      </c>
    </row>
    <row r="249" spans="1:24" ht="18.399999999999999" hidden="1" customHeight="1">
      <c r="A249" s="11" t="s">
        <v>2508</v>
      </c>
      <c r="B249" s="2" t="s">
        <v>5403</v>
      </c>
      <c r="C249" s="2" t="s">
        <v>4964</v>
      </c>
      <c r="D249" s="2" t="s">
        <v>6141</v>
      </c>
      <c r="E249" s="25">
        <v>2384880</v>
      </c>
      <c r="F249" s="2"/>
      <c r="G249" s="2" t="s">
        <v>6232</v>
      </c>
      <c r="H249" s="2"/>
      <c r="I249" s="2" t="s">
        <v>6232</v>
      </c>
      <c r="J249" s="2"/>
      <c r="K249" s="2" t="s">
        <v>6232</v>
      </c>
      <c r="L249" s="25">
        <v>2384880</v>
      </c>
      <c r="M249" s="2" t="s">
        <v>3761</v>
      </c>
      <c r="N249" s="25">
        <v>2421560</v>
      </c>
      <c r="O249" s="2" t="s">
        <v>101</v>
      </c>
      <c r="P249" s="25">
        <v>2753700</v>
      </c>
      <c r="Q249" s="12" t="s">
        <v>6051</v>
      </c>
      <c r="V249" t="s">
        <v>6232</v>
      </c>
      <c r="W249" t="s">
        <v>6232</v>
      </c>
      <c r="X249" t="s">
        <v>6232</v>
      </c>
    </row>
    <row r="250" spans="1:24" ht="18.399999999999999" hidden="1" customHeight="1">
      <c r="A250" s="11" t="s">
        <v>1137</v>
      </c>
      <c r="B250" s="2" t="s">
        <v>5403</v>
      </c>
      <c r="C250" s="2" t="s">
        <v>294</v>
      </c>
      <c r="D250" s="2" t="s">
        <v>6141</v>
      </c>
      <c r="E250" s="25">
        <v>2438890</v>
      </c>
      <c r="F250" s="2"/>
      <c r="G250" s="2" t="s">
        <v>6232</v>
      </c>
      <c r="H250" s="2"/>
      <c r="I250" s="2" t="s">
        <v>6232</v>
      </c>
      <c r="J250" s="2"/>
      <c r="K250" s="2" t="s">
        <v>6232</v>
      </c>
      <c r="L250" s="25">
        <v>2438890</v>
      </c>
      <c r="M250" s="2" t="s">
        <v>3761</v>
      </c>
      <c r="N250" s="25">
        <v>2524970</v>
      </c>
      <c r="O250" s="2" t="s">
        <v>101</v>
      </c>
      <c r="P250" s="25">
        <v>2809800</v>
      </c>
      <c r="Q250" s="12" t="s">
        <v>6051</v>
      </c>
      <c r="V250" t="s">
        <v>6232</v>
      </c>
      <c r="W250" t="s">
        <v>6232</v>
      </c>
      <c r="X250" t="s">
        <v>6232</v>
      </c>
    </row>
    <row r="251" spans="1:24" ht="18.399999999999999" hidden="1" customHeight="1">
      <c r="A251" s="11" t="s">
        <v>1231</v>
      </c>
      <c r="B251" s="2" t="s">
        <v>5403</v>
      </c>
      <c r="C251" s="2" t="s">
        <v>189</v>
      </c>
      <c r="D251" s="2" t="s">
        <v>6141</v>
      </c>
      <c r="E251" s="25">
        <v>2559080</v>
      </c>
      <c r="F251" s="2"/>
      <c r="G251" s="2" t="s">
        <v>6232</v>
      </c>
      <c r="H251" s="2"/>
      <c r="I251" s="2" t="s">
        <v>6232</v>
      </c>
      <c r="J251" s="2"/>
      <c r="K251" s="2" t="s">
        <v>6232</v>
      </c>
      <c r="L251" s="25">
        <v>2559080</v>
      </c>
      <c r="M251" s="2" t="s">
        <v>3761</v>
      </c>
      <c r="N251" s="25">
        <v>2682280</v>
      </c>
      <c r="O251" s="2" t="s">
        <v>101</v>
      </c>
      <c r="P251" s="25">
        <v>2932400</v>
      </c>
      <c r="Q251" s="12" t="s">
        <v>6051</v>
      </c>
      <c r="V251" t="s">
        <v>6232</v>
      </c>
      <c r="W251" t="s">
        <v>6232</v>
      </c>
      <c r="X251" t="s">
        <v>6232</v>
      </c>
    </row>
    <row r="252" spans="1:24" ht="18.399999999999999" hidden="1" customHeight="1">
      <c r="A252" s="11" t="s">
        <v>2854</v>
      </c>
      <c r="B252" s="2" t="s">
        <v>5403</v>
      </c>
      <c r="C252" s="2" t="s">
        <v>5509</v>
      </c>
      <c r="D252" s="2" t="s">
        <v>6141</v>
      </c>
      <c r="E252" s="25">
        <v>2615390</v>
      </c>
      <c r="F252" s="2"/>
      <c r="G252" s="2" t="s">
        <v>6232</v>
      </c>
      <c r="H252" s="2"/>
      <c r="I252" s="2" t="s">
        <v>6232</v>
      </c>
      <c r="J252" s="2"/>
      <c r="K252" s="2" t="s">
        <v>6232</v>
      </c>
      <c r="L252" s="25">
        <v>2742940</v>
      </c>
      <c r="M252" s="2" t="s">
        <v>3761</v>
      </c>
      <c r="N252" s="25">
        <v>2615390</v>
      </c>
      <c r="O252" s="2" t="s">
        <v>101</v>
      </c>
      <c r="P252" s="25">
        <v>3100200</v>
      </c>
      <c r="Q252" s="12" t="s">
        <v>6051</v>
      </c>
      <c r="V252" t="s">
        <v>6232</v>
      </c>
      <c r="W252" t="s">
        <v>6232</v>
      </c>
      <c r="X252" t="s">
        <v>6232</v>
      </c>
    </row>
    <row r="253" spans="1:24" ht="18.399999999999999" hidden="1" customHeight="1">
      <c r="A253" s="11" t="s">
        <v>104</v>
      </c>
      <c r="B253" s="2" t="s">
        <v>5403</v>
      </c>
      <c r="C253" s="2" t="s">
        <v>2645</v>
      </c>
      <c r="D253" s="2" t="s">
        <v>6141</v>
      </c>
      <c r="E253" s="25">
        <v>2836890</v>
      </c>
      <c r="F253" s="2"/>
      <c r="G253" s="2" t="s">
        <v>6232</v>
      </c>
      <c r="H253" s="2"/>
      <c r="I253" s="2" t="s">
        <v>6232</v>
      </c>
      <c r="J253" s="2"/>
      <c r="K253" s="2" t="s">
        <v>6232</v>
      </c>
      <c r="L253" s="25">
        <v>2979330</v>
      </c>
      <c r="M253" s="2" t="s">
        <v>3761</v>
      </c>
      <c r="N253" s="25">
        <v>2836890</v>
      </c>
      <c r="O253" s="2" t="s">
        <v>101</v>
      </c>
      <c r="P253" s="25">
        <v>3317300</v>
      </c>
      <c r="Q253" s="12" t="s">
        <v>6051</v>
      </c>
      <c r="V253" t="s">
        <v>6232</v>
      </c>
      <c r="W253" t="s">
        <v>6232</v>
      </c>
      <c r="X253" t="s">
        <v>6232</v>
      </c>
    </row>
    <row r="254" spans="1:24" ht="18.399999999999999" hidden="1" customHeight="1">
      <c r="A254" s="11" t="s">
        <v>1562</v>
      </c>
      <c r="B254" s="2" t="s">
        <v>5403</v>
      </c>
      <c r="C254" s="2" t="s">
        <v>3251</v>
      </c>
      <c r="D254" s="2" t="s">
        <v>6141</v>
      </c>
      <c r="E254" s="25">
        <v>3040960</v>
      </c>
      <c r="F254" s="2"/>
      <c r="G254" s="2" t="s">
        <v>6232</v>
      </c>
      <c r="H254" s="2"/>
      <c r="I254" s="2" t="s">
        <v>6232</v>
      </c>
      <c r="J254" s="2"/>
      <c r="K254" s="2" t="s">
        <v>6232</v>
      </c>
      <c r="L254" s="25">
        <v>3208070</v>
      </c>
      <c r="M254" s="2" t="s">
        <v>3761</v>
      </c>
      <c r="N254" s="25">
        <v>3040960</v>
      </c>
      <c r="O254" s="2" t="s">
        <v>101</v>
      </c>
      <c r="P254" s="25">
        <v>3543400</v>
      </c>
      <c r="Q254" s="12" t="s">
        <v>6051</v>
      </c>
      <c r="V254" t="s">
        <v>6232</v>
      </c>
      <c r="W254" t="s">
        <v>6232</v>
      </c>
      <c r="X254" t="s">
        <v>6232</v>
      </c>
    </row>
    <row r="255" spans="1:24" ht="18.399999999999999" hidden="1" customHeight="1">
      <c r="A255" s="11" t="s">
        <v>3121</v>
      </c>
      <c r="B255" s="2" t="s">
        <v>5403</v>
      </c>
      <c r="C255" s="2" t="s">
        <v>5160</v>
      </c>
      <c r="D255" s="2" t="s">
        <v>6141</v>
      </c>
      <c r="E255" s="25">
        <v>3216880</v>
      </c>
      <c r="F255" s="2"/>
      <c r="G255" s="2" t="s">
        <v>6232</v>
      </c>
      <c r="H255" s="2"/>
      <c r="I255" s="2" t="s">
        <v>6232</v>
      </c>
      <c r="J255" s="2"/>
      <c r="K255" s="2" t="s">
        <v>6232</v>
      </c>
      <c r="L255" s="25">
        <v>3392530</v>
      </c>
      <c r="M255" s="2" t="s">
        <v>3761</v>
      </c>
      <c r="N255" s="25">
        <v>3216880</v>
      </c>
      <c r="O255" s="2" t="s">
        <v>101</v>
      </c>
      <c r="P255" s="25">
        <v>3738700</v>
      </c>
      <c r="Q255" s="12" t="s">
        <v>6051</v>
      </c>
      <c r="V255" t="s">
        <v>6232</v>
      </c>
      <c r="W255" t="s">
        <v>6232</v>
      </c>
      <c r="X255" t="s">
        <v>6232</v>
      </c>
    </row>
    <row r="256" spans="1:24" ht="18.399999999999999" hidden="1" customHeight="1">
      <c r="A256" s="11" t="s">
        <v>4776</v>
      </c>
      <c r="B256" s="2" t="s">
        <v>5403</v>
      </c>
      <c r="C256" s="2" t="s">
        <v>1511</v>
      </c>
      <c r="D256" s="2" t="s">
        <v>6141</v>
      </c>
      <c r="E256" s="25">
        <v>3478710</v>
      </c>
      <c r="F256" s="2"/>
      <c r="G256" s="2" t="s">
        <v>6232</v>
      </c>
      <c r="H256" s="2"/>
      <c r="I256" s="2" t="s">
        <v>6232</v>
      </c>
      <c r="J256" s="2"/>
      <c r="K256" s="2" t="s">
        <v>6232</v>
      </c>
      <c r="L256" s="25">
        <v>3511400</v>
      </c>
      <c r="M256" s="2" t="s">
        <v>3761</v>
      </c>
      <c r="N256" s="25">
        <v>3478710</v>
      </c>
      <c r="O256" s="2" t="s">
        <v>101</v>
      </c>
      <c r="P256" s="25">
        <v>3910700</v>
      </c>
      <c r="Q256" s="12" t="s">
        <v>6051</v>
      </c>
      <c r="V256" t="s">
        <v>6232</v>
      </c>
      <c r="W256" t="s">
        <v>6232</v>
      </c>
      <c r="X256" t="s">
        <v>6232</v>
      </c>
    </row>
    <row r="257" spans="1:24" ht="18.399999999999999" hidden="1" customHeight="1">
      <c r="A257" s="11" t="s">
        <v>3093</v>
      </c>
      <c r="B257" s="2" t="s">
        <v>5403</v>
      </c>
      <c r="C257" s="2" t="s">
        <v>61</v>
      </c>
      <c r="D257" s="2" t="s">
        <v>6141</v>
      </c>
      <c r="E257" s="25">
        <v>2510300</v>
      </c>
      <c r="F257" s="2"/>
      <c r="G257" s="2" t="s">
        <v>6232</v>
      </c>
      <c r="H257" s="2"/>
      <c r="I257" s="2" t="s">
        <v>6232</v>
      </c>
      <c r="J257" s="2"/>
      <c r="K257" s="2" t="s">
        <v>6232</v>
      </c>
      <c r="L257" s="25">
        <v>2794250</v>
      </c>
      <c r="M257" s="2" t="s">
        <v>3761</v>
      </c>
      <c r="N257" s="25">
        <v>2510300</v>
      </c>
      <c r="O257" s="2" t="s">
        <v>101</v>
      </c>
      <c r="P257" s="25">
        <v>2978200</v>
      </c>
      <c r="Q257" s="12" t="s">
        <v>6051</v>
      </c>
      <c r="V257" t="s">
        <v>6232</v>
      </c>
      <c r="W257" t="s">
        <v>6232</v>
      </c>
      <c r="X257" t="s">
        <v>6232</v>
      </c>
    </row>
    <row r="258" spans="1:24" ht="18.399999999999999" hidden="1" customHeight="1">
      <c r="A258" s="11" t="s">
        <v>4639</v>
      </c>
      <c r="B258" s="2" t="s">
        <v>5403</v>
      </c>
      <c r="C258" s="2" t="s">
        <v>5420</v>
      </c>
      <c r="D258" s="2" t="s">
        <v>6141</v>
      </c>
      <c r="E258" s="25">
        <v>2591060</v>
      </c>
      <c r="F258" s="2"/>
      <c r="G258" s="2" t="s">
        <v>6232</v>
      </c>
      <c r="H258" s="2"/>
      <c r="I258" s="2" t="s">
        <v>6232</v>
      </c>
      <c r="J258" s="2"/>
      <c r="K258" s="2" t="s">
        <v>6232</v>
      </c>
      <c r="L258" s="25">
        <v>2837180</v>
      </c>
      <c r="M258" s="2" t="s">
        <v>3761</v>
      </c>
      <c r="N258" s="25">
        <v>2591060</v>
      </c>
      <c r="O258" s="2" t="s">
        <v>101</v>
      </c>
      <c r="P258" s="25">
        <v>3020200</v>
      </c>
      <c r="Q258" s="12" t="s">
        <v>6051</v>
      </c>
      <c r="V258" t="s">
        <v>6232</v>
      </c>
      <c r="W258" t="s">
        <v>6232</v>
      </c>
      <c r="X258" t="s">
        <v>6232</v>
      </c>
    </row>
    <row r="259" spans="1:24" ht="18.399999999999999" hidden="1" customHeight="1">
      <c r="A259" s="11" t="s">
        <v>4347</v>
      </c>
      <c r="B259" s="2" t="s">
        <v>5403</v>
      </c>
      <c r="C259" s="2" t="s">
        <v>5939</v>
      </c>
      <c r="D259" s="2" t="s">
        <v>6141</v>
      </c>
      <c r="E259" s="25">
        <v>2653990</v>
      </c>
      <c r="F259" s="2"/>
      <c r="G259" s="2" t="s">
        <v>6232</v>
      </c>
      <c r="H259" s="2"/>
      <c r="I259" s="2" t="s">
        <v>6232</v>
      </c>
      <c r="J259" s="2"/>
      <c r="K259" s="2" t="s">
        <v>6232</v>
      </c>
      <c r="L259" s="25">
        <v>2879140</v>
      </c>
      <c r="M259" s="2" t="s">
        <v>3761</v>
      </c>
      <c r="N259" s="25">
        <v>2653990</v>
      </c>
      <c r="O259" s="2" t="s">
        <v>101</v>
      </c>
      <c r="P259" s="25">
        <v>3053900</v>
      </c>
      <c r="Q259" s="12" t="s">
        <v>6051</v>
      </c>
      <c r="V259" t="s">
        <v>6232</v>
      </c>
      <c r="W259" t="s">
        <v>6232</v>
      </c>
      <c r="X259" t="s">
        <v>6232</v>
      </c>
    </row>
    <row r="260" spans="1:24" ht="18.399999999999999" hidden="1" customHeight="1">
      <c r="A260" s="11" t="s">
        <v>6095</v>
      </c>
      <c r="B260" s="2" t="s">
        <v>5403</v>
      </c>
      <c r="C260" s="2" t="s">
        <v>1263</v>
      </c>
      <c r="D260" s="2" t="s">
        <v>6141</v>
      </c>
      <c r="E260" s="25">
        <v>2756810</v>
      </c>
      <c r="F260" s="2"/>
      <c r="G260" s="2" t="s">
        <v>6232</v>
      </c>
      <c r="H260" s="2"/>
      <c r="I260" s="2" t="s">
        <v>6232</v>
      </c>
      <c r="J260" s="2"/>
      <c r="K260" s="2" t="s">
        <v>6232</v>
      </c>
      <c r="L260" s="25">
        <v>2935130</v>
      </c>
      <c r="M260" s="2" t="s">
        <v>3761</v>
      </c>
      <c r="N260" s="25">
        <v>2756810</v>
      </c>
      <c r="O260" s="2" t="s">
        <v>101</v>
      </c>
      <c r="P260" s="25">
        <v>3112100</v>
      </c>
      <c r="Q260" s="12" t="s">
        <v>6051</v>
      </c>
      <c r="V260" t="s">
        <v>6232</v>
      </c>
      <c r="W260" t="s">
        <v>6232</v>
      </c>
      <c r="X260" t="s">
        <v>6232</v>
      </c>
    </row>
    <row r="261" spans="1:24" ht="18.399999999999999" hidden="1" customHeight="1">
      <c r="A261" s="11" t="s">
        <v>5610</v>
      </c>
      <c r="B261" s="2" t="s">
        <v>5403</v>
      </c>
      <c r="C261" s="2" t="s">
        <v>1178</v>
      </c>
      <c r="D261" s="2" t="s">
        <v>6141</v>
      </c>
      <c r="E261" s="25">
        <v>2928000</v>
      </c>
      <c r="F261" s="2"/>
      <c r="G261" s="2" t="s">
        <v>6232</v>
      </c>
      <c r="H261" s="2"/>
      <c r="I261" s="2" t="s">
        <v>6232</v>
      </c>
      <c r="J261" s="2"/>
      <c r="K261" s="2" t="s">
        <v>6232</v>
      </c>
      <c r="L261" s="25">
        <v>3060900</v>
      </c>
      <c r="M261" s="2" t="s">
        <v>3761</v>
      </c>
      <c r="N261" s="25">
        <v>2928000</v>
      </c>
      <c r="O261" s="2" t="s">
        <v>101</v>
      </c>
      <c r="P261" s="25">
        <v>3240500</v>
      </c>
      <c r="Q261" s="12" t="s">
        <v>6051</v>
      </c>
      <c r="V261" t="s">
        <v>6232</v>
      </c>
      <c r="W261" t="s">
        <v>6232</v>
      </c>
      <c r="X261" t="s">
        <v>6232</v>
      </c>
    </row>
    <row r="262" spans="1:24" ht="18.399999999999999" hidden="1" customHeight="1">
      <c r="A262" s="11" t="s">
        <v>3973</v>
      </c>
      <c r="B262" s="2" t="s">
        <v>5403</v>
      </c>
      <c r="C262" s="2" t="s">
        <v>5309</v>
      </c>
      <c r="D262" s="2" t="s">
        <v>6141</v>
      </c>
      <c r="E262" s="25">
        <v>3161660</v>
      </c>
      <c r="F262" s="2"/>
      <c r="G262" s="2" t="s">
        <v>6232</v>
      </c>
      <c r="H262" s="2"/>
      <c r="I262" s="2" t="s">
        <v>6232</v>
      </c>
      <c r="J262" s="2"/>
      <c r="K262" s="2" t="s">
        <v>6232</v>
      </c>
      <c r="L262" s="25">
        <v>3251300</v>
      </c>
      <c r="M262" s="2" t="s">
        <v>3761</v>
      </c>
      <c r="N262" s="25">
        <v>3161660</v>
      </c>
      <c r="O262" s="2" t="s">
        <v>101</v>
      </c>
      <c r="P262" s="25">
        <v>3415100</v>
      </c>
      <c r="Q262" s="12" t="s">
        <v>6051</v>
      </c>
      <c r="V262" t="s">
        <v>6232</v>
      </c>
      <c r="W262" t="s">
        <v>6232</v>
      </c>
      <c r="X262" t="s">
        <v>6232</v>
      </c>
    </row>
    <row r="263" spans="1:24" ht="18.399999999999999" hidden="1" customHeight="1">
      <c r="A263" s="11" t="s">
        <v>5081</v>
      </c>
      <c r="B263" s="2" t="s">
        <v>5403</v>
      </c>
      <c r="C263" s="2" t="s">
        <v>2025</v>
      </c>
      <c r="D263" s="2" t="s">
        <v>6141</v>
      </c>
      <c r="E263" s="25">
        <v>3101530</v>
      </c>
      <c r="F263" s="2"/>
      <c r="G263" s="2" t="s">
        <v>6232</v>
      </c>
      <c r="H263" s="2"/>
      <c r="I263" s="2" t="s">
        <v>6232</v>
      </c>
      <c r="J263" s="2"/>
      <c r="K263" s="2" t="s">
        <v>6232</v>
      </c>
      <c r="L263" s="25">
        <v>3494880</v>
      </c>
      <c r="M263" s="2" t="s">
        <v>3761</v>
      </c>
      <c r="N263" s="25">
        <v>3101530</v>
      </c>
      <c r="O263" s="2" t="s">
        <v>101</v>
      </c>
      <c r="P263" s="25">
        <v>3645500</v>
      </c>
      <c r="Q263" s="12" t="s">
        <v>6051</v>
      </c>
      <c r="V263" t="s">
        <v>6232</v>
      </c>
      <c r="W263" t="s">
        <v>6232</v>
      </c>
      <c r="X263" t="s">
        <v>6232</v>
      </c>
    </row>
    <row r="264" spans="1:24" ht="18.399999999999999" hidden="1" customHeight="1">
      <c r="A264" s="11" t="s">
        <v>3608</v>
      </c>
      <c r="B264" s="2" t="s">
        <v>5403</v>
      </c>
      <c r="C264" s="2" t="s">
        <v>4627</v>
      </c>
      <c r="D264" s="2" t="s">
        <v>6141</v>
      </c>
      <c r="E264" s="25">
        <v>3309050</v>
      </c>
      <c r="F264" s="2"/>
      <c r="G264" s="2" t="s">
        <v>6232</v>
      </c>
      <c r="H264" s="2"/>
      <c r="I264" s="2" t="s">
        <v>6232</v>
      </c>
      <c r="J264" s="2"/>
      <c r="K264" s="2" t="s">
        <v>6232</v>
      </c>
      <c r="L264" s="25">
        <v>3733050</v>
      </c>
      <c r="M264" s="2" t="s">
        <v>3761</v>
      </c>
      <c r="N264" s="25">
        <v>3309050</v>
      </c>
      <c r="O264" s="2" t="s">
        <v>101</v>
      </c>
      <c r="P264" s="25">
        <v>3875600</v>
      </c>
      <c r="Q264" s="12" t="s">
        <v>6051</v>
      </c>
      <c r="V264" t="s">
        <v>6232</v>
      </c>
      <c r="W264" t="s">
        <v>6232</v>
      </c>
      <c r="X264" t="s">
        <v>6232</v>
      </c>
    </row>
    <row r="265" spans="1:24" ht="18.399999999999999" hidden="1" customHeight="1">
      <c r="A265" s="11" t="s">
        <v>2033</v>
      </c>
      <c r="B265" s="2" t="s">
        <v>5403</v>
      </c>
      <c r="C265" s="2" t="s">
        <v>5778</v>
      </c>
      <c r="D265" s="2" t="s">
        <v>6141</v>
      </c>
      <c r="E265" s="25">
        <v>3488920</v>
      </c>
      <c r="F265" s="2"/>
      <c r="G265" s="2" t="s">
        <v>6232</v>
      </c>
      <c r="H265" s="2"/>
      <c r="I265" s="2" t="s">
        <v>6232</v>
      </c>
      <c r="J265" s="2"/>
      <c r="K265" s="2" t="s">
        <v>6232</v>
      </c>
      <c r="L265" s="25">
        <v>3921590</v>
      </c>
      <c r="M265" s="2" t="s">
        <v>3761</v>
      </c>
      <c r="N265" s="25">
        <v>3488920</v>
      </c>
      <c r="O265" s="2" t="s">
        <v>101</v>
      </c>
      <c r="P265" s="25">
        <v>4075400</v>
      </c>
      <c r="Q265" s="12" t="s">
        <v>6051</v>
      </c>
      <c r="V265" t="s">
        <v>6232</v>
      </c>
      <c r="W265" t="s">
        <v>6232</v>
      </c>
      <c r="X265" t="s">
        <v>6232</v>
      </c>
    </row>
    <row r="266" spans="1:24" ht="18.399999999999999" hidden="1" customHeight="1">
      <c r="A266" s="11" t="s">
        <v>405</v>
      </c>
      <c r="B266" s="2" t="s">
        <v>5403</v>
      </c>
      <c r="C266" s="2" t="s">
        <v>160</v>
      </c>
      <c r="D266" s="2" t="s">
        <v>6141</v>
      </c>
      <c r="E266" s="25">
        <v>3747050</v>
      </c>
      <c r="F266" s="2"/>
      <c r="G266" s="2" t="s">
        <v>6232</v>
      </c>
      <c r="H266" s="2"/>
      <c r="I266" s="2" t="s">
        <v>6232</v>
      </c>
      <c r="J266" s="2"/>
      <c r="K266" s="2" t="s">
        <v>6232</v>
      </c>
      <c r="L266" s="25">
        <v>4034690</v>
      </c>
      <c r="M266" s="2" t="s">
        <v>3761</v>
      </c>
      <c r="N266" s="25">
        <v>3747050</v>
      </c>
      <c r="O266" s="2" t="s">
        <v>101</v>
      </c>
      <c r="P266" s="25">
        <v>4239800</v>
      </c>
      <c r="Q266" s="12" t="s">
        <v>6051</v>
      </c>
      <c r="V266" t="s">
        <v>6232</v>
      </c>
      <c r="W266" t="s">
        <v>6232</v>
      </c>
      <c r="X266" t="s">
        <v>6232</v>
      </c>
    </row>
    <row r="267" spans="1:24" ht="18.399999999999999" hidden="1" customHeight="1">
      <c r="A267" s="11" t="s">
        <v>2408</v>
      </c>
      <c r="B267" s="2" t="s">
        <v>5403</v>
      </c>
      <c r="C267" s="2" t="s">
        <v>3295</v>
      </c>
      <c r="D267" s="2" t="s">
        <v>6141</v>
      </c>
      <c r="E267" s="25">
        <v>4145100</v>
      </c>
      <c r="F267" s="2"/>
      <c r="G267" s="2" t="s">
        <v>6232</v>
      </c>
      <c r="H267" s="2"/>
      <c r="I267" s="2" t="s">
        <v>6232</v>
      </c>
      <c r="J267" s="2"/>
      <c r="K267" s="2" t="s">
        <v>6232</v>
      </c>
      <c r="L267" s="25">
        <v>4441560</v>
      </c>
      <c r="M267" s="2" t="s">
        <v>3761</v>
      </c>
      <c r="N267" s="25">
        <v>4145100</v>
      </c>
      <c r="O267" s="2" t="s">
        <v>101</v>
      </c>
      <c r="P267" s="25">
        <v>4645700</v>
      </c>
      <c r="Q267" s="12" t="s">
        <v>6051</v>
      </c>
      <c r="V267" t="s">
        <v>6232</v>
      </c>
      <c r="W267" t="s">
        <v>6232</v>
      </c>
      <c r="X267" t="s">
        <v>6232</v>
      </c>
    </row>
    <row r="268" spans="1:24" ht="18.399999999999999" hidden="1" customHeight="1">
      <c r="A268" s="11" t="s">
        <v>4724</v>
      </c>
      <c r="B268" s="2" t="s">
        <v>5403</v>
      </c>
      <c r="C268" s="2" t="s">
        <v>1983</v>
      </c>
      <c r="D268" s="2" t="s">
        <v>6141</v>
      </c>
      <c r="E268" s="25">
        <v>3237780</v>
      </c>
      <c r="F268" s="2"/>
      <c r="G268" s="2" t="s">
        <v>6232</v>
      </c>
      <c r="H268" s="2"/>
      <c r="I268" s="2" t="s">
        <v>6232</v>
      </c>
      <c r="J268" s="2"/>
      <c r="K268" s="2" t="s">
        <v>6232</v>
      </c>
      <c r="L268" s="25">
        <v>3366970</v>
      </c>
      <c r="M268" s="2" t="s">
        <v>3761</v>
      </c>
      <c r="N268" s="25">
        <v>3237780</v>
      </c>
      <c r="O268" s="2" t="s">
        <v>101</v>
      </c>
      <c r="P268" s="25">
        <v>3514200</v>
      </c>
      <c r="Q268" s="12" t="s">
        <v>6051</v>
      </c>
      <c r="V268" t="s">
        <v>6232</v>
      </c>
      <c r="W268" t="s">
        <v>6232</v>
      </c>
      <c r="X268" t="s">
        <v>6232</v>
      </c>
    </row>
    <row r="269" spans="1:24" ht="18.399999999999999" hidden="1" customHeight="1">
      <c r="A269" s="11" t="s">
        <v>3360</v>
      </c>
      <c r="B269" s="2" t="s">
        <v>5403</v>
      </c>
      <c r="C269" s="2" t="s">
        <v>3550</v>
      </c>
      <c r="D269" s="2" t="s">
        <v>6141</v>
      </c>
      <c r="E269" s="25">
        <v>3345340</v>
      </c>
      <c r="F269" s="2"/>
      <c r="G269" s="2" t="s">
        <v>6232</v>
      </c>
      <c r="H269" s="2"/>
      <c r="I269" s="2" t="s">
        <v>6232</v>
      </c>
      <c r="J269" s="2"/>
      <c r="K269" s="2" t="s">
        <v>6232</v>
      </c>
      <c r="L269" s="25">
        <v>3420560</v>
      </c>
      <c r="M269" s="2" t="s">
        <v>3761</v>
      </c>
      <c r="N269" s="25">
        <v>3345340</v>
      </c>
      <c r="O269" s="2" t="s">
        <v>101</v>
      </c>
      <c r="P269" s="25">
        <v>3559900</v>
      </c>
      <c r="Q269" s="12" t="s">
        <v>6051</v>
      </c>
      <c r="V269" t="s">
        <v>6232</v>
      </c>
      <c r="W269" t="s">
        <v>6232</v>
      </c>
      <c r="X269" t="s">
        <v>6232</v>
      </c>
    </row>
    <row r="270" spans="1:24" ht="18.399999999999999" hidden="1" customHeight="1">
      <c r="A270" s="11" t="s">
        <v>3664</v>
      </c>
      <c r="B270" s="2" t="s">
        <v>5403</v>
      </c>
      <c r="C270" s="2" t="s">
        <v>3656</v>
      </c>
      <c r="D270" s="2" t="s">
        <v>6141</v>
      </c>
      <c r="E270" s="25">
        <v>3520520</v>
      </c>
      <c r="F270" s="2"/>
      <c r="G270" s="2" t="s">
        <v>6232</v>
      </c>
      <c r="H270" s="2"/>
      <c r="I270" s="2" t="s">
        <v>6232</v>
      </c>
      <c r="J270" s="2"/>
      <c r="K270" s="2" t="s">
        <v>6232</v>
      </c>
      <c r="L270" s="25">
        <v>3542590</v>
      </c>
      <c r="M270" s="2" t="s">
        <v>3761</v>
      </c>
      <c r="N270" s="25">
        <v>3520520</v>
      </c>
      <c r="O270" s="2" t="s">
        <v>101</v>
      </c>
      <c r="P270" s="25">
        <v>3658300</v>
      </c>
      <c r="Q270" s="12" t="s">
        <v>6051</v>
      </c>
      <c r="V270" t="s">
        <v>6232</v>
      </c>
      <c r="W270" t="s">
        <v>6232</v>
      </c>
      <c r="X270" t="s">
        <v>6232</v>
      </c>
    </row>
    <row r="271" spans="1:24" ht="18.399999999999999" hidden="1" customHeight="1">
      <c r="A271" s="11" t="s">
        <v>5133</v>
      </c>
      <c r="B271" s="2" t="s">
        <v>5403</v>
      </c>
      <c r="C271" s="2" t="s">
        <v>3018</v>
      </c>
      <c r="D271" s="2" t="s">
        <v>6141</v>
      </c>
      <c r="E271" s="25">
        <v>3724760</v>
      </c>
      <c r="F271" s="2"/>
      <c r="G271" s="2" t="s">
        <v>6232</v>
      </c>
      <c r="H271" s="2"/>
      <c r="I271" s="2" t="s">
        <v>6232</v>
      </c>
      <c r="J271" s="2"/>
      <c r="K271" s="2" t="s">
        <v>6232</v>
      </c>
      <c r="L271" s="25">
        <v>3724760</v>
      </c>
      <c r="M271" s="2" t="s">
        <v>3761</v>
      </c>
      <c r="N271" s="25">
        <v>3759920</v>
      </c>
      <c r="O271" s="2" t="s">
        <v>101</v>
      </c>
      <c r="P271" s="25">
        <v>3836400</v>
      </c>
      <c r="Q271" s="12" t="s">
        <v>6051</v>
      </c>
      <c r="V271" t="s">
        <v>6232</v>
      </c>
      <c r="W271" t="s">
        <v>6232</v>
      </c>
      <c r="X271" t="s">
        <v>6232</v>
      </c>
    </row>
    <row r="272" spans="1:24" ht="18.399999999999999" hidden="1" customHeight="1">
      <c r="A272" s="11" t="s">
        <v>3925</v>
      </c>
      <c r="B272" s="2" t="s">
        <v>5403</v>
      </c>
      <c r="C272" s="2" t="s">
        <v>5899</v>
      </c>
      <c r="D272" s="2" t="s">
        <v>6141</v>
      </c>
      <c r="E272" s="25">
        <v>3718500</v>
      </c>
      <c r="F272" s="2"/>
      <c r="G272" s="2" t="s">
        <v>6232</v>
      </c>
      <c r="H272" s="2"/>
      <c r="I272" s="2" t="s">
        <v>6232</v>
      </c>
      <c r="J272" s="2"/>
      <c r="K272" s="2" t="s">
        <v>6232</v>
      </c>
      <c r="L272" s="25">
        <v>3967480</v>
      </c>
      <c r="M272" s="2" t="s">
        <v>3761</v>
      </c>
      <c r="N272" s="25">
        <v>3718500</v>
      </c>
      <c r="O272" s="2" t="s">
        <v>101</v>
      </c>
      <c r="P272" s="25">
        <v>4028500</v>
      </c>
      <c r="Q272" s="12" t="s">
        <v>6051</v>
      </c>
      <c r="V272" t="s">
        <v>6232</v>
      </c>
      <c r="W272" t="s">
        <v>6232</v>
      </c>
      <c r="X272" t="s">
        <v>6232</v>
      </c>
    </row>
    <row r="273" spans="1:24" ht="18.399999999999999" hidden="1" customHeight="1">
      <c r="A273" s="11" t="s">
        <v>5555</v>
      </c>
      <c r="B273" s="2" t="s">
        <v>5403</v>
      </c>
      <c r="C273" s="2" t="s">
        <v>607</v>
      </c>
      <c r="D273" s="2" t="s">
        <v>6141</v>
      </c>
      <c r="E273" s="25">
        <v>3930060</v>
      </c>
      <c r="F273" s="2"/>
      <c r="G273" s="2" t="s">
        <v>6232</v>
      </c>
      <c r="H273" s="2"/>
      <c r="I273" s="2" t="s">
        <v>6232</v>
      </c>
      <c r="J273" s="2"/>
      <c r="K273" s="2" t="s">
        <v>6232</v>
      </c>
      <c r="L273" s="25">
        <v>4201190</v>
      </c>
      <c r="M273" s="2" t="s">
        <v>3761</v>
      </c>
      <c r="N273" s="25">
        <v>3930060</v>
      </c>
      <c r="O273" s="2" t="s">
        <v>101</v>
      </c>
      <c r="P273" s="25">
        <v>4178800</v>
      </c>
      <c r="Q273" s="12" t="s">
        <v>6051</v>
      </c>
      <c r="V273" t="s">
        <v>6232</v>
      </c>
      <c r="W273" t="s">
        <v>6232</v>
      </c>
      <c r="X273" t="s">
        <v>6232</v>
      </c>
    </row>
    <row r="274" spans="1:24" ht="18.399999999999999" hidden="1" customHeight="1">
      <c r="A274" s="11" t="s">
        <v>886</v>
      </c>
      <c r="B274" s="2" t="s">
        <v>5403</v>
      </c>
      <c r="C274" s="2" t="s">
        <v>1779</v>
      </c>
      <c r="D274" s="2" t="s">
        <v>6141</v>
      </c>
      <c r="E274" s="25">
        <v>4076630</v>
      </c>
      <c r="F274" s="2"/>
      <c r="G274" s="2" t="s">
        <v>6232</v>
      </c>
      <c r="H274" s="2"/>
      <c r="I274" s="2" t="s">
        <v>6232</v>
      </c>
      <c r="J274" s="2"/>
      <c r="K274" s="2" t="s">
        <v>6232</v>
      </c>
      <c r="L274" s="25">
        <v>4384480</v>
      </c>
      <c r="M274" s="2" t="s">
        <v>3761</v>
      </c>
      <c r="N274" s="25">
        <v>4076630</v>
      </c>
      <c r="O274" s="2" t="s">
        <v>101</v>
      </c>
      <c r="P274" s="25">
        <v>4316100</v>
      </c>
      <c r="Q274" s="12" t="s">
        <v>6051</v>
      </c>
      <c r="V274" t="s">
        <v>6232</v>
      </c>
      <c r="W274" t="s">
        <v>6232</v>
      </c>
      <c r="X274" t="s">
        <v>6232</v>
      </c>
    </row>
    <row r="275" spans="1:24" ht="18.399999999999999" hidden="1" customHeight="1">
      <c r="A275" s="11" t="s">
        <v>2360</v>
      </c>
      <c r="B275" s="2" t="s">
        <v>5403</v>
      </c>
      <c r="C275" s="2" t="s">
        <v>3928</v>
      </c>
      <c r="D275" s="2" t="s">
        <v>6141</v>
      </c>
      <c r="E275" s="25">
        <v>4334250</v>
      </c>
      <c r="F275" s="2"/>
      <c r="G275" s="2" t="s">
        <v>6232</v>
      </c>
      <c r="H275" s="2"/>
      <c r="I275" s="2" t="s">
        <v>6232</v>
      </c>
      <c r="J275" s="2"/>
      <c r="K275" s="2" t="s">
        <v>6232</v>
      </c>
      <c r="L275" s="25">
        <v>4490770</v>
      </c>
      <c r="M275" s="2" t="s">
        <v>3761</v>
      </c>
      <c r="N275" s="25">
        <v>4334250</v>
      </c>
      <c r="O275" s="2" t="s">
        <v>101</v>
      </c>
      <c r="P275" s="25">
        <v>4403500</v>
      </c>
      <c r="Q275" s="12" t="s">
        <v>6051</v>
      </c>
      <c r="V275" t="s">
        <v>6232</v>
      </c>
      <c r="W275" t="s">
        <v>6232</v>
      </c>
      <c r="X275" t="s">
        <v>6232</v>
      </c>
    </row>
    <row r="276" spans="1:24" ht="18.399999999999999" hidden="1" customHeight="1">
      <c r="A276" s="11" t="s">
        <v>473</v>
      </c>
      <c r="B276" s="2" t="s">
        <v>5403</v>
      </c>
      <c r="C276" s="2" t="s">
        <v>1143</v>
      </c>
      <c r="D276" s="2" t="s">
        <v>6141</v>
      </c>
      <c r="E276" s="25">
        <v>4752310</v>
      </c>
      <c r="F276" s="2"/>
      <c r="G276" s="2" t="s">
        <v>6232</v>
      </c>
      <c r="H276" s="2"/>
      <c r="I276" s="2" t="s">
        <v>6232</v>
      </c>
      <c r="J276" s="2"/>
      <c r="K276" s="2" t="s">
        <v>6232</v>
      </c>
      <c r="L276" s="25">
        <v>4897970</v>
      </c>
      <c r="M276" s="2" t="s">
        <v>3761</v>
      </c>
      <c r="N276" s="25">
        <v>4752310</v>
      </c>
      <c r="O276" s="2" t="s">
        <v>101</v>
      </c>
      <c r="P276" s="25">
        <v>4820200</v>
      </c>
      <c r="Q276" s="12" t="s">
        <v>6051</v>
      </c>
      <c r="V276" t="s">
        <v>6232</v>
      </c>
      <c r="W276" t="s">
        <v>6232</v>
      </c>
      <c r="X276" t="s">
        <v>6232</v>
      </c>
    </row>
    <row r="277" spans="1:24" ht="18.399999999999999" hidden="1" customHeight="1">
      <c r="A277" s="11" t="s">
        <v>2086</v>
      </c>
      <c r="B277" s="2" t="s">
        <v>5403</v>
      </c>
      <c r="C277" s="2" t="s">
        <v>4766</v>
      </c>
      <c r="D277" s="2" t="s">
        <v>6141</v>
      </c>
      <c r="E277" s="25">
        <v>5022470</v>
      </c>
      <c r="F277" s="2"/>
      <c r="G277" s="2" t="s">
        <v>6232</v>
      </c>
      <c r="H277" s="2"/>
      <c r="I277" s="2" t="s">
        <v>6232</v>
      </c>
      <c r="J277" s="2"/>
      <c r="K277" s="2" t="s">
        <v>6232</v>
      </c>
      <c r="L277" s="25">
        <v>5349880</v>
      </c>
      <c r="M277" s="2" t="s">
        <v>3761</v>
      </c>
      <c r="N277" s="25">
        <v>5022470</v>
      </c>
      <c r="O277" s="2" t="s">
        <v>101</v>
      </c>
      <c r="P277" s="25">
        <v>5524500</v>
      </c>
      <c r="Q277" s="12" t="s">
        <v>6051</v>
      </c>
      <c r="V277" t="s">
        <v>6232</v>
      </c>
      <c r="W277" t="s">
        <v>6232</v>
      </c>
      <c r="X277" t="s">
        <v>6232</v>
      </c>
    </row>
    <row r="278" spans="1:24" ht="18.399999999999999" hidden="1" customHeight="1">
      <c r="A278" s="11" t="s">
        <v>2034</v>
      </c>
      <c r="B278" s="2" t="s">
        <v>5403</v>
      </c>
      <c r="C278" s="2" t="s">
        <v>5229</v>
      </c>
      <c r="D278" s="2" t="s">
        <v>6141</v>
      </c>
      <c r="E278" s="25">
        <v>3545950</v>
      </c>
      <c r="F278" s="2"/>
      <c r="G278" s="2" t="s">
        <v>6232</v>
      </c>
      <c r="H278" s="2"/>
      <c r="I278" s="2" t="s">
        <v>6232</v>
      </c>
      <c r="J278" s="2"/>
      <c r="K278" s="2" t="s">
        <v>6232</v>
      </c>
      <c r="L278" s="25">
        <v>3703350</v>
      </c>
      <c r="M278" s="2" t="s">
        <v>3761</v>
      </c>
      <c r="N278" s="25">
        <v>3545950</v>
      </c>
      <c r="O278" s="2" t="s">
        <v>101</v>
      </c>
      <c r="P278" s="25">
        <v>4313300</v>
      </c>
      <c r="Q278" s="12" t="s">
        <v>6051</v>
      </c>
      <c r="V278" t="s">
        <v>6232</v>
      </c>
      <c r="W278" t="s">
        <v>6232</v>
      </c>
      <c r="X278" t="s">
        <v>6232</v>
      </c>
    </row>
    <row r="279" spans="1:24" ht="18.399999999999999" hidden="1" customHeight="1">
      <c r="A279" s="11" t="s">
        <v>1719</v>
      </c>
      <c r="B279" s="2" t="s">
        <v>5403</v>
      </c>
      <c r="C279" s="2" t="s">
        <v>5098</v>
      </c>
      <c r="D279" s="2" t="s">
        <v>6141</v>
      </c>
      <c r="E279" s="25">
        <v>3720900</v>
      </c>
      <c r="F279" s="2"/>
      <c r="G279" s="2" t="s">
        <v>6232</v>
      </c>
      <c r="H279" s="2"/>
      <c r="I279" s="2" t="s">
        <v>6232</v>
      </c>
      <c r="J279" s="2"/>
      <c r="K279" s="2" t="s">
        <v>6232</v>
      </c>
      <c r="L279" s="25">
        <v>3822430</v>
      </c>
      <c r="M279" s="2" t="s">
        <v>3761</v>
      </c>
      <c r="N279" s="25">
        <v>3720900</v>
      </c>
      <c r="O279" s="2" t="s">
        <v>101</v>
      </c>
      <c r="P279" s="25">
        <v>4434800</v>
      </c>
      <c r="Q279" s="12" t="s">
        <v>6051</v>
      </c>
      <c r="V279" t="s">
        <v>6232</v>
      </c>
      <c r="W279" t="s">
        <v>6232</v>
      </c>
      <c r="X279" t="s">
        <v>6232</v>
      </c>
    </row>
    <row r="280" spans="1:24" ht="18.399999999999999" hidden="1" customHeight="1">
      <c r="A280" s="11" t="s">
        <v>299</v>
      </c>
      <c r="B280" s="2" t="s">
        <v>5403</v>
      </c>
      <c r="C280" s="2" t="s">
        <v>1378</v>
      </c>
      <c r="D280" s="2" t="s">
        <v>6141</v>
      </c>
      <c r="E280" s="25">
        <v>3959850</v>
      </c>
      <c r="F280" s="2"/>
      <c r="G280" s="2" t="s">
        <v>6232</v>
      </c>
      <c r="H280" s="2"/>
      <c r="I280" s="2" t="s">
        <v>6232</v>
      </c>
      <c r="J280" s="2"/>
      <c r="K280" s="2" t="s">
        <v>6232</v>
      </c>
      <c r="L280" s="25">
        <v>4008980</v>
      </c>
      <c r="M280" s="2" t="s">
        <v>3761</v>
      </c>
      <c r="N280" s="25">
        <v>3959850</v>
      </c>
      <c r="O280" s="2" t="s">
        <v>101</v>
      </c>
      <c r="P280" s="25">
        <v>4606100</v>
      </c>
      <c r="Q280" s="12" t="s">
        <v>6051</v>
      </c>
      <c r="V280" t="s">
        <v>6232</v>
      </c>
      <c r="W280" t="s">
        <v>6232</v>
      </c>
      <c r="X280" t="s">
        <v>6232</v>
      </c>
    </row>
    <row r="281" spans="1:24" ht="18.399999999999999" hidden="1" customHeight="1">
      <c r="A281" s="11" t="s">
        <v>3072</v>
      </c>
      <c r="B281" s="2" t="s">
        <v>5403</v>
      </c>
      <c r="C281" s="2" t="s">
        <v>4437</v>
      </c>
      <c r="D281" s="2" t="s">
        <v>6141</v>
      </c>
      <c r="E281" s="25">
        <v>4252470</v>
      </c>
      <c r="F281" s="2"/>
      <c r="G281" s="2" t="s">
        <v>6232</v>
      </c>
      <c r="H281" s="2"/>
      <c r="I281" s="2" t="s">
        <v>6232</v>
      </c>
      <c r="J281" s="2"/>
      <c r="K281" s="2" t="s">
        <v>6232</v>
      </c>
      <c r="L281" s="25">
        <v>4252470</v>
      </c>
      <c r="M281" s="2" t="s">
        <v>3761</v>
      </c>
      <c r="N281" s="25">
        <v>4286210</v>
      </c>
      <c r="O281" s="2" t="s">
        <v>101</v>
      </c>
      <c r="P281" s="25">
        <v>4835300</v>
      </c>
      <c r="Q281" s="12" t="s">
        <v>6051</v>
      </c>
      <c r="V281" t="s">
        <v>6232</v>
      </c>
      <c r="W281" t="s">
        <v>6232</v>
      </c>
      <c r="X281" t="s">
        <v>6232</v>
      </c>
    </row>
    <row r="282" spans="1:24" ht="18.399999999999999" hidden="1" customHeight="1">
      <c r="A282" s="11" t="s">
        <v>1409</v>
      </c>
      <c r="B282" s="2" t="s">
        <v>5403</v>
      </c>
      <c r="C282" s="2" t="s">
        <v>2221</v>
      </c>
      <c r="D282" s="2" t="s">
        <v>6141</v>
      </c>
      <c r="E282" s="25">
        <v>4141350</v>
      </c>
      <c r="F282" s="2"/>
      <c r="G282" s="2" t="s">
        <v>6232</v>
      </c>
      <c r="H282" s="2"/>
      <c r="I282" s="2" t="s">
        <v>6232</v>
      </c>
      <c r="J282" s="2"/>
      <c r="K282" s="2" t="s">
        <v>6232</v>
      </c>
      <c r="L282" s="25">
        <v>4483400</v>
      </c>
      <c r="M282" s="2" t="s">
        <v>3761</v>
      </c>
      <c r="N282" s="25">
        <v>4141350</v>
      </c>
      <c r="O282" s="2" t="s">
        <v>101</v>
      </c>
      <c r="P282" s="25">
        <v>5057800</v>
      </c>
      <c r="Q282" s="12" t="s">
        <v>6051</v>
      </c>
      <c r="V282" t="s">
        <v>6232</v>
      </c>
      <c r="W282" t="s">
        <v>6232</v>
      </c>
      <c r="X282" t="s">
        <v>6232</v>
      </c>
    </row>
    <row r="283" spans="1:24" ht="18.399999999999999" hidden="1" customHeight="1">
      <c r="A283" s="11" t="s">
        <v>6096</v>
      </c>
      <c r="B283" s="2" t="s">
        <v>5403</v>
      </c>
      <c r="C283" s="2" t="s">
        <v>321</v>
      </c>
      <c r="D283" s="2" t="s">
        <v>6141</v>
      </c>
      <c r="E283" s="25">
        <v>4324540</v>
      </c>
      <c r="F283" s="2"/>
      <c r="G283" s="2" t="s">
        <v>6232</v>
      </c>
      <c r="H283" s="2"/>
      <c r="I283" s="2" t="s">
        <v>6232</v>
      </c>
      <c r="J283" s="2"/>
      <c r="K283" s="2" t="s">
        <v>6232</v>
      </c>
      <c r="L283" s="25">
        <v>4664730</v>
      </c>
      <c r="M283" s="2" t="s">
        <v>3761</v>
      </c>
      <c r="N283" s="25">
        <v>4324540</v>
      </c>
      <c r="O283" s="2" t="s">
        <v>101</v>
      </c>
      <c r="P283" s="25">
        <v>5250000</v>
      </c>
      <c r="Q283" s="12" t="s">
        <v>6051</v>
      </c>
      <c r="V283" t="s">
        <v>6232</v>
      </c>
      <c r="W283" t="s">
        <v>6232</v>
      </c>
      <c r="X283" t="s">
        <v>6232</v>
      </c>
    </row>
    <row r="284" spans="1:24" ht="18.399999999999999" hidden="1" customHeight="1">
      <c r="A284" s="11" t="s">
        <v>4640</v>
      </c>
      <c r="B284" s="2" t="s">
        <v>5403</v>
      </c>
      <c r="C284" s="2" t="s">
        <v>5578</v>
      </c>
      <c r="D284" s="2" t="s">
        <v>6141</v>
      </c>
      <c r="E284" s="25">
        <v>4538850</v>
      </c>
      <c r="F284" s="2"/>
      <c r="G284" s="2" t="s">
        <v>6232</v>
      </c>
      <c r="H284" s="2"/>
      <c r="I284" s="2" t="s">
        <v>6232</v>
      </c>
      <c r="J284" s="2"/>
      <c r="K284" s="2" t="s">
        <v>6232</v>
      </c>
      <c r="L284" s="25">
        <v>4768090</v>
      </c>
      <c r="M284" s="2" t="s">
        <v>3761</v>
      </c>
      <c r="N284" s="25">
        <v>4538850</v>
      </c>
      <c r="O284" s="2" t="s">
        <v>101</v>
      </c>
      <c r="P284" s="25">
        <v>5403700</v>
      </c>
      <c r="Q284" s="12" t="s">
        <v>6051</v>
      </c>
      <c r="V284" t="s">
        <v>6232</v>
      </c>
      <c r="W284" t="s">
        <v>6232</v>
      </c>
      <c r="X284" t="s">
        <v>6232</v>
      </c>
    </row>
    <row r="285" spans="1:24" ht="18.399999999999999" hidden="1" customHeight="1">
      <c r="A285" s="11" t="s">
        <v>4974</v>
      </c>
      <c r="B285" s="2" t="s">
        <v>5403</v>
      </c>
      <c r="C285" s="2" t="s">
        <v>2616</v>
      </c>
      <c r="D285" s="2" t="s">
        <v>6141</v>
      </c>
      <c r="E285" s="25">
        <v>4958240</v>
      </c>
      <c r="F285" s="2"/>
      <c r="G285" s="2" t="s">
        <v>6232</v>
      </c>
      <c r="H285" s="2"/>
      <c r="I285" s="2" t="s">
        <v>6232</v>
      </c>
      <c r="J285" s="2"/>
      <c r="K285" s="2" t="s">
        <v>6232</v>
      </c>
      <c r="L285" s="25">
        <v>5161520</v>
      </c>
      <c r="M285" s="2" t="s">
        <v>3761</v>
      </c>
      <c r="N285" s="25">
        <v>4958240</v>
      </c>
      <c r="O285" s="2" t="s">
        <v>101</v>
      </c>
      <c r="P285" s="25">
        <v>5793500</v>
      </c>
      <c r="Q285" s="12" t="s">
        <v>6051</v>
      </c>
      <c r="V285" t="s">
        <v>6232</v>
      </c>
      <c r="W285" t="s">
        <v>6232</v>
      </c>
      <c r="X285" t="s">
        <v>6232</v>
      </c>
    </row>
    <row r="286" spans="1:24" ht="18.399999999999999" hidden="1" customHeight="1">
      <c r="A286" s="11" t="s">
        <v>3303</v>
      </c>
      <c r="B286" s="2" t="s">
        <v>5403</v>
      </c>
      <c r="C286" s="2" t="s">
        <v>3099</v>
      </c>
      <c r="D286" s="2" t="s">
        <v>6141</v>
      </c>
      <c r="E286" s="25">
        <v>5156300</v>
      </c>
      <c r="F286" s="2"/>
      <c r="G286" s="2" t="s">
        <v>6232</v>
      </c>
      <c r="H286" s="2"/>
      <c r="I286" s="2" t="s">
        <v>6232</v>
      </c>
      <c r="J286" s="2"/>
      <c r="K286" s="2" t="s">
        <v>6232</v>
      </c>
      <c r="L286" s="25">
        <v>5580590</v>
      </c>
      <c r="M286" s="2" t="s">
        <v>3761</v>
      </c>
      <c r="N286" s="25">
        <v>5232670</v>
      </c>
      <c r="O286" s="2" t="s">
        <v>101</v>
      </c>
      <c r="P286" s="25">
        <v>5156300</v>
      </c>
      <c r="Q286" s="12" t="s">
        <v>6051</v>
      </c>
      <c r="V286" t="s">
        <v>6232</v>
      </c>
      <c r="W286" t="s">
        <v>6232</v>
      </c>
      <c r="X286" t="s">
        <v>6232</v>
      </c>
    </row>
    <row r="287" spans="1:24" ht="18.399999999999999" hidden="1" customHeight="1">
      <c r="A287" s="11" t="s">
        <v>3609</v>
      </c>
      <c r="B287" s="2" t="s">
        <v>5403</v>
      </c>
      <c r="C287" s="2" t="s">
        <v>3219</v>
      </c>
      <c r="D287" s="2" t="s">
        <v>6141</v>
      </c>
      <c r="E287" s="25">
        <v>5573650</v>
      </c>
      <c r="F287" s="2"/>
      <c r="G287" s="2" t="s">
        <v>6232</v>
      </c>
      <c r="H287" s="2"/>
      <c r="I287" s="2" t="s">
        <v>6232</v>
      </c>
      <c r="J287" s="2"/>
      <c r="K287" s="2" t="s">
        <v>6232</v>
      </c>
      <c r="L287" s="25">
        <v>5999330</v>
      </c>
      <c r="M287" s="2" t="s">
        <v>3761</v>
      </c>
      <c r="N287" s="25">
        <v>5573650</v>
      </c>
      <c r="O287" s="2" t="s">
        <v>101</v>
      </c>
      <c r="P287" s="25">
        <v>6567400</v>
      </c>
      <c r="Q287" s="12" t="s">
        <v>6051</v>
      </c>
      <c r="V287" t="s">
        <v>6232</v>
      </c>
      <c r="W287" t="s">
        <v>6232</v>
      </c>
      <c r="X287" t="s">
        <v>6232</v>
      </c>
    </row>
    <row r="288" spans="1:24" ht="18.399999999999999" hidden="1" customHeight="1">
      <c r="A288" s="11" t="s">
        <v>1361</v>
      </c>
      <c r="B288" s="2" t="s">
        <v>5403</v>
      </c>
      <c r="C288" s="2" t="s">
        <v>2825</v>
      </c>
      <c r="D288" s="2" t="s">
        <v>6141</v>
      </c>
      <c r="E288" s="25">
        <v>4128450</v>
      </c>
      <c r="F288" s="2"/>
      <c r="G288" s="2" t="s">
        <v>6232</v>
      </c>
      <c r="H288" s="2"/>
      <c r="I288" s="2" t="s">
        <v>6232</v>
      </c>
      <c r="J288" s="2"/>
      <c r="K288" s="2" t="s">
        <v>6232</v>
      </c>
      <c r="L288" s="25">
        <v>4495330</v>
      </c>
      <c r="M288" s="2" t="s">
        <v>3761</v>
      </c>
      <c r="N288" s="25">
        <v>4128450</v>
      </c>
      <c r="O288" s="2" t="s">
        <v>101</v>
      </c>
      <c r="P288" s="25">
        <v>5273900</v>
      </c>
      <c r="Q288" s="12" t="s">
        <v>6051</v>
      </c>
      <c r="V288" t="s">
        <v>6232</v>
      </c>
      <c r="W288" t="s">
        <v>6232</v>
      </c>
      <c r="X288" t="s">
        <v>6232</v>
      </c>
    </row>
    <row r="289" spans="1:24" ht="18.399999999999999" hidden="1" customHeight="1">
      <c r="A289" s="11" t="s">
        <v>3026</v>
      </c>
      <c r="B289" s="2" t="s">
        <v>5403</v>
      </c>
      <c r="C289" s="2" t="s">
        <v>3836</v>
      </c>
      <c r="D289" s="2" t="s">
        <v>6141</v>
      </c>
      <c r="E289" s="25">
        <v>4377630</v>
      </c>
      <c r="F289" s="2"/>
      <c r="G289" s="2" t="s">
        <v>6232</v>
      </c>
      <c r="H289" s="2"/>
      <c r="I289" s="2" t="s">
        <v>6232</v>
      </c>
      <c r="J289" s="2"/>
      <c r="K289" s="2" t="s">
        <v>6232</v>
      </c>
      <c r="L289" s="25">
        <v>4693260</v>
      </c>
      <c r="M289" s="2" t="s">
        <v>3761</v>
      </c>
      <c r="N289" s="25">
        <v>4377630</v>
      </c>
      <c r="O289" s="2" t="s">
        <v>101</v>
      </c>
      <c r="P289" s="25">
        <v>5451700</v>
      </c>
      <c r="Q289" s="12" t="s">
        <v>6051</v>
      </c>
      <c r="V289" t="s">
        <v>6232</v>
      </c>
      <c r="W289" t="s">
        <v>6232</v>
      </c>
      <c r="X289" t="s">
        <v>6232</v>
      </c>
    </row>
    <row r="290" spans="1:24" ht="18.399999999999999" hidden="1" customHeight="1">
      <c r="A290" s="11" t="s">
        <v>362</v>
      </c>
      <c r="B290" s="2" t="s">
        <v>5403</v>
      </c>
      <c r="C290" s="2" t="s">
        <v>366</v>
      </c>
      <c r="D290" s="2" t="s">
        <v>6141</v>
      </c>
      <c r="E290" s="25">
        <v>4717330</v>
      </c>
      <c r="F290" s="2"/>
      <c r="G290" s="2" t="s">
        <v>6232</v>
      </c>
      <c r="H290" s="2"/>
      <c r="I290" s="2" t="s">
        <v>6232</v>
      </c>
      <c r="J290" s="2"/>
      <c r="K290" s="2" t="s">
        <v>6232</v>
      </c>
      <c r="L290" s="25">
        <v>4945480</v>
      </c>
      <c r="M290" s="2" t="s">
        <v>3761</v>
      </c>
      <c r="N290" s="25">
        <v>4717330</v>
      </c>
      <c r="O290" s="2" t="s">
        <v>101</v>
      </c>
      <c r="P290" s="25">
        <v>5691000</v>
      </c>
      <c r="Q290" s="12" t="s">
        <v>6051</v>
      </c>
      <c r="V290" t="s">
        <v>6232</v>
      </c>
      <c r="W290" t="s">
        <v>6232</v>
      </c>
      <c r="X290" t="s">
        <v>6232</v>
      </c>
    </row>
    <row r="291" spans="1:24" ht="18.399999999999999" hidden="1" customHeight="1">
      <c r="A291" s="11" t="s">
        <v>1785</v>
      </c>
      <c r="B291" s="2" t="s">
        <v>5403</v>
      </c>
      <c r="C291" s="2" t="s">
        <v>6119</v>
      </c>
      <c r="D291" s="2" t="s">
        <v>6141</v>
      </c>
      <c r="E291" s="25">
        <v>4578950</v>
      </c>
      <c r="F291" s="2"/>
      <c r="G291" s="2" t="s">
        <v>6232</v>
      </c>
      <c r="H291" s="2"/>
      <c r="I291" s="2" t="s">
        <v>6232</v>
      </c>
      <c r="J291" s="2"/>
      <c r="K291" s="2" t="s">
        <v>6232</v>
      </c>
      <c r="L291" s="25">
        <v>5183800</v>
      </c>
      <c r="M291" s="2" t="s">
        <v>3761</v>
      </c>
      <c r="N291" s="25">
        <v>4578950</v>
      </c>
      <c r="O291" s="2" t="s">
        <v>101</v>
      </c>
      <c r="P291" s="25">
        <v>5918700</v>
      </c>
      <c r="Q291" s="12" t="s">
        <v>6051</v>
      </c>
      <c r="V291" t="s">
        <v>6232</v>
      </c>
      <c r="W291" t="s">
        <v>6232</v>
      </c>
      <c r="X291" t="s">
        <v>6232</v>
      </c>
    </row>
    <row r="292" spans="1:24" ht="18.399999999999999" hidden="1" customHeight="1">
      <c r="A292" s="11" t="s">
        <v>3361</v>
      </c>
      <c r="B292" s="2" t="s">
        <v>5403</v>
      </c>
      <c r="C292" s="2" t="s">
        <v>4114</v>
      </c>
      <c r="D292" s="2" t="s">
        <v>6141</v>
      </c>
      <c r="E292" s="25">
        <v>4770460</v>
      </c>
      <c r="F292" s="2"/>
      <c r="G292" s="2" t="s">
        <v>6232</v>
      </c>
      <c r="H292" s="2"/>
      <c r="I292" s="2" t="s">
        <v>6232</v>
      </c>
      <c r="J292" s="2"/>
      <c r="K292" s="2" t="s">
        <v>6232</v>
      </c>
      <c r="L292" s="25">
        <v>5376540</v>
      </c>
      <c r="M292" s="2" t="s">
        <v>3761</v>
      </c>
      <c r="N292" s="25">
        <v>4770460</v>
      </c>
      <c r="O292" s="2" t="s">
        <v>101</v>
      </c>
      <c r="P292" s="25">
        <v>6119900</v>
      </c>
      <c r="Q292" s="12" t="s">
        <v>6051</v>
      </c>
      <c r="V292" t="s">
        <v>6232</v>
      </c>
      <c r="W292" t="s">
        <v>6232</v>
      </c>
      <c r="X292" t="s">
        <v>6232</v>
      </c>
    </row>
    <row r="293" spans="1:24" ht="18.399999999999999" hidden="1" customHeight="1">
      <c r="A293" s="11" t="s">
        <v>5031</v>
      </c>
      <c r="B293" s="2" t="s">
        <v>5403</v>
      </c>
      <c r="C293" s="2" t="s">
        <v>1569</v>
      </c>
      <c r="D293" s="2" t="s">
        <v>6141</v>
      </c>
      <c r="E293" s="25">
        <v>5044080</v>
      </c>
      <c r="F293" s="2"/>
      <c r="G293" s="2" t="s">
        <v>6232</v>
      </c>
      <c r="H293" s="2"/>
      <c r="I293" s="2" t="s">
        <v>6232</v>
      </c>
      <c r="J293" s="2"/>
      <c r="K293" s="2" t="s">
        <v>6232</v>
      </c>
      <c r="L293" s="25">
        <v>5506930</v>
      </c>
      <c r="M293" s="2" t="s">
        <v>3761</v>
      </c>
      <c r="N293" s="25">
        <v>5044080</v>
      </c>
      <c r="O293" s="2" t="s">
        <v>101</v>
      </c>
      <c r="P293" s="25">
        <v>6291800</v>
      </c>
      <c r="Q293" s="12" t="s">
        <v>6051</v>
      </c>
      <c r="V293" t="s">
        <v>6232</v>
      </c>
      <c r="W293" t="s">
        <v>6232</v>
      </c>
      <c r="X293" t="s">
        <v>6232</v>
      </c>
    </row>
    <row r="294" spans="1:24" ht="18.399999999999999" hidden="1" customHeight="1">
      <c r="A294" s="11" t="s">
        <v>4581</v>
      </c>
      <c r="B294" s="2" t="s">
        <v>5403</v>
      </c>
      <c r="C294" s="2" t="s">
        <v>4948</v>
      </c>
      <c r="D294" s="2" t="s">
        <v>6141</v>
      </c>
      <c r="E294" s="25">
        <v>5433150</v>
      </c>
      <c r="F294" s="2"/>
      <c r="G294" s="2" t="s">
        <v>6232</v>
      </c>
      <c r="H294" s="2"/>
      <c r="I294" s="2" t="s">
        <v>6232</v>
      </c>
      <c r="J294" s="2"/>
      <c r="K294" s="2" t="s">
        <v>6232</v>
      </c>
      <c r="L294" s="25">
        <v>5903780</v>
      </c>
      <c r="M294" s="2" t="s">
        <v>3761</v>
      </c>
      <c r="N294" s="25">
        <v>5433150</v>
      </c>
      <c r="O294" s="2" t="s">
        <v>101</v>
      </c>
      <c r="P294" s="25">
        <v>6691400</v>
      </c>
      <c r="Q294" s="12" t="s">
        <v>6051</v>
      </c>
      <c r="V294" t="s">
        <v>6232</v>
      </c>
      <c r="W294" t="s">
        <v>6232</v>
      </c>
      <c r="X294" t="s">
        <v>6232</v>
      </c>
    </row>
    <row r="295" spans="1:24" ht="18.399999999999999" hidden="1" customHeight="1">
      <c r="A295" s="11" t="s">
        <v>6041</v>
      </c>
      <c r="B295" s="2" t="s">
        <v>5403</v>
      </c>
      <c r="C295" s="2" t="s">
        <v>969</v>
      </c>
      <c r="D295" s="2" t="s">
        <v>6141</v>
      </c>
      <c r="E295" s="25">
        <v>5724400</v>
      </c>
      <c r="F295" s="2"/>
      <c r="G295" s="2" t="s">
        <v>6232</v>
      </c>
      <c r="H295" s="2"/>
      <c r="I295" s="2" t="s">
        <v>6232</v>
      </c>
      <c r="J295" s="2"/>
      <c r="K295" s="2" t="s">
        <v>6232</v>
      </c>
      <c r="L295" s="25">
        <v>6375910</v>
      </c>
      <c r="M295" s="2" t="s">
        <v>3761</v>
      </c>
      <c r="N295" s="25">
        <v>5724400</v>
      </c>
      <c r="O295" s="2" t="s">
        <v>101</v>
      </c>
      <c r="P295" s="25">
        <v>6061600</v>
      </c>
      <c r="Q295" s="12" t="s">
        <v>6051</v>
      </c>
      <c r="V295" t="s">
        <v>6232</v>
      </c>
      <c r="W295" t="s">
        <v>6232</v>
      </c>
      <c r="X295" t="s">
        <v>6232</v>
      </c>
    </row>
    <row r="296" spans="1:24" ht="18.399999999999999" hidden="1" customHeight="1">
      <c r="A296" s="11" t="s">
        <v>5556</v>
      </c>
      <c r="B296" s="2" t="s">
        <v>5403</v>
      </c>
      <c r="C296" s="2" t="s">
        <v>829</v>
      </c>
      <c r="D296" s="2" t="s">
        <v>6141</v>
      </c>
      <c r="E296" s="25">
        <v>6062420</v>
      </c>
      <c r="F296" s="2"/>
      <c r="G296" s="2" t="s">
        <v>6232</v>
      </c>
      <c r="H296" s="2"/>
      <c r="I296" s="2" t="s">
        <v>6232</v>
      </c>
      <c r="J296" s="2"/>
      <c r="K296" s="2" t="s">
        <v>6232</v>
      </c>
      <c r="L296" s="25">
        <v>6805020</v>
      </c>
      <c r="M296" s="2" t="s">
        <v>3761</v>
      </c>
      <c r="N296" s="25">
        <v>6062420</v>
      </c>
      <c r="O296" s="2" t="s">
        <v>101</v>
      </c>
      <c r="P296" s="25">
        <v>7509900</v>
      </c>
      <c r="Q296" s="12" t="s">
        <v>6051</v>
      </c>
      <c r="V296" t="s">
        <v>6232</v>
      </c>
      <c r="W296" t="s">
        <v>6232</v>
      </c>
      <c r="X296" t="s">
        <v>6232</v>
      </c>
    </row>
    <row r="297" spans="1:24" ht="18.399999999999999" hidden="1" customHeight="1">
      <c r="A297" s="11" t="s">
        <v>3926</v>
      </c>
      <c r="B297" s="2" t="s">
        <v>5403</v>
      </c>
      <c r="C297" s="2" t="s">
        <v>4885</v>
      </c>
      <c r="D297" s="2" t="s">
        <v>6141</v>
      </c>
      <c r="E297" s="25">
        <v>6372700</v>
      </c>
      <c r="F297" s="2"/>
      <c r="G297" s="2" t="s">
        <v>6232</v>
      </c>
      <c r="H297" s="2"/>
      <c r="I297" s="2" t="s">
        <v>6232</v>
      </c>
      <c r="J297" s="2"/>
      <c r="K297" s="2" t="s">
        <v>6232</v>
      </c>
      <c r="L297" s="25">
        <v>7014060</v>
      </c>
      <c r="M297" s="2" t="s">
        <v>3761</v>
      </c>
      <c r="N297" s="25">
        <v>6372700</v>
      </c>
      <c r="O297" s="2" t="s">
        <v>101</v>
      </c>
      <c r="P297" s="25">
        <v>7993800</v>
      </c>
      <c r="Q297" s="12" t="s">
        <v>6051</v>
      </c>
      <c r="V297" t="s">
        <v>6232</v>
      </c>
      <c r="W297" t="s">
        <v>6232</v>
      </c>
      <c r="X297" t="s">
        <v>6232</v>
      </c>
    </row>
    <row r="298" spans="1:24" ht="18.399999999999999" hidden="1" customHeight="1">
      <c r="A298" s="11" t="s">
        <v>4101</v>
      </c>
      <c r="B298" s="2" t="s">
        <v>5403</v>
      </c>
      <c r="C298" s="2" t="s">
        <v>4077</v>
      </c>
      <c r="D298" s="2" t="s">
        <v>6141</v>
      </c>
      <c r="E298" s="25">
        <v>4832090</v>
      </c>
      <c r="F298" s="2"/>
      <c r="G298" s="2" t="s">
        <v>6232</v>
      </c>
      <c r="H298" s="2"/>
      <c r="I298" s="2" t="s">
        <v>6232</v>
      </c>
      <c r="J298" s="2"/>
      <c r="K298" s="2" t="s">
        <v>6232</v>
      </c>
      <c r="L298" s="25">
        <v>5030120</v>
      </c>
      <c r="M298" s="2" t="s">
        <v>3761</v>
      </c>
      <c r="N298" s="25">
        <v>4832090</v>
      </c>
      <c r="O298" s="2" t="s">
        <v>101</v>
      </c>
      <c r="P298" s="25">
        <v>5778300</v>
      </c>
      <c r="Q298" s="12" t="s">
        <v>6051</v>
      </c>
      <c r="V298" t="s">
        <v>6232</v>
      </c>
      <c r="W298" t="s">
        <v>6232</v>
      </c>
      <c r="X298" t="s">
        <v>6232</v>
      </c>
    </row>
    <row r="299" spans="1:24" ht="18.399999999999999" hidden="1" customHeight="1">
      <c r="A299" s="11" t="s">
        <v>5317</v>
      </c>
      <c r="B299" s="2" t="s">
        <v>5403</v>
      </c>
      <c r="C299" s="2" t="s">
        <v>992</v>
      </c>
      <c r="D299" s="2" t="s">
        <v>6141</v>
      </c>
      <c r="E299" s="25">
        <v>5110030</v>
      </c>
      <c r="F299" s="2"/>
      <c r="G299" s="2" t="s">
        <v>6232</v>
      </c>
      <c r="H299" s="2"/>
      <c r="I299" s="2" t="s">
        <v>6232</v>
      </c>
      <c r="J299" s="2"/>
      <c r="K299" s="2" t="s">
        <v>6232</v>
      </c>
      <c r="L299" s="25">
        <v>5288200</v>
      </c>
      <c r="M299" s="2" t="s">
        <v>3761</v>
      </c>
      <c r="N299" s="25">
        <v>5110030</v>
      </c>
      <c r="O299" s="2" t="s">
        <v>101</v>
      </c>
      <c r="P299" s="25">
        <v>6021800</v>
      </c>
      <c r="Q299" s="12" t="s">
        <v>6051</v>
      </c>
      <c r="V299" t="s">
        <v>6232</v>
      </c>
      <c r="W299" t="s">
        <v>6232</v>
      </c>
      <c r="X299" t="s">
        <v>6232</v>
      </c>
    </row>
    <row r="300" spans="1:24" ht="18.399999999999999" hidden="1" customHeight="1">
      <c r="A300" s="11" t="s">
        <v>3870</v>
      </c>
      <c r="B300" s="2" t="s">
        <v>5403</v>
      </c>
      <c r="C300" s="2" t="s">
        <v>4719</v>
      </c>
      <c r="D300" s="2" t="s">
        <v>6141</v>
      </c>
      <c r="E300" s="25">
        <v>5352730</v>
      </c>
      <c r="F300" s="2"/>
      <c r="G300" s="2" t="s">
        <v>6232</v>
      </c>
      <c r="H300" s="2"/>
      <c r="I300" s="2" t="s">
        <v>6232</v>
      </c>
      <c r="J300" s="2"/>
      <c r="K300" s="2" t="s">
        <v>6232</v>
      </c>
      <c r="L300" s="25">
        <v>5524820</v>
      </c>
      <c r="M300" s="2" t="s">
        <v>3761</v>
      </c>
      <c r="N300" s="25">
        <v>5352730</v>
      </c>
      <c r="O300" s="2" t="s">
        <v>101</v>
      </c>
      <c r="P300" s="25">
        <v>6247000</v>
      </c>
      <c r="Q300" s="12" t="s">
        <v>6051</v>
      </c>
      <c r="V300" t="s">
        <v>6232</v>
      </c>
      <c r="W300" t="s">
        <v>6232</v>
      </c>
      <c r="X300" t="s">
        <v>6232</v>
      </c>
    </row>
    <row r="301" spans="1:24" ht="18.399999999999999" hidden="1" customHeight="1">
      <c r="A301" s="11" t="s">
        <v>2308</v>
      </c>
      <c r="B301" s="2" t="s">
        <v>5403</v>
      </c>
      <c r="C301" s="2" t="s">
        <v>3486</v>
      </c>
      <c r="D301" s="2" t="s">
        <v>6141</v>
      </c>
      <c r="E301" s="25">
        <v>5119810</v>
      </c>
      <c r="F301" s="2"/>
      <c r="G301" s="2" t="s">
        <v>6232</v>
      </c>
      <c r="H301" s="2"/>
      <c r="I301" s="2" t="s">
        <v>6232</v>
      </c>
      <c r="J301" s="2"/>
      <c r="K301" s="2" t="s">
        <v>6232</v>
      </c>
      <c r="L301" s="25">
        <v>5712040</v>
      </c>
      <c r="M301" s="2" t="s">
        <v>3761</v>
      </c>
      <c r="N301" s="25">
        <v>5119810</v>
      </c>
      <c r="O301" s="2" t="s">
        <v>101</v>
      </c>
      <c r="P301" s="25">
        <v>6443700</v>
      </c>
      <c r="Q301" s="12" t="s">
        <v>6051</v>
      </c>
      <c r="V301" t="s">
        <v>6232</v>
      </c>
      <c r="W301" t="s">
        <v>6232</v>
      </c>
      <c r="X301" t="s">
        <v>6232</v>
      </c>
    </row>
    <row r="302" spans="1:24" ht="18.399999999999999" hidden="1" customHeight="1">
      <c r="A302" s="11" t="s">
        <v>652</v>
      </c>
      <c r="B302" s="2" t="s">
        <v>5403</v>
      </c>
      <c r="C302" s="2" t="s">
        <v>2957</v>
      </c>
      <c r="D302" s="2" t="s">
        <v>6141</v>
      </c>
      <c r="E302" s="25">
        <v>5435470</v>
      </c>
      <c r="F302" s="2"/>
      <c r="G302" s="2" t="s">
        <v>6232</v>
      </c>
      <c r="H302" s="2"/>
      <c r="I302" s="2" t="s">
        <v>6232</v>
      </c>
      <c r="J302" s="2"/>
      <c r="K302" s="2" t="s">
        <v>6232</v>
      </c>
      <c r="L302" s="25">
        <v>5822720</v>
      </c>
      <c r="M302" s="2" t="s">
        <v>3761</v>
      </c>
      <c r="N302" s="25">
        <v>5435470</v>
      </c>
      <c r="O302" s="2" t="s">
        <v>101</v>
      </c>
      <c r="P302" s="25">
        <v>6602600</v>
      </c>
      <c r="Q302" s="12" t="s">
        <v>6051</v>
      </c>
      <c r="V302" t="s">
        <v>6232</v>
      </c>
      <c r="W302" t="s">
        <v>6232</v>
      </c>
      <c r="X302" t="s">
        <v>6232</v>
      </c>
    </row>
    <row r="303" spans="1:24" ht="18.399999999999999" hidden="1" customHeight="1">
      <c r="A303" s="11" t="s">
        <v>2523</v>
      </c>
      <c r="B303" s="2" t="s">
        <v>5403</v>
      </c>
      <c r="C303" s="2" t="s">
        <v>5955</v>
      </c>
      <c r="D303" s="2" t="s">
        <v>6141</v>
      </c>
      <c r="E303" s="25">
        <v>5688100</v>
      </c>
      <c r="F303" s="2"/>
      <c r="G303" s="2" t="s">
        <v>6232</v>
      </c>
      <c r="H303" s="2"/>
      <c r="I303" s="2" t="s">
        <v>6232</v>
      </c>
      <c r="J303" s="2"/>
      <c r="K303" s="2" t="s">
        <v>6232</v>
      </c>
      <c r="L303" s="25">
        <v>6238750</v>
      </c>
      <c r="M303" s="2" t="s">
        <v>3761</v>
      </c>
      <c r="N303" s="25">
        <v>5688100</v>
      </c>
      <c r="O303" s="2" t="s">
        <v>101</v>
      </c>
      <c r="P303" s="25">
        <v>7013900</v>
      </c>
      <c r="Q303" s="12" t="s">
        <v>6051</v>
      </c>
      <c r="V303" t="s">
        <v>6232</v>
      </c>
      <c r="W303" t="s">
        <v>6232</v>
      </c>
      <c r="X303" t="s">
        <v>6232</v>
      </c>
    </row>
    <row r="304" spans="1:24" ht="18.399999999999999" hidden="1" customHeight="1">
      <c r="A304" s="11" t="s">
        <v>1081</v>
      </c>
      <c r="B304" s="2" t="s">
        <v>5403</v>
      </c>
      <c r="C304" s="2" t="s">
        <v>737</v>
      </c>
      <c r="D304" s="2" t="s">
        <v>6141</v>
      </c>
      <c r="E304" s="25">
        <v>5979700</v>
      </c>
      <c r="F304" s="2"/>
      <c r="G304" s="2" t="s">
        <v>6232</v>
      </c>
      <c r="H304" s="2"/>
      <c r="I304" s="2" t="s">
        <v>6232</v>
      </c>
      <c r="J304" s="2"/>
      <c r="K304" s="2" t="s">
        <v>6232</v>
      </c>
      <c r="L304" s="25">
        <v>6701270</v>
      </c>
      <c r="M304" s="2" t="s">
        <v>3761</v>
      </c>
      <c r="N304" s="25">
        <v>5979700</v>
      </c>
      <c r="O304" s="2" t="s">
        <v>101</v>
      </c>
      <c r="P304" s="25">
        <v>6253300</v>
      </c>
      <c r="Q304" s="12" t="s">
        <v>6051</v>
      </c>
      <c r="V304" t="s">
        <v>6232</v>
      </c>
      <c r="W304" t="s">
        <v>6232</v>
      </c>
      <c r="X304" t="s">
        <v>6232</v>
      </c>
    </row>
    <row r="305" spans="1:24" ht="18.399999999999999" hidden="1" customHeight="1">
      <c r="A305" s="11" t="s">
        <v>1185</v>
      </c>
      <c r="B305" s="2" t="s">
        <v>5403</v>
      </c>
      <c r="C305" s="2" t="s">
        <v>671</v>
      </c>
      <c r="D305" s="2" t="s">
        <v>6141</v>
      </c>
      <c r="E305" s="25">
        <v>6312630</v>
      </c>
      <c r="F305" s="2"/>
      <c r="G305" s="2" t="s">
        <v>6232</v>
      </c>
      <c r="H305" s="2"/>
      <c r="I305" s="2" t="s">
        <v>6232</v>
      </c>
      <c r="J305" s="2"/>
      <c r="K305" s="2" t="s">
        <v>6232</v>
      </c>
      <c r="L305" s="25">
        <v>7098910</v>
      </c>
      <c r="M305" s="2" t="s">
        <v>3761</v>
      </c>
      <c r="N305" s="25">
        <v>6312630</v>
      </c>
      <c r="O305" s="2" t="s">
        <v>101</v>
      </c>
      <c r="P305" s="25">
        <v>7803200</v>
      </c>
      <c r="Q305" s="12" t="s">
        <v>6051</v>
      </c>
      <c r="V305" t="s">
        <v>6232</v>
      </c>
      <c r="W305" t="s">
        <v>6232</v>
      </c>
      <c r="X305" t="s">
        <v>6232</v>
      </c>
    </row>
    <row r="306" spans="1:24" ht="18.399999999999999" hidden="1" customHeight="1">
      <c r="A306" s="11" t="s">
        <v>2807</v>
      </c>
      <c r="B306" s="2" t="s">
        <v>5403</v>
      </c>
      <c r="C306" s="2" t="s">
        <v>5845</v>
      </c>
      <c r="D306" s="2" t="s">
        <v>6141</v>
      </c>
      <c r="E306" s="25">
        <v>6604270</v>
      </c>
      <c r="F306" s="2"/>
      <c r="G306" s="2" t="s">
        <v>6232</v>
      </c>
      <c r="H306" s="2"/>
      <c r="I306" s="2" t="s">
        <v>6232</v>
      </c>
      <c r="J306" s="2"/>
      <c r="K306" s="2" t="s">
        <v>6232</v>
      </c>
      <c r="L306" s="25">
        <v>7531460</v>
      </c>
      <c r="M306" s="2" t="s">
        <v>3761</v>
      </c>
      <c r="N306" s="25">
        <v>6604270</v>
      </c>
      <c r="O306" s="2" t="s">
        <v>101</v>
      </c>
      <c r="P306" s="25">
        <v>8398900</v>
      </c>
      <c r="Q306" s="12" t="s">
        <v>6051</v>
      </c>
      <c r="V306" t="s">
        <v>6232</v>
      </c>
      <c r="W306" t="s">
        <v>6232</v>
      </c>
      <c r="X306" t="s">
        <v>6232</v>
      </c>
    </row>
    <row r="307" spans="1:24" ht="18.399999999999999" hidden="1" customHeight="1">
      <c r="A307" s="11" t="s">
        <v>156</v>
      </c>
      <c r="B307" s="2" t="s">
        <v>5403</v>
      </c>
      <c r="C307" s="2" t="s">
        <v>3030</v>
      </c>
      <c r="D307" s="2" t="s">
        <v>6141</v>
      </c>
      <c r="E307" s="25">
        <v>6944850</v>
      </c>
      <c r="F307" s="2"/>
      <c r="G307" s="2" t="s">
        <v>6232</v>
      </c>
      <c r="H307" s="2"/>
      <c r="I307" s="2" t="s">
        <v>6232</v>
      </c>
      <c r="J307" s="2"/>
      <c r="K307" s="2" t="s">
        <v>6232</v>
      </c>
      <c r="L307" s="25">
        <v>7932390</v>
      </c>
      <c r="M307" s="2" t="s">
        <v>3761</v>
      </c>
      <c r="N307" s="25">
        <v>6944850</v>
      </c>
      <c r="O307" s="2" t="s">
        <v>101</v>
      </c>
      <c r="P307" s="25">
        <v>8766800</v>
      </c>
      <c r="Q307" s="12" t="s">
        <v>6051</v>
      </c>
      <c r="V307" t="s">
        <v>6232</v>
      </c>
      <c r="W307" t="s">
        <v>6232</v>
      </c>
      <c r="X307" t="s">
        <v>6232</v>
      </c>
    </row>
    <row r="308" spans="1:24" ht="18.399999999999999" hidden="1" customHeight="1">
      <c r="A308" s="11" t="s">
        <v>4154</v>
      </c>
      <c r="B308" s="2" t="s">
        <v>5403</v>
      </c>
      <c r="C308" s="2" t="s">
        <v>3437</v>
      </c>
      <c r="D308" s="2" t="s">
        <v>6141</v>
      </c>
      <c r="E308" s="25">
        <v>5397710</v>
      </c>
      <c r="F308" s="2"/>
      <c r="G308" s="2" t="s">
        <v>6232</v>
      </c>
      <c r="H308" s="2"/>
      <c r="I308" s="2" t="s">
        <v>6232</v>
      </c>
      <c r="J308" s="2"/>
      <c r="K308" s="2" t="s">
        <v>6232</v>
      </c>
      <c r="L308" s="25">
        <v>5660080</v>
      </c>
      <c r="M308" s="2" t="s">
        <v>3761</v>
      </c>
      <c r="N308" s="25">
        <v>5397710</v>
      </c>
      <c r="O308" s="2" t="s">
        <v>101</v>
      </c>
      <c r="P308" s="25">
        <v>6770700</v>
      </c>
      <c r="Q308" s="12" t="s">
        <v>6051</v>
      </c>
      <c r="V308" t="s">
        <v>6232</v>
      </c>
      <c r="W308" t="s">
        <v>6232</v>
      </c>
      <c r="X308" t="s">
        <v>6232</v>
      </c>
    </row>
    <row r="309" spans="1:24" ht="18.399999999999999" hidden="1" customHeight="1">
      <c r="A309" s="11" t="s">
        <v>5822</v>
      </c>
      <c r="B309" s="2" t="s">
        <v>5403</v>
      </c>
      <c r="C309" s="2" t="s">
        <v>2459</v>
      </c>
      <c r="D309" s="2" t="s">
        <v>6141</v>
      </c>
      <c r="E309" s="25">
        <v>5676100</v>
      </c>
      <c r="F309" s="2"/>
      <c r="G309" s="2" t="s">
        <v>6232</v>
      </c>
      <c r="H309" s="2"/>
      <c r="I309" s="2" t="s">
        <v>6232</v>
      </c>
      <c r="J309" s="2"/>
      <c r="K309" s="2" t="s">
        <v>6232</v>
      </c>
      <c r="L309" s="25">
        <v>5892050</v>
      </c>
      <c r="M309" s="2" t="s">
        <v>3761</v>
      </c>
      <c r="N309" s="25">
        <v>5676100</v>
      </c>
      <c r="O309" s="2" t="s">
        <v>101</v>
      </c>
      <c r="P309" s="25">
        <v>6992200</v>
      </c>
      <c r="Q309" s="12" t="s">
        <v>6051</v>
      </c>
      <c r="V309" t="s">
        <v>6232</v>
      </c>
      <c r="W309" t="s">
        <v>6232</v>
      </c>
      <c r="X309" t="s">
        <v>6232</v>
      </c>
    </row>
    <row r="310" spans="1:24" ht="18.399999999999999" hidden="1" customHeight="1">
      <c r="A310" s="11" t="s">
        <v>1138</v>
      </c>
      <c r="B310" s="2" t="s">
        <v>5403</v>
      </c>
      <c r="C310" s="2" t="s">
        <v>1326</v>
      </c>
      <c r="D310" s="2" t="s">
        <v>6141</v>
      </c>
      <c r="E310" s="25">
        <v>5449710</v>
      </c>
      <c r="F310" s="2"/>
      <c r="G310" s="2" t="s">
        <v>6232</v>
      </c>
      <c r="H310" s="2"/>
      <c r="I310" s="2" t="s">
        <v>6232</v>
      </c>
      <c r="J310" s="2"/>
      <c r="K310" s="2" t="s">
        <v>6232</v>
      </c>
      <c r="L310" s="25">
        <v>6080590</v>
      </c>
      <c r="M310" s="2" t="s">
        <v>3761</v>
      </c>
      <c r="N310" s="25">
        <v>5449710</v>
      </c>
      <c r="O310" s="2" t="s">
        <v>101</v>
      </c>
      <c r="P310" s="25">
        <v>7188600</v>
      </c>
      <c r="Q310" s="12" t="s">
        <v>6051</v>
      </c>
      <c r="V310" t="s">
        <v>6232</v>
      </c>
      <c r="W310" t="s">
        <v>6232</v>
      </c>
      <c r="X310" t="s">
        <v>6232</v>
      </c>
    </row>
    <row r="311" spans="1:24" ht="18.399999999999999" hidden="1" customHeight="1">
      <c r="A311" s="11" t="s">
        <v>2560</v>
      </c>
      <c r="B311" s="2" t="s">
        <v>5403</v>
      </c>
      <c r="C311" s="2" t="s">
        <v>5351</v>
      </c>
      <c r="D311" s="2" t="s">
        <v>6141</v>
      </c>
      <c r="E311" s="25">
        <v>5721980</v>
      </c>
      <c r="F311" s="2"/>
      <c r="G311" s="2" t="s">
        <v>6232</v>
      </c>
      <c r="H311" s="2"/>
      <c r="I311" s="2" t="s">
        <v>6232</v>
      </c>
      <c r="J311" s="2"/>
      <c r="K311" s="2" t="s">
        <v>6232</v>
      </c>
      <c r="L311" s="25">
        <v>6188030</v>
      </c>
      <c r="M311" s="2" t="s">
        <v>3761</v>
      </c>
      <c r="N311" s="25">
        <v>5721980</v>
      </c>
      <c r="O311" s="2" t="s">
        <v>101</v>
      </c>
      <c r="P311" s="25">
        <v>7344100</v>
      </c>
      <c r="Q311" s="12" t="s">
        <v>6051</v>
      </c>
      <c r="V311" t="s">
        <v>6232</v>
      </c>
      <c r="W311" t="s">
        <v>6232</v>
      </c>
      <c r="X311" t="s">
        <v>6232</v>
      </c>
    </row>
    <row r="312" spans="1:24" ht="18.399999999999999" hidden="1" customHeight="1">
      <c r="A312" s="11" t="s">
        <v>609</v>
      </c>
      <c r="B312" s="2" t="s">
        <v>5403</v>
      </c>
      <c r="C312" s="2" t="s">
        <v>1970</v>
      </c>
      <c r="D312" s="2" t="s">
        <v>6141</v>
      </c>
      <c r="E312" s="25">
        <v>6036210</v>
      </c>
      <c r="F312" s="2"/>
      <c r="G312" s="2" t="s">
        <v>6232</v>
      </c>
      <c r="H312" s="2"/>
      <c r="I312" s="2" t="s">
        <v>6232</v>
      </c>
      <c r="J312" s="2"/>
      <c r="K312" s="2" t="s">
        <v>6232</v>
      </c>
      <c r="L312" s="25">
        <v>6606150</v>
      </c>
      <c r="M312" s="2" t="s">
        <v>3761</v>
      </c>
      <c r="N312" s="25">
        <v>6036210</v>
      </c>
      <c r="O312" s="2" t="s">
        <v>101</v>
      </c>
      <c r="P312" s="25">
        <v>7757100</v>
      </c>
      <c r="Q312" s="12" t="s">
        <v>6051</v>
      </c>
      <c r="V312" t="s">
        <v>6232</v>
      </c>
      <c r="W312" t="s">
        <v>6232</v>
      </c>
      <c r="X312" t="s">
        <v>6232</v>
      </c>
    </row>
    <row r="313" spans="1:24" ht="18.399999999999999" hidden="1" customHeight="1">
      <c r="A313" s="11" t="s">
        <v>2243</v>
      </c>
      <c r="B313" s="2" t="s">
        <v>5403</v>
      </c>
      <c r="C313" s="2" t="s">
        <v>4491</v>
      </c>
      <c r="D313" s="2" t="s">
        <v>6141</v>
      </c>
      <c r="E313" s="25">
        <v>6369280</v>
      </c>
      <c r="F313" s="2"/>
      <c r="G313" s="2" t="s">
        <v>6232</v>
      </c>
      <c r="H313" s="2"/>
      <c r="I313" s="2" t="s">
        <v>6232</v>
      </c>
      <c r="J313" s="2"/>
      <c r="K313" s="2" t="s">
        <v>6232</v>
      </c>
      <c r="L313" s="25">
        <v>7064810</v>
      </c>
      <c r="M313" s="2" t="s">
        <v>3761</v>
      </c>
      <c r="N313" s="25">
        <v>6369280</v>
      </c>
      <c r="O313" s="2" t="s">
        <v>101</v>
      </c>
      <c r="P313" s="25">
        <v>6911400</v>
      </c>
      <c r="Q313" s="12" t="s">
        <v>6051</v>
      </c>
      <c r="V313" t="s">
        <v>6232</v>
      </c>
      <c r="W313" t="s">
        <v>6232</v>
      </c>
      <c r="X313" t="s">
        <v>6232</v>
      </c>
    </row>
    <row r="314" spans="1:24" ht="18.399999999999999" hidden="1" customHeight="1">
      <c r="A314" s="11" t="s">
        <v>1563</v>
      </c>
      <c r="B314" s="2" t="s">
        <v>5403</v>
      </c>
      <c r="C314" s="2" t="s">
        <v>4536</v>
      </c>
      <c r="D314" s="2" t="s">
        <v>6141</v>
      </c>
      <c r="E314" s="25">
        <v>6590200</v>
      </c>
      <c r="F314" s="2"/>
      <c r="G314" s="2" t="s">
        <v>6232</v>
      </c>
      <c r="H314" s="2"/>
      <c r="I314" s="2" t="s">
        <v>6232</v>
      </c>
      <c r="J314" s="2"/>
      <c r="K314" s="2" t="s">
        <v>6232</v>
      </c>
      <c r="L314" s="25">
        <v>7460320</v>
      </c>
      <c r="M314" s="2" t="s">
        <v>3761</v>
      </c>
      <c r="N314" s="25">
        <v>6590200</v>
      </c>
      <c r="O314" s="2" t="s">
        <v>101</v>
      </c>
      <c r="P314" s="25">
        <v>8539100</v>
      </c>
      <c r="Q314" s="12" t="s">
        <v>6051</v>
      </c>
      <c r="V314" t="s">
        <v>6232</v>
      </c>
      <c r="W314" t="s">
        <v>6232</v>
      </c>
      <c r="X314" t="s">
        <v>6232</v>
      </c>
    </row>
    <row r="315" spans="1:24" ht="18.399999999999999" hidden="1" customHeight="1">
      <c r="A315" s="11" t="s">
        <v>105</v>
      </c>
      <c r="B315" s="2" t="s">
        <v>5403</v>
      </c>
      <c r="C315" s="2" t="s">
        <v>2119</v>
      </c>
      <c r="D315" s="2" t="s">
        <v>6141</v>
      </c>
      <c r="E315" s="25">
        <v>6878410</v>
      </c>
      <c r="F315" s="2"/>
      <c r="G315" s="2" t="s">
        <v>6232</v>
      </c>
      <c r="H315" s="2"/>
      <c r="I315" s="2" t="s">
        <v>6232</v>
      </c>
      <c r="J315" s="2"/>
      <c r="K315" s="2" t="s">
        <v>6232</v>
      </c>
      <c r="L315" s="25">
        <v>7886760</v>
      </c>
      <c r="M315" s="2" t="s">
        <v>3761</v>
      </c>
      <c r="N315" s="25">
        <v>6878410</v>
      </c>
      <c r="O315" s="2" t="s">
        <v>101</v>
      </c>
      <c r="P315" s="25">
        <v>9127800</v>
      </c>
      <c r="Q315" s="12" t="s">
        <v>6051</v>
      </c>
      <c r="V315" t="s">
        <v>6232</v>
      </c>
      <c r="W315" t="s">
        <v>6232</v>
      </c>
      <c r="X315" t="s">
        <v>6232</v>
      </c>
    </row>
    <row r="316" spans="1:24" ht="18.399999999999999" hidden="1" customHeight="1">
      <c r="A316" s="11" t="s">
        <v>2855</v>
      </c>
      <c r="B316" s="2" t="s">
        <v>5403</v>
      </c>
      <c r="C316" s="2" t="s">
        <v>5282</v>
      </c>
      <c r="D316" s="2" t="s">
        <v>6141</v>
      </c>
      <c r="E316" s="25">
        <v>7179750</v>
      </c>
      <c r="F316" s="2"/>
      <c r="G316" s="2" t="s">
        <v>6232</v>
      </c>
      <c r="H316" s="2"/>
      <c r="I316" s="2" t="s">
        <v>6232</v>
      </c>
      <c r="J316" s="2"/>
      <c r="K316" s="2" t="s">
        <v>6232</v>
      </c>
      <c r="L316" s="25">
        <v>8269480</v>
      </c>
      <c r="M316" s="2" t="s">
        <v>3761</v>
      </c>
      <c r="N316" s="25">
        <v>7179750</v>
      </c>
      <c r="O316" s="2" t="s">
        <v>101</v>
      </c>
      <c r="P316" s="25">
        <v>9474100</v>
      </c>
      <c r="Q316" s="12" t="s">
        <v>6051</v>
      </c>
      <c r="V316" t="s">
        <v>6232</v>
      </c>
      <c r="W316" t="s">
        <v>6232</v>
      </c>
      <c r="X316" t="s">
        <v>6232</v>
      </c>
    </row>
    <row r="317" spans="1:24" ht="18.399999999999999" hidden="1" customHeight="1">
      <c r="A317" s="11" t="s">
        <v>1232</v>
      </c>
      <c r="B317" s="2" t="s">
        <v>5403</v>
      </c>
      <c r="C317" s="2" t="s">
        <v>1215</v>
      </c>
      <c r="D317" s="2" t="s">
        <v>6141</v>
      </c>
      <c r="E317" s="25">
        <v>7564990</v>
      </c>
      <c r="F317" s="2"/>
      <c r="G317" s="2" t="s">
        <v>6232</v>
      </c>
      <c r="H317" s="2"/>
      <c r="I317" s="2" t="s">
        <v>6232</v>
      </c>
      <c r="J317" s="2"/>
      <c r="K317" s="2" t="s">
        <v>6232</v>
      </c>
      <c r="L317" s="25">
        <v>8682910</v>
      </c>
      <c r="M317" s="2" t="s">
        <v>3761</v>
      </c>
      <c r="N317" s="25">
        <v>7564990</v>
      </c>
      <c r="O317" s="2" t="s">
        <v>101</v>
      </c>
      <c r="P317" s="25">
        <v>9964100</v>
      </c>
      <c r="Q317" s="12" t="s">
        <v>6051</v>
      </c>
      <c r="V317" t="s">
        <v>6232</v>
      </c>
      <c r="W317" t="s">
        <v>6232</v>
      </c>
      <c r="X317" t="s">
        <v>6232</v>
      </c>
    </row>
    <row r="318" spans="1:24" ht="18.399999999999999" hidden="1" customHeight="1">
      <c r="A318" s="11" t="s">
        <v>3898</v>
      </c>
      <c r="B318" s="2" t="s">
        <v>1068</v>
      </c>
      <c r="C318" s="2" t="s">
        <v>107</v>
      </c>
      <c r="D318" s="2" t="s">
        <v>6141</v>
      </c>
      <c r="E318" s="25">
        <v>383699</v>
      </c>
      <c r="F318" s="2"/>
      <c r="G318" s="2" t="s">
        <v>6232</v>
      </c>
      <c r="H318" s="2"/>
      <c r="I318" s="2" t="s">
        <v>6232</v>
      </c>
      <c r="J318" s="2"/>
      <c r="K318" s="2" t="s">
        <v>6232</v>
      </c>
      <c r="L318" s="25">
        <v>396090</v>
      </c>
      <c r="M318" s="2" t="s">
        <v>3761</v>
      </c>
      <c r="N318" s="25">
        <v>383699</v>
      </c>
      <c r="O318" s="2" t="s">
        <v>101</v>
      </c>
      <c r="P318" s="25">
        <v>467000</v>
      </c>
      <c r="Q318" s="12" t="s">
        <v>6051</v>
      </c>
      <c r="V318" t="s">
        <v>6232</v>
      </c>
      <c r="W318" t="s">
        <v>6232</v>
      </c>
      <c r="X318" t="s">
        <v>6232</v>
      </c>
    </row>
    <row r="319" spans="1:24" ht="18.399999999999999" hidden="1" customHeight="1">
      <c r="A319" s="11" t="s">
        <v>3540</v>
      </c>
      <c r="B319" s="2" t="s">
        <v>1068</v>
      </c>
      <c r="C319" s="2" t="s">
        <v>2808</v>
      </c>
      <c r="D319" s="2" t="s">
        <v>6141</v>
      </c>
      <c r="E319" s="25">
        <v>391213</v>
      </c>
      <c r="F319" s="2"/>
      <c r="G319" s="2" t="s">
        <v>6232</v>
      </c>
      <c r="H319" s="2"/>
      <c r="I319" s="2" t="s">
        <v>6232</v>
      </c>
      <c r="J319" s="2"/>
      <c r="K319" s="2" t="s">
        <v>6232</v>
      </c>
      <c r="L319" s="25">
        <v>402290</v>
      </c>
      <c r="M319" s="2" t="s">
        <v>3761</v>
      </c>
      <c r="N319" s="25">
        <v>391213</v>
      </c>
      <c r="O319" s="2" t="s">
        <v>101</v>
      </c>
      <c r="P319" s="25">
        <v>472700</v>
      </c>
      <c r="Q319" s="12" t="s">
        <v>6051</v>
      </c>
      <c r="V319" t="s">
        <v>6232</v>
      </c>
      <c r="W319" t="s">
        <v>6232</v>
      </c>
      <c r="X319" t="s">
        <v>6232</v>
      </c>
    </row>
    <row r="320" spans="1:24" ht="18.399999999999999" hidden="1" customHeight="1">
      <c r="A320" s="11" t="s">
        <v>722</v>
      </c>
      <c r="B320" s="2" t="s">
        <v>1068</v>
      </c>
      <c r="C320" s="2" t="s">
        <v>1189</v>
      </c>
      <c r="D320" s="2" t="s">
        <v>6141</v>
      </c>
      <c r="E320" s="25">
        <v>400859</v>
      </c>
      <c r="F320" s="2"/>
      <c r="G320" s="2" t="s">
        <v>6232</v>
      </c>
      <c r="H320" s="2"/>
      <c r="I320" s="2" t="s">
        <v>6232</v>
      </c>
      <c r="J320" s="2"/>
      <c r="K320" s="2" t="s">
        <v>6232</v>
      </c>
      <c r="L320" s="25">
        <v>407460</v>
      </c>
      <c r="M320" s="2" t="s">
        <v>3761</v>
      </c>
      <c r="N320" s="25">
        <v>400859</v>
      </c>
      <c r="O320" s="2" t="s">
        <v>101</v>
      </c>
      <c r="P320" s="25">
        <v>480300</v>
      </c>
      <c r="Q320" s="12" t="s">
        <v>6051</v>
      </c>
      <c r="V320" t="s">
        <v>6232</v>
      </c>
      <c r="W320" t="s">
        <v>6232</v>
      </c>
      <c r="X320" t="s">
        <v>6232</v>
      </c>
    </row>
    <row r="321" spans="1:24" ht="18.399999999999999" hidden="1" customHeight="1">
      <c r="A321" s="11" t="s">
        <v>3780</v>
      </c>
      <c r="B321" s="2" t="s">
        <v>1068</v>
      </c>
      <c r="C321" s="2" t="s">
        <v>4688</v>
      </c>
      <c r="D321" s="2" t="s">
        <v>6141</v>
      </c>
      <c r="E321" s="25">
        <v>403687</v>
      </c>
      <c r="F321" s="2"/>
      <c r="G321" s="2" t="s">
        <v>6232</v>
      </c>
      <c r="H321" s="2"/>
      <c r="I321" s="2" t="s">
        <v>6232</v>
      </c>
      <c r="J321" s="2"/>
      <c r="K321" s="2" t="s">
        <v>6232</v>
      </c>
      <c r="L321" s="25">
        <v>416260</v>
      </c>
      <c r="M321" s="2" t="s">
        <v>3761</v>
      </c>
      <c r="N321" s="25">
        <v>403687</v>
      </c>
      <c r="O321" s="2" t="s">
        <v>101</v>
      </c>
      <c r="P321" s="25">
        <v>485500</v>
      </c>
      <c r="Q321" s="12" t="s">
        <v>6051</v>
      </c>
      <c r="V321" t="s">
        <v>6232</v>
      </c>
      <c r="W321" t="s">
        <v>6232</v>
      </c>
      <c r="X321" t="s">
        <v>6232</v>
      </c>
    </row>
    <row r="322" spans="1:24" ht="18.399999999999999" hidden="1" customHeight="1">
      <c r="A322" s="11" t="s">
        <v>486</v>
      </c>
      <c r="B322" s="2" t="s">
        <v>1068</v>
      </c>
      <c r="C322" s="2" t="s">
        <v>3182</v>
      </c>
      <c r="D322" s="2" t="s">
        <v>6141</v>
      </c>
      <c r="E322" s="25">
        <v>413332</v>
      </c>
      <c r="F322" s="2"/>
      <c r="G322" s="2" t="s">
        <v>6232</v>
      </c>
      <c r="H322" s="2"/>
      <c r="I322" s="2" t="s">
        <v>6232</v>
      </c>
      <c r="J322" s="2"/>
      <c r="K322" s="2" t="s">
        <v>6232</v>
      </c>
      <c r="L322" s="25">
        <v>425470</v>
      </c>
      <c r="M322" s="2" t="s">
        <v>3761</v>
      </c>
      <c r="N322" s="25">
        <v>413332</v>
      </c>
      <c r="O322" s="2" t="s">
        <v>101</v>
      </c>
      <c r="P322" s="25">
        <v>493100</v>
      </c>
      <c r="Q322" s="12" t="s">
        <v>6051</v>
      </c>
      <c r="V322" t="s">
        <v>6232</v>
      </c>
      <c r="W322" t="s">
        <v>6232</v>
      </c>
      <c r="X322" t="s">
        <v>6232</v>
      </c>
    </row>
    <row r="323" spans="1:24" ht="18.399999999999999" hidden="1" customHeight="1">
      <c r="A323" s="11" t="s">
        <v>5998</v>
      </c>
      <c r="B323" s="2" t="s">
        <v>1068</v>
      </c>
      <c r="C323" s="2" t="s">
        <v>2809</v>
      </c>
      <c r="D323" s="2" t="s">
        <v>6141</v>
      </c>
      <c r="E323" s="25">
        <v>429078</v>
      </c>
      <c r="F323" s="2"/>
      <c r="G323" s="2" t="s">
        <v>6232</v>
      </c>
      <c r="H323" s="2"/>
      <c r="I323" s="2" t="s">
        <v>6232</v>
      </c>
      <c r="J323" s="2"/>
      <c r="K323" s="2" t="s">
        <v>6232</v>
      </c>
      <c r="L323" s="25">
        <v>431830</v>
      </c>
      <c r="M323" s="2" t="s">
        <v>3761</v>
      </c>
      <c r="N323" s="25">
        <v>429078</v>
      </c>
      <c r="O323" s="2" t="s">
        <v>101</v>
      </c>
      <c r="P323" s="25">
        <v>504500</v>
      </c>
      <c r="Q323" s="12" t="s">
        <v>6051</v>
      </c>
      <c r="V323" t="s">
        <v>6232</v>
      </c>
      <c r="W323" t="s">
        <v>6232</v>
      </c>
      <c r="X323" t="s">
        <v>6232</v>
      </c>
    </row>
    <row r="324" spans="1:24" ht="18.399999999999999" hidden="1" customHeight="1">
      <c r="A324" s="11" t="s">
        <v>21</v>
      </c>
      <c r="B324" s="2" t="s">
        <v>1068</v>
      </c>
      <c r="C324" s="2" t="s">
        <v>632</v>
      </c>
      <c r="D324" s="2" t="s">
        <v>6141</v>
      </c>
      <c r="E324" s="25">
        <v>415039</v>
      </c>
      <c r="F324" s="2"/>
      <c r="G324" s="2" t="s">
        <v>6232</v>
      </c>
      <c r="H324" s="2"/>
      <c r="I324" s="2" t="s">
        <v>6232</v>
      </c>
      <c r="J324" s="2"/>
      <c r="K324" s="2" t="s">
        <v>6232</v>
      </c>
      <c r="L324" s="25">
        <v>482600</v>
      </c>
      <c r="M324" s="2" t="s">
        <v>3761</v>
      </c>
      <c r="N324" s="25">
        <v>415039</v>
      </c>
      <c r="O324" s="2" t="s">
        <v>101</v>
      </c>
      <c r="P324" s="25">
        <v>564000</v>
      </c>
      <c r="Q324" s="12" t="s">
        <v>6051</v>
      </c>
      <c r="V324" t="s">
        <v>6232</v>
      </c>
      <c r="W324" t="s">
        <v>6232</v>
      </c>
      <c r="X324" t="s">
        <v>6232</v>
      </c>
    </row>
    <row r="325" spans="1:24" ht="18.399999999999999" hidden="1" customHeight="1">
      <c r="A325" s="11" t="s">
        <v>3455</v>
      </c>
      <c r="B325" s="2" t="s">
        <v>1068</v>
      </c>
      <c r="C325" s="2" t="s">
        <v>2220</v>
      </c>
      <c r="D325" s="2" t="s">
        <v>6141</v>
      </c>
      <c r="E325" s="25">
        <v>424998</v>
      </c>
      <c r="F325" s="2"/>
      <c r="G325" s="2" t="s">
        <v>6232</v>
      </c>
      <c r="H325" s="2"/>
      <c r="I325" s="2" t="s">
        <v>6232</v>
      </c>
      <c r="J325" s="2"/>
      <c r="K325" s="2" t="s">
        <v>6232</v>
      </c>
      <c r="L325" s="25">
        <v>469770</v>
      </c>
      <c r="M325" s="2" t="s">
        <v>3761</v>
      </c>
      <c r="N325" s="25">
        <v>424998</v>
      </c>
      <c r="O325" s="2" t="s">
        <v>101</v>
      </c>
      <c r="P325" s="25">
        <v>534600</v>
      </c>
      <c r="Q325" s="12" t="s">
        <v>6051</v>
      </c>
      <c r="V325" t="s">
        <v>6232</v>
      </c>
      <c r="W325" t="s">
        <v>6232</v>
      </c>
      <c r="X325" t="s">
        <v>6232</v>
      </c>
    </row>
    <row r="326" spans="1:24" ht="18.399999999999999" hidden="1" customHeight="1">
      <c r="A326" s="11" t="s">
        <v>2652</v>
      </c>
      <c r="B326" s="2" t="s">
        <v>1068</v>
      </c>
      <c r="C326" s="2" t="s">
        <v>4194</v>
      </c>
      <c r="D326" s="2" t="s">
        <v>6141</v>
      </c>
      <c r="E326" s="25">
        <v>440643</v>
      </c>
      <c r="F326" s="2"/>
      <c r="G326" s="2" t="s">
        <v>6232</v>
      </c>
      <c r="H326" s="2"/>
      <c r="I326" s="2" t="s">
        <v>6232</v>
      </c>
      <c r="J326" s="2"/>
      <c r="K326" s="2" t="s">
        <v>6232</v>
      </c>
      <c r="L326" s="25">
        <v>448640</v>
      </c>
      <c r="M326" s="2" t="s">
        <v>3761</v>
      </c>
      <c r="N326" s="25">
        <v>440643</v>
      </c>
      <c r="O326" s="2" t="s">
        <v>101</v>
      </c>
      <c r="P326" s="25">
        <v>513200</v>
      </c>
      <c r="Q326" s="12" t="s">
        <v>6051</v>
      </c>
      <c r="V326" t="s">
        <v>6232</v>
      </c>
      <c r="W326" t="s">
        <v>6232</v>
      </c>
      <c r="X326" t="s">
        <v>6232</v>
      </c>
    </row>
    <row r="327" spans="1:24" ht="18.399999999999999" hidden="1" customHeight="1">
      <c r="A327" s="11" t="s">
        <v>3247</v>
      </c>
      <c r="B327" s="2" t="s">
        <v>1068</v>
      </c>
      <c r="C327" s="2" t="s">
        <v>4180</v>
      </c>
      <c r="D327" s="2" t="s">
        <v>6141</v>
      </c>
      <c r="E327" s="25">
        <v>450200</v>
      </c>
      <c r="F327" s="2"/>
      <c r="G327" s="2" t="s">
        <v>6232</v>
      </c>
      <c r="H327" s="2"/>
      <c r="I327" s="2" t="s">
        <v>6232</v>
      </c>
      <c r="J327" s="2"/>
      <c r="K327" s="2" t="s">
        <v>6232</v>
      </c>
      <c r="L327" s="25">
        <v>450200</v>
      </c>
      <c r="M327" s="2" t="s">
        <v>3761</v>
      </c>
      <c r="N327" s="25">
        <v>455268</v>
      </c>
      <c r="O327" s="2" t="s">
        <v>101</v>
      </c>
      <c r="P327" s="25">
        <v>521100</v>
      </c>
      <c r="Q327" s="12" t="s">
        <v>6051</v>
      </c>
      <c r="V327" t="s">
        <v>6232</v>
      </c>
      <c r="W327" t="s">
        <v>6232</v>
      </c>
      <c r="X327" t="s">
        <v>6232</v>
      </c>
    </row>
    <row r="328" spans="1:24" ht="18.399999999999999" hidden="1" customHeight="1">
      <c r="A328" s="11" t="s">
        <v>4298</v>
      </c>
      <c r="B328" s="2" t="s">
        <v>1068</v>
      </c>
      <c r="C328" s="2" t="s">
        <v>4543</v>
      </c>
      <c r="D328" s="2" t="s">
        <v>6141</v>
      </c>
      <c r="E328" s="25">
        <v>435441</v>
      </c>
      <c r="F328" s="2"/>
      <c r="G328" s="2" t="s">
        <v>6232</v>
      </c>
      <c r="H328" s="2"/>
      <c r="I328" s="2" t="s">
        <v>6232</v>
      </c>
      <c r="J328" s="2"/>
      <c r="K328" s="2" t="s">
        <v>6232</v>
      </c>
      <c r="L328" s="25">
        <v>660290</v>
      </c>
      <c r="M328" s="2" t="s">
        <v>3761</v>
      </c>
      <c r="N328" s="25">
        <v>435441</v>
      </c>
      <c r="O328" s="2" t="s">
        <v>101</v>
      </c>
      <c r="P328" s="25">
        <v>618200</v>
      </c>
      <c r="Q328" s="12" t="s">
        <v>6051</v>
      </c>
      <c r="V328" t="s">
        <v>6232</v>
      </c>
      <c r="W328" t="s">
        <v>6232</v>
      </c>
      <c r="X328" t="s">
        <v>6232</v>
      </c>
    </row>
    <row r="329" spans="1:24" ht="18.399999999999999" hidden="1" customHeight="1">
      <c r="A329" s="11" t="s">
        <v>5380</v>
      </c>
      <c r="B329" s="2" t="s">
        <v>1068</v>
      </c>
      <c r="C329" s="2" t="s">
        <v>218</v>
      </c>
      <c r="D329" s="2" t="s">
        <v>6141</v>
      </c>
      <c r="E329" s="25">
        <v>460742</v>
      </c>
      <c r="F329" s="2"/>
      <c r="G329" s="2" t="s">
        <v>6232</v>
      </c>
      <c r="H329" s="2"/>
      <c r="I329" s="2" t="s">
        <v>6232</v>
      </c>
      <c r="J329" s="2"/>
      <c r="K329" s="2" t="s">
        <v>6232</v>
      </c>
      <c r="L329" s="25">
        <v>525710</v>
      </c>
      <c r="M329" s="2" t="s">
        <v>3761</v>
      </c>
      <c r="N329" s="25">
        <v>460742</v>
      </c>
      <c r="O329" s="2" t="s">
        <v>101</v>
      </c>
      <c r="P329" s="25">
        <v>534500</v>
      </c>
      <c r="Q329" s="12" t="s">
        <v>6051</v>
      </c>
      <c r="V329" t="s">
        <v>6232</v>
      </c>
      <c r="W329" t="s">
        <v>6232</v>
      </c>
      <c r="X329" t="s">
        <v>6232</v>
      </c>
    </row>
    <row r="330" spans="1:24" ht="18.399999999999999" hidden="1" customHeight="1">
      <c r="A330" s="11" t="s">
        <v>1306</v>
      </c>
      <c r="B330" s="2" t="s">
        <v>1068</v>
      </c>
      <c r="C330" s="2" t="s">
        <v>320</v>
      </c>
      <c r="D330" s="2" t="s">
        <v>6141</v>
      </c>
      <c r="E330" s="25">
        <v>475266</v>
      </c>
      <c r="F330" s="2"/>
      <c r="G330" s="2" t="s">
        <v>6232</v>
      </c>
      <c r="H330" s="2"/>
      <c r="I330" s="2" t="s">
        <v>6232</v>
      </c>
      <c r="J330" s="2"/>
      <c r="K330" s="2" t="s">
        <v>6232</v>
      </c>
      <c r="L330" s="25">
        <v>508230</v>
      </c>
      <c r="M330" s="2" t="s">
        <v>3761</v>
      </c>
      <c r="N330" s="25">
        <v>475266</v>
      </c>
      <c r="O330" s="2" t="s">
        <v>101</v>
      </c>
      <c r="P330" s="25">
        <v>542300</v>
      </c>
      <c r="Q330" s="12" t="s">
        <v>6051</v>
      </c>
      <c r="V330" t="s">
        <v>6232</v>
      </c>
      <c r="W330" t="s">
        <v>6232</v>
      </c>
      <c r="X330" t="s">
        <v>6232</v>
      </c>
    </row>
    <row r="331" spans="1:24" ht="18.399999999999999" hidden="1" customHeight="1">
      <c r="A331" s="11" t="s">
        <v>2882</v>
      </c>
      <c r="B331" s="2" t="s">
        <v>1068</v>
      </c>
      <c r="C331" s="2" t="s">
        <v>1388</v>
      </c>
      <c r="D331" s="2" t="s">
        <v>6141</v>
      </c>
      <c r="E331" s="25">
        <v>498445</v>
      </c>
      <c r="F331" s="2"/>
      <c r="G331" s="2" t="s">
        <v>6232</v>
      </c>
      <c r="H331" s="2"/>
      <c r="I331" s="2" t="s">
        <v>6232</v>
      </c>
      <c r="J331" s="2"/>
      <c r="K331" s="2" t="s">
        <v>6232</v>
      </c>
      <c r="L331" s="25">
        <v>515560</v>
      </c>
      <c r="M331" s="2" t="s">
        <v>3761</v>
      </c>
      <c r="N331" s="25">
        <v>498445</v>
      </c>
      <c r="O331" s="2" t="s">
        <v>101</v>
      </c>
      <c r="P331" s="25">
        <v>561300</v>
      </c>
      <c r="Q331" s="12" t="s">
        <v>6051</v>
      </c>
      <c r="V331" t="s">
        <v>6232</v>
      </c>
      <c r="W331" t="s">
        <v>6232</v>
      </c>
      <c r="X331" t="s">
        <v>6232</v>
      </c>
    </row>
    <row r="332" spans="1:24" ht="18.399999999999999" hidden="1" customHeight="1">
      <c r="A332" s="11" t="s">
        <v>1975</v>
      </c>
      <c r="B332" s="2" t="s">
        <v>1068</v>
      </c>
      <c r="C332" s="2" t="s">
        <v>2385</v>
      </c>
      <c r="D332" s="2" t="s">
        <v>6141</v>
      </c>
      <c r="E332" s="25">
        <v>521716</v>
      </c>
      <c r="F332" s="2"/>
      <c r="G332" s="2" t="s">
        <v>6232</v>
      </c>
      <c r="H332" s="2"/>
      <c r="I332" s="2" t="s">
        <v>6232</v>
      </c>
      <c r="J332" s="2"/>
      <c r="K332" s="2" t="s">
        <v>6232</v>
      </c>
      <c r="L332" s="25">
        <v>1277080</v>
      </c>
      <c r="M332" s="2" t="s">
        <v>3761</v>
      </c>
      <c r="N332" s="25">
        <v>521716</v>
      </c>
      <c r="O332" s="2" t="s">
        <v>101</v>
      </c>
      <c r="P332" s="25">
        <v>744100</v>
      </c>
      <c r="Q332" s="12" t="s">
        <v>6051</v>
      </c>
      <c r="V332" t="s">
        <v>6232</v>
      </c>
      <c r="W332" t="s">
        <v>6232</v>
      </c>
      <c r="X332" t="s">
        <v>6232</v>
      </c>
    </row>
    <row r="333" spans="1:24" ht="18.399999999999999" hidden="1" customHeight="1">
      <c r="A333" s="11" t="s">
        <v>5381</v>
      </c>
      <c r="B333" s="2" t="s">
        <v>1068</v>
      </c>
      <c r="C333" s="2" t="s">
        <v>967</v>
      </c>
      <c r="D333" s="2" t="s">
        <v>6141</v>
      </c>
      <c r="E333" s="25">
        <v>536290</v>
      </c>
      <c r="F333" s="2"/>
      <c r="G333" s="2" t="s">
        <v>6232</v>
      </c>
      <c r="H333" s="2"/>
      <c r="I333" s="2" t="s">
        <v>6232</v>
      </c>
      <c r="J333" s="2"/>
      <c r="K333" s="2" t="s">
        <v>6232</v>
      </c>
      <c r="L333" s="25">
        <v>1195810</v>
      </c>
      <c r="M333" s="2" t="s">
        <v>3761</v>
      </c>
      <c r="N333" s="25">
        <v>536290</v>
      </c>
      <c r="O333" s="2" t="s">
        <v>101</v>
      </c>
      <c r="P333" s="25">
        <v>753500</v>
      </c>
      <c r="Q333" s="12" t="s">
        <v>6051</v>
      </c>
      <c r="V333" t="s">
        <v>6232</v>
      </c>
      <c r="W333" t="s">
        <v>6232</v>
      </c>
      <c r="X333" t="s">
        <v>6232</v>
      </c>
    </row>
    <row r="334" spans="1:24" ht="18.399999999999999" hidden="1" customHeight="1">
      <c r="A334" s="11" t="s">
        <v>1515</v>
      </c>
      <c r="B334" s="2" t="s">
        <v>1068</v>
      </c>
      <c r="C334" s="2" t="s">
        <v>5237</v>
      </c>
      <c r="D334" s="2" t="s">
        <v>6141</v>
      </c>
      <c r="E334" s="25">
        <v>558762</v>
      </c>
      <c r="F334" s="2"/>
      <c r="G334" s="2" t="s">
        <v>6232</v>
      </c>
      <c r="H334" s="2"/>
      <c r="I334" s="2" t="s">
        <v>6232</v>
      </c>
      <c r="J334" s="2"/>
      <c r="K334" s="2" t="s">
        <v>6232</v>
      </c>
      <c r="L334" s="25">
        <v>1107630</v>
      </c>
      <c r="M334" s="2" t="s">
        <v>3761</v>
      </c>
      <c r="N334" s="25">
        <v>558762</v>
      </c>
      <c r="O334" s="2" t="s">
        <v>101</v>
      </c>
      <c r="P334" s="25">
        <v>766500</v>
      </c>
      <c r="Q334" s="12" t="s">
        <v>6051</v>
      </c>
      <c r="V334" t="s">
        <v>6232</v>
      </c>
      <c r="W334" t="s">
        <v>6232</v>
      </c>
      <c r="X334" t="s">
        <v>6232</v>
      </c>
    </row>
    <row r="335" spans="1:24" ht="18.399999999999999" hidden="1" customHeight="1">
      <c r="A335" s="11" t="s">
        <v>5143</v>
      </c>
      <c r="B335" s="2" t="s">
        <v>1068</v>
      </c>
      <c r="C335" s="2" t="s">
        <v>5048</v>
      </c>
      <c r="D335" s="2" t="s">
        <v>6141</v>
      </c>
      <c r="E335" s="25">
        <v>516767</v>
      </c>
      <c r="F335" s="2"/>
      <c r="G335" s="2" t="s">
        <v>6232</v>
      </c>
      <c r="H335" s="2"/>
      <c r="I335" s="2" t="s">
        <v>6232</v>
      </c>
      <c r="J335" s="2"/>
      <c r="K335" s="2" t="s">
        <v>6232</v>
      </c>
      <c r="L335" s="25">
        <v>945960</v>
      </c>
      <c r="M335" s="2" t="s">
        <v>3761</v>
      </c>
      <c r="N335" s="25">
        <v>516767</v>
      </c>
      <c r="O335" s="2" t="s">
        <v>101</v>
      </c>
      <c r="P335" s="25">
        <v>668100</v>
      </c>
      <c r="Q335" s="12" t="s">
        <v>6051</v>
      </c>
      <c r="V335" t="s">
        <v>6232</v>
      </c>
      <c r="W335" t="s">
        <v>6232</v>
      </c>
      <c r="X335" t="s">
        <v>6232</v>
      </c>
    </row>
    <row r="336" spans="1:24" ht="18.399999999999999" hidden="1" customHeight="1">
      <c r="A336" s="11" t="s">
        <v>3632</v>
      </c>
      <c r="B336" s="2" t="s">
        <v>1068</v>
      </c>
      <c r="C336" s="2" t="s">
        <v>5633</v>
      </c>
      <c r="D336" s="2" t="s">
        <v>6141</v>
      </c>
      <c r="E336" s="25">
        <v>539754</v>
      </c>
      <c r="F336" s="2"/>
      <c r="G336" s="2" t="s">
        <v>6232</v>
      </c>
      <c r="H336" s="2"/>
      <c r="I336" s="2" t="s">
        <v>6232</v>
      </c>
      <c r="J336" s="2"/>
      <c r="K336" s="2" t="s">
        <v>6232</v>
      </c>
      <c r="L336" s="25">
        <v>863600</v>
      </c>
      <c r="M336" s="2" t="s">
        <v>3761</v>
      </c>
      <c r="N336" s="25">
        <v>539754</v>
      </c>
      <c r="O336" s="2" t="s">
        <v>101</v>
      </c>
      <c r="P336" s="25">
        <v>686900</v>
      </c>
      <c r="Q336" s="12" t="s">
        <v>6051</v>
      </c>
      <c r="V336" t="s">
        <v>6232</v>
      </c>
      <c r="W336" t="s">
        <v>6232</v>
      </c>
      <c r="X336" t="s">
        <v>6232</v>
      </c>
    </row>
    <row r="337" spans="1:24" ht="18.399999999999999" hidden="1" customHeight="1">
      <c r="A337" s="11" t="s">
        <v>5270</v>
      </c>
      <c r="B337" s="2" t="s">
        <v>1068</v>
      </c>
      <c r="C337" s="2" t="s">
        <v>6106</v>
      </c>
      <c r="D337" s="2" t="s">
        <v>6141</v>
      </c>
      <c r="E337" s="25">
        <v>600203</v>
      </c>
      <c r="F337" s="2"/>
      <c r="G337" s="2" t="s">
        <v>6232</v>
      </c>
      <c r="H337" s="2"/>
      <c r="I337" s="2" t="s">
        <v>6232</v>
      </c>
      <c r="J337" s="2"/>
      <c r="K337" s="2" t="s">
        <v>6232</v>
      </c>
      <c r="L337" s="25">
        <v>1012830</v>
      </c>
      <c r="M337" s="2" t="s">
        <v>3761</v>
      </c>
      <c r="N337" s="25">
        <v>600203</v>
      </c>
      <c r="O337" s="2" t="s">
        <v>101</v>
      </c>
      <c r="P337" s="25">
        <v>749600</v>
      </c>
      <c r="Q337" s="12" t="s">
        <v>6051</v>
      </c>
      <c r="V337" t="s">
        <v>6232</v>
      </c>
      <c r="W337" t="s">
        <v>6232</v>
      </c>
      <c r="X337" t="s">
        <v>6232</v>
      </c>
    </row>
    <row r="338" spans="1:24" ht="18.399999999999999" hidden="1" customHeight="1">
      <c r="A338" s="11" t="s">
        <v>48</v>
      </c>
      <c r="B338" s="2" t="s">
        <v>1068</v>
      </c>
      <c r="C338" s="2" t="s">
        <v>2386</v>
      </c>
      <c r="D338" s="2" t="s">
        <v>6141</v>
      </c>
      <c r="E338" s="25">
        <v>544370</v>
      </c>
      <c r="F338" s="2"/>
      <c r="G338" s="2" t="s">
        <v>6232</v>
      </c>
      <c r="H338" s="2"/>
      <c r="I338" s="2" t="s">
        <v>6232</v>
      </c>
      <c r="J338" s="2"/>
      <c r="K338" s="2" t="s">
        <v>6232</v>
      </c>
      <c r="L338" s="25">
        <v>661990</v>
      </c>
      <c r="M338" s="2" t="s">
        <v>3761</v>
      </c>
      <c r="N338" s="25">
        <v>544370</v>
      </c>
      <c r="O338" s="2" t="s">
        <v>101</v>
      </c>
      <c r="P338" s="25">
        <v>775100</v>
      </c>
      <c r="Q338" s="12" t="s">
        <v>6051</v>
      </c>
      <c r="V338" t="s">
        <v>6232</v>
      </c>
      <c r="W338" t="s">
        <v>6232</v>
      </c>
      <c r="X338" t="s">
        <v>6232</v>
      </c>
    </row>
    <row r="339" spans="1:24" ht="18.399999999999999" hidden="1" customHeight="1">
      <c r="A339" s="11" t="s">
        <v>3445</v>
      </c>
      <c r="B339" s="2" t="s">
        <v>1068</v>
      </c>
      <c r="C339" s="2" t="s">
        <v>968</v>
      </c>
      <c r="D339" s="2" t="s">
        <v>6141</v>
      </c>
      <c r="E339" s="25">
        <v>558944</v>
      </c>
      <c r="F339" s="2"/>
      <c r="G339" s="2" t="s">
        <v>6232</v>
      </c>
      <c r="H339" s="2"/>
      <c r="I339" s="2" t="s">
        <v>6232</v>
      </c>
      <c r="J339" s="2"/>
      <c r="K339" s="2" t="s">
        <v>6232</v>
      </c>
      <c r="L339" s="25">
        <v>2914890</v>
      </c>
      <c r="M339" s="2" t="s">
        <v>3761</v>
      </c>
      <c r="N339" s="25">
        <v>558944</v>
      </c>
      <c r="O339" s="2" t="s">
        <v>101</v>
      </c>
      <c r="P339" s="25">
        <v>784500</v>
      </c>
      <c r="Q339" s="12" t="s">
        <v>6051</v>
      </c>
      <c r="V339" t="s">
        <v>6232</v>
      </c>
      <c r="W339" t="s">
        <v>6232</v>
      </c>
      <c r="X339" t="s">
        <v>6232</v>
      </c>
    </row>
    <row r="340" spans="1:24" ht="18.399999999999999" hidden="1" customHeight="1">
      <c r="A340" s="11" t="s">
        <v>2634</v>
      </c>
      <c r="B340" s="2" t="s">
        <v>1068</v>
      </c>
      <c r="C340" s="2" t="s">
        <v>5238</v>
      </c>
      <c r="D340" s="2" t="s">
        <v>6141</v>
      </c>
      <c r="E340" s="25">
        <v>581396</v>
      </c>
      <c r="F340" s="2"/>
      <c r="G340" s="2" t="s">
        <v>6232</v>
      </c>
      <c r="H340" s="2"/>
      <c r="I340" s="2" t="s">
        <v>6232</v>
      </c>
      <c r="J340" s="2"/>
      <c r="K340" s="2" t="s">
        <v>6232</v>
      </c>
      <c r="L340" s="25">
        <v>2534510</v>
      </c>
      <c r="M340" s="2" t="s">
        <v>3761</v>
      </c>
      <c r="N340" s="25">
        <v>581396</v>
      </c>
      <c r="O340" s="2" t="s">
        <v>101</v>
      </c>
      <c r="P340" s="25">
        <v>797500</v>
      </c>
      <c r="Q340" s="12" t="s">
        <v>6051</v>
      </c>
      <c r="V340" t="s">
        <v>6232</v>
      </c>
      <c r="W340" t="s">
        <v>6232</v>
      </c>
      <c r="X340" t="s">
        <v>6232</v>
      </c>
    </row>
    <row r="341" spans="1:24" ht="18.399999999999999" hidden="1" customHeight="1">
      <c r="A341" s="11" t="s">
        <v>3271</v>
      </c>
      <c r="B341" s="2" t="s">
        <v>1068</v>
      </c>
      <c r="C341" s="2" t="s">
        <v>5059</v>
      </c>
      <c r="D341" s="2" t="s">
        <v>6141</v>
      </c>
      <c r="E341" s="25">
        <v>603859</v>
      </c>
      <c r="F341" s="2"/>
      <c r="G341" s="2" t="s">
        <v>6232</v>
      </c>
      <c r="H341" s="2"/>
      <c r="I341" s="2" t="s">
        <v>6232</v>
      </c>
      <c r="J341" s="2"/>
      <c r="K341" s="2" t="s">
        <v>6232</v>
      </c>
      <c r="L341" s="25">
        <v>2088780</v>
      </c>
      <c r="M341" s="2" t="s">
        <v>3761</v>
      </c>
      <c r="N341" s="25">
        <v>603859</v>
      </c>
      <c r="O341" s="2" t="s">
        <v>101</v>
      </c>
      <c r="P341" s="25">
        <v>807200</v>
      </c>
      <c r="Q341" s="12" t="s">
        <v>6051</v>
      </c>
      <c r="V341" t="s">
        <v>6232</v>
      </c>
      <c r="W341" t="s">
        <v>6232</v>
      </c>
      <c r="X341" t="s">
        <v>6232</v>
      </c>
    </row>
    <row r="342" spans="1:24" ht="18.399999999999999" hidden="1" customHeight="1">
      <c r="A342" s="11" t="s">
        <v>4821</v>
      </c>
      <c r="B342" s="2" t="s">
        <v>1068</v>
      </c>
      <c r="C342" s="2" t="s">
        <v>5634</v>
      </c>
      <c r="D342" s="2" t="s">
        <v>6141</v>
      </c>
      <c r="E342" s="25">
        <v>562388</v>
      </c>
      <c r="F342" s="2"/>
      <c r="G342" s="2" t="s">
        <v>6232</v>
      </c>
      <c r="H342" s="2"/>
      <c r="I342" s="2" t="s">
        <v>6232</v>
      </c>
      <c r="J342" s="2"/>
      <c r="K342" s="2" t="s">
        <v>6232</v>
      </c>
      <c r="L342" s="25">
        <v>1878800</v>
      </c>
      <c r="M342" s="2" t="s">
        <v>3761</v>
      </c>
      <c r="N342" s="25">
        <v>562388</v>
      </c>
      <c r="O342" s="2" t="s">
        <v>101</v>
      </c>
      <c r="P342" s="25">
        <v>717800</v>
      </c>
      <c r="Q342" s="12" t="s">
        <v>6051</v>
      </c>
      <c r="V342" t="s">
        <v>6232</v>
      </c>
      <c r="W342" t="s">
        <v>6232</v>
      </c>
      <c r="X342" t="s">
        <v>6232</v>
      </c>
    </row>
    <row r="343" spans="1:24" ht="18.399999999999999" hidden="1" customHeight="1">
      <c r="A343" s="11" t="s">
        <v>3362</v>
      </c>
      <c r="B343" s="2" t="s">
        <v>1068</v>
      </c>
      <c r="C343" s="2" t="s">
        <v>6130</v>
      </c>
      <c r="D343" s="2" t="s">
        <v>6141</v>
      </c>
      <c r="E343" s="25">
        <v>622584</v>
      </c>
      <c r="F343" s="2"/>
      <c r="G343" s="2" t="s">
        <v>6232</v>
      </c>
      <c r="H343" s="2"/>
      <c r="I343" s="2" t="s">
        <v>6232</v>
      </c>
      <c r="J343" s="2"/>
      <c r="K343" s="2" t="s">
        <v>6232</v>
      </c>
      <c r="L343" s="25">
        <v>1658030</v>
      </c>
      <c r="M343" s="2" t="s">
        <v>3761</v>
      </c>
      <c r="N343" s="25">
        <v>622584</v>
      </c>
      <c r="O343" s="2" t="s">
        <v>101</v>
      </c>
      <c r="P343" s="25">
        <v>780200</v>
      </c>
      <c r="Q343" s="12" t="s">
        <v>6051</v>
      </c>
      <c r="V343" t="s">
        <v>6232</v>
      </c>
      <c r="W343" t="s">
        <v>6232</v>
      </c>
      <c r="X343" t="s">
        <v>6232</v>
      </c>
    </row>
    <row r="344" spans="1:24" ht="18.399999999999999" hidden="1" customHeight="1">
      <c r="A344" s="11" t="s">
        <v>3383</v>
      </c>
      <c r="B344" s="2" t="s">
        <v>1068</v>
      </c>
      <c r="C344" s="2" t="s">
        <v>4379</v>
      </c>
      <c r="D344" s="2" t="s">
        <v>6141</v>
      </c>
      <c r="E344" s="25">
        <v>657803</v>
      </c>
      <c r="F344" s="2"/>
      <c r="G344" s="2" t="s">
        <v>6232</v>
      </c>
      <c r="H344" s="2"/>
      <c r="I344" s="2" t="s">
        <v>6232</v>
      </c>
      <c r="J344" s="2"/>
      <c r="K344" s="2" t="s">
        <v>6232</v>
      </c>
      <c r="L344" s="25">
        <v>1582050</v>
      </c>
      <c r="M344" s="2" t="s">
        <v>3761</v>
      </c>
      <c r="N344" s="25">
        <v>657803</v>
      </c>
      <c r="O344" s="2" t="s">
        <v>101</v>
      </c>
      <c r="P344" s="25">
        <v>823000</v>
      </c>
      <c r="Q344" s="12" t="s">
        <v>6051</v>
      </c>
      <c r="V344" t="s">
        <v>6232</v>
      </c>
      <c r="W344" t="s">
        <v>6232</v>
      </c>
      <c r="X344" t="s">
        <v>6232</v>
      </c>
    </row>
    <row r="345" spans="1:24" ht="18.399999999999999" hidden="1" customHeight="1">
      <c r="A345" s="11" t="s">
        <v>2466</v>
      </c>
      <c r="B345" s="2" t="s">
        <v>1068</v>
      </c>
      <c r="C345" s="2" t="s">
        <v>1258</v>
      </c>
      <c r="D345" s="2" t="s">
        <v>6141</v>
      </c>
      <c r="E345" s="25">
        <v>649784</v>
      </c>
      <c r="F345" s="2"/>
      <c r="G345" s="2" t="s">
        <v>6232</v>
      </c>
      <c r="H345" s="2"/>
      <c r="I345" s="2" t="s">
        <v>6232</v>
      </c>
      <c r="J345" s="2"/>
      <c r="K345" s="2" t="s">
        <v>6232</v>
      </c>
      <c r="L345" s="25">
        <v>707960</v>
      </c>
      <c r="M345" s="2" t="s">
        <v>3761</v>
      </c>
      <c r="N345" s="25">
        <v>649784</v>
      </c>
      <c r="O345" s="2" t="s">
        <v>101</v>
      </c>
      <c r="P345" s="25">
        <v>814100</v>
      </c>
      <c r="Q345" s="12" t="s">
        <v>6051</v>
      </c>
      <c r="V345" t="s">
        <v>6232</v>
      </c>
      <c r="W345" t="s">
        <v>6232</v>
      </c>
      <c r="X345" t="s">
        <v>6232</v>
      </c>
    </row>
    <row r="346" spans="1:24" ht="18.399999999999999" hidden="1" customHeight="1">
      <c r="A346" s="11" t="s">
        <v>5702</v>
      </c>
      <c r="B346" s="2" t="s">
        <v>1068</v>
      </c>
      <c r="C346" s="2" t="s">
        <v>2726</v>
      </c>
      <c r="D346" s="2" t="s">
        <v>6141</v>
      </c>
      <c r="E346" s="25">
        <v>664540</v>
      </c>
      <c r="F346" s="2"/>
      <c r="G346" s="2" t="s">
        <v>6232</v>
      </c>
      <c r="H346" s="2"/>
      <c r="I346" s="2" t="s">
        <v>6232</v>
      </c>
      <c r="J346" s="2"/>
      <c r="K346" s="2" t="s">
        <v>6232</v>
      </c>
      <c r="L346" s="25">
        <v>715610</v>
      </c>
      <c r="M346" s="2" t="s">
        <v>3761</v>
      </c>
      <c r="N346" s="25">
        <v>664540</v>
      </c>
      <c r="O346" s="2" t="s">
        <v>101</v>
      </c>
      <c r="P346" s="25">
        <v>823500</v>
      </c>
      <c r="Q346" s="12" t="s">
        <v>6051</v>
      </c>
      <c r="V346" t="s">
        <v>6232</v>
      </c>
      <c r="W346" t="s">
        <v>6232</v>
      </c>
      <c r="X346" t="s">
        <v>6232</v>
      </c>
    </row>
    <row r="347" spans="1:24" ht="18.399999999999999" hidden="1" customHeight="1">
      <c r="A347" s="11" t="s">
        <v>200</v>
      </c>
      <c r="B347" s="2" t="s">
        <v>1068</v>
      </c>
      <c r="C347" s="2" t="s">
        <v>3112</v>
      </c>
      <c r="D347" s="2" t="s">
        <v>6141</v>
      </c>
      <c r="E347" s="25">
        <v>687669</v>
      </c>
      <c r="F347" s="2"/>
      <c r="G347" s="2" t="s">
        <v>6232</v>
      </c>
      <c r="H347" s="2"/>
      <c r="I347" s="2" t="s">
        <v>6232</v>
      </c>
      <c r="J347" s="2"/>
      <c r="K347" s="2" t="s">
        <v>6232</v>
      </c>
      <c r="L347" s="25">
        <v>724110</v>
      </c>
      <c r="M347" s="2" t="s">
        <v>3761</v>
      </c>
      <c r="N347" s="25">
        <v>687669</v>
      </c>
      <c r="O347" s="2" t="s">
        <v>101</v>
      </c>
      <c r="P347" s="25">
        <v>836400</v>
      </c>
      <c r="Q347" s="12" t="s">
        <v>6051</v>
      </c>
      <c r="V347" t="s">
        <v>6232</v>
      </c>
      <c r="W347" t="s">
        <v>6232</v>
      </c>
      <c r="X347" t="s">
        <v>6232</v>
      </c>
    </row>
    <row r="348" spans="1:24" ht="18.399999999999999" hidden="1" customHeight="1">
      <c r="A348" s="11" t="s">
        <v>5519</v>
      </c>
      <c r="B348" s="2" t="s">
        <v>1068</v>
      </c>
      <c r="C348" s="2" t="s">
        <v>3240</v>
      </c>
      <c r="D348" s="2" t="s">
        <v>6141</v>
      </c>
      <c r="E348" s="25">
        <v>709040</v>
      </c>
      <c r="F348" s="2"/>
      <c r="G348" s="2" t="s">
        <v>6232</v>
      </c>
      <c r="H348" s="2"/>
      <c r="I348" s="2" t="s">
        <v>6232</v>
      </c>
      <c r="J348" s="2"/>
      <c r="K348" s="2" t="s">
        <v>6232</v>
      </c>
      <c r="L348" s="25">
        <v>731220</v>
      </c>
      <c r="M348" s="2" t="s">
        <v>3761</v>
      </c>
      <c r="N348" s="25">
        <v>709040</v>
      </c>
      <c r="O348" s="2" t="s">
        <v>101</v>
      </c>
      <c r="P348" s="25">
        <v>846100</v>
      </c>
      <c r="Q348" s="12" t="s">
        <v>6051</v>
      </c>
      <c r="V348" t="s">
        <v>6232</v>
      </c>
      <c r="W348" t="s">
        <v>6232</v>
      </c>
      <c r="X348" t="s">
        <v>6232</v>
      </c>
    </row>
    <row r="349" spans="1:24" ht="18.399999999999999" hidden="1" customHeight="1">
      <c r="A349" s="11" t="s">
        <v>3944</v>
      </c>
      <c r="B349" s="2" t="s">
        <v>1068</v>
      </c>
      <c r="C349" s="2" t="s">
        <v>4308</v>
      </c>
      <c r="D349" s="2" t="s">
        <v>6141</v>
      </c>
      <c r="E349" s="25">
        <v>741896</v>
      </c>
      <c r="F349" s="2"/>
      <c r="G349" s="2" t="s">
        <v>6232</v>
      </c>
      <c r="H349" s="2"/>
      <c r="I349" s="2" t="s">
        <v>6232</v>
      </c>
      <c r="J349" s="2"/>
      <c r="K349" s="2" t="s">
        <v>6232</v>
      </c>
      <c r="L349" s="25">
        <v>750800</v>
      </c>
      <c r="M349" s="2" t="s">
        <v>3761</v>
      </c>
      <c r="N349" s="25">
        <v>741896</v>
      </c>
      <c r="O349" s="2" t="s">
        <v>101</v>
      </c>
      <c r="P349" s="25">
        <v>868400</v>
      </c>
      <c r="Q349" s="12" t="s">
        <v>6051</v>
      </c>
      <c r="V349" t="s">
        <v>6232</v>
      </c>
      <c r="W349" t="s">
        <v>6232</v>
      </c>
      <c r="X349" t="s">
        <v>6232</v>
      </c>
    </row>
    <row r="350" spans="1:24" ht="18.399999999999999" hidden="1" customHeight="1">
      <c r="A350" s="11" t="s">
        <v>5799</v>
      </c>
      <c r="B350" s="2" t="s">
        <v>1068</v>
      </c>
      <c r="C350" s="2" t="s">
        <v>4223</v>
      </c>
      <c r="D350" s="2" t="s">
        <v>6141</v>
      </c>
      <c r="E350" s="25">
        <v>727655</v>
      </c>
      <c r="F350" s="2"/>
      <c r="G350" s="2" t="s">
        <v>6232</v>
      </c>
      <c r="H350" s="2"/>
      <c r="I350" s="2" t="s">
        <v>6232</v>
      </c>
      <c r="J350" s="2"/>
      <c r="K350" s="2" t="s">
        <v>6232</v>
      </c>
      <c r="L350" s="25">
        <v>868760</v>
      </c>
      <c r="M350" s="2" t="s">
        <v>3761</v>
      </c>
      <c r="N350" s="25">
        <v>727655</v>
      </c>
      <c r="O350" s="2" t="s">
        <v>101</v>
      </c>
      <c r="P350" s="25">
        <v>819100</v>
      </c>
      <c r="Q350" s="12" t="s">
        <v>6051</v>
      </c>
      <c r="V350" t="s">
        <v>6232</v>
      </c>
      <c r="W350" t="s">
        <v>6232</v>
      </c>
      <c r="X350" t="s">
        <v>6232</v>
      </c>
    </row>
    <row r="351" spans="1:24" ht="18.399999999999999" hidden="1" customHeight="1">
      <c r="A351" s="11" t="s">
        <v>5823</v>
      </c>
      <c r="B351" s="2" t="s">
        <v>1068</v>
      </c>
      <c r="C351" s="2" t="s">
        <v>5500</v>
      </c>
      <c r="D351" s="2" t="s">
        <v>6141</v>
      </c>
      <c r="E351" s="25">
        <v>769590</v>
      </c>
      <c r="F351" s="2"/>
      <c r="G351" s="2" t="s">
        <v>6232</v>
      </c>
      <c r="H351" s="2"/>
      <c r="I351" s="2" t="s">
        <v>6232</v>
      </c>
      <c r="J351" s="2"/>
      <c r="K351" s="2" t="s">
        <v>6232</v>
      </c>
      <c r="L351" s="25">
        <v>898040</v>
      </c>
      <c r="M351" s="2" t="s">
        <v>3761</v>
      </c>
      <c r="N351" s="25">
        <v>769590</v>
      </c>
      <c r="O351" s="2" t="s">
        <v>101</v>
      </c>
      <c r="P351" s="25">
        <v>863600</v>
      </c>
      <c r="Q351" s="12" t="s">
        <v>6051</v>
      </c>
      <c r="V351" t="s">
        <v>6232</v>
      </c>
      <c r="W351" t="s">
        <v>6232</v>
      </c>
      <c r="X351" t="s">
        <v>6232</v>
      </c>
    </row>
    <row r="352" spans="1:24" ht="18.399999999999999" hidden="1" customHeight="1">
      <c r="A352" s="11" t="s">
        <v>5054</v>
      </c>
      <c r="B352" s="2" t="s">
        <v>1068</v>
      </c>
      <c r="C352" s="2" t="s">
        <v>911</v>
      </c>
      <c r="D352" s="2" t="s">
        <v>6141</v>
      </c>
      <c r="E352" s="25">
        <v>820787</v>
      </c>
      <c r="F352" s="2"/>
      <c r="G352" s="2" t="s">
        <v>6232</v>
      </c>
      <c r="H352" s="2"/>
      <c r="I352" s="2" t="s">
        <v>6232</v>
      </c>
      <c r="J352" s="2"/>
      <c r="K352" s="2" t="s">
        <v>6232</v>
      </c>
      <c r="L352" s="25">
        <v>929320</v>
      </c>
      <c r="M352" s="2" t="s">
        <v>3761</v>
      </c>
      <c r="N352" s="25">
        <v>820787</v>
      </c>
      <c r="O352" s="2" t="s">
        <v>101</v>
      </c>
      <c r="P352" s="25">
        <v>900600</v>
      </c>
      <c r="Q352" s="12" t="s">
        <v>6051</v>
      </c>
      <c r="V352" t="s">
        <v>6232</v>
      </c>
      <c r="W352" t="s">
        <v>6232</v>
      </c>
      <c r="X352" t="s">
        <v>6232</v>
      </c>
    </row>
    <row r="353" spans="1:24" ht="18.399999999999999" hidden="1" customHeight="1">
      <c r="A353" s="11" t="s">
        <v>1329</v>
      </c>
      <c r="B353" s="2" t="s">
        <v>1068</v>
      </c>
      <c r="C353" s="2" t="s">
        <v>1895</v>
      </c>
      <c r="D353" s="2" t="s">
        <v>6141</v>
      </c>
      <c r="E353" s="25">
        <v>695910</v>
      </c>
      <c r="F353" s="2"/>
      <c r="G353" s="2" t="s">
        <v>6232</v>
      </c>
      <c r="H353" s="2"/>
      <c r="I353" s="2" t="s">
        <v>6232</v>
      </c>
      <c r="J353" s="2"/>
      <c r="K353" s="2" t="s">
        <v>6232</v>
      </c>
      <c r="L353" s="25">
        <v>934060</v>
      </c>
      <c r="M353" s="2" t="s">
        <v>3761</v>
      </c>
      <c r="N353" s="25">
        <v>695910</v>
      </c>
      <c r="O353" s="2" t="s">
        <v>101</v>
      </c>
      <c r="P353" s="25">
        <v>945400</v>
      </c>
      <c r="Q353" s="12" t="s">
        <v>6051</v>
      </c>
      <c r="V353" t="s">
        <v>6232</v>
      </c>
      <c r="W353" t="s">
        <v>6232</v>
      </c>
      <c r="X353" t="s">
        <v>6232</v>
      </c>
    </row>
    <row r="354" spans="1:24" ht="18.399999999999999" hidden="1" customHeight="1">
      <c r="A354" s="11" t="s">
        <v>4469</v>
      </c>
      <c r="B354" s="2" t="s">
        <v>1068</v>
      </c>
      <c r="C354" s="2" t="s">
        <v>230</v>
      </c>
      <c r="D354" s="2" t="s">
        <v>6141</v>
      </c>
      <c r="E354" s="25">
        <v>710586</v>
      </c>
      <c r="F354" s="2"/>
      <c r="G354" s="2" t="s">
        <v>6232</v>
      </c>
      <c r="H354" s="2"/>
      <c r="I354" s="2" t="s">
        <v>6232</v>
      </c>
      <c r="J354" s="2"/>
      <c r="K354" s="2" t="s">
        <v>6232</v>
      </c>
      <c r="L354" s="25">
        <v>893890</v>
      </c>
      <c r="M354" s="2" t="s">
        <v>3761</v>
      </c>
      <c r="N354" s="25">
        <v>710586</v>
      </c>
      <c r="O354" s="2" t="s">
        <v>101</v>
      </c>
      <c r="P354" s="25">
        <v>954800</v>
      </c>
      <c r="Q354" s="12" t="s">
        <v>6051</v>
      </c>
      <c r="V354" t="s">
        <v>6232</v>
      </c>
      <c r="W354" t="s">
        <v>6232</v>
      </c>
      <c r="X354" t="s">
        <v>6232</v>
      </c>
    </row>
    <row r="355" spans="1:24" ht="18.399999999999999" hidden="1" customHeight="1">
      <c r="A355" s="11" t="s">
        <v>2175</v>
      </c>
      <c r="B355" s="2" t="s">
        <v>1068</v>
      </c>
      <c r="C355" s="2" t="s">
        <v>6086</v>
      </c>
      <c r="D355" s="2" t="s">
        <v>6141</v>
      </c>
      <c r="E355" s="25">
        <v>733129</v>
      </c>
      <c r="F355" s="2"/>
      <c r="G355" s="2" t="s">
        <v>6232</v>
      </c>
      <c r="H355" s="2"/>
      <c r="I355" s="2" t="s">
        <v>6232</v>
      </c>
      <c r="J355" s="2"/>
      <c r="K355" s="2" t="s">
        <v>6232</v>
      </c>
      <c r="L355" s="25">
        <v>880300</v>
      </c>
      <c r="M355" s="2" t="s">
        <v>3761</v>
      </c>
      <c r="N355" s="25">
        <v>733129</v>
      </c>
      <c r="O355" s="2" t="s">
        <v>101</v>
      </c>
      <c r="P355" s="25">
        <v>967700</v>
      </c>
      <c r="Q355" s="12" t="s">
        <v>6051</v>
      </c>
      <c r="V355" t="s">
        <v>6232</v>
      </c>
      <c r="W355" t="s">
        <v>6232</v>
      </c>
      <c r="X355" t="s">
        <v>6232</v>
      </c>
    </row>
    <row r="356" spans="1:24" ht="18.399999999999999" hidden="1" customHeight="1">
      <c r="A356" s="11" t="s">
        <v>4313</v>
      </c>
      <c r="B356" s="2" t="s">
        <v>1068</v>
      </c>
      <c r="C356" s="2" t="s">
        <v>6163</v>
      </c>
      <c r="D356" s="2" t="s">
        <v>6141</v>
      </c>
      <c r="E356" s="25">
        <v>755692</v>
      </c>
      <c r="F356" s="2"/>
      <c r="G356" s="2" t="s">
        <v>6232</v>
      </c>
      <c r="H356" s="2"/>
      <c r="I356" s="2" t="s">
        <v>6232</v>
      </c>
      <c r="J356" s="2"/>
      <c r="K356" s="2" t="s">
        <v>6232</v>
      </c>
      <c r="L356" s="25">
        <v>861720</v>
      </c>
      <c r="M356" s="2" t="s">
        <v>3761</v>
      </c>
      <c r="N356" s="25">
        <v>755692</v>
      </c>
      <c r="O356" s="2" t="s">
        <v>101</v>
      </c>
      <c r="P356" s="25">
        <v>977400</v>
      </c>
      <c r="Q356" s="12" t="s">
        <v>6051</v>
      </c>
      <c r="V356" t="s">
        <v>6232</v>
      </c>
      <c r="W356" t="s">
        <v>6232</v>
      </c>
      <c r="X356" t="s">
        <v>6232</v>
      </c>
    </row>
    <row r="357" spans="1:24" ht="18.399999999999999" hidden="1" customHeight="1">
      <c r="A357" s="11" t="s">
        <v>5843</v>
      </c>
      <c r="B357" s="2" t="s">
        <v>1068</v>
      </c>
      <c r="C357" s="2" t="s">
        <v>4910</v>
      </c>
      <c r="D357" s="2" t="s">
        <v>6141</v>
      </c>
      <c r="E357" s="25">
        <v>787881</v>
      </c>
      <c r="F357" s="2"/>
      <c r="G357" s="2" t="s">
        <v>6232</v>
      </c>
      <c r="H357" s="2"/>
      <c r="I357" s="2" t="s">
        <v>6232</v>
      </c>
      <c r="J357" s="2"/>
      <c r="K357" s="2" t="s">
        <v>6232</v>
      </c>
      <c r="L357" s="25">
        <v>860440</v>
      </c>
      <c r="M357" s="2" t="s">
        <v>3761</v>
      </c>
      <c r="N357" s="25">
        <v>787881</v>
      </c>
      <c r="O357" s="2" t="s">
        <v>101</v>
      </c>
      <c r="P357" s="25">
        <v>999700</v>
      </c>
      <c r="Q357" s="12" t="s">
        <v>6051</v>
      </c>
      <c r="V357" t="s">
        <v>6232</v>
      </c>
      <c r="W357" t="s">
        <v>6232</v>
      </c>
      <c r="X357" t="s">
        <v>6232</v>
      </c>
    </row>
    <row r="358" spans="1:24" ht="18.399999999999999" hidden="1" customHeight="1">
      <c r="A358" s="11" t="s">
        <v>4545</v>
      </c>
      <c r="B358" s="2" t="s">
        <v>1068</v>
      </c>
      <c r="C358" s="2" t="s">
        <v>5193</v>
      </c>
      <c r="D358" s="2" t="s">
        <v>6141</v>
      </c>
      <c r="E358" s="25">
        <v>773620</v>
      </c>
      <c r="F358" s="2"/>
      <c r="G358" s="2" t="s">
        <v>6232</v>
      </c>
      <c r="H358" s="2"/>
      <c r="I358" s="2" t="s">
        <v>6232</v>
      </c>
      <c r="J358" s="2"/>
      <c r="K358" s="2" t="s">
        <v>6232</v>
      </c>
      <c r="L358" s="25">
        <v>959050</v>
      </c>
      <c r="M358" s="2" t="s">
        <v>3761</v>
      </c>
      <c r="N358" s="25">
        <v>773620</v>
      </c>
      <c r="O358" s="2" t="s">
        <v>101</v>
      </c>
      <c r="P358" s="25">
        <v>950300</v>
      </c>
      <c r="Q358" s="12" t="s">
        <v>6051</v>
      </c>
      <c r="V358" t="s">
        <v>6232</v>
      </c>
      <c r="W358" t="s">
        <v>6232</v>
      </c>
      <c r="X358" t="s">
        <v>6232</v>
      </c>
    </row>
    <row r="359" spans="1:24" ht="18.399999999999999" hidden="1" customHeight="1">
      <c r="A359" s="11" t="s">
        <v>4582</v>
      </c>
      <c r="B359" s="2" t="s">
        <v>1068</v>
      </c>
      <c r="C359" s="2" t="s">
        <v>3735</v>
      </c>
      <c r="D359" s="2" t="s">
        <v>6141</v>
      </c>
      <c r="E359" s="25">
        <v>816726</v>
      </c>
      <c r="F359" s="2"/>
      <c r="G359" s="2" t="s">
        <v>6232</v>
      </c>
      <c r="H359" s="2"/>
      <c r="I359" s="2" t="s">
        <v>6232</v>
      </c>
      <c r="J359" s="2"/>
      <c r="K359" s="2" t="s">
        <v>6232</v>
      </c>
      <c r="L359" s="25">
        <v>979680</v>
      </c>
      <c r="M359" s="2" t="s">
        <v>3761</v>
      </c>
      <c r="N359" s="25">
        <v>816726</v>
      </c>
      <c r="O359" s="2" t="s">
        <v>101</v>
      </c>
      <c r="P359" s="25">
        <v>997100</v>
      </c>
      <c r="Q359" s="12" t="s">
        <v>6051</v>
      </c>
      <c r="V359" t="s">
        <v>6232</v>
      </c>
      <c r="W359" t="s">
        <v>6232</v>
      </c>
      <c r="X359" t="s">
        <v>6232</v>
      </c>
    </row>
    <row r="360" spans="1:24" ht="18.399999999999999" hidden="1" customHeight="1">
      <c r="A360" s="11" t="s">
        <v>3145</v>
      </c>
      <c r="B360" s="2" t="s">
        <v>1068</v>
      </c>
      <c r="C360" s="2" t="s">
        <v>4619</v>
      </c>
      <c r="D360" s="2" t="s">
        <v>6141</v>
      </c>
      <c r="E360" s="25">
        <v>867348</v>
      </c>
      <c r="F360" s="2"/>
      <c r="G360" s="2" t="s">
        <v>6232</v>
      </c>
      <c r="H360" s="2"/>
      <c r="I360" s="2" t="s">
        <v>6232</v>
      </c>
      <c r="J360" s="2"/>
      <c r="K360" s="2" t="s">
        <v>6232</v>
      </c>
      <c r="L360" s="25">
        <v>1007180</v>
      </c>
      <c r="M360" s="2" t="s">
        <v>3761</v>
      </c>
      <c r="N360" s="25">
        <v>867348</v>
      </c>
      <c r="O360" s="2" t="s">
        <v>101</v>
      </c>
      <c r="P360" s="25">
        <v>1033300</v>
      </c>
      <c r="Q360" s="12" t="s">
        <v>6051</v>
      </c>
      <c r="V360" t="s">
        <v>6232</v>
      </c>
      <c r="W360" t="s">
        <v>6232</v>
      </c>
      <c r="X360" t="s">
        <v>6232</v>
      </c>
    </row>
    <row r="361" spans="1:24" ht="18.399999999999999" hidden="1" customHeight="1">
      <c r="A361" s="11" t="s">
        <v>3456</v>
      </c>
      <c r="B361" s="2" t="s">
        <v>1068</v>
      </c>
      <c r="C361" s="2" t="s">
        <v>3613</v>
      </c>
      <c r="D361" s="2" t="s">
        <v>6141</v>
      </c>
      <c r="E361" s="25">
        <v>911262</v>
      </c>
      <c r="F361" s="2"/>
      <c r="G361" s="2" t="s">
        <v>6232</v>
      </c>
      <c r="H361" s="2"/>
      <c r="I361" s="2" t="s">
        <v>6232</v>
      </c>
      <c r="J361" s="2"/>
      <c r="K361" s="2" t="s">
        <v>6232</v>
      </c>
      <c r="L361" s="25">
        <v>1037640</v>
      </c>
      <c r="M361" s="2" t="s">
        <v>3761</v>
      </c>
      <c r="N361" s="25">
        <v>911262</v>
      </c>
      <c r="O361" s="2" t="s">
        <v>101</v>
      </c>
      <c r="P361" s="25">
        <v>1067000</v>
      </c>
      <c r="Q361" s="12" t="s">
        <v>6051</v>
      </c>
      <c r="V361" t="s">
        <v>6232</v>
      </c>
      <c r="W361" t="s">
        <v>6232</v>
      </c>
      <c r="X361" t="s">
        <v>6232</v>
      </c>
    </row>
    <row r="362" spans="1:24" ht="18.399999999999999" hidden="1" customHeight="1">
      <c r="A362" s="11" t="s">
        <v>536</v>
      </c>
      <c r="B362" s="2" t="s">
        <v>1068</v>
      </c>
      <c r="C362" s="2" t="s">
        <v>3262</v>
      </c>
      <c r="D362" s="2" t="s">
        <v>6141</v>
      </c>
      <c r="E362" s="25">
        <v>762833</v>
      </c>
      <c r="F362" s="2"/>
      <c r="G362" s="2" t="s">
        <v>6232</v>
      </c>
      <c r="H362" s="2"/>
      <c r="I362" s="2" t="s">
        <v>6232</v>
      </c>
      <c r="J362" s="2"/>
      <c r="K362" s="2" t="s">
        <v>6232</v>
      </c>
      <c r="L362" s="25">
        <v>827380</v>
      </c>
      <c r="M362" s="2" t="s">
        <v>3761</v>
      </c>
      <c r="N362" s="25">
        <v>762833</v>
      </c>
      <c r="O362" s="2" t="s">
        <v>101</v>
      </c>
      <c r="P362" s="25">
        <v>1009500</v>
      </c>
      <c r="Q362" s="12" t="s">
        <v>6051</v>
      </c>
      <c r="V362" t="s">
        <v>6232</v>
      </c>
      <c r="W362" t="s">
        <v>6232</v>
      </c>
      <c r="X362" t="s">
        <v>6232</v>
      </c>
    </row>
    <row r="363" spans="1:24" ht="18.399999999999999" hidden="1" customHeight="1">
      <c r="A363" s="11" t="s">
        <v>3756</v>
      </c>
      <c r="B363" s="2" t="s">
        <v>1068</v>
      </c>
      <c r="C363" s="2" t="s">
        <v>4716</v>
      </c>
      <c r="D363" s="2" t="s">
        <v>6141</v>
      </c>
      <c r="E363" s="25">
        <v>777740</v>
      </c>
      <c r="F363" s="2"/>
      <c r="G363" s="2" t="s">
        <v>6232</v>
      </c>
      <c r="H363" s="2"/>
      <c r="I363" s="2" t="s">
        <v>6232</v>
      </c>
      <c r="J363" s="2"/>
      <c r="K363" s="2" t="s">
        <v>6232</v>
      </c>
      <c r="L363" s="25">
        <v>1951400</v>
      </c>
      <c r="M363" s="2" t="s">
        <v>3761</v>
      </c>
      <c r="N363" s="25">
        <v>777740</v>
      </c>
      <c r="O363" s="2" t="s">
        <v>101</v>
      </c>
      <c r="P363" s="25">
        <v>1019100</v>
      </c>
      <c r="Q363" s="12" t="s">
        <v>6051</v>
      </c>
      <c r="V363" t="s">
        <v>6232</v>
      </c>
      <c r="W363" t="s">
        <v>6232</v>
      </c>
      <c r="X363" t="s">
        <v>6232</v>
      </c>
    </row>
    <row r="364" spans="1:24" ht="18.399999999999999" hidden="1" customHeight="1">
      <c r="A364" s="11" t="s">
        <v>2909</v>
      </c>
      <c r="B364" s="2" t="s">
        <v>1068</v>
      </c>
      <c r="C364" s="2" t="s">
        <v>1201</v>
      </c>
      <c r="D364" s="2" t="s">
        <v>6141</v>
      </c>
      <c r="E364" s="25">
        <v>800849</v>
      </c>
      <c r="F364" s="2"/>
      <c r="G364" s="2" t="s">
        <v>6232</v>
      </c>
      <c r="H364" s="2"/>
      <c r="I364" s="2" t="s">
        <v>6232</v>
      </c>
      <c r="J364" s="2"/>
      <c r="K364" s="2" t="s">
        <v>6232</v>
      </c>
      <c r="L364" s="25">
        <v>1767400</v>
      </c>
      <c r="M364" s="2" t="s">
        <v>3761</v>
      </c>
      <c r="N364" s="25">
        <v>800849</v>
      </c>
      <c r="O364" s="2" t="s">
        <v>101</v>
      </c>
      <c r="P364" s="25">
        <v>1032800</v>
      </c>
      <c r="Q364" s="12" t="s">
        <v>6051</v>
      </c>
      <c r="V364" t="s">
        <v>6232</v>
      </c>
      <c r="W364" t="s">
        <v>6232</v>
      </c>
      <c r="X364" t="s">
        <v>6232</v>
      </c>
    </row>
    <row r="365" spans="1:24" ht="18.399999999999999" hidden="1" customHeight="1">
      <c r="A365" s="11" t="s">
        <v>3560</v>
      </c>
      <c r="B365" s="2" t="s">
        <v>1068</v>
      </c>
      <c r="C365" s="2" t="s">
        <v>1275</v>
      </c>
      <c r="D365" s="2" t="s">
        <v>6141</v>
      </c>
      <c r="E365" s="25">
        <v>822988</v>
      </c>
      <c r="F365" s="2"/>
      <c r="G365" s="2" t="s">
        <v>6232</v>
      </c>
      <c r="H365" s="2"/>
      <c r="I365" s="2" t="s">
        <v>6232</v>
      </c>
      <c r="J365" s="2"/>
      <c r="K365" s="2" t="s">
        <v>6232</v>
      </c>
      <c r="L365" s="25">
        <v>1548950</v>
      </c>
      <c r="M365" s="2" t="s">
        <v>3761</v>
      </c>
      <c r="N365" s="25">
        <v>822988</v>
      </c>
      <c r="O365" s="2" t="s">
        <v>101</v>
      </c>
      <c r="P365" s="25">
        <v>1042700</v>
      </c>
      <c r="Q365" s="12" t="s">
        <v>6051</v>
      </c>
      <c r="V365" t="s">
        <v>6232</v>
      </c>
      <c r="W365" t="s">
        <v>6232</v>
      </c>
      <c r="X365" t="s">
        <v>6232</v>
      </c>
    </row>
    <row r="366" spans="1:24" ht="18.399999999999999" hidden="1" customHeight="1">
      <c r="A366" s="11" t="s">
        <v>5108</v>
      </c>
      <c r="B366" s="2" t="s">
        <v>1068</v>
      </c>
      <c r="C366" s="2" t="s">
        <v>55</v>
      </c>
      <c r="D366" s="2" t="s">
        <v>6141</v>
      </c>
      <c r="E366" s="25">
        <v>857258</v>
      </c>
      <c r="F366" s="2"/>
      <c r="G366" s="2" t="s">
        <v>6232</v>
      </c>
      <c r="H366" s="2"/>
      <c r="I366" s="2" t="s">
        <v>6232</v>
      </c>
      <c r="J366" s="2"/>
      <c r="K366" s="2" t="s">
        <v>6232</v>
      </c>
      <c r="L366" s="25">
        <v>1493120</v>
      </c>
      <c r="M366" s="2" t="s">
        <v>3761</v>
      </c>
      <c r="N366" s="25">
        <v>857258</v>
      </c>
      <c r="O366" s="2" t="s">
        <v>101</v>
      </c>
      <c r="P366" s="25">
        <v>1065800</v>
      </c>
      <c r="Q366" s="12" t="s">
        <v>6051</v>
      </c>
      <c r="V366" t="s">
        <v>6232</v>
      </c>
      <c r="W366" t="s">
        <v>6232</v>
      </c>
      <c r="X366" t="s">
        <v>6232</v>
      </c>
    </row>
    <row r="367" spans="1:24" ht="18.399999999999999" hidden="1" customHeight="1">
      <c r="A367" s="11" t="s">
        <v>3840</v>
      </c>
      <c r="B367" s="2" t="s">
        <v>1068</v>
      </c>
      <c r="C367" s="2" t="s">
        <v>733</v>
      </c>
      <c r="D367" s="2" t="s">
        <v>6141</v>
      </c>
      <c r="E367" s="25">
        <v>944643</v>
      </c>
      <c r="F367" s="2"/>
      <c r="G367" s="2" t="s">
        <v>6232</v>
      </c>
      <c r="H367" s="2"/>
      <c r="I367" s="2" t="s">
        <v>6232</v>
      </c>
      <c r="J367" s="2"/>
      <c r="K367" s="2" t="s">
        <v>6232</v>
      </c>
      <c r="L367" s="25">
        <v>1546710</v>
      </c>
      <c r="M367" s="2" t="s">
        <v>3761</v>
      </c>
      <c r="N367" s="25">
        <v>944643</v>
      </c>
      <c r="O367" s="2" t="s">
        <v>101</v>
      </c>
      <c r="P367" s="25">
        <v>1148800</v>
      </c>
      <c r="Q367" s="12" t="s">
        <v>6051</v>
      </c>
      <c r="V367" t="s">
        <v>6232</v>
      </c>
      <c r="W367" t="s">
        <v>6232</v>
      </c>
      <c r="X367" t="s">
        <v>6232</v>
      </c>
    </row>
    <row r="368" spans="1:24" ht="18.399999999999999" hidden="1" customHeight="1">
      <c r="A368" s="11" t="s">
        <v>3871</v>
      </c>
      <c r="B368" s="2" t="s">
        <v>1068</v>
      </c>
      <c r="C368" s="2" t="s">
        <v>1940</v>
      </c>
      <c r="D368" s="2" t="s">
        <v>6141</v>
      </c>
      <c r="E368" s="25">
        <v>892840</v>
      </c>
      <c r="F368" s="2"/>
      <c r="G368" s="2" t="s">
        <v>6232</v>
      </c>
      <c r="H368" s="2"/>
      <c r="I368" s="2" t="s">
        <v>6232</v>
      </c>
      <c r="J368" s="2"/>
      <c r="K368" s="2" t="s">
        <v>6232</v>
      </c>
      <c r="L368" s="25">
        <v>1389760</v>
      </c>
      <c r="M368" s="2" t="s">
        <v>3761</v>
      </c>
      <c r="N368" s="25">
        <v>892840</v>
      </c>
      <c r="O368" s="2" t="s">
        <v>101</v>
      </c>
      <c r="P368" s="25">
        <v>1070900</v>
      </c>
      <c r="Q368" s="12" t="s">
        <v>6051</v>
      </c>
      <c r="V368" t="s">
        <v>6232</v>
      </c>
      <c r="W368" t="s">
        <v>6232</v>
      </c>
      <c r="X368" t="s">
        <v>6232</v>
      </c>
    </row>
    <row r="369" spans="1:24" ht="18.399999999999999" hidden="1" customHeight="1">
      <c r="A369" s="11" t="s">
        <v>3899</v>
      </c>
      <c r="B369" s="2" t="s">
        <v>1068</v>
      </c>
      <c r="C369" s="2" t="s">
        <v>3128</v>
      </c>
      <c r="D369" s="2" t="s">
        <v>6141</v>
      </c>
      <c r="E369" s="25">
        <v>946057</v>
      </c>
      <c r="F369" s="2"/>
      <c r="G369" s="2" t="s">
        <v>6232</v>
      </c>
      <c r="H369" s="2"/>
      <c r="I369" s="2" t="s">
        <v>6232</v>
      </c>
      <c r="J369" s="2"/>
      <c r="K369" s="2" t="s">
        <v>6232</v>
      </c>
      <c r="L369" s="25">
        <v>1376650</v>
      </c>
      <c r="M369" s="2" t="s">
        <v>3761</v>
      </c>
      <c r="N369" s="25">
        <v>946057</v>
      </c>
      <c r="O369" s="2" t="s">
        <v>101</v>
      </c>
      <c r="P369" s="25">
        <v>1108500</v>
      </c>
      <c r="Q369" s="12" t="s">
        <v>6051</v>
      </c>
      <c r="V369" t="s">
        <v>6232</v>
      </c>
      <c r="W369" t="s">
        <v>6232</v>
      </c>
      <c r="X369" t="s">
        <v>6232</v>
      </c>
    </row>
    <row r="370" spans="1:24" ht="18.399999999999999" hidden="1" customHeight="1">
      <c r="A370" s="11" t="s">
        <v>4226</v>
      </c>
      <c r="B370" s="2" t="s">
        <v>1068</v>
      </c>
      <c r="C370" s="2" t="s">
        <v>4107</v>
      </c>
      <c r="D370" s="2" t="s">
        <v>6141</v>
      </c>
      <c r="E370" s="25">
        <v>990244</v>
      </c>
      <c r="F370" s="2"/>
      <c r="G370" s="2" t="s">
        <v>6232</v>
      </c>
      <c r="H370" s="2"/>
      <c r="I370" s="2" t="s">
        <v>6232</v>
      </c>
      <c r="J370" s="2"/>
      <c r="K370" s="2" t="s">
        <v>6232</v>
      </c>
      <c r="L370" s="25">
        <v>1371210</v>
      </c>
      <c r="M370" s="2" t="s">
        <v>3761</v>
      </c>
      <c r="N370" s="25">
        <v>990244</v>
      </c>
      <c r="O370" s="2" t="s">
        <v>101</v>
      </c>
      <c r="P370" s="25">
        <v>1142800</v>
      </c>
      <c r="Q370" s="12" t="s">
        <v>6051</v>
      </c>
      <c r="V370" t="s">
        <v>6232</v>
      </c>
      <c r="W370" t="s">
        <v>6232</v>
      </c>
      <c r="X370" t="s">
        <v>6232</v>
      </c>
    </row>
    <row r="371" spans="1:24" ht="18.399999999999999" hidden="1" customHeight="1">
      <c r="A371" s="11" t="s">
        <v>5585</v>
      </c>
      <c r="B371" s="2" t="s">
        <v>1068</v>
      </c>
      <c r="C371" s="2" t="s">
        <v>2553</v>
      </c>
      <c r="D371" s="2" t="s">
        <v>6141</v>
      </c>
      <c r="E371" s="25">
        <v>1061429</v>
      </c>
      <c r="F371" s="2"/>
      <c r="G371" s="2" t="s">
        <v>6232</v>
      </c>
      <c r="H371" s="2"/>
      <c r="I371" s="2" t="s">
        <v>6232</v>
      </c>
      <c r="J371" s="2"/>
      <c r="K371" s="2" t="s">
        <v>6232</v>
      </c>
      <c r="L371" s="25">
        <v>1362660</v>
      </c>
      <c r="M371" s="2" t="s">
        <v>3761</v>
      </c>
      <c r="N371" s="25">
        <v>1061429</v>
      </c>
      <c r="O371" s="2" t="s">
        <v>101</v>
      </c>
      <c r="P371" s="25">
        <v>1192900</v>
      </c>
      <c r="Q371" s="12" t="s">
        <v>6051</v>
      </c>
      <c r="V371" t="s">
        <v>6232</v>
      </c>
      <c r="W371" t="s">
        <v>6232</v>
      </c>
      <c r="X371" t="s">
        <v>6232</v>
      </c>
    </row>
    <row r="372" spans="1:24" ht="18.399999999999999" hidden="1" customHeight="1">
      <c r="A372" s="11" t="s">
        <v>1634</v>
      </c>
      <c r="B372" s="2" t="s">
        <v>1068</v>
      </c>
      <c r="C372" s="2" t="s">
        <v>5731</v>
      </c>
      <c r="D372" s="2" t="s">
        <v>6141</v>
      </c>
      <c r="E372" s="25">
        <v>882053</v>
      </c>
      <c r="F372" s="2"/>
      <c r="G372" s="2" t="s">
        <v>6232</v>
      </c>
      <c r="H372" s="2"/>
      <c r="I372" s="2" t="s">
        <v>6232</v>
      </c>
      <c r="J372" s="2"/>
      <c r="K372" s="2" t="s">
        <v>6232</v>
      </c>
      <c r="L372" s="25">
        <v>986670</v>
      </c>
      <c r="M372" s="2" t="s">
        <v>3761</v>
      </c>
      <c r="N372" s="25">
        <v>882053</v>
      </c>
      <c r="O372" s="2" t="s">
        <v>101</v>
      </c>
      <c r="P372" s="25">
        <v>1131500</v>
      </c>
      <c r="Q372" s="12" t="s">
        <v>6051</v>
      </c>
      <c r="V372" t="s">
        <v>6232</v>
      </c>
      <c r="W372" t="s">
        <v>6232</v>
      </c>
      <c r="X372" t="s">
        <v>6232</v>
      </c>
    </row>
    <row r="373" spans="1:24" ht="18.399999999999999" hidden="1" customHeight="1">
      <c r="A373" s="11" t="s">
        <v>4062</v>
      </c>
      <c r="B373" s="2" t="s">
        <v>1068</v>
      </c>
      <c r="C373" s="2" t="s">
        <v>672</v>
      </c>
      <c r="D373" s="2" t="s">
        <v>6141</v>
      </c>
      <c r="E373" s="25">
        <v>905142</v>
      </c>
      <c r="F373" s="2"/>
      <c r="G373" s="2" t="s">
        <v>6232</v>
      </c>
      <c r="H373" s="2"/>
      <c r="I373" s="2" t="s">
        <v>6232</v>
      </c>
      <c r="J373" s="2"/>
      <c r="K373" s="2" t="s">
        <v>6232</v>
      </c>
      <c r="L373" s="25">
        <v>977160</v>
      </c>
      <c r="M373" s="2" t="s">
        <v>3761</v>
      </c>
      <c r="N373" s="25">
        <v>905142</v>
      </c>
      <c r="O373" s="2" t="s">
        <v>101</v>
      </c>
      <c r="P373" s="25">
        <v>1154800</v>
      </c>
      <c r="Q373" s="12" t="s">
        <v>6051</v>
      </c>
      <c r="V373" t="s">
        <v>6232</v>
      </c>
      <c r="W373" t="s">
        <v>6232</v>
      </c>
      <c r="X373" t="s">
        <v>6232</v>
      </c>
    </row>
    <row r="374" spans="1:24" ht="18.399999999999999" hidden="1" customHeight="1">
      <c r="A374" s="11" t="s">
        <v>1840</v>
      </c>
      <c r="B374" s="2" t="s">
        <v>1068</v>
      </c>
      <c r="C374" s="2" t="s">
        <v>654</v>
      </c>
      <c r="D374" s="2" t="s">
        <v>6141</v>
      </c>
      <c r="E374" s="25">
        <v>927887</v>
      </c>
      <c r="F374" s="2"/>
      <c r="G374" s="2" t="s">
        <v>6232</v>
      </c>
      <c r="H374" s="2"/>
      <c r="I374" s="2" t="s">
        <v>6232</v>
      </c>
      <c r="J374" s="2"/>
      <c r="K374" s="2" t="s">
        <v>6232</v>
      </c>
      <c r="L374" s="25">
        <v>987080</v>
      </c>
      <c r="M374" s="2" t="s">
        <v>3761</v>
      </c>
      <c r="N374" s="25">
        <v>927887</v>
      </c>
      <c r="O374" s="2" t="s">
        <v>101</v>
      </c>
      <c r="P374" s="25">
        <v>1164700</v>
      </c>
      <c r="Q374" s="12" t="s">
        <v>6051</v>
      </c>
      <c r="V374" t="s">
        <v>6232</v>
      </c>
      <c r="W374" t="s">
        <v>6232</v>
      </c>
      <c r="X374" t="s">
        <v>6232</v>
      </c>
    </row>
    <row r="375" spans="1:24" ht="18.399999999999999" hidden="1" customHeight="1">
      <c r="A375" s="11" t="s">
        <v>274</v>
      </c>
      <c r="B375" s="2" t="s">
        <v>1068</v>
      </c>
      <c r="C375" s="2" t="s">
        <v>1053</v>
      </c>
      <c r="D375" s="2" t="s">
        <v>6141</v>
      </c>
      <c r="E375" s="25">
        <v>961550</v>
      </c>
      <c r="F375" s="2"/>
      <c r="G375" s="2" t="s">
        <v>6232</v>
      </c>
      <c r="H375" s="2"/>
      <c r="I375" s="2" t="s">
        <v>6232</v>
      </c>
      <c r="J375" s="2"/>
      <c r="K375" s="2" t="s">
        <v>6232</v>
      </c>
      <c r="L375" s="25">
        <v>1009010</v>
      </c>
      <c r="M375" s="2" t="s">
        <v>3761</v>
      </c>
      <c r="N375" s="25">
        <v>961550</v>
      </c>
      <c r="O375" s="2" t="s">
        <v>101</v>
      </c>
      <c r="P375" s="25">
        <v>1187700</v>
      </c>
      <c r="Q375" s="12" t="s">
        <v>6051</v>
      </c>
      <c r="V375" t="s">
        <v>6232</v>
      </c>
      <c r="W375" t="s">
        <v>6232</v>
      </c>
      <c r="X375" t="s">
        <v>6232</v>
      </c>
    </row>
    <row r="376" spans="1:24" ht="18.399999999999999" hidden="1" customHeight="1">
      <c r="A376" s="11" t="s">
        <v>1540</v>
      </c>
      <c r="B376" s="2" t="s">
        <v>1068</v>
      </c>
      <c r="C376" s="2" t="s">
        <v>1152</v>
      </c>
      <c r="D376" s="2" t="s">
        <v>6141</v>
      </c>
      <c r="E376" s="25">
        <v>1050390</v>
      </c>
      <c r="F376" s="2"/>
      <c r="G376" s="2" t="s">
        <v>6232</v>
      </c>
      <c r="H376" s="2"/>
      <c r="I376" s="2" t="s">
        <v>6232</v>
      </c>
      <c r="J376" s="2"/>
      <c r="K376" s="2" t="s">
        <v>6232</v>
      </c>
      <c r="L376" s="25">
        <v>1274340</v>
      </c>
      <c r="M376" s="2" t="s">
        <v>3761</v>
      </c>
      <c r="N376" s="25">
        <v>1050390</v>
      </c>
      <c r="O376" s="2" t="s">
        <v>101</v>
      </c>
      <c r="P376" s="25">
        <v>1270600</v>
      </c>
      <c r="Q376" s="12" t="s">
        <v>6051</v>
      </c>
      <c r="V376" t="s">
        <v>6232</v>
      </c>
      <c r="W376" t="s">
        <v>6232</v>
      </c>
      <c r="X376" t="s">
        <v>6232</v>
      </c>
    </row>
    <row r="377" spans="1:24" ht="18.399999999999999" hidden="1" customHeight="1">
      <c r="A377" s="11" t="s">
        <v>1564</v>
      </c>
      <c r="B377" s="2" t="s">
        <v>1068</v>
      </c>
      <c r="C377" s="2" t="s">
        <v>3065</v>
      </c>
      <c r="D377" s="2" t="s">
        <v>6141</v>
      </c>
      <c r="E377" s="25">
        <v>1120676</v>
      </c>
      <c r="F377" s="2"/>
      <c r="G377" s="2" t="s">
        <v>6232</v>
      </c>
      <c r="H377" s="2"/>
      <c r="I377" s="2" t="s">
        <v>6232</v>
      </c>
      <c r="J377" s="2"/>
      <c r="K377" s="2" t="s">
        <v>6232</v>
      </c>
      <c r="L377" s="25">
        <v>1314080</v>
      </c>
      <c r="M377" s="2" t="s">
        <v>3761</v>
      </c>
      <c r="N377" s="25">
        <v>1120676</v>
      </c>
      <c r="O377" s="2" t="s">
        <v>101</v>
      </c>
      <c r="P377" s="25">
        <v>1337700</v>
      </c>
      <c r="Q377" s="12" t="s">
        <v>6051</v>
      </c>
      <c r="V377" t="s">
        <v>6232</v>
      </c>
      <c r="W377" t="s">
        <v>6232</v>
      </c>
      <c r="X377" t="s">
        <v>6232</v>
      </c>
    </row>
    <row r="378" spans="1:24" ht="18.399999999999999" hidden="1" customHeight="1">
      <c r="A378" s="11" t="s">
        <v>3035</v>
      </c>
      <c r="B378" s="2" t="s">
        <v>1068</v>
      </c>
      <c r="C378" s="2" t="s">
        <v>4824</v>
      </c>
      <c r="D378" s="2" t="s">
        <v>6141</v>
      </c>
      <c r="E378" s="25">
        <v>1191305</v>
      </c>
      <c r="F378" s="2"/>
      <c r="G378" s="2" t="s">
        <v>6232</v>
      </c>
      <c r="H378" s="2"/>
      <c r="I378" s="2" t="s">
        <v>6232</v>
      </c>
      <c r="J378" s="2"/>
      <c r="K378" s="2" t="s">
        <v>6232</v>
      </c>
      <c r="L378" s="25">
        <v>1355370</v>
      </c>
      <c r="M378" s="2" t="s">
        <v>3761</v>
      </c>
      <c r="N378" s="25">
        <v>1191305</v>
      </c>
      <c r="O378" s="2" t="s">
        <v>101</v>
      </c>
      <c r="P378" s="25">
        <v>1382300</v>
      </c>
      <c r="Q378" s="12" t="s">
        <v>6051</v>
      </c>
      <c r="V378" t="s">
        <v>6232</v>
      </c>
      <c r="W378" t="s">
        <v>6232</v>
      </c>
      <c r="X378" t="s">
        <v>6232</v>
      </c>
    </row>
    <row r="379" spans="1:24" ht="18.399999999999999" hidden="1" customHeight="1">
      <c r="A379" s="11" t="s">
        <v>2777</v>
      </c>
      <c r="B379" s="2" t="s">
        <v>1068</v>
      </c>
      <c r="C379" s="2" t="s">
        <v>5765</v>
      </c>
      <c r="D379" s="2" t="s">
        <v>6141</v>
      </c>
      <c r="E379" s="25">
        <v>1098910</v>
      </c>
      <c r="F379" s="2"/>
      <c r="G379" s="2" t="s">
        <v>6232</v>
      </c>
      <c r="H379" s="2"/>
      <c r="I379" s="2" t="s">
        <v>6232</v>
      </c>
      <c r="J379" s="2"/>
      <c r="K379" s="2" t="s">
        <v>6232</v>
      </c>
      <c r="L379" s="25">
        <v>1244820</v>
      </c>
      <c r="M379" s="2" t="s">
        <v>3761</v>
      </c>
      <c r="N379" s="25">
        <v>1098910</v>
      </c>
      <c r="O379" s="2" t="s">
        <v>101</v>
      </c>
      <c r="P379" s="25">
        <v>1274100</v>
      </c>
      <c r="Q379" s="12" t="s">
        <v>6051</v>
      </c>
      <c r="V379" t="s">
        <v>6232</v>
      </c>
      <c r="W379" t="s">
        <v>6232</v>
      </c>
      <c r="X379" t="s">
        <v>6232</v>
      </c>
    </row>
    <row r="380" spans="1:24" ht="18.399999999999999" hidden="1" customHeight="1">
      <c r="A380" s="11" t="s">
        <v>1431</v>
      </c>
      <c r="B380" s="2" t="s">
        <v>1068</v>
      </c>
      <c r="C380" s="2" t="s">
        <v>1072</v>
      </c>
      <c r="D380" s="2" t="s">
        <v>6141</v>
      </c>
      <c r="E380" s="25">
        <v>1169014</v>
      </c>
      <c r="F380" s="2"/>
      <c r="G380" s="2" t="s">
        <v>6232</v>
      </c>
      <c r="H380" s="2"/>
      <c r="I380" s="2" t="s">
        <v>6232</v>
      </c>
      <c r="J380" s="2"/>
      <c r="K380" s="2" t="s">
        <v>6232</v>
      </c>
      <c r="L380" s="25">
        <v>1275500</v>
      </c>
      <c r="M380" s="2" t="s">
        <v>3761</v>
      </c>
      <c r="N380" s="25">
        <v>1169014</v>
      </c>
      <c r="O380" s="2" t="s">
        <v>101</v>
      </c>
      <c r="P380" s="25">
        <v>1322300</v>
      </c>
      <c r="Q380" s="12" t="s">
        <v>6051</v>
      </c>
      <c r="V380" t="s">
        <v>6232</v>
      </c>
      <c r="W380" t="s">
        <v>6232</v>
      </c>
      <c r="X380" t="s">
        <v>6232</v>
      </c>
    </row>
    <row r="381" spans="1:24" ht="18.399999999999999" hidden="1" customHeight="1">
      <c r="A381" s="11" t="s">
        <v>962</v>
      </c>
      <c r="B381" s="2" t="s">
        <v>1068</v>
      </c>
      <c r="C381" s="2" t="s">
        <v>984</v>
      </c>
      <c r="D381" s="2" t="s">
        <v>6141</v>
      </c>
      <c r="E381" s="25">
        <v>1289215</v>
      </c>
      <c r="F381" s="2"/>
      <c r="G381" s="2" t="s">
        <v>6232</v>
      </c>
      <c r="H381" s="2"/>
      <c r="I381" s="2" t="s">
        <v>6232</v>
      </c>
      <c r="J381" s="2"/>
      <c r="K381" s="2" t="s">
        <v>6232</v>
      </c>
      <c r="L381" s="25">
        <v>1367730</v>
      </c>
      <c r="M381" s="2" t="s">
        <v>3761</v>
      </c>
      <c r="N381" s="25">
        <v>1289215</v>
      </c>
      <c r="O381" s="2" t="s">
        <v>101</v>
      </c>
      <c r="P381" s="25">
        <v>1430900</v>
      </c>
      <c r="Q381" s="12" t="s">
        <v>6051</v>
      </c>
      <c r="V381" t="s">
        <v>6232</v>
      </c>
      <c r="W381" t="s">
        <v>6232</v>
      </c>
      <c r="X381" t="s">
        <v>6232</v>
      </c>
    </row>
    <row r="382" spans="1:24" ht="18.399999999999999" hidden="1" customHeight="1">
      <c r="A382" s="11" t="s">
        <v>5208</v>
      </c>
      <c r="B382" s="2" t="s">
        <v>1068</v>
      </c>
      <c r="C382" s="2" t="s">
        <v>4247</v>
      </c>
      <c r="D382" s="2" t="s">
        <v>6141</v>
      </c>
      <c r="E382" s="25">
        <v>1227019</v>
      </c>
      <c r="F382" s="2"/>
      <c r="G382" s="2" t="s">
        <v>6232</v>
      </c>
      <c r="H382" s="2"/>
      <c r="I382" s="2" t="s">
        <v>6232</v>
      </c>
      <c r="J382" s="2"/>
      <c r="K382" s="2" t="s">
        <v>6232</v>
      </c>
      <c r="L382" s="25">
        <v>1243680</v>
      </c>
      <c r="M382" s="2" t="s">
        <v>3761</v>
      </c>
      <c r="N382" s="25">
        <v>1227019</v>
      </c>
      <c r="O382" s="2" t="s">
        <v>101</v>
      </c>
      <c r="P382" s="25">
        <v>1576600</v>
      </c>
      <c r="Q382" s="12" t="s">
        <v>6051</v>
      </c>
      <c r="V382" t="s">
        <v>6232</v>
      </c>
      <c r="W382" t="s">
        <v>6232</v>
      </c>
      <c r="X382" t="s">
        <v>6232</v>
      </c>
    </row>
    <row r="383" spans="1:24" ht="18.399999999999999" hidden="1" customHeight="1">
      <c r="A383" s="11" t="s">
        <v>1477</v>
      </c>
      <c r="B383" s="2" t="s">
        <v>1068</v>
      </c>
      <c r="C383" s="2" t="s">
        <v>4085</v>
      </c>
      <c r="D383" s="2" t="s">
        <v>6141</v>
      </c>
      <c r="E383" s="25">
        <v>1234560</v>
      </c>
      <c r="F383" s="2"/>
      <c r="G383" s="2" t="s">
        <v>6232</v>
      </c>
      <c r="H383" s="2"/>
      <c r="I383" s="2" t="s">
        <v>6232</v>
      </c>
      <c r="J383" s="2"/>
      <c r="K383" s="2" t="s">
        <v>6232</v>
      </c>
      <c r="L383" s="25">
        <v>1234560</v>
      </c>
      <c r="M383" s="2" t="s">
        <v>3761</v>
      </c>
      <c r="N383" s="25">
        <v>1250027</v>
      </c>
      <c r="O383" s="2" t="s">
        <v>101</v>
      </c>
      <c r="P383" s="25">
        <v>1586700</v>
      </c>
      <c r="Q383" s="12" t="s">
        <v>6051</v>
      </c>
      <c r="V383" t="s">
        <v>6232</v>
      </c>
      <c r="W383" t="s">
        <v>6232</v>
      </c>
      <c r="X383" t="s">
        <v>6232</v>
      </c>
    </row>
    <row r="384" spans="1:24" ht="18.399999999999999" hidden="1" customHeight="1">
      <c r="A384" s="11" t="s">
        <v>2996</v>
      </c>
      <c r="B384" s="2" t="s">
        <v>1068</v>
      </c>
      <c r="C384" s="2" t="s">
        <v>3848</v>
      </c>
      <c r="D384" s="2" t="s">
        <v>6141</v>
      </c>
      <c r="E384" s="25">
        <v>1255880</v>
      </c>
      <c r="F384" s="2"/>
      <c r="G384" s="2" t="s">
        <v>6232</v>
      </c>
      <c r="H384" s="2"/>
      <c r="I384" s="2" t="s">
        <v>6232</v>
      </c>
      <c r="J384" s="2"/>
      <c r="K384" s="2" t="s">
        <v>6232</v>
      </c>
      <c r="L384" s="25">
        <v>1255880</v>
      </c>
      <c r="M384" s="2" t="s">
        <v>3761</v>
      </c>
      <c r="N384" s="25">
        <v>1283417</v>
      </c>
      <c r="O384" s="2" t="s">
        <v>101</v>
      </c>
      <c r="P384" s="25">
        <v>1610900</v>
      </c>
      <c r="Q384" s="12" t="s">
        <v>6051</v>
      </c>
      <c r="V384" t="s">
        <v>6232</v>
      </c>
      <c r="W384" t="s">
        <v>6232</v>
      </c>
      <c r="X384" t="s">
        <v>6232</v>
      </c>
    </row>
    <row r="385" spans="1:24" ht="18.399999999999999" hidden="1" customHeight="1">
      <c r="A385" s="11" t="s">
        <v>1163</v>
      </c>
      <c r="B385" s="2" t="s">
        <v>1068</v>
      </c>
      <c r="C385" s="2" t="s">
        <v>3158</v>
      </c>
      <c r="D385" s="2" t="s">
        <v>6141</v>
      </c>
      <c r="E385" s="25">
        <v>1373186</v>
      </c>
      <c r="F385" s="2"/>
      <c r="G385" s="2" t="s">
        <v>6232</v>
      </c>
      <c r="H385" s="2"/>
      <c r="I385" s="2" t="s">
        <v>6232</v>
      </c>
      <c r="J385" s="2"/>
      <c r="K385" s="2" t="s">
        <v>6232</v>
      </c>
      <c r="L385" s="25">
        <v>1524260</v>
      </c>
      <c r="M385" s="2" t="s">
        <v>3761</v>
      </c>
      <c r="N385" s="25">
        <v>1373186</v>
      </c>
      <c r="O385" s="2" t="s">
        <v>101</v>
      </c>
      <c r="P385" s="25">
        <v>1695700</v>
      </c>
      <c r="Q385" s="12" t="s">
        <v>6051</v>
      </c>
      <c r="V385" t="s">
        <v>6232</v>
      </c>
      <c r="W385" t="s">
        <v>6232</v>
      </c>
      <c r="X385" t="s">
        <v>6232</v>
      </c>
    </row>
    <row r="386" spans="1:24" ht="18.399999999999999" hidden="1" customHeight="1">
      <c r="A386" s="11" t="s">
        <v>1186</v>
      </c>
      <c r="B386" s="2" t="s">
        <v>1068</v>
      </c>
      <c r="C386" s="2" t="s">
        <v>4944</v>
      </c>
      <c r="D386" s="2" t="s">
        <v>6141</v>
      </c>
      <c r="E386" s="25">
        <v>1454794</v>
      </c>
      <c r="F386" s="2"/>
      <c r="G386" s="2" t="s">
        <v>6232</v>
      </c>
      <c r="H386" s="2"/>
      <c r="I386" s="2" t="s">
        <v>6232</v>
      </c>
      <c r="J386" s="2"/>
      <c r="K386" s="2" t="s">
        <v>6232</v>
      </c>
      <c r="L386" s="25">
        <v>1590000</v>
      </c>
      <c r="M386" s="2" t="s">
        <v>3761</v>
      </c>
      <c r="N386" s="25">
        <v>1454794</v>
      </c>
      <c r="O386" s="2" t="s">
        <v>101</v>
      </c>
      <c r="P386" s="25">
        <v>1780000</v>
      </c>
      <c r="Q386" s="12" t="s">
        <v>6051</v>
      </c>
      <c r="V386" t="s">
        <v>6232</v>
      </c>
      <c r="W386" t="s">
        <v>6232</v>
      </c>
      <c r="X386" t="s">
        <v>6232</v>
      </c>
    </row>
    <row r="387" spans="1:24" ht="18.399999999999999" hidden="1" customHeight="1">
      <c r="A387" s="11" t="s">
        <v>328</v>
      </c>
      <c r="B387" s="2" t="s">
        <v>1068</v>
      </c>
      <c r="C387" s="2" t="s">
        <v>2362</v>
      </c>
      <c r="D387" s="2" t="s">
        <v>6141</v>
      </c>
      <c r="E387" s="25">
        <v>1531120</v>
      </c>
      <c r="F387" s="2"/>
      <c r="G387" s="2" t="s">
        <v>6232</v>
      </c>
      <c r="H387" s="2"/>
      <c r="I387" s="2" t="s">
        <v>6232</v>
      </c>
      <c r="J387" s="2"/>
      <c r="K387" s="2" t="s">
        <v>6232</v>
      </c>
      <c r="L387" s="25">
        <v>1638410</v>
      </c>
      <c r="M387" s="2" t="s">
        <v>3761</v>
      </c>
      <c r="N387" s="25">
        <v>1531120</v>
      </c>
      <c r="O387" s="2" t="s">
        <v>101</v>
      </c>
      <c r="P387" s="25">
        <v>1826600</v>
      </c>
      <c r="Q387" s="12" t="s">
        <v>6051</v>
      </c>
      <c r="V387" t="s">
        <v>6232</v>
      </c>
      <c r="W387" t="s">
        <v>6232</v>
      </c>
      <c r="X387" t="s">
        <v>6232</v>
      </c>
    </row>
    <row r="388" spans="1:24" ht="18.399999999999999" hidden="1" customHeight="1">
      <c r="A388" s="11" t="s">
        <v>85</v>
      </c>
      <c r="B388" s="2" t="s">
        <v>1068</v>
      </c>
      <c r="C388" s="2" t="s">
        <v>1789</v>
      </c>
      <c r="D388" s="2" t="s">
        <v>6141</v>
      </c>
      <c r="E388" s="25">
        <v>1601395</v>
      </c>
      <c r="F388" s="2"/>
      <c r="G388" s="2" t="s">
        <v>6232</v>
      </c>
      <c r="H388" s="2"/>
      <c r="I388" s="2" t="s">
        <v>6232</v>
      </c>
      <c r="J388" s="2"/>
      <c r="K388" s="2" t="s">
        <v>6232</v>
      </c>
      <c r="L388" s="25">
        <v>1683810</v>
      </c>
      <c r="M388" s="2" t="s">
        <v>3761</v>
      </c>
      <c r="N388" s="25">
        <v>1601395</v>
      </c>
      <c r="O388" s="2" t="s">
        <v>101</v>
      </c>
      <c r="P388" s="25">
        <v>1869700</v>
      </c>
      <c r="Q388" s="12" t="s">
        <v>6051</v>
      </c>
      <c r="V388" t="s">
        <v>6232</v>
      </c>
      <c r="W388" t="s">
        <v>6232</v>
      </c>
      <c r="X388" t="s">
        <v>6232</v>
      </c>
    </row>
    <row r="389" spans="1:24" ht="18.399999999999999" hidden="1" customHeight="1">
      <c r="A389" s="11" t="s">
        <v>1806</v>
      </c>
      <c r="B389" s="2" t="s">
        <v>1068</v>
      </c>
      <c r="C389" s="2" t="s">
        <v>3340</v>
      </c>
      <c r="D389" s="2" t="s">
        <v>6141</v>
      </c>
      <c r="E389" s="25">
        <v>1515566</v>
      </c>
      <c r="F389" s="2"/>
      <c r="G389" s="2" t="s">
        <v>6232</v>
      </c>
      <c r="H389" s="2"/>
      <c r="I389" s="2" t="s">
        <v>6232</v>
      </c>
      <c r="J389" s="2"/>
      <c r="K389" s="2" t="s">
        <v>6232</v>
      </c>
      <c r="L389" s="25">
        <v>1562160</v>
      </c>
      <c r="M389" s="2" t="s">
        <v>3761</v>
      </c>
      <c r="N389" s="25">
        <v>1515566</v>
      </c>
      <c r="O389" s="2" t="s">
        <v>101</v>
      </c>
      <c r="P389" s="25">
        <v>1772700</v>
      </c>
      <c r="Q389" s="12" t="s">
        <v>6051</v>
      </c>
      <c r="V389" t="s">
        <v>6232</v>
      </c>
      <c r="W389" t="s">
        <v>6232</v>
      </c>
      <c r="X389" t="s">
        <v>6232</v>
      </c>
    </row>
    <row r="390" spans="1:24" ht="18.399999999999999" hidden="1" customHeight="1">
      <c r="A390" s="11" t="s">
        <v>2113</v>
      </c>
      <c r="B390" s="2" t="s">
        <v>1068</v>
      </c>
      <c r="C390" s="2" t="s">
        <v>3468</v>
      </c>
      <c r="D390" s="2" t="s">
        <v>6141</v>
      </c>
      <c r="E390" s="25">
        <v>1638796</v>
      </c>
      <c r="F390" s="2"/>
      <c r="G390" s="2" t="s">
        <v>6232</v>
      </c>
      <c r="H390" s="2"/>
      <c r="I390" s="2" t="s">
        <v>6232</v>
      </c>
      <c r="J390" s="2"/>
      <c r="K390" s="2" t="s">
        <v>6232</v>
      </c>
      <c r="L390" s="25">
        <v>1660850</v>
      </c>
      <c r="M390" s="2" t="s">
        <v>3761</v>
      </c>
      <c r="N390" s="25">
        <v>1638796</v>
      </c>
      <c r="O390" s="2" t="s">
        <v>101</v>
      </c>
      <c r="P390" s="25">
        <v>1888300</v>
      </c>
      <c r="Q390" s="12" t="s">
        <v>6051</v>
      </c>
      <c r="V390" t="s">
        <v>6232</v>
      </c>
      <c r="W390" t="s">
        <v>6232</v>
      </c>
      <c r="X390" t="s">
        <v>6232</v>
      </c>
    </row>
    <row r="391" spans="1:24" ht="18.399999999999999" hidden="1" customHeight="1">
      <c r="A391" s="11" t="s">
        <v>450</v>
      </c>
      <c r="B391" s="2" t="s">
        <v>1068</v>
      </c>
      <c r="C391" s="2" t="s">
        <v>2441</v>
      </c>
      <c r="D391" s="2" t="s">
        <v>6141</v>
      </c>
      <c r="E391" s="25">
        <v>1813849</v>
      </c>
      <c r="F391" s="2"/>
      <c r="G391" s="2" t="s">
        <v>6232</v>
      </c>
      <c r="H391" s="2"/>
      <c r="I391" s="2" t="s">
        <v>6232</v>
      </c>
      <c r="J391" s="2"/>
      <c r="K391" s="2" t="s">
        <v>6232</v>
      </c>
      <c r="L391" s="25">
        <v>1845900</v>
      </c>
      <c r="M391" s="2" t="s">
        <v>3761</v>
      </c>
      <c r="N391" s="25">
        <v>1813849</v>
      </c>
      <c r="O391" s="2" t="s">
        <v>101</v>
      </c>
      <c r="P391" s="25">
        <v>2063700</v>
      </c>
      <c r="Q391" s="12" t="s">
        <v>6051</v>
      </c>
      <c r="V391" t="s">
        <v>6232</v>
      </c>
      <c r="W391" t="s">
        <v>6232</v>
      </c>
      <c r="X391" t="s">
        <v>6232</v>
      </c>
    </row>
    <row r="392" spans="1:24" ht="18.399999999999999" hidden="1" customHeight="1">
      <c r="A392" s="11" t="s">
        <v>5669</v>
      </c>
      <c r="B392" s="2" t="s">
        <v>1068</v>
      </c>
      <c r="C392" s="2" t="s">
        <v>4248</v>
      </c>
      <c r="D392" s="2" t="s">
        <v>6141</v>
      </c>
      <c r="E392" s="25">
        <v>1393941</v>
      </c>
      <c r="F392" s="2"/>
      <c r="G392" s="2" t="s">
        <v>6232</v>
      </c>
      <c r="H392" s="2"/>
      <c r="I392" s="2" t="s">
        <v>6232</v>
      </c>
      <c r="J392" s="2"/>
      <c r="K392" s="2" t="s">
        <v>6232</v>
      </c>
      <c r="L392" s="25">
        <v>1439250</v>
      </c>
      <c r="M392" s="2" t="s">
        <v>3761</v>
      </c>
      <c r="N392" s="25">
        <v>1393941</v>
      </c>
      <c r="O392" s="2" t="s">
        <v>101</v>
      </c>
      <c r="P392" s="25">
        <v>1756200</v>
      </c>
      <c r="Q392" s="12" t="s">
        <v>6051</v>
      </c>
      <c r="V392" t="s">
        <v>6232</v>
      </c>
      <c r="W392" t="s">
        <v>6232</v>
      </c>
      <c r="X392" t="s">
        <v>6232</v>
      </c>
    </row>
    <row r="393" spans="1:24" ht="18.399999999999999" hidden="1" customHeight="1">
      <c r="A393" s="11" t="s">
        <v>4120</v>
      </c>
      <c r="B393" s="2" t="s">
        <v>1068</v>
      </c>
      <c r="C393" s="2" t="s">
        <v>3699</v>
      </c>
      <c r="D393" s="2" t="s">
        <v>6141</v>
      </c>
      <c r="E393" s="25">
        <v>1428564</v>
      </c>
      <c r="F393" s="2"/>
      <c r="G393" s="2" t="s">
        <v>6232</v>
      </c>
      <c r="H393" s="2"/>
      <c r="I393" s="2" t="s">
        <v>6232</v>
      </c>
      <c r="J393" s="2"/>
      <c r="K393" s="2" t="s">
        <v>6232</v>
      </c>
      <c r="L393" s="25">
        <v>1461490</v>
      </c>
      <c r="M393" s="2" t="s">
        <v>3761</v>
      </c>
      <c r="N393" s="25">
        <v>1428564</v>
      </c>
      <c r="O393" s="2" t="s">
        <v>101</v>
      </c>
      <c r="P393" s="25">
        <v>1780300</v>
      </c>
      <c r="Q393" s="12" t="s">
        <v>6051</v>
      </c>
      <c r="V393" t="s">
        <v>6232</v>
      </c>
      <c r="W393" t="s">
        <v>6232</v>
      </c>
      <c r="X393" t="s">
        <v>6232</v>
      </c>
    </row>
    <row r="394" spans="1:24" ht="18.399999999999999" hidden="1" customHeight="1">
      <c r="A394" s="11" t="s">
        <v>5586</v>
      </c>
      <c r="B394" s="2" t="s">
        <v>1068</v>
      </c>
      <c r="C394" s="2" t="s">
        <v>3175</v>
      </c>
      <c r="D394" s="2" t="s">
        <v>6141</v>
      </c>
      <c r="E394" s="25">
        <v>1518929</v>
      </c>
      <c r="F394" s="2"/>
      <c r="G394" s="2" t="s">
        <v>6232</v>
      </c>
      <c r="H394" s="2"/>
      <c r="I394" s="2" t="s">
        <v>6232</v>
      </c>
      <c r="J394" s="2"/>
      <c r="K394" s="2" t="s">
        <v>6232</v>
      </c>
      <c r="L394" s="25">
        <v>1733170</v>
      </c>
      <c r="M394" s="2" t="s">
        <v>3761</v>
      </c>
      <c r="N394" s="25">
        <v>1518929</v>
      </c>
      <c r="O394" s="2" t="s">
        <v>101</v>
      </c>
      <c r="P394" s="25">
        <v>1865100</v>
      </c>
      <c r="Q394" s="12" t="s">
        <v>6051</v>
      </c>
      <c r="V394" t="s">
        <v>6232</v>
      </c>
      <c r="W394" t="s">
        <v>6232</v>
      </c>
      <c r="X394" t="s">
        <v>6232</v>
      </c>
    </row>
    <row r="395" spans="1:24" ht="18.399999999999999" hidden="1" customHeight="1">
      <c r="A395" s="11" t="s">
        <v>5557</v>
      </c>
      <c r="B395" s="2" t="s">
        <v>1068</v>
      </c>
      <c r="C395" s="2" t="s">
        <v>4928</v>
      </c>
      <c r="D395" s="2" t="s">
        <v>6141</v>
      </c>
      <c r="E395" s="25">
        <v>1607799</v>
      </c>
      <c r="F395" s="2"/>
      <c r="G395" s="2" t="s">
        <v>6232</v>
      </c>
      <c r="H395" s="2"/>
      <c r="I395" s="2" t="s">
        <v>6232</v>
      </c>
      <c r="J395" s="2"/>
      <c r="K395" s="2" t="s">
        <v>6232</v>
      </c>
      <c r="L395" s="25">
        <v>1799460</v>
      </c>
      <c r="M395" s="2" t="s">
        <v>3761</v>
      </c>
      <c r="N395" s="25">
        <v>1607799</v>
      </c>
      <c r="O395" s="2" t="s">
        <v>101</v>
      </c>
      <c r="P395" s="25">
        <v>1957500</v>
      </c>
      <c r="Q395" s="12" t="s">
        <v>6051</v>
      </c>
      <c r="V395" t="s">
        <v>6232</v>
      </c>
      <c r="W395" t="s">
        <v>6232</v>
      </c>
      <c r="X395" t="s">
        <v>6232</v>
      </c>
    </row>
    <row r="396" spans="1:24" ht="18.399999999999999" hidden="1" customHeight="1">
      <c r="A396" s="11" t="s">
        <v>5338</v>
      </c>
      <c r="B396" s="2" t="s">
        <v>1068</v>
      </c>
      <c r="C396" s="2" t="s">
        <v>2143</v>
      </c>
      <c r="D396" s="2" t="s">
        <v>6141</v>
      </c>
      <c r="E396" s="25">
        <v>1681993</v>
      </c>
      <c r="F396" s="2"/>
      <c r="G396" s="2" t="s">
        <v>6232</v>
      </c>
      <c r="H396" s="2"/>
      <c r="I396" s="2" t="s">
        <v>6232</v>
      </c>
      <c r="J396" s="2"/>
      <c r="K396" s="2" t="s">
        <v>6232</v>
      </c>
      <c r="L396" s="25">
        <v>1846850</v>
      </c>
      <c r="M396" s="2" t="s">
        <v>3761</v>
      </c>
      <c r="N396" s="25">
        <v>1681993</v>
      </c>
      <c r="O396" s="2" t="s">
        <v>101</v>
      </c>
      <c r="P396" s="25">
        <v>2004000</v>
      </c>
      <c r="Q396" s="12" t="s">
        <v>6051</v>
      </c>
      <c r="V396" t="s">
        <v>6232</v>
      </c>
      <c r="W396" t="s">
        <v>6232</v>
      </c>
      <c r="X396" t="s">
        <v>6232</v>
      </c>
    </row>
    <row r="397" spans="1:24" ht="18.399999999999999" hidden="1" customHeight="1">
      <c r="A397" s="11" t="s">
        <v>5209</v>
      </c>
      <c r="B397" s="2" t="s">
        <v>1068</v>
      </c>
      <c r="C397" s="2" t="s">
        <v>2780</v>
      </c>
      <c r="D397" s="2" t="s">
        <v>6141</v>
      </c>
      <c r="E397" s="25">
        <v>1751855</v>
      </c>
      <c r="F397" s="2"/>
      <c r="G397" s="2" t="s">
        <v>6232</v>
      </c>
      <c r="H397" s="2"/>
      <c r="I397" s="2" t="s">
        <v>6232</v>
      </c>
      <c r="J397" s="2"/>
      <c r="K397" s="2" t="s">
        <v>6232</v>
      </c>
      <c r="L397" s="25">
        <v>1907460</v>
      </c>
      <c r="M397" s="2" t="s">
        <v>3761</v>
      </c>
      <c r="N397" s="25">
        <v>1751855</v>
      </c>
      <c r="O397" s="2" t="s">
        <v>101</v>
      </c>
      <c r="P397" s="25">
        <v>2047000</v>
      </c>
      <c r="Q397" s="12" t="s">
        <v>6051</v>
      </c>
      <c r="V397" t="s">
        <v>6232</v>
      </c>
      <c r="W397" t="s">
        <v>6232</v>
      </c>
      <c r="X397" t="s">
        <v>6232</v>
      </c>
    </row>
    <row r="398" spans="1:24" ht="18.399999999999999" hidden="1" customHeight="1">
      <c r="A398" s="11" t="s">
        <v>3841</v>
      </c>
      <c r="B398" s="2" t="s">
        <v>1068</v>
      </c>
      <c r="C398" s="2" t="s">
        <v>4364</v>
      </c>
      <c r="D398" s="2" t="s">
        <v>6141</v>
      </c>
      <c r="E398" s="25">
        <v>1851381</v>
      </c>
      <c r="F398" s="2"/>
      <c r="G398" s="2" t="s">
        <v>6232</v>
      </c>
      <c r="H398" s="2"/>
      <c r="I398" s="2" t="s">
        <v>6232</v>
      </c>
      <c r="J398" s="2"/>
      <c r="K398" s="2" t="s">
        <v>6232</v>
      </c>
      <c r="L398" s="25">
        <v>1921540</v>
      </c>
      <c r="M398" s="2" t="s">
        <v>3761</v>
      </c>
      <c r="N398" s="25">
        <v>1851381</v>
      </c>
      <c r="O398" s="2" t="s">
        <v>101</v>
      </c>
      <c r="P398" s="25">
        <v>2106000</v>
      </c>
      <c r="Q398" s="12" t="s">
        <v>6051</v>
      </c>
      <c r="V398" t="s">
        <v>6232</v>
      </c>
      <c r="W398" t="s">
        <v>6232</v>
      </c>
      <c r="X398" t="s">
        <v>6232</v>
      </c>
    </row>
    <row r="399" spans="1:24" ht="18.399999999999999" hidden="1" customHeight="1">
      <c r="A399" s="11" t="s">
        <v>3146</v>
      </c>
      <c r="B399" s="2" t="s">
        <v>1068</v>
      </c>
      <c r="C399" s="2" t="s">
        <v>4404</v>
      </c>
      <c r="D399" s="2" t="s">
        <v>6141</v>
      </c>
      <c r="E399" s="25">
        <v>1788134</v>
      </c>
      <c r="F399" s="2"/>
      <c r="G399" s="2" t="s">
        <v>6232</v>
      </c>
      <c r="H399" s="2"/>
      <c r="I399" s="2" t="s">
        <v>6232</v>
      </c>
      <c r="J399" s="2"/>
      <c r="K399" s="2" t="s">
        <v>6232</v>
      </c>
      <c r="L399" s="25">
        <v>1852070</v>
      </c>
      <c r="M399" s="2" t="s">
        <v>3761</v>
      </c>
      <c r="N399" s="25">
        <v>1788134</v>
      </c>
      <c r="O399" s="2" t="s">
        <v>101</v>
      </c>
      <c r="P399" s="25">
        <v>2065400</v>
      </c>
      <c r="Q399" s="12" t="s">
        <v>6051</v>
      </c>
      <c r="V399" t="s">
        <v>6232</v>
      </c>
      <c r="W399" t="s">
        <v>6232</v>
      </c>
      <c r="X399" t="s">
        <v>6232</v>
      </c>
    </row>
    <row r="400" spans="1:24" ht="18.399999999999999" hidden="1" customHeight="1">
      <c r="A400" s="11" t="s">
        <v>4839</v>
      </c>
      <c r="B400" s="2" t="s">
        <v>1068</v>
      </c>
      <c r="C400" s="2" t="s">
        <v>2257</v>
      </c>
      <c r="D400" s="2" t="s">
        <v>6141</v>
      </c>
      <c r="E400" s="25">
        <v>1959188</v>
      </c>
      <c r="F400" s="2"/>
      <c r="G400" s="2" t="s">
        <v>6232</v>
      </c>
      <c r="H400" s="2"/>
      <c r="I400" s="2" t="s">
        <v>6232</v>
      </c>
      <c r="J400" s="2"/>
      <c r="K400" s="2" t="s">
        <v>6232</v>
      </c>
      <c r="L400" s="25">
        <v>2033480</v>
      </c>
      <c r="M400" s="2" t="s">
        <v>3761</v>
      </c>
      <c r="N400" s="25">
        <v>1959188</v>
      </c>
      <c r="O400" s="2" t="s">
        <v>101</v>
      </c>
      <c r="P400" s="25">
        <v>2236000</v>
      </c>
      <c r="Q400" s="12" t="s">
        <v>6051</v>
      </c>
      <c r="V400" t="s">
        <v>6232</v>
      </c>
      <c r="W400" t="s">
        <v>6232</v>
      </c>
      <c r="X400" t="s">
        <v>6232</v>
      </c>
    </row>
    <row r="401" spans="1:24" ht="18.399999999999999" hidden="1" customHeight="1">
      <c r="A401" s="11" t="s">
        <v>4399</v>
      </c>
      <c r="B401" s="2" t="s">
        <v>1068</v>
      </c>
      <c r="C401" s="2" t="s">
        <v>5135</v>
      </c>
      <c r="D401" s="2" t="s">
        <v>6141</v>
      </c>
      <c r="E401" s="25">
        <v>2172763</v>
      </c>
      <c r="F401" s="2"/>
      <c r="G401" s="2" t="s">
        <v>6232</v>
      </c>
      <c r="H401" s="2"/>
      <c r="I401" s="2" t="s">
        <v>6232</v>
      </c>
      <c r="J401" s="2"/>
      <c r="K401" s="2" t="s">
        <v>6232</v>
      </c>
      <c r="L401" s="25">
        <v>2232070</v>
      </c>
      <c r="M401" s="2" t="s">
        <v>3761</v>
      </c>
      <c r="N401" s="25">
        <v>2172763</v>
      </c>
      <c r="O401" s="2" t="s">
        <v>101</v>
      </c>
      <c r="P401" s="25">
        <v>2441700</v>
      </c>
      <c r="Q401" s="12" t="s">
        <v>6051</v>
      </c>
      <c r="V401" t="s">
        <v>6232</v>
      </c>
      <c r="W401" t="s">
        <v>6232</v>
      </c>
      <c r="X401" t="s">
        <v>6232</v>
      </c>
    </row>
    <row r="402" spans="1:24" ht="18.399999999999999" hidden="1" customHeight="1">
      <c r="A402" s="11" t="s">
        <v>5271</v>
      </c>
      <c r="B402" s="2" t="s">
        <v>1068</v>
      </c>
      <c r="C402" s="2" t="s">
        <v>1028</v>
      </c>
      <c r="D402" s="2" t="s">
        <v>6141</v>
      </c>
      <c r="E402" s="25">
        <v>1601153</v>
      </c>
      <c r="F402" s="2"/>
      <c r="G402" s="2" t="s">
        <v>6232</v>
      </c>
      <c r="H402" s="2"/>
      <c r="I402" s="2" t="s">
        <v>6232</v>
      </c>
      <c r="J402" s="2"/>
      <c r="K402" s="2" t="s">
        <v>6232</v>
      </c>
      <c r="L402" s="25">
        <v>1741160</v>
      </c>
      <c r="M402" s="2" t="s">
        <v>3761</v>
      </c>
      <c r="N402" s="25">
        <v>1601153</v>
      </c>
      <c r="O402" s="2" t="s">
        <v>101</v>
      </c>
      <c r="P402" s="25">
        <v>1987900</v>
      </c>
      <c r="Q402" s="12" t="s">
        <v>6051</v>
      </c>
      <c r="V402" t="s">
        <v>6232</v>
      </c>
      <c r="W402" t="s">
        <v>6232</v>
      </c>
      <c r="X402" t="s">
        <v>6232</v>
      </c>
    </row>
    <row r="403" spans="1:24" ht="18.399999999999999" hidden="1" customHeight="1">
      <c r="A403" s="11" t="s">
        <v>3633</v>
      </c>
      <c r="B403" s="2" t="s">
        <v>1068</v>
      </c>
      <c r="C403" s="2" t="s">
        <v>1319</v>
      </c>
      <c r="D403" s="2" t="s">
        <v>6141</v>
      </c>
      <c r="E403" s="25">
        <v>1689104</v>
      </c>
      <c r="F403" s="2"/>
      <c r="G403" s="2" t="s">
        <v>6232</v>
      </c>
      <c r="H403" s="2"/>
      <c r="I403" s="2" t="s">
        <v>6232</v>
      </c>
      <c r="J403" s="2"/>
      <c r="K403" s="2" t="s">
        <v>6232</v>
      </c>
      <c r="L403" s="25">
        <v>2022030</v>
      </c>
      <c r="M403" s="2" t="s">
        <v>3761</v>
      </c>
      <c r="N403" s="25">
        <v>1689104</v>
      </c>
      <c r="O403" s="2" t="s">
        <v>101</v>
      </c>
      <c r="P403" s="25">
        <v>2072700</v>
      </c>
      <c r="Q403" s="12" t="s">
        <v>6051</v>
      </c>
      <c r="V403" t="s">
        <v>6232</v>
      </c>
      <c r="W403" t="s">
        <v>6232</v>
      </c>
      <c r="X403" t="s">
        <v>6232</v>
      </c>
    </row>
    <row r="404" spans="1:24" ht="18.399999999999999" hidden="1" customHeight="1">
      <c r="A404" s="11" t="s">
        <v>3610</v>
      </c>
      <c r="B404" s="2" t="s">
        <v>1068</v>
      </c>
      <c r="C404" s="2" t="s">
        <v>2895</v>
      </c>
      <c r="D404" s="2" t="s">
        <v>6141</v>
      </c>
      <c r="E404" s="25">
        <v>1787286</v>
      </c>
      <c r="F404" s="2"/>
      <c r="G404" s="2" t="s">
        <v>6232</v>
      </c>
      <c r="H404" s="2"/>
      <c r="I404" s="2" t="s">
        <v>6232</v>
      </c>
      <c r="J404" s="2"/>
      <c r="K404" s="2" t="s">
        <v>6232</v>
      </c>
      <c r="L404" s="25">
        <v>2033600</v>
      </c>
      <c r="M404" s="2" t="s">
        <v>3761</v>
      </c>
      <c r="N404" s="25">
        <v>1787286</v>
      </c>
      <c r="O404" s="2" t="s">
        <v>101</v>
      </c>
      <c r="P404" s="25">
        <v>2174500</v>
      </c>
      <c r="Q404" s="12" t="s">
        <v>6051</v>
      </c>
      <c r="V404" t="s">
        <v>6232</v>
      </c>
      <c r="W404" t="s">
        <v>6232</v>
      </c>
      <c r="X404" t="s">
        <v>6232</v>
      </c>
    </row>
    <row r="405" spans="1:24" ht="18.399999999999999" hidden="1" customHeight="1">
      <c r="A405" s="11" t="s">
        <v>4175</v>
      </c>
      <c r="B405" s="2" t="s">
        <v>1068</v>
      </c>
      <c r="C405" s="2" t="s">
        <v>6231</v>
      </c>
      <c r="D405" s="2" t="s">
        <v>6141</v>
      </c>
      <c r="E405" s="25">
        <v>1861147</v>
      </c>
      <c r="F405" s="2"/>
      <c r="G405" s="2" t="s">
        <v>6232</v>
      </c>
      <c r="H405" s="2"/>
      <c r="I405" s="2" t="s">
        <v>6232</v>
      </c>
      <c r="J405" s="2"/>
      <c r="K405" s="2" t="s">
        <v>6232</v>
      </c>
      <c r="L405" s="25">
        <v>2077200</v>
      </c>
      <c r="M405" s="2" t="s">
        <v>3761</v>
      </c>
      <c r="N405" s="25">
        <v>1861147</v>
      </c>
      <c r="O405" s="2" t="s">
        <v>101</v>
      </c>
      <c r="P405" s="25">
        <v>2221000</v>
      </c>
      <c r="Q405" s="12" t="s">
        <v>6051</v>
      </c>
      <c r="V405" t="s">
        <v>6232</v>
      </c>
      <c r="W405" t="s">
        <v>6232</v>
      </c>
      <c r="X405" t="s">
        <v>6232</v>
      </c>
    </row>
    <row r="406" spans="1:24" ht="18.399999999999999" hidden="1" customHeight="1">
      <c r="A406" s="11" t="s">
        <v>4063</v>
      </c>
      <c r="B406" s="2" t="s">
        <v>1068</v>
      </c>
      <c r="C406" s="2" t="s">
        <v>5159</v>
      </c>
      <c r="D406" s="2" t="s">
        <v>6141</v>
      </c>
      <c r="E406" s="25">
        <v>1930938</v>
      </c>
      <c r="F406" s="2"/>
      <c r="G406" s="2" t="s">
        <v>6232</v>
      </c>
      <c r="H406" s="2"/>
      <c r="I406" s="2" t="s">
        <v>6232</v>
      </c>
      <c r="J406" s="2"/>
      <c r="K406" s="2" t="s">
        <v>6232</v>
      </c>
      <c r="L406" s="25">
        <v>2130350</v>
      </c>
      <c r="M406" s="2" t="s">
        <v>3761</v>
      </c>
      <c r="N406" s="25">
        <v>1930938</v>
      </c>
      <c r="O406" s="2" t="s">
        <v>101</v>
      </c>
      <c r="P406" s="25">
        <v>2263800</v>
      </c>
      <c r="Q406" s="12" t="s">
        <v>6051</v>
      </c>
      <c r="V406" t="s">
        <v>6232</v>
      </c>
      <c r="W406" t="s">
        <v>6232</v>
      </c>
      <c r="X406" t="s">
        <v>6232</v>
      </c>
    </row>
    <row r="407" spans="1:24" ht="18.399999999999999" hidden="1" customHeight="1">
      <c r="A407" s="11" t="s">
        <v>5800</v>
      </c>
      <c r="B407" s="2" t="s">
        <v>1068</v>
      </c>
      <c r="C407" s="2" t="s">
        <v>497</v>
      </c>
      <c r="D407" s="2" t="s">
        <v>6141</v>
      </c>
      <c r="E407" s="25">
        <v>2030110</v>
      </c>
      <c r="F407" s="2"/>
      <c r="G407" s="2" t="s">
        <v>6232</v>
      </c>
      <c r="H407" s="2"/>
      <c r="I407" s="2" t="s">
        <v>6232</v>
      </c>
      <c r="J407" s="2"/>
      <c r="K407" s="2" t="s">
        <v>6232</v>
      </c>
      <c r="L407" s="25">
        <v>2182960</v>
      </c>
      <c r="M407" s="2" t="s">
        <v>3761</v>
      </c>
      <c r="N407" s="25">
        <v>2030110</v>
      </c>
      <c r="O407" s="2" t="s">
        <v>101</v>
      </c>
      <c r="P407" s="25">
        <v>2323100</v>
      </c>
      <c r="Q407" s="12" t="s">
        <v>6051</v>
      </c>
      <c r="V407" t="s">
        <v>6232</v>
      </c>
      <c r="W407" t="s">
        <v>6232</v>
      </c>
      <c r="X407" t="s">
        <v>6232</v>
      </c>
    </row>
    <row r="408" spans="1:24" ht="18.399999999999999" hidden="1" customHeight="1">
      <c r="A408" s="11" t="s">
        <v>5893</v>
      </c>
      <c r="B408" s="2" t="s">
        <v>1068</v>
      </c>
      <c r="C408" s="2" t="s">
        <v>424</v>
      </c>
      <c r="D408" s="2" t="s">
        <v>6141</v>
      </c>
      <c r="E408" s="25">
        <v>1966500</v>
      </c>
      <c r="F408" s="2"/>
      <c r="G408" s="2" t="s">
        <v>6232</v>
      </c>
      <c r="H408" s="2"/>
      <c r="I408" s="2" t="s">
        <v>6232</v>
      </c>
      <c r="J408" s="2"/>
      <c r="K408" s="2" t="s">
        <v>6232</v>
      </c>
      <c r="L408" s="25">
        <v>2118660</v>
      </c>
      <c r="M408" s="2" t="s">
        <v>3761</v>
      </c>
      <c r="N408" s="25">
        <v>1966500</v>
      </c>
      <c r="O408" s="2" t="s">
        <v>101</v>
      </c>
      <c r="P408" s="25">
        <v>2281800</v>
      </c>
      <c r="Q408" s="12" t="s">
        <v>6051</v>
      </c>
      <c r="V408" t="s">
        <v>6232</v>
      </c>
      <c r="W408" t="s">
        <v>6232</v>
      </c>
      <c r="X408" t="s">
        <v>6232</v>
      </c>
    </row>
    <row r="409" spans="1:24" ht="18.399999999999999" hidden="1" customHeight="1">
      <c r="A409" s="11" t="s">
        <v>4448</v>
      </c>
      <c r="B409" s="2" t="s">
        <v>1068</v>
      </c>
      <c r="C409" s="2" t="s">
        <v>6079</v>
      </c>
      <c r="D409" s="2" t="s">
        <v>6141</v>
      </c>
      <c r="E409" s="25">
        <v>2136473</v>
      </c>
      <c r="F409" s="2"/>
      <c r="G409" s="2" t="s">
        <v>6232</v>
      </c>
      <c r="H409" s="2"/>
      <c r="I409" s="2" t="s">
        <v>6232</v>
      </c>
      <c r="J409" s="2"/>
      <c r="K409" s="2" t="s">
        <v>6232</v>
      </c>
      <c r="L409" s="25">
        <v>2290690</v>
      </c>
      <c r="M409" s="2" t="s">
        <v>3761</v>
      </c>
      <c r="N409" s="25">
        <v>2136473</v>
      </c>
      <c r="O409" s="2" t="s">
        <v>101</v>
      </c>
      <c r="P409" s="25">
        <v>2450700</v>
      </c>
      <c r="Q409" s="12" t="s">
        <v>6051</v>
      </c>
      <c r="V409" t="s">
        <v>6232</v>
      </c>
      <c r="W409" t="s">
        <v>6232</v>
      </c>
      <c r="X409" t="s">
        <v>6232</v>
      </c>
    </row>
    <row r="410" spans="1:24" ht="18.399999999999999" hidden="1" customHeight="1">
      <c r="A410" s="11" t="s">
        <v>4800</v>
      </c>
      <c r="B410" s="2" t="s">
        <v>1068</v>
      </c>
      <c r="C410" s="2" t="s">
        <v>2787</v>
      </c>
      <c r="D410" s="2" t="s">
        <v>6141</v>
      </c>
      <c r="E410" s="25">
        <v>2348301</v>
      </c>
      <c r="F410" s="2"/>
      <c r="G410" s="2" t="s">
        <v>6232</v>
      </c>
      <c r="H410" s="2"/>
      <c r="I410" s="2" t="s">
        <v>6232</v>
      </c>
      <c r="J410" s="2"/>
      <c r="K410" s="2" t="s">
        <v>6232</v>
      </c>
      <c r="L410" s="25">
        <v>2493230</v>
      </c>
      <c r="M410" s="2" t="s">
        <v>3761</v>
      </c>
      <c r="N410" s="25">
        <v>2348301</v>
      </c>
      <c r="O410" s="2" t="s">
        <v>101</v>
      </c>
      <c r="P410" s="25">
        <v>2657400</v>
      </c>
      <c r="Q410" s="12" t="s">
        <v>6051</v>
      </c>
      <c r="V410" t="s">
        <v>6232</v>
      </c>
      <c r="W410" t="s">
        <v>6232</v>
      </c>
      <c r="X410" t="s">
        <v>6232</v>
      </c>
    </row>
    <row r="411" spans="1:24" ht="18.399999999999999" hidden="1" customHeight="1">
      <c r="A411" s="11" t="s">
        <v>3094</v>
      </c>
      <c r="B411" s="2" t="s">
        <v>1068</v>
      </c>
      <c r="C411" s="2" t="s">
        <v>3872</v>
      </c>
      <c r="D411" s="2" t="s">
        <v>6141</v>
      </c>
      <c r="E411" s="25">
        <v>2561633</v>
      </c>
      <c r="F411" s="2"/>
      <c r="G411" s="2" t="s">
        <v>6232</v>
      </c>
      <c r="H411" s="2"/>
      <c r="I411" s="2" t="s">
        <v>6232</v>
      </c>
      <c r="J411" s="2"/>
      <c r="K411" s="2" t="s">
        <v>6232</v>
      </c>
      <c r="L411" s="25">
        <v>2670800</v>
      </c>
      <c r="M411" s="2" t="s">
        <v>3761</v>
      </c>
      <c r="N411" s="25">
        <v>2561633</v>
      </c>
      <c r="O411" s="2" t="s">
        <v>101</v>
      </c>
      <c r="P411" s="25">
        <v>2856400</v>
      </c>
      <c r="Q411" s="12" t="s">
        <v>6051</v>
      </c>
      <c r="V411" t="s">
        <v>6232</v>
      </c>
      <c r="W411" t="s">
        <v>6232</v>
      </c>
      <c r="X411" t="s">
        <v>6232</v>
      </c>
    </row>
    <row r="412" spans="1:24" ht="18.399999999999999" hidden="1" customHeight="1">
      <c r="A412" s="11" t="s">
        <v>2244</v>
      </c>
      <c r="B412" s="2" t="s">
        <v>1068</v>
      </c>
      <c r="C412" s="2" t="s">
        <v>225</v>
      </c>
      <c r="D412" s="2" t="s">
        <v>6141</v>
      </c>
      <c r="E412" s="25">
        <v>1911223</v>
      </c>
      <c r="F412" s="2"/>
      <c r="G412" s="2" t="s">
        <v>6232</v>
      </c>
      <c r="H412" s="2"/>
      <c r="I412" s="2" t="s">
        <v>6232</v>
      </c>
      <c r="J412" s="2"/>
      <c r="K412" s="2" t="s">
        <v>6232</v>
      </c>
      <c r="L412" s="25">
        <v>2324970</v>
      </c>
      <c r="M412" s="2" t="s">
        <v>3761</v>
      </c>
      <c r="N412" s="25">
        <v>1911223</v>
      </c>
      <c r="O412" s="2" t="s">
        <v>101</v>
      </c>
      <c r="P412" s="25">
        <v>2273800</v>
      </c>
      <c r="Q412" s="12" t="s">
        <v>6051</v>
      </c>
      <c r="V412" t="s">
        <v>6232</v>
      </c>
      <c r="W412" t="s">
        <v>6232</v>
      </c>
      <c r="X412" t="s">
        <v>6232</v>
      </c>
    </row>
    <row r="413" spans="1:24" ht="18.399999999999999" hidden="1" customHeight="1">
      <c r="A413" s="11" t="s">
        <v>2228</v>
      </c>
      <c r="B413" s="2" t="s">
        <v>1068</v>
      </c>
      <c r="C413" s="2" t="s">
        <v>1647</v>
      </c>
      <c r="D413" s="2" t="s">
        <v>6141</v>
      </c>
      <c r="E413" s="25">
        <v>1958814</v>
      </c>
      <c r="F413" s="2"/>
      <c r="G413" s="2" t="s">
        <v>6232</v>
      </c>
      <c r="H413" s="2"/>
      <c r="I413" s="2" t="s">
        <v>6232</v>
      </c>
      <c r="J413" s="2"/>
      <c r="K413" s="2" t="s">
        <v>6232</v>
      </c>
      <c r="L413" s="25">
        <v>2419750</v>
      </c>
      <c r="M413" s="2" t="s">
        <v>3761</v>
      </c>
      <c r="N413" s="25">
        <v>1958814</v>
      </c>
      <c r="O413" s="2" t="s">
        <v>101</v>
      </c>
      <c r="P413" s="25">
        <v>2387200</v>
      </c>
      <c r="Q413" s="12" t="s">
        <v>6051</v>
      </c>
      <c r="V413" t="s">
        <v>6232</v>
      </c>
      <c r="W413" t="s">
        <v>6232</v>
      </c>
      <c r="X413" t="s">
        <v>6232</v>
      </c>
    </row>
    <row r="414" spans="1:24" ht="18.399999999999999" hidden="1" customHeight="1">
      <c r="A414" s="11" t="s">
        <v>2409</v>
      </c>
      <c r="B414" s="2" t="s">
        <v>1068</v>
      </c>
      <c r="C414" s="2" t="s">
        <v>1566</v>
      </c>
      <c r="D414" s="2" t="s">
        <v>6141</v>
      </c>
      <c r="E414" s="25">
        <v>2037463</v>
      </c>
      <c r="F414" s="2"/>
      <c r="G414" s="2" t="s">
        <v>6232</v>
      </c>
      <c r="H414" s="2"/>
      <c r="I414" s="2" t="s">
        <v>6232</v>
      </c>
      <c r="J414" s="2"/>
      <c r="K414" s="2" t="s">
        <v>6232</v>
      </c>
      <c r="L414" s="25">
        <v>2471920</v>
      </c>
      <c r="M414" s="2" t="s">
        <v>3761</v>
      </c>
      <c r="N414" s="25">
        <v>2037463</v>
      </c>
      <c r="O414" s="2" t="s">
        <v>101</v>
      </c>
      <c r="P414" s="25">
        <v>2433500</v>
      </c>
      <c r="Q414" s="12" t="s">
        <v>6051</v>
      </c>
      <c r="V414" t="s">
        <v>6232</v>
      </c>
      <c r="W414" t="s">
        <v>6232</v>
      </c>
      <c r="X414" t="s">
        <v>6232</v>
      </c>
    </row>
    <row r="415" spans="1:24" ht="18.399999999999999" hidden="1" customHeight="1">
      <c r="A415" s="11" t="s">
        <v>2668</v>
      </c>
      <c r="B415" s="2" t="s">
        <v>1068</v>
      </c>
      <c r="C415" s="2" t="s">
        <v>2574</v>
      </c>
      <c r="D415" s="2" t="s">
        <v>6141</v>
      </c>
      <c r="E415" s="25">
        <v>2107466</v>
      </c>
      <c r="F415" s="2"/>
      <c r="G415" s="2" t="s">
        <v>6232</v>
      </c>
      <c r="H415" s="2"/>
      <c r="I415" s="2" t="s">
        <v>6232</v>
      </c>
      <c r="J415" s="2"/>
      <c r="K415" s="2" t="s">
        <v>6232</v>
      </c>
      <c r="L415" s="25">
        <v>2525540</v>
      </c>
      <c r="M415" s="2" t="s">
        <v>3761</v>
      </c>
      <c r="N415" s="25">
        <v>2107466</v>
      </c>
      <c r="O415" s="2" t="s">
        <v>101</v>
      </c>
      <c r="P415" s="25">
        <v>2476300</v>
      </c>
      <c r="Q415" s="12" t="s">
        <v>6051</v>
      </c>
      <c r="V415" t="s">
        <v>6232</v>
      </c>
      <c r="W415" t="s">
        <v>6232</v>
      </c>
      <c r="X415" t="s">
        <v>6232</v>
      </c>
    </row>
    <row r="416" spans="1:24" ht="18.399999999999999" hidden="1" customHeight="1">
      <c r="A416" s="11" t="s">
        <v>935</v>
      </c>
      <c r="B416" s="2" t="s">
        <v>1068</v>
      </c>
      <c r="C416" s="2" t="s">
        <v>4157</v>
      </c>
      <c r="D416" s="2" t="s">
        <v>6141</v>
      </c>
      <c r="E416" s="25">
        <v>2200669</v>
      </c>
      <c r="F416" s="2"/>
      <c r="G416" s="2" t="s">
        <v>6232</v>
      </c>
      <c r="H416" s="2"/>
      <c r="I416" s="2" t="s">
        <v>6232</v>
      </c>
      <c r="J416" s="2"/>
      <c r="K416" s="2" t="s">
        <v>6232</v>
      </c>
      <c r="L416" s="25">
        <v>2591410</v>
      </c>
      <c r="M416" s="2" t="s">
        <v>3761</v>
      </c>
      <c r="N416" s="25">
        <v>2200669</v>
      </c>
      <c r="O416" s="2" t="s">
        <v>101</v>
      </c>
      <c r="P416" s="25">
        <v>2535600</v>
      </c>
      <c r="Q416" s="12" t="s">
        <v>6051</v>
      </c>
      <c r="V416" t="s">
        <v>6232</v>
      </c>
      <c r="W416" t="s">
        <v>6232</v>
      </c>
      <c r="X416" t="s">
        <v>6232</v>
      </c>
    </row>
    <row r="417" spans="1:24" ht="18.399999999999999" hidden="1" customHeight="1">
      <c r="A417" s="11" t="s">
        <v>1410</v>
      </c>
      <c r="B417" s="2" t="s">
        <v>1068</v>
      </c>
      <c r="C417" s="2" t="s">
        <v>4275</v>
      </c>
      <c r="D417" s="2" t="s">
        <v>6141</v>
      </c>
      <c r="E417" s="25">
        <v>2372167</v>
      </c>
      <c r="F417" s="2"/>
      <c r="G417" s="2" t="s">
        <v>6232</v>
      </c>
      <c r="H417" s="2"/>
      <c r="I417" s="2" t="s">
        <v>6232</v>
      </c>
      <c r="J417" s="2"/>
      <c r="K417" s="2" t="s">
        <v>6232</v>
      </c>
      <c r="L417" s="25">
        <v>2735110</v>
      </c>
      <c r="M417" s="2" t="s">
        <v>3761</v>
      </c>
      <c r="N417" s="25">
        <v>2372167</v>
      </c>
      <c r="O417" s="2" t="s">
        <v>101</v>
      </c>
      <c r="P417" s="25">
        <v>2665300</v>
      </c>
      <c r="Q417" s="12" t="s">
        <v>6051</v>
      </c>
      <c r="V417" t="s">
        <v>6232</v>
      </c>
      <c r="W417" t="s">
        <v>6232</v>
      </c>
      <c r="X417" t="s">
        <v>6232</v>
      </c>
    </row>
    <row r="418" spans="1:24" ht="18.399999999999999" hidden="1" customHeight="1">
      <c r="A418" s="11" t="s">
        <v>3073</v>
      </c>
      <c r="B418" s="2" t="s">
        <v>1068</v>
      </c>
      <c r="C418" s="2" t="s">
        <v>1638</v>
      </c>
      <c r="D418" s="2" t="s">
        <v>6141</v>
      </c>
      <c r="E418" s="25">
        <v>2305547</v>
      </c>
      <c r="F418" s="2"/>
      <c r="G418" s="2" t="s">
        <v>6232</v>
      </c>
      <c r="H418" s="2"/>
      <c r="I418" s="2" t="s">
        <v>6232</v>
      </c>
      <c r="J418" s="2"/>
      <c r="K418" s="2" t="s">
        <v>6232</v>
      </c>
      <c r="L418" s="25">
        <v>2608680</v>
      </c>
      <c r="M418" s="2" t="s">
        <v>3761</v>
      </c>
      <c r="N418" s="25">
        <v>2305547</v>
      </c>
      <c r="O418" s="2" t="s">
        <v>101</v>
      </c>
      <c r="P418" s="25">
        <v>2662200</v>
      </c>
      <c r="Q418" s="12" t="s">
        <v>6051</v>
      </c>
      <c r="V418" t="s">
        <v>6232</v>
      </c>
      <c r="W418" t="s">
        <v>6232</v>
      </c>
      <c r="X418" t="s">
        <v>6232</v>
      </c>
    </row>
    <row r="419" spans="1:24" ht="18.399999999999999" hidden="1" customHeight="1">
      <c r="A419" s="11" t="s">
        <v>300</v>
      </c>
      <c r="B419" s="2" t="s">
        <v>1068</v>
      </c>
      <c r="C419" s="2" t="s">
        <v>4904</v>
      </c>
      <c r="D419" s="2" t="s">
        <v>6141</v>
      </c>
      <c r="E419" s="25">
        <v>2522021</v>
      </c>
      <c r="F419" s="2"/>
      <c r="G419" s="2" t="s">
        <v>6232</v>
      </c>
      <c r="H419" s="2"/>
      <c r="I419" s="2" t="s">
        <v>6232</v>
      </c>
      <c r="J419" s="2"/>
      <c r="K419" s="2" t="s">
        <v>6232</v>
      </c>
      <c r="L419" s="25">
        <v>2813790</v>
      </c>
      <c r="M419" s="2" t="s">
        <v>3761</v>
      </c>
      <c r="N419" s="25">
        <v>2522021</v>
      </c>
      <c r="O419" s="2" t="s">
        <v>101</v>
      </c>
      <c r="P419" s="25">
        <v>2875800</v>
      </c>
      <c r="Q419" s="12" t="s">
        <v>6051</v>
      </c>
      <c r="V419" t="s">
        <v>6232</v>
      </c>
      <c r="W419" t="s">
        <v>6232</v>
      </c>
      <c r="X419" t="s">
        <v>6232</v>
      </c>
    </row>
    <row r="420" spans="1:24" ht="18.399999999999999" hidden="1" customHeight="1">
      <c r="A420" s="11" t="s">
        <v>1720</v>
      </c>
      <c r="B420" s="2" t="s">
        <v>1068</v>
      </c>
      <c r="C420" s="2" t="s">
        <v>781</v>
      </c>
      <c r="D420" s="2" t="s">
        <v>6141</v>
      </c>
      <c r="E420" s="25">
        <v>2729646</v>
      </c>
      <c r="F420" s="2"/>
      <c r="G420" s="2" t="s">
        <v>6232</v>
      </c>
      <c r="H420" s="2"/>
      <c r="I420" s="2" t="s">
        <v>6232</v>
      </c>
      <c r="J420" s="2"/>
      <c r="K420" s="2" t="s">
        <v>6232</v>
      </c>
      <c r="L420" s="25">
        <v>2977400</v>
      </c>
      <c r="M420" s="2" t="s">
        <v>3761</v>
      </c>
      <c r="N420" s="25">
        <v>2729646</v>
      </c>
      <c r="O420" s="2" t="s">
        <v>101</v>
      </c>
      <c r="P420" s="25">
        <v>3066600</v>
      </c>
      <c r="Q420" s="12" t="s">
        <v>6051</v>
      </c>
      <c r="V420" t="s">
        <v>6232</v>
      </c>
      <c r="W420" t="s">
        <v>6232</v>
      </c>
      <c r="X420" t="s">
        <v>6232</v>
      </c>
    </row>
    <row r="421" spans="1:24" ht="18.399999999999999" hidden="1" customHeight="1">
      <c r="A421" s="11" t="s">
        <v>3304</v>
      </c>
      <c r="B421" s="2" t="s">
        <v>1068</v>
      </c>
      <c r="C421" s="2" t="s">
        <v>2781</v>
      </c>
      <c r="D421" s="2" t="s">
        <v>6141</v>
      </c>
      <c r="E421" s="25">
        <v>2915517</v>
      </c>
      <c r="F421" s="2"/>
      <c r="G421" s="2" t="s">
        <v>6232</v>
      </c>
      <c r="H421" s="2"/>
      <c r="I421" s="2" t="s">
        <v>6232</v>
      </c>
      <c r="J421" s="2"/>
      <c r="K421" s="2" t="s">
        <v>6232</v>
      </c>
      <c r="L421" s="25">
        <v>3104050</v>
      </c>
      <c r="M421" s="2" t="s">
        <v>3761</v>
      </c>
      <c r="N421" s="25">
        <v>2915517</v>
      </c>
      <c r="O421" s="2" t="s">
        <v>101</v>
      </c>
      <c r="P421" s="25">
        <v>3239000</v>
      </c>
      <c r="Q421" s="12" t="s">
        <v>6051</v>
      </c>
      <c r="V421" t="s">
        <v>6232</v>
      </c>
      <c r="W421" t="s">
        <v>6232</v>
      </c>
      <c r="X421" t="s">
        <v>6232</v>
      </c>
    </row>
    <row r="422" spans="1:24" ht="18.399999999999999" hidden="1" customHeight="1">
      <c r="A422" s="11" t="s">
        <v>4042</v>
      </c>
      <c r="B422" s="2" t="s">
        <v>5254</v>
      </c>
      <c r="C422" s="2" t="s">
        <v>4688</v>
      </c>
      <c r="D422" s="2" t="s">
        <v>6141</v>
      </c>
      <c r="E422" s="25">
        <v>244310</v>
      </c>
      <c r="F422" s="2"/>
      <c r="G422" s="2" t="s">
        <v>6232</v>
      </c>
      <c r="H422" s="2"/>
      <c r="I422" s="2" t="s">
        <v>6232</v>
      </c>
      <c r="J422" s="2"/>
      <c r="K422" s="2" t="s">
        <v>6232</v>
      </c>
      <c r="L422" s="25">
        <v>255030</v>
      </c>
      <c r="M422" s="2" t="s">
        <v>3761</v>
      </c>
      <c r="N422" s="25">
        <v>244310</v>
      </c>
      <c r="O422" s="2" t="s">
        <v>101</v>
      </c>
      <c r="P422" s="25">
        <v>346900</v>
      </c>
      <c r="Q422" s="12" t="s">
        <v>6051</v>
      </c>
      <c r="V422" t="s">
        <v>6232</v>
      </c>
      <c r="W422" t="s">
        <v>6232</v>
      </c>
      <c r="X422" t="s">
        <v>6232</v>
      </c>
    </row>
    <row r="423" spans="1:24" ht="18.399999999999999" hidden="1" customHeight="1">
      <c r="A423" s="11" t="s">
        <v>1023</v>
      </c>
      <c r="B423" s="2" t="s">
        <v>5254</v>
      </c>
      <c r="C423" s="2" t="s">
        <v>3182</v>
      </c>
      <c r="D423" s="2" t="s">
        <v>6141</v>
      </c>
      <c r="E423" s="25">
        <v>247320</v>
      </c>
      <c r="F423" s="2"/>
      <c r="G423" s="2" t="s">
        <v>6232</v>
      </c>
      <c r="H423" s="2"/>
      <c r="I423" s="2" t="s">
        <v>6232</v>
      </c>
      <c r="J423" s="2"/>
      <c r="K423" s="2" t="s">
        <v>6232</v>
      </c>
      <c r="L423" s="25">
        <v>257380</v>
      </c>
      <c r="M423" s="2" t="s">
        <v>3761</v>
      </c>
      <c r="N423" s="25">
        <v>247320</v>
      </c>
      <c r="O423" s="2" t="s">
        <v>101</v>
      </c>
      <c r="P423" s="25">
        <v>349400</v>
      </c>
      <c r="Q423" s="12" t="s">
        <v>6051</v>
      </c>
      <c r="V423" t="s">
        <v>6232</v>
      </c>
      <c r="W423" t="s">
        <v>6232</v>
      </c>
      <c r="X423" t="s">
        <v>6232</v>
      </c>
    </row>
    <row r="424" spans="1:24" ht="18.399999999999999" hidden="1" customHeight="1">
      <c r="A424" s="11" t="s">
        <v>4314</v>
      </c>
      <c r="B424" s="2" t="s">
        <v>5254</v>
      </c>
      <c r="C424" s="2" t="s">
        <v>2220</v>
      </c>
      <c r="D424" s="2" t="s">
        <v>6141</v>
      </c>
      <c r="E424" s="25">
        <v>252830</v>
      </c>
      <c r="F424" s="2"/>
      <c r="G424" s="2" t="s">
        <v>6232</v>
      </c>
      <c r="H424" s="2"/>
      <c r="I424" s="2" t="s">
        <v>6232</v>
      </c>
      <c r="J424" s="2"/>
      <c r="K424" s="2" t="s">
        <v>6232</v>
      </c>
      <c r="L424" s="25">
        <v>261450</v>
      </c>
      <c r="M424" s="2" t="s">
        <v>3761</v>
      </c>
      <c r="N424" s="25">
        <v>252830</v>
      </c>
      <c r="O424" s="2" t="s">
        <v>101</v>
      </c>
      <c r="P424" s="25">
        <v>353400</v>
      </c>
      <c r="Q424" s="12" t="s">
        <v>6051</v>
      </c>
      <c r="V424" t="s">
        <v>6232</v>
      </c>
      <c r="W424" t="s">
        <v>6232</v>
      </c>
      <c r="X424" t="s">
        <v>6232</v>
      </c>
    </row>
    <row r="425" spans="1:24" ht="18.399999999999999" hidden="1" customHeight="1">
      <c r="A425" s="11" t="s">
        <v>1989</v>
      </c>
      <c r="B425" s="2" t="s">
        <v>5254</v>
      </c>
      <c r="C425" s="2" t="s">
        <v>4194</v>
      </c>
      <c r="D425" s="2" t="s">
        <v>6141</v>
      </c>
      <c r="E425" s="25">
        <v>257810</v>
      </c>
      <c r="F425" s="2"/>
      <c r="G425" s="2" t="s">
        <v>6232</v>
      </c>
      <c r="H425" s="2"/>
      <c r="I425" s="2" t="s">
        <v>6232</v>
      </c>
      <c r="J425" s="2"/>
      <c r="K425" s="2" t="s">
        <v>6232</v>
      </c>
      <c r="L425" s="25">
        <v>264680</v>
      </c>
      <c r="M425" s="2" t="s">
        <v>3761</v>
      </c>
      <c r="N425" s="25">
        <v>257810</v>
      </c>
      <c r="O425" s="2" t="s">
        <v>101</v>
      </c>
      <c r="P425" s="25">
        <v>356900</v>
      </c>
      <c r="Q425" s="12" t="s">
        <v>6051</v>
      </c>
      <c r="V425" t="s">
        <v>6232</v>
      </c>
      <c r="W425" t="s">
        <v>6232</v>
      </c>
      <c r="X425" t="s">
        <v>6232</v>
      </c>
    </row>
    <row r="426" spans="1:24" ht="18.399999999999999" hidden="1" customHeight="1">
      <c r="A426" s="11" t="s">
        <v>5520</v>
      </c>
      <c r="B426" s="2" t="s">
        <v>5254</v>
      </c>
      <c r="C426" s="2" t="s">
        <v>218</v>
      </c>
      <c r="D426" s="2" t="s">
        <v>6141</v>
      </c>
      <c r="E426" s="25">
        <v>267530</v>
      </c>
      <c r="F426" s="2"/>
      <c r="G426" s="2" t="s">
        <v>6232</v>
      </c>
      <c r="H426" s="2"/>
      <c r="I426" s="2" t="s">
        <v>6232</v>
      </c>
      <c r="J426" s="2"/>
      <c r="K426" s="2" t="s">
        <v>6232</v>
      </c>
      <c r="L426" s="25">
        <v>274360</v>
      </c>
      <c r="M426" s="2" t="s">
        <v>3761</v>
      </c>
      <c r="N426" s="25">
        <v>267530</v>
      </c>
      <c r="O426" s="2" t="s">
        <v>101</v>
      </c>
      <c r="P426" s="25">
        <v>366800</v>
      </c>
      <c r="Q426" s="12" t="s">
        <v>6051</v>
      </c>
      <c r="V426" t="s">
        <v>6232</v>
      </c>
      <c r="W426" t="s">
        <v>6232</v>
      </c>
      <c r="X426" t="s">
        <v>6232</v>
      </c>
    </row>
    <row r="427" spans="1:24" ht="18.399999999999999" hidden="1" customHeight="1">
      <c r="A427" s="11" t="s">
        <v>201</v>
      </c>
      <c r="B427" s="2" t="s">
        <v>5254</v>
      </c>
      <c r="C427" s="2" t="s">
        <v>320</v>
      </c>
      <c r="D427" s="2" t="s">
        <v>6141</v>
      </c>
      <c r="E427" s="25">
        <v>271930</v>
      </c>
      <c r="F427" s="2"/>
      <c r="G427" s="2" t="s">
        <v>6232</v>
      </c>
      <c r="H427" s="2"/>
      <c r="I427" s="2" t="s">
        <v>6232</v>
      </c>
      <c r="J427" s="2"/>
      <c r="K427" s="2" t="s">
        <v>6232</v>
      </c>
      <c r="L427" s="25">
        <v>276630</v>
      </c>
      <c r="M427" s="2" t="s">
        <v>3761</v>
      </c>
      <c r="N427" s="25">
        <v>271930</v>
      </c>
      <c r="O427" s="2" t="s">
        <v>101</v>
      </c>
      <c r="P427" s="25">
        <v>369200</v>
      </c>
      <c r="Q427" s="12" t="s">
        <v>6051</v>
      </c>
      <c r="V427" t="s">
        <v>6232</v>
      </c>
      <c r="W427" t="s">
        <v>6232</v>
      </c>
      <c r="X427" t="s">
        <v>6232</v>
      </c>
    </row>
    <row r="428" spans="1:24" ht="18.399999999999999" hidden="1" customHeight="1">
      <c r="A428" s="11" t="s">
        <v>5703</v>
      </c>
      <c r="B428" s="2" t="s">
        <v>5254</v>
      </c>
      <c r="C428" s="2" t="s">
        <v>5048</v>
      </c>
      <c r="D428" s="2" t="s">
        <v>6141</v>
      </c>
      <c r="E428" s="25">
        <v>313150</v>
      </c>
      <c r="F428" s="2"/>
      <c r="G428" s="2" t="s">
        <v>6232</v>
      </c>
      <c r="H428" s="2"/>
      <c r="I428" s="2" t="s">
        <v>6232</v>
      </c>
      <c r="J428" s="2"/>
      <c r="K428" s="2" t="s">
        <v>6232</v>
      </c>
      <c r="L428" s="25">
        <v>341950</v>
      </c>
      <c r="M428" s="2" t="s">
        <v>3761</v>
      </c>
      <c r="N428" s="25">
        <v>313150</v>
      </c>
      <c r="O428" s="2" t="s">
        <v>101</v>
      </c>
      <c r="P428" s="25">
        <v>473000</v>
      </c>
      <c r="Q428" s="12" t="s">
        <v>6051</v>
      </c>
      <c r="V428" t="s">
        <v>6232</v>
      </c>
      <c r="W428" t="s">
        <v>6232</v>
      </c>
      <c r="X428" t="s">
        <v>6232</v>
      </c>
    </row>
    <row r="429" spans="1:24" ht="18.399999999999999" hidden="1" customHeight="1">
      <c r="A429" s="11" t="s">
        <v>4176</v>
      </c>
      <c r="B429" s="2" t="s">
        <v>5254</v>
      </c>
      <c r="C429" s="2" t="s">
        <v>5633</v>
      </c>
      <c r="D429" s="2" t="s">
        <v>6141</v>
      </c>
      <c r="E429" s="25">
        <v>318250</v>
      </c>
      <c r="F429" s="2"/>
      <c r="G429" s="2" t="s">
        <v>6232</v>
      </c>
      <c r="H429" s="2"/>
      <c r="I429" s="2" t="s">
        <v>6232</v>
      </c>
      <c r="J429" s="2"/>
      <c r="K429" s="2" t="s">
        <v>6232</v>
      </c>
      <c r="L429" s="25">
        <v>345300</v>
      </c>
      <c r="M429" s="2" t="s">
        <v>3761</v>
      </c>
      <c r="N429" s="25">
        <v>318250</v>
      </c>
      <c r="O429" s="2" t="s">
        <v>101</v>
      </c>
      <c r="P429" s="25">
        <v>476500</v>
      </c>
      <c r="Q429" s="12" t="s">
        <v>6051</v>
      </c>
      <c r="V429" t="s">
        <v>6232</v>
      </c>
      <c r="W429" t="s">
        <v>6232</v>
      </c>
      <c r="X429" t="s">
        <v>6232</v>
      </c>
    </row>
    <row r="430" spans="1:24" ht="18.399999999999999" hidden="1" customHeight="1">
      <c r="A430" s="11" t="s">
        <v>6042</v>
      </c>
      <c r="B430" s="2" t="s">
        <v>5254</v>
      </c>
      <c r="C430" s="2" t="s">
        <v>5634</v>
      </c>
      <c r="D430" s="2" t="s">
        <v>6141</v>
      </c>
      <c r="E430" s="25">
        <v>330210</v>
      </c>
      <c r="F430" s="2"/>
      <c r="G430" s="2" t="s">
        <v>6232</v>
      </c>
      <c r="H430" s="2"/>
      <c r="I430" s="2" t="s">
        <v>6232</v>
      </c>
      <c r="J430" s="2"/>
      <c r="K430" s="2" t="s">
        <v>6232</v>
      </c>
      <c r="L430" s="25">
        <v>355730</v>
      </c>
      <c r="M430" s="2" t="s">
        <v>3761</v>
      </c>
      <c r="N430" s="25">
        <v>330210</v>
      </c>
      <c r="O430" s="2" t="s">
        <v>101</v>
      </c>
      <c r="P430" s="25">
        <v>490800</v>
      </c>
      <c r="Q430" s="12" t="s">
        <v>6051</v>
      </c>
      <c r="V430" t="s">
        <v>6232</v>
      </c>
      <c r="W430" t="s">
        <v>6232</v>
      </c>
      <c r="X430" t="s">
        <v>6232</v>
      </c>
    </row>
    <row r="431" spans="1:24" ht="18.399999999999999" hidden="1" customHeight="1">
      <c r="A431" s="11" t="s">
        <v>4377</v>
      </c>
      <c r="B431" s="2" t="s">
        <v>5254</v>
      </c>
      <c r="C431" s="2" t="s">
        <v>6130</v>
      </c>
      <c r="D431" s="2" t="s">
        <v>6141</v>
      </c>
      <c r="E431" s="25">
        <v>346950</v>
      </c>
      <c r="F431" s="2"/>
      <c r="G431" s="2" t="s">
        <v>6232</v>
      </c>
      <c r="H431" s="2"/>
      <c r="I431" s="2" t="s">
        <v>6232</v>
      </c>
      <c r="J431" s="2"/>
      <c r="K431" s="2" t="s">
        <v>6232</v>
      </c>
      <c r="L431" s="25">
        <v>420280</v>
      </c>
      <c r="M431" s="2" t="s">
        <v>3761</v>
      </c>
      <c r="N431" s="25">
        <v>346950</v>
      </c>
      <c r="O431" s="2" t="s">
        <v>101</v>
      </c>
      <c r="P431" s="25">
        <v>510600</v>
      </c>
      <c r="Q431" s="12" t="s">
        <v>6051</v>
      </c>
      <c r="V431" t="s">
        <v>6232</v>
      </c>
      <c r="W431" t="s">
        <v>6232</v>
      </c>
      <c r="X431" t="s">
        <v>6232</v>
      </c>
    </row>
    <row r="432" spans="1:24" ht="18.399999999999999" hidden="1" customHeight="1">
      <c r="A432" s="11" t="s">
        <v>5055</v>
      </c>
      <c r="B432" s="2" t="s">
        <v>5254</v>
      </c>
      <c r="C432" s="2" t="s">
        <v>4223</v>
      </c>
      <c r="D432" s="2" t="s">
        <v>6141</v>
      </c>
      <c r="E432" s="25">
        <v>428790</v>
      </c>
      <c r="F432" s="2"/>
      <c r="G432" s="2" t="s">
        <v>6232</v>
      </c>
      <c r="H432" s="2"/>
      <c r="I432" s="2" t="s">
        <v>6232</v>
      </c>
      <c r="J432" s="2"/>
      <c r="K432" s="2" t="s">
        <v>6232</v>
      </c>
      <c r="L432" s="25">
        <v>440280</v>
      </c>
      <c r="M432" s="2" t="s">
        <v>3761</v>
      </c>
      <c r="N432" s="25">
        <v>428790</v>
      </c>
      <c r="O432" s="2" t="s">
        <v>101</v>
      </c>
      <c r="P432" s="25">
        <v>529900</v>
      </c>
      <c r="Q432" s="12" t="s">
        <v>6051</v>
      </c>
      <c r="V432" t="s">
        <v>6232</v>
      </c>
      <c r="W432" t="s">
        <v>6232</v>
      </c>
      <c r="X432" t="s">
        <v>6232</v>
      </c>
    </row>
    <row r="433" spans="1:24" ht="18.399999999999999" hidden="1" customHeight="1">
      <c r="A433" s="11" t="s">
        <v>5082</v>
      </c>
      <c r="B433" s="2" t="s">
        <v>5254</v>
      </c>
      <c r="C433" s="2" t="s">
        <v>5500</v>
      </c>
      <c r="D433" s="2" t="s">
        <v>6141</v>
      </c>
      <c r="E433" s="25">
        <v>436490</v>
      </c>
      <c r="F433" s="2"/>
      <c r="G433" s="2" t="s">
        <v>6232</v>
      </c>
      <c r="H433" s="2"/>
      <c r="I433" s="2" t="s">
        <v>6232</v>
      </c>
      <c r="J433" s="2"/>
      <c r="K433" s="2" t="s">
        <v>6232</v>
      </c>
      <c r="L433" s="25">
        <v>443380</v>
      </c>
      <c r="M433" s="2" t="s">
        <v>3761</v>
      </c>
      <c r="N433" s="25">
        <v>436490</v>
      </c>
      <c r="O433" s="2" t="s">
        <v>101</v>
      </c>
      <c r="P433" s="25">
        <v>538100</v>
      </c>
      <c r="Q433" s="12" t="s">
        <v>6051</v>
      </c>
      <c r="V433" t="s">
        <v>6232</v>
      </c>
      <c r="W433" t="s">
        <v>6232</v>
      </c>
      <c r="X433" t="s">
        <v>6232</v>
      </c>
    </row>
    <row r="434" spans="1:24" ht="18.399999999999999" hidden="1" customHeight="1">
      <c r="A434" s="11" t="s">
        <v>3171</v>
      </c>
      <c r="B434" s="2" t="s">
        <v>5254</v>
      </c>
      <c r="C434" s="2" t="s">
        <v>3735</v>
      </c>
      <c r="D434" s="2" t="s">
        <v>6141</v>
      </c>
      <c r="E434" s="25">
        <v>459680</v>
      </c>
      <c r="F434" s="2"/>
      <c r="G434" s="2" t="s">
        <v>6232</v>
      </c>
      <c r="H434" s="2"/>
      <c r="I434" s="2" t="s">
        <v>6232</v>
      </c>
      <c r="J434" s="2"/>
      <c r="K434" s="2" t="s">
        <v>6232</v>
      </c>
      <c r="L434" s="25">
        <v>469400</v>
      </c>
      <c r="M434" s="2" t="s">
        <v>3761</v>
      </c>
      <c r="N434" s="25">
        <v>459680</v>
      </c>
      <c r="O434" s="2" t="s">
        <v>101</v>
      </c>
      <c r="P434" s="25">
        <v>642000</v>
      </c>
      <c r="Q434" s="12" t="s">
        <v>6051</v>
      </c>
      <c r="V434" t="s">
        <v>6232</v>
      </c>
      <c r="W434" t="s">
        <v>6232</v>
      </c>
      <c r="X434" t="s">
        <v>6232</v>
      </c>
    </row>
    <row r="435" spans="1:24" ht="18.399999999999999" hidden="1" customHeight="1">
      <c r="A435" s="11" t="s">
        <v>4546</v>
      </c>
      <c r="B435" s="2" t="s">
        <v>5254</v>
      </c>
      <c r="C435" s="2" t="s">
        <v>4619</v>
      </c>
      <c r="D435" s="2" t="s">
        <v>6141</v>
      </c>
      <c r="E435" s="25">
        <v>472640</v>
      </c>
      <c r="F435" s="2"/>
      <c r="G435" s="2" t="s">
        <v>6232</v>
      </c>
      <c r="H435" s="2"/>
      <c r="I435" s="2" t="s">
        <v>6232</v>
      </c>
      <c r="J435" s="2"/>
      <c r="K435" s="2" t="s">
        <v>6232</v>
      </c>
      <c r="L435" s="25">
        <v>475610</v>
      </c>
      <c r="M435" s="2" t="s">
        <v>3761</v>
      </c>
      <c r="N435" s="25">
        <v>472640</v>
      </c>
      <c r="O435" s="2" t="s">
        <v>101</v>
      </c>
      <c r="P435" s="25">
        <v>647500</v>
      </c>
      <c r="Q435" s="12" t="s">
        <v>6051</v>
      </c>
      <c r="V435" t="s">
        <v>6232</v>
      </c>
      <c r="W435" t="s">
        <v>6232</v>
      </c>
      <c r="X435" t="s">
        <v>6232</v>
      </c>
    </row>
    <row r="436" spans="1:24" ht="18.399999999999999" hidden="1" customHeight="1">
      <c r="A436" s="11" t="s">
        <v>3842</v>
      </c>
      <c r="B436" s="2" t="s">
        <v>5254</v>
      </c>
      <c r="C436" s="2" t="s">
        <v>3128</v>
      </c>
      <c r="D436" s="2" t="s">
        <v>6141</v>
      </c>
      <c r="E436" s="25">
        <v>503010</v>
      </c>
      <c r="F436" s="2"/>
      <c r="G436" s="2" t="s">
        <v>6232</v>
      </c>
      <c r="H436" s="2"/>
      <c r="I436" s="2" t="s">
        <v>6232</v>
      </c>
      <c r="J436" s="2"/>
      <c r="K436" s="2" t="s">
        <v>6232</v>
      </c>
      <c r="L436" s="25">
        <v>503010</v>
      </c>
      <c r="M436" s="2" t="s">
        <v>3761</v>
      </c>
      <c r="N436" s="25">
        <v>503480</v>
      </c>
      <c r="O436" s="2" t="s">
        <v>101</v>
      </c>
      <c r="P436" s="25">
        <v>675100</v>
      </c>
      <c r="Q436" s="12" t="s">
        <v>6051</v>
      </c>
      <c r="V436" t="s">
        <v>6232</v>
      </c>
      <c r="W436" t="s">
        <v>6232</v>
      </c>
      <c r="X436" t="s">
        <v>6232</v>
      </c>
    </row>
    <row r="437" spans="1:24" ht="18.399999999999999" hidden="1" customHeight="1">
      <c r="A437" s="11" t="s">
        <v>3561</v>
      </c>
      <c r="B437" s="2" t="s">
        <v>5254</v>
      </c>
      <c r="C437" s="2" t="s">
        <v>4107</v>
      </c>
      <c r="D437" s="2" t="s">
        <v>6141</v>
      </c>
      <c r="E437" s="25">
        <v>510710</v>
      </c>
      <c r="F437" s="2"/>
      <c r="G437" s="2" t="s">
        <v>6232</v>
      </c>
      <c r="H437" s="2"/>
      <c r="I437" s="2" t="s">
        <v>6232</v>
      </c>
      <c r="J437" s="2"/>
      <c r="K437" s="2" t="s">
        <v>6232</v>
      </c>
      <c r="L437" s="25">
        <v>510710</v>
      </c>
      <c r="M437" s="2" t="s">
        <v>3761</v>
      </c>
      <c r="N437" s="25">
        <v>515090</v>
      </c>
      <c r="O437" s="2" t="s">
        <v>101</v>
      </c>
      <c r="P437" s="25">
        <v>680600</v>
      </c>
      <c r="Q437" s="12" t="s">
        <v>6051</v>
      </c>
      <c r="V437" t="s">
        <v>6232</v>
      </c>
      <c r="W437" t="s">
        <v>6232</v>
      </c>
      <c r="X437" t="s">
        <v>6232</v>
      </c>
    </row>
    <row r="438" spans="1:24" ht="18.399999999999999" hidden="1" customHeight="1">
      <c r="A438" s="11" t="s">
        <v>1841</v>
      </c>
      <c r="B438" s="2" t="s">
        <v>5254</v>
      </c>
      <c r="C438" s="2" t="s">
        <v>5765</v>
      </c>
      <c r="D438" s="2" t="s">
        <v>6141</v>
      </c>
      <c r="E438" s="25">
        <v>562720</v>
      </c>
      <c r="F438" s="2"/>
      <c r="G438" s="2" t="s">
        <v>6232</v>
      </c>
      <c r="H438" s="2"/>
      <c r="I438" s="2" t="s">
        <v>6232</v>
      </c>
      <c r="J438" s="2"/>
      <c r="K438" s="2" t="s">
        <v>6232</v>
      </c>
      <c r="L438" s="25">
        <v>562720</v>
      </c>
      <c r="M438" s="2" t="s">
        <v>3761</v>
      </c>
      <c r="N438" s="25">
        <v>597560</v>
      </c>
      <c r="O438" s="2" t="s">
        <v>101</v>
      </c>
      <c r="P438" s="25">
        <v>731500</v>
      </c>
      <c r="Q438" s="12" t="s">
        <v>6051</v>
      </c>
      <c r="V438" t="s">
        <v>6232</v>
      </c>
      <c r="W438" t="s">
        <v>6232</v>
      </c>
      <c r="X438" t="s">
        <v>6232</v>
      </c>
    </row>
    <row r="439" spans="1:24" ht="18.399999999999999" hidden="1" customHeight="1">
      <c r="A439" s="11" t="s">
        <v>128</v>
      </c>
      <c r="B439" s="2" t="s">
        <v>5254</v>
      </c>
      <c r="C439" s="2" t="s">
        <v>1072</v>
      </c>
      <c r="D439" s="2" t="s">
        <v>6141</v>
      </c>
      <c r="E439" s="25">
        <v>570890</v>
      </c>
      <c r="F439" s="2"/>
      <c r="G439" s="2" t="s">
        <v>6232</v>
      </c>
      <c r="H439" s="2"/>
      <c r="I439" s="2" t="s">
        <v>6232</v>
      </c>
      <c r="J439" s="2"/>
      <c r="K439" s="2" t="s">
        <v>6232</v>
      </c>
      <c r="L439" s="25">
        <v>570890</v>
      </c>
      <c r="M439" s="2" t="s">
        <v>3761</v>
      </c>
      <c r="N439" s="25">
        <v>598590</v>
      </c>
      <c r="O439" s="2" t="s">
        <v>101</v>
      </c>
      <c r="P439" s="25">
        <v>740100</v>
      </c>
      <c r="Q439" s="12" t="s">
        <v>6051</v>
      </c>
      <c r="V439" t="s">
        <v>6232</v>
      </c>
      <c r="W439" t="s">
        <v>6232</v>
      </c>
      <c r="X439" t="s">
        <v>6232</v>
      </c>
    </row>
    <row r="440" spans="1:24" ht="18.399999999999999" hidden="1" customHeight="1">
      <c r="A440" s="11" t="s">
        <v>2831</v>
      </c>
      <c r="B440" s="2" t="s">
        <v>5254</v>
      </c>
      <c r="C440" s="2" t="s">
        <v>3340</v>
      </c>
      <c r="D440" s="2" t="s">
        <v>6141</v>
      </c>
      <c r="E440" s="25">
        <v>758390</v>
      </c>
      <c r="F440" s="2"/>
      <c r="G440" s="2" t="s">
        <v>6232</v>
      </c>
      <c r="H440" s="2"/>
      <c r="I440" s="2" t="s">
        <v>6232</v>
      </c>
      <c r="J440" s="2"/>
      <c r="K440" s="2" t="s">
        <v>6232</v>
      </c>
      <c r="L440" s="25">
        <v>758390</v>
      </c>
      <c r="M440" s="2" t="s">
        <v>3761</v>
      </c>
      <c r="N440" s="25">
        <v>794500</v>
      </c>
      <c r="O440" s="2" t="s">
        <v>101</v>
      </c>
      <c r="P440" s="25">
        <v>1008800</v>
      </c>
      <c r="Q440" s="12" t="s">
        <v>6051</v>
      </c>
      <c r="V440" t="s">
        <v>6232</v>
      </c>
      <c r="W440" t="s">
        <v>6232</v>
      </c>
      <c r="X440" t="s">
        <v>6232</v>
      </c>
    </row>
    <row r="441" spans="1:24" ht="18.399999999999999" hidden="1" customHeight="1">
      <c r="A441" s="11" t="s">
        <v>2551</v>
      </c>
      <c r="B441" s="2" t="s">
        <v>5254</v>
      </c>
      <c r="C441" s="2" t="s">
        <v>3468</v>
      </c>
      <c r="D441" s="2" t="s">
        <v>6141</v>
      </c>
      <c r="E441" s="25">
        <v>790350</v>
      </c>
      <c r="F441" s="2"/>
      <c r="G441" s="2" t="s">
        <v>6232</v>
      </c>
      <c r="H441" s="2"/>
      <c r="I441" s="2" t="s">
        <v>6232</v>
      </c>
      <c r="J441" s="2"/>
      <c r="K441" s="2" t="s">
        <v>6232</v>
      </c>
      <c r="L441" s="25">
        <v>790350</v>
      </c>
      <c r="M441" s="2" t="s">
        <v>3761</v>
      </c>
      <c r="N441" s="25">
        <v>835820</v>
      </c>
      <c r="O441" s="2" t="s">
        <v>101</v>
      </c>
      <c r="P441" s="25">
        <v>1042800</v>
      </c>
      <c r="Q441" s="12" t="s">
        <v>6051</v>
      </c>
      <c r="V441" t="s">
        <v>6232</v>
      </c>
      <c r="W441" t="s">
        <v>6232</v>
      </c>
      <c r="X441" t="s">
        <v>6232</v>
      </c>
    </row>
    <row r="442" spans="1:24" ht="18.399999999999999" hidden="1" customHeight="1">
      <c r="A442" s="11" t="s">
        <v>4547</v>
      </c>
      <c r="B442" s="2" t="s">
        <v>5254</v>
      </c>
      <c r="C442" s="2" t="s">
        <v>4404</v>
      </c>
      <c r="D442" s="2" t="s">
        <v>6141</v>
      </c>
      <c r="E442" s="25">
        <v>865060</v>
      </c>
      <c r="F442" s="2"/>
      <c r="G442" s="2" t="s">
        <v>6232</v>
      </c>
      <c r="H442" s="2"/>
      <c r="I442" s="2" t="s">
        <v>6232</v>
      </c>
      <c r="J442" s="2"/>
      <c r="K442" s="2" t="s">
        <v>6232</v>
      </c>
      <c r="L442" s="25">
        <v>865060</v>
      </c>
      <c r="M442" s="2" t="s">
        <v>3761</v>
      </c>
      <c r="N442" s="25">
        <v>900000</v>
      </c>
      <c r="O442" s="2" t="s">
        <v>101</v>
      </c>
      <c r="P442" s="25">
        <v>1110200</v>
      </c>
      <c r="Q442" s="12" t="s">
        <v>6051</v>
      </c>
      <c r="V442" t="s">
        <v>6232</v>
      </c>
      <c r="W442" t="s">
        <v>6232</v>
      </c>
      <c r="X442" t="s">
        <v>6232</v>
      </c>
    </row>
    <row r="443" spans="1:24" ht="18.399999999999999" hidden="1" customHeight="1">
      <c r="A443" s="11" t="s">
        <v>6066</v>
      </c>
      <c r="B443" s="2" t="s">
        <v>5254</v>
      </c>
      <c r="C443" s="2" t="s">
        <v>2257</v>
      </c>
      <c r="D443" s="2" t="s">
        <v>6141</v>
      </c>
      <c r="E443" s="25">
        <v>915890</v>
      </c>
      <c r="F443" s="2"/>
      <c r="G443" s="2" t="s">
        <v>6232</v>
      </c>
      <c r="H443" s="2"/>
      <c r="I443" s="2" t="s">
        <v>6232</v>
      </c>
      <c r="J443" s="2"/>
      <c r="K443" s="2" t="s">
        <v>6232</v>
      </c>
      <c r="L443" s="25">
        <v>915890</v>
      </c>
      <c r="M443" s="2" t="s">
        <v>3761</v>
      </c>
      <c r="N443" s="25">
        <v>948430</v>
      </c>
      <c r="O443" s="2" t="s">
        <v>101</v>
      </c>
      <c r="P443" s="25">
        <v>1155400</v>
      </c>
      <c r="Q443" s="12" t="s">
        <v>6051</v>
      </c>
      <c r="V443" t="s">
        <v>6232</v>
      </c>
      <c r="W443" t="s">
        <v>6232</v>
      </c>
      <c r="X443" t="s">
        <v>6232</v>
      </c>
    </row>
    <row r="444" spans="1:24" ht="18.399999999999999" hidden="1" customHeight="1">
      <c r="A444" s="11" t="s">
        <v>3314</v>
      </c>
      <c r="B444" s="2" t="s">
        <v>5254</v>
      </c>
      <c r="C444" s="2" t="s">
        <v>6079</v>
      </c>
      <c r="D444" s="2" t="s">
        <v>6141</v>
      </c>
      <c r="E444" s="25">
        <v>1040880</v>
      </c>
      <c r="F444" s="2"/>
      <c r="G444" s="2" t="s">
        <v>6232</v>
      </c>
      <c r="H444" s="2"/>
      <c r="I444" s="2" t="s">
        <v>6232</v>
      </c>
      <c r="J444" s="2"/>
      <c r="K444" s="2" t="s">
        <v>6232</v>
      </c>
      <c r="L444" s="25">
        <v>1057530</v>
      </c>
      <c r="M444" s="2" t="s">
        <v>3761</v>
      </c>
      <c r="N444" s="25">
        <v>1040880</v>
      </c>
      <c r="O444" s="2" t="s">
        <v>101</v>
      </c>
      <c r="P444" s="25">
        <v>1296200</v>
      </c>
      <c r="Q444" s="12" t="s">
        <v>6051</v>
      </c>
      <c r="V444" t="s">
        <v>6232</v>
      </c>
      <c r="W444" t="s">
        <v>6232</v>
      </c>
      <c r="X444" t="s">
        <v>6232</v>
      </c>
    </row>
    <row r="445" spans="1:24" ht="18.399999999999999" hidden="1" customHeight="1">
      <c r="A445" s="11" t="s">
        <v>6120</v>
      </c>
      <c r="B445" s="2" t="s">
        <v>5254</v>
      </c>
      <c r="C445" s="2" t="s">
        <v>2787</v>
      </c>
      <c r="D445" s="2" t="s">
        <v>6141</v>
      </c>
      <c r="E445" s="25">
        <v>1085820</v>
      </c>
      <c r="F445" s="2"/>
      <c r="G445" s="2" t="s">
        <v>6232</v>
      </c>
      <c r="H445" s="2"/>
      <c r="I445" s="2" t="s">
        <v>6232</v>
      </c>
      <c r="J445" s="2"/>
      <c r="K445" s="2" t="s">
        <v>6232</v>
      </c>
      <c r="L445" s="25">
        <v>1085820</v>
      </c>
      <c r="M445" s="2" t="s">
        <v>3761</v>
      </c>
      <c r="N445" s="25">
        <v>1122040</v>
      </c>
      <c r="O445" s="2" t="s">
        <v>101</v>
      </c>
      <c r="P445" s="25">
        <v>1316100</v>
      </c>
      <c r="Q445" s="12" t="s">
        <v>6051</v>
      </c>
      <c r="V445" t="s">
        <v>6232</v>
      </c>
      <c r="W445" t="s">
        <v>6232</v>
      </c>
      <c r="X445" t="s">
        <v>6232</v>
      </c>
    </row>
    <row r="446" spans="1:24" ht="18.399999999999999" hidden="1" customHeight="1">
      <c r="A446" s="11" t="s">
        <v>1233</v>
      </c>
      <c r="B446" s="2" t="s">
        <v>5254</v>
      </c>
      <c r="C446" s="2" t="s">
        <v>4904</v>
      </c>
      <c r="D446" s="2" t="s">
        <v>6141</v>
      </c>
      <c r="E446" s="25">
        <v>1214150</v>
      </c>
      <c r="F446" s="2"/>
      <c r="G446" s="2" t="s">
        <v>6232</v>
      </c>
      <c r="H446" s="2"/>
      <c r="I446" s="2" t="s">
        <v>6232</v>
      </c>
      <c r="J446" s="2"/>
      <c r="K446" s="2" t="s">
        <v>6232</v>
      </c>
      <c r="L446" s="25">
        <v>1486480</v>
      </c>
      <c r="M446" s="2" t="s">
        <v>3761</v>
      </c>
      <c r="N446" s="25">
        <v>1214150</v>
      </c>
      <c r="O446" s="2" t="s">
        <v>101</v>
      </c>
      <c r="P446" s="25">
        <v>1435100</v>
      </c>
      <c r="Q446" s="12" t="s">
        <v>6051</v>
      </c>
      <c r="V446" t="s">
        <v>6232</v>
      </c>
      <c r="W446" t="s">
        <v>6232</v>
      </c>
      <c r="X446" t="s">
        <v>6232</v>
      </c>
    </row>
    <row r="447" spans="1:24" ht="18.399999999999999" hidden="1" customHeight="1">
      <c r="A447" s="11" t="s">
        <v>2856</v>
      </c>
      <c r="B447" s="2" t="s">
        <v>5254</v>
      </c>
      <c r="C447" s="2" t="s">
        <v>781</v>
      </c>
      <c r="D447" s="2" t="s">
        <v>6141</v>
      </c>
      <c r="E447" s="25">
        <v>1246050</v>
      </c>
      <c r="F447" s="2"/>
      <c r="G447" s="2" t="s">
        <v>6232</v>
      </c>
      <c r="H447" s="2"/>
      <c r="I447" s="2" t="s">
        <v>6232</v>
      </c>
      <c r="J447" s="2"/>
      <c r="K447" s="2" t="s">
        <v>6232</v>
      </c>
      <c r="L447" s="25">
        <v>1518000</v>
      </c>
      <c r="M447" s="2" t="s">
        <v>3761</v>
      </c>
      <c r="N447" s="25">
        <v>1246050</v>
      </c>
      <c r="O447" s="2" t="s">
        <v>101</v>
      </c>
      <c r="P447" s="25">
        <v>1460900</v>
      </c>
      <c r="Q447" s="12" t="s">
        <v>6051</v>
      </c>
      <c r="V447" t="s">
        <v>6232</v>
      </c>
      <c r="W447" t="s">
        <v>6232</v>
      </c>
      <c r="X447" t="s">
        <v>6232</v>
      </c>
    </row>
    <row r="448" spans="1:24" ht="18.399999999999999" hidden="1" customHeight="1">
      <c r="A448" s="11" t="s">
        <v>157</v>
      </c>
      <c r="B448" s="2" t="s">
        <v>5254</v>
      </c>
      <c r="C448" s="2" t="s">
        <v>3251</v>
      </c>
      <c r="D448" s="2" t="s">
        <v>6141</v>
      </c>
      <c r="E448" s="25">
        <v>1460050</v>
      </c>
      <c r="F448" s="2"/>
      <c r="G448" s="2" t="s">
        <v>6232</v>
      </c>
      <c r="H448" s="2"/>
      <c r="I448" s="2" t="s">
        <v>6232</v>
      </c>
      <c r="J448" s="2"/>
      <c r="K448" s="2" t="s">
        <v>6232</v>
      </c>
      <c r="L448" s="25">
        <v>1594890</v>
      </c>
      <c r="M448" s="2" t="s">
        <v>3761</v>
      </c>
      <c r="N448" s="25">
        <v>1460050</v>
      </c>
      <c r="O448" s="2" t="s">
        <v>101</v>
      </c>
      <c r="P448" s="25">
        <v>1772700</v>
      </c>
      <c r="Q448" s="12" t="s">
        <v>6051</v>
      </c>
      <c r="V448" t="s">
        <v>6232</v>
      </c>
      <c r="W448" t="s">
        <v>6232</v>
      </c>
      <c r="X448" t="s">
        <v>6232</v>
      </c>
    </row>
    <row r="449" spans="1:24" ht="18.399999999999999" hidden="1" customHeight="1">
      <c r="A449" s="11" t="s">
        <v>4822</v>
      </c>
      <c r="B449" s="2" t="s">
        <v>5254</v>
      </c>
      <c r="C449" s="2" t="s">
        <v>5160</v>
      </c>
      <c r="D449" s="2" t="s">
        <v>6141</v>
      </c>
      <c r="E449" s="25">
        <v>1476600</v>
      </c>
      <c r="F449" s="2"/>
      <c r="G449" s="2" t="s">
        <v>6232</v>
      </c>
      <c r="H449" s="2"/>
      <c r="I449" s="2" t="s">
        <v>6232</v>
      </c>
      <c r="J449" s="2"/>
      <c r="K449" s="2" t="s">
        <v>6232</v>
      </c>
      <c r="L449" s="25">
        <v>1585480</v>
      </c>
      <c r="M449" s="2" t="s">
        <v>3761</v>
      </c>
      <c r="N449" s="25">
        <v>1476600</v>
      </c>
      <c r="O449" s="2" t="s">
        <v>101</v>
      </c>
      <c r="P449" s="25">
        <v>1761500</v>
      </c>
      <c r="Q449" s="12" t="s">
        <v>6051</v>
      </c>
      <c r="V449" t="s">
        <v>6232</v>
      </c>
      <c r="W449" t="s">
        <v>6232</v>
      </c>
      <c r="X449" t="s">
        <v>6232</v>
      </c>
    </row>
    <row r="450" spans="1:24" ht="18.399999999999999" hidden="1" customHeight="1">
      <c r="A450" s="11" t="s">
        <v>474</v>
      </c>
      <c r="B450" s="2" t="s">
        <v>5254</v>
      </c>
      <c r="C450" s="2" t="s">
        <v>5778</v>
      </c>
      <c r="D450" s="2" t="s">
        <v>6141</v>
      </c>
      <c r="E450" s="25">
        <v>1698180</v>
      </c>
      <c r="F450" s="2"/>
      <c r="G450" s="2" t="s">
        <v>6232</v>
      </c>
      <c r="H450" s="2"/>
      <c r="I450" s="2" t="s">
        <v>6232</v>
      </c>
      <c r="J450" s="2"/>
      <c r="K450" s="2" t="s">
        <v>6232</v>
      </c>
      <c r="L450" s="25">
        <v>1890590</v>
      </c>
      <c r="M450" s="2" t="s">
        <v>3761</v>
      </c>
      <c r="N450" s="25">
        <v>1698180</v>
      </c>
      <c r="O450" s="2" t="s">
        <v>101</v>
      </c>
      <c r="P450" s="25">
        <v>2078500</v>
      </c>
      <c r="Q450" s="12" t="s">
        <v>6051</v>
      </c>
      <c r="V450" t="s">
        <v>6232</v>
      </c>
      <c r="W450" t="s">
        <v>6232</v>
      </c>
      <c r="X450" t="s">
        <v>6232</v>
      </c>
    </row>
    <row r="451" spans="1:24" ht="18.399999999999999" hidden="1" customHeight="1">
      <c r="A451" s="11" t="s">
        <v>2087</v>
      </c>
      <c r="B451" s="2" t="s">
        <v>5254</v>
      </c>
      <c r="C451" s="2" t="s">
        <v>160</v>
      </c>
      <c r="D451" s="2" t="s">
        <v>6141</v>
      </c>
      <c r="E451" s="25">
        <v>1717090</v>
      </c>
      <c r="F451" s="2"/>
      <c r="G451" s="2" t="s">
        <v>6232</v>
      </c>
      <c r="H451" s="2"/>
      <c r="I451" s="2" t="s">
        <v>6232</v>
      </c>
      <c r="J451" s="2"/>
      <c r="K451" s="2" t="s">
        <v>6232</v>
      </c>
      <c r="L451" s="25">
        <v>1868890</v>
      </c>
      <c r="M451" s="2" t="s">
        <v>3761</v>
      </c>
      <c r="N451" s="25">
        <v>1717090</v>
      </c>
      <c r="O451" s="2" t="s">
        <v>101</v>
      </c>
      <c r="P451" s="25">
        <v>2072300</v>
      </c>
      <c r="Q451" s="12" t="s">
        <v>6051</v>
      </c>
      <c r="V451" t="s">
        <v>6232</v>
      </c>
      <c r="W451" t="s">
        <v>6232</v>
      </c>
      <c r="X451" t="s">
        <v>6232</v>
      </c>
    </row>
    <row r="452" spans="1:24" ht="18.399999999999999" hidden="1" customHeight="1">
      <c r="A452" s="11" t="s">
        <v>936</v>
      </c>
      <c r="B452" s="2" t="s">
        <v>5254</v>
      </c>
      <c r="C452" s="2" t="s">
        <v>3928</v>
      </c>
      <c r="D452" s="2" t="s">
        <v>6141</v>
      </c>
      <c r="E452" s="25">
        <v>1855850</v>
      </c>
      <c r="F452" s="2"/>
      <c r="G452" s="2" t="s">
        <v>6232</v>
      </c>
      <c r="H452" s="2"/>
      <c r="I452" s="2" t="s">
        <v>6232</v>
      </c>
      <c r="J452" s="2"/>
      <c r="K452" s="2" t="s">
        <v>6232</v>
      </c>
      <c r="L452" s="25">
        <v>1855850</v>
      </c>
      <c r="M452" s="2" t="s">
        <v>3761</v>
      </c>
      <c r="N452" s="25">
        <v>2202580</v>
      </c>
      <c r="O452" s="2" t="s">
        <v>101</v>
      </c>
      <c r="P452" s="25">
        <v>2047600</v>
      </c>
      <c r="Q452" s="12" t="s">
        <v>6051</v>
      </c>
      <c r="V452" t="s">
        <v>6232</v>
      </c>
      <c r="W452" t="s">
        <v>6232</v>
      </c>
      <c r="X452" t="s">
        <v>6232</v>
      </c>
    </row>
    <row r="453" spans="1:24" ht="18.399999999999999" hidden="1" customHeight="1">
      <c r="A453" s="11" t="s">
        <v>2035</v>
      </c>
      <c r="B453" s="2" t="s">
        <v>5254</v>
      </c>
      <c r="C453" s="2" t="s">
        <v>1143</v>
      </c>
      <c r="D453" s="2" t="s">
        <v>6141</v>
      </c>
      <c r="E453" s="25">
        <v>1906430</v>
      </c>
      <c r="F453" s="2"/>
      <c r="G453" s="2" t="s">
        <v>6232</v>
      </c>
      <c r="H453" s="2"/>
      <c r="I453" s="2" t="s">
        <v>6232</v>
      </c>
      <c r="J453" s="2"/>
      <c r="K453" s="2" t="s">
        <v>6232</v>
      </c>
      <c r="L453" s="25">
        <v>1906430</v>
      </c>
      <c r="M453" s="2" t="s">
        <v>3761</v>
      </c>
      <c r="N453" s="25">
        <v>2221700</v>
      </c>
      <c r="O453" s="2" t="s">
        <v>101</v>
      </c>
      <c r="P453" s="25">
        <v>2089700</v>
      </c>
      <c r="Q453" s="12" t="s">
        <v>6051</v>
      </c>
      <c r="V453" t="s">
        <v>6232</v>
      </c>
      <c r="W453" t="s">
        <v>6232</v>
      </c>
      <c r="X453" t="s">
        <v>6232</v>
      </c>
    </row>
    <row r="454" spans="1:24" ht="18.399999999999999" hidden="1" customHeight="1">
      <c r="A454" s="11" t="s">
        <v>3363</v>
      </c>
      <c r="B454" s="2" t="s">
        <v>5254</v>
      </c>
      <c r="C454" s="2" t="s">
        <v>2616</v>
      </c>
      <c r="D454" s="2" t="s">
        <v>6141</v>
      </c>
      <c r="E454" s="25">
        <v>2416200</v>
      </c>
      <c r="F454" s="2"/>
      <c r="G454" s="2" t="s">
        <v>6232</v>
      </c>
      <c r="H454" s="2"/>
      <c r="I454" s="2" t="s">
        <v>6232</v>
      </c>
      <c r="J454" s="2"/>
      <c r="K454" s="2" t="s">
        <v>6232</v>
      </c>
      <c r="L454" s="25">
        <v>2422330</v>
      </c>
      <c r="M454" s="2" t="s">
        <v>3761</v>
      </c>
      <c r="N454" s="25">
        <v>2416200</v>
      </c>
      <c r="O454" s="2" t="s">
        <v>101</v>
      </c>
      <c r="P454" s="25">
        <v>2806600</v>
      </c>
      <c r="Q454" s="12" t="s">
        <v>6051</v>
      </c>
      <c r="V454" t="s">
        <v>6232</v>
      </c>
      <c r="W454" t="s">
        <v>6232</v>
      </c>
      <c r="X454" t="s">
        <v>6232</v>
      </c>
    </row>
    <row r="455" spans="1:24" ht="18.399999999999999" hidden="1" customHeight="1">
      <c r="A455" s="11" t="s">
        <v>5032</v>
      </c>
      <c r="B455" s="2" t="s">
        <v>5254</v>
      </c>
      <c r="C455" s="2" t="s">
        <v>3099</v>
      </c>
      <c r="D455" s="2" t="s">
        <v>6141</v>
      </c>
      <c r="E455" s="25">
        <v>2130540</v>
      </c>
      <c r="F455" s="2"/>
      <c r="G455" s="2" t="s">
        <v>6232</v>
      </c>
      <c r="H455" s="2"/>
      <c r="I455" s="2" t="s">
        <v>6232</v>
      </c>
      <c r="J455" s="2"/>
      <c r="K455" s="2" t="s">
        <v>6232</v>
      </c>
      <c r="L455" s="25">
        <v>2130540</v>
      </c>
      <c r="M455" s="2" t="s">
        <v>3761</v>
      </c>
      <c r="N455" s="25">
        <v>2384450</v>
      </c>
      <c r="O455" s="2" t="s">
        <v>101</v>
      </c>
      <c r="P455" s="25">
        <v>2763900</v>
      </c>
      <c r="Q455" s="12" t="s">
        <v>6051</v>
      </c>
      <c r="V455" t="s">
        <v>6232</v>
      </c>
      <c r="W455" t="s">
        <v>6232</v>
      </c>
      <c r="X455" t="s">
        <v>6232</v>
      </c>
    </row>
    <row r="456" spans="1:24" ht="18.399999999999999" hidden="1" customHeight="1">
      <c r="A456" s="11" t="s">
        <v>4641</v>
      </c>
      <c r="B456" s="2" t="s">
        <v>5254</v>
      </c>
      <c r="C456" s="2" t="s">
        <v>969</v>
      </c>
      <c r="D456" s="2" t="s">
        <v>6141</v>
      </c>
      <c r="E456" s="25">
        <v>2930520</v>
      </c>
      <c r="F456" s="2"/>
      <c r="G456" s="2" t="s">
        <v>6232</v>
      </c>
      <c r="H456" s="2"/>
      <c r="I456" s="2" t="s">
        <v>6232</v>
      </c>
      <c r="J456" s="2"/>
      <c r="K456" s="2" t="s">
        <v>6232</v>
      </c>
      <c r="L456" s="25">
        <v>3042390</v>
      </c>
      <c r="M456" s="2" t="s">
        <v>3761</v>
      </c>
      <c r="N456" s="25">
        <v>2930520</v>
      </c>
      <c r="O456" s="2" t="s">
        <v>101</v>
      </c>
      <c r="P456" s="25">
        <v>3751600</v>
      </c>
      <c r="Q456" s="12" t="s">
        <v>6051</v>
      </c>
      <c r="V456" t="s">
        <v>6232</v>
      </c>
      <c r="W456" t="s">
        <v>6232</v>
      </c>
      <c r="X456" t="s">
        <v>6232</v>
      </c>
    </row>
    <row r="457" spans="1:24" ht="18.399999999999999" hidden="1" customHeight="1">
      <c r="A457" s="11" t="s">
        <v>3974</v>
      </c>
      <c r="B457" s="2" t="s">
        <v>5254</v>
      </c>
      <c r="C457" s="2" t="s">
        <v>829</v>
      </c>
      <c r="D457" s="2" t="s">
        <v>6141</v>
      </c>
      <c r="E457" s="25">
        <v>3011230</v>
      </c>
      <c r="F457" s="2"/>
      <c r="G457" s="2" t="s">
        <v>6232</v>
      </c>
      <c r="H457" s="2"/>
      <c r="I457" s="2" t="s">
        <v>6232</v>
      </c>
      <c r="J457" s="2"/>
      <c r="K457" s="2" t="s">
        <v>6232</v>
      </c>
      <c r="L457" s="25">
        <v>3112430</v>
      </c>
      <c r="M457" s="2" t="s">
        <v>3761</v>
      </c>
      <c r="N457" s="25">
        <v>3011230</v>
      </c>
      <c r="O457" s="2" t="s">
        <v>101</v>
      </c>
      <c r="P457" s="25">
        <v>3800300</v>
      </c>
      <c r="Q457" s="12" t="s">
        <v>6051</v>
      </c>
      <c r="V457" t="s">
        <v>6232</v>
      </c>
      <c r="W457" t="s">
        <v>6232</v>
      </c>
      <c r="X457" t="s">
        <v>6232</v>
      </c>
    </row>
    <row r="458" spans="1:24" ht="18.399999999999999" hidden="1" customHeight="1">
      <c r="A458" s="11" t="s">
        <v>2857</v>
      </c>
      <c r="B458" s="2" t="s">
        <v>5254</v>
      </c>
      <c r="C458" s="2" t="s">
        <v>671</v>
      </c>
      <c r="D458" s="2" t="s">
        <v>6141</v>
      </c>
      <c r="E458" s="25">
        <v>3081590</v>
      </c>
      <c r="F458" s="2"/>
      <c r="G458" s="2" t="s">
        <v>6232</v>
      </c>
      <c r="H458" s="2"/>
      <c r="I458" s="2" t="s">
        <v>6232</v>
      </c>
      <c r="J458" s="2"/>
      <c r="K458" s="2" t="s">
        <v>6232</v>
      </c>
      <c r="L458" s="25">
        <v>3214000</v>
      </c>
      <c r="M458" s="2" t="s">
        <v>3761</v>
      </c>
      <c r="N458" s="25">
        <v>3081590</v>
      </c>
      <c r="O458" s="2" t="s">
        <v>101</v>
      </c>
      <c r="P458" s="25">
        <v>3873300</v>
      </c>
      <c r="Q458" s="12" t="s">
        <v>6051</v>
      </c>
      <c r="V458" t="s">
        <v>6232</v>
      </c>
      <c r="W458" t="s">
        <v>6232</v>
      </c>
      <c r="X458" t="s">
        <v>6232</v>
      </c>
    </row>
    <row r="459" spans="1:24" ht="18.399999999999999" hidden="1" customHeight="1">
      <c r="A459" s="11" t="s">
        <v>1234</v>
      </c>
      <c r="B459" s="2" t="s">
        <v>5254</v>
      </c>
      <c r="C459" s="2" t="s">
        <v>5845</v>
      </c>
      <c r="D459" s="2" t="s">
        <v>6141</v>
      </c>
      <c r="E459" s="25">
        <v>3138510</v>
      </c>
      <c r="F459" s="2"/>
      <c r="G459" s="2" t="s">
        <v>6232</v>
      </c>
      <c r="H459" s="2"/>
      <c r="I459" s="2" t="s">
        <v>6232</v>
      </c>
      <c r="J459" s="2"/>
      <c r="K459" s="2" t="s">
        <v>6232</v>
      </c>
      <c r="L459" s="25">
        <v>3287130</v>
      </c>
      <c r="M459" s="2" t="s">
        <v>3761</v>
      </c>
      <c r="N459" s="25">
        <v>3138510</v>
      </c>
      <c r="O459" s="2" t="s">
        <v>101</v>
      </c>
      <c r="P459" s="25">
        <v>4009800</v>
      </c>
      <c r="Q459" s="12" t="s">
        <v>6051</v>
      </c>
      <c r="V459" t="s">
        <v>6232</v>
      </c>
      <c r="W459" t="s">
        <v>6232</v>
      </c>
      <c r="X459" t="s">
        <v>6232</v>
      </c>
    </row>
    <row r="460" spans="1:24" ht="18.399999999999999" hidden="1" customHeight="1">
      <c r="A460" s="11" t="s">
        <v>1616</v>
      </c>
      <c r="B460" s="2" t="s">
        <v>5254</v>
      </c>
      <c r="C460" s="2" t="s">
        <v>2119</v>
      </c>
      <c r="D460" s="2" t="s">
        <v>6141</v>
      </c>
      <c r="E460" s="25">
        <v>3196510</v>
      </c>
      <c r="F460" s="2"/>
      <c r="G460" s="2" t="s">
        <v>6232</v>
      </c>
      <c r="H460" s="2"/>
      <c r="I460" s="2" t="s">
        <v>6232</v>
      </c>
      <c r="J460" s="2"/>
      <c r="K460" s="2" t="s">
        <v>6232</v>
      </c>
      <c r="L460" s="25">
        <v>3358560</v>
      </c>
      <c r="M460" s="2" t="s">
        <v>3761</v>
      </c>
      <c r="N460" s="25">
        <v>3196510</v>
      </c>
      <c r="O460" s="2" t="s">
        <v>101</v>
      </c>
      <c r="P460" s="25">
        <v>4408500</v>
      </c>
      <c r="Q460" s="12" t="s">
        <v>6051</v>
      </c>
      <c r="V460" t="s">
        <v>6232</v>
      </c>
      <c r="W460" t="s">
        <v>6232</v>
      </c>
      <c r="X460" t="s">
        <v>6232</v>
      </c>
    </row>
    <row r="461" spans="1:24" ht="18.399999999999999" hidden="1" customHeight="1">
      <c r="A461" s="11" t="s">
        <v>1187</v>
      </c>
      <c r="B461" s="2" t="s">
        <v>5254</v>
      </c>
      <c r="C461" s="2" t="s">
        <v>5282</v>
      </c>
      <c r="D461" s="2" t="s">
        <v>6141</v>
      </c>
      <c r="E461" s="25">
        <v>3255950</v>
      </c>
      <c r="F461" s="2"/>
      <c r="G461" s="2" t="s">
        <v>6232</v>
      </c>
      <c r="H461" s="2"/>
      <c r="I461" s="2" t="s">
        <v>6232</v>
      </c>
      <c r="J461" s="2"/>
      <c r="K461" s="2" t="s">
        <v>6232</v>
      </c>
      <c r="L461" s="25">
        <v>3441880</v>
      </c>
      <c r="M461" s="2" t="s">
        <v>3761</v>
      </c>
      <c r="N461" s="25">
        <v>3255950</v>
      </c>
      <c r="O461" s="2" t="s">
        <v>101</v>
      </c>
      <c r="P461" s="25">
        <v>4478400</v>
      </c>
      <c r="Q461" s="12" t="s">
        <v>6051</v>
      </c>
      <c r="V461" t="s">
        <v>6232</v>
      </c>
      <c r="W461" t="s">
        <v>6232</v>
      </c>
      <c r="X461" t="s">
        <v>6232</v>
      </c>
    </row>
    <row r="462" spans="1:24" ht="18.399999999999999" hidden="1" customHeight="1">
      <c r="A462" s="11" t="s">
        <v>6178</v>
      </c>
      <c r="B462" s="2" t="s">
        <v>603</v>
      </c>
      <c r="C462" s="2" t="s">
        <v>5612</v>
      </c>
      <c r="D462" s="2" t="s">
        <v>6141</v>
      </c>
      <c r="E462" s="25">
        <v>215080</v>
      </c>
      <c r="F462" s="2"/>
      <c r="G462" s="2" t="s">
        <v>6232</v>
      </c>
      <c r="H462" s="2"/>
      <c r="I462" s="2" t="s">
        <v>6232</v>
      </c>
      <c r="J462" s="2"/>
      <c r="K462" s="2" t="s">
        <v>6232</v>
      </c>
      <c r="L462" s="25">
        <v>304240</v>
      </c>
      <c r="M462" s="2" t="s">
        <v>3761</v>
      </c>
      <c r="N462" s="25">
        <v>215080</v>
      </c>
      <c r="O462" s="2" t="s">
        <v>101</v>
      </c>
      <c r="P462" s="25">
        <v>347200</v>
      </c>
      <c r="Q462" s="12" t="s">
        <v>6051</v>
      </c>
      <c r="V462" t="s">
        <v>6232</v>
      </c>
      <c r="W462" t="s">
        <v>6232</v>
      </c>
      <c r="X462" t="s">
        <v>6232</v>
      </c>
    </row>
    <row r="463" spans="1:24" ht="18.399999999999999" hidden="1" customHeight="1">
      <c r="A463" s="11" t="s">
        <v>2756</v>
      </c>
      <c r="B463" s="2" t="s">
        <v>603</v>
      </c>
      <c r="C463" s="2" t="s">
        <v>3978</v>
      </c>
      <c r="D463" s="2" t="s">
        <v>6141</v>
      </c>
      <c r="E463" s="25">
        <v>217410</v>
      </c>
      <c r="F463" s="2"/>
      <c r="G463" s="2" t="s">
        <v>6232</v>
      </c>
      <c r="H463" s="2"/>
      <c r="I463" s="2" t="s">
        <v>6232</v>
      </c>
      <c r="J463" s="2"/>
      <c r="K463" s="2" t="s">
        <v>6232</v>
      </c>
      <c r="L463" s="25">
        <v>306390</v>
      </c>
      <c r="M463" s="2" t="s">
        <v>3761</v>
      </c>
      <c r="N463" s="25">
        <v>217410</v>
      </c>
      <c r="O463" s="2" t="s">
        <v>101</v>
      </c>
      <c r="P463" s="25">
        <v>349400</v>
      </c>
      <c r="Q463" s="12" t="s">
        <v>6051</v>
      </c>
      <c r="V463" t="s">
        <v>6232</v>
      </c>
      <c r="W463" t="s">
        <v>6232</v>
      </c>
      <c r="X463" t="s">
        <v>6232</v>
      </c>
    </row>
    <row r="464" spans="1:24" ht="18.399999999999999" hidden="1" customHeight="1">
      <c r="A464" s="11" t="s">
        <v>3492</v>
      </c>
      <c r="B464" s="2" t="s">
        <v>603</v>
      </c>
      <c r="C464" s="2" t="s">
        <v>2004</v>
      </c>
      <c r="D464" s="2" t="s">
        <v>6141</v>
      </c>
      <c r="E464" s="25">
        <v>222040</v>
      </c>
      <c r="F464" s="2"/>
      <c r="G464" s="2" t="s">
        <v>6232</v>
      </c>
      <c r="H464" s="2"/>
      <c r="I464" s="2" t="s">
        <v>6232</v>
      </c>
      <c r="J464" s="2"/>
      <c r="K464" s="2" t="s">
        <v>6232</v>
      </c>
      <c r="L464" s="25">
        <v>331330</v>
      </c>
      <c r="M464" s="2" t="s">
        <v>3761</v>
      </c>
      <c r="N464" s="25">
        <v>222040</v>
      </c>
      <c r="O464" s="2" t="s">
        <v>101</v>
      </c>
      <c r="P464" s="25">
        <v>354500</v>
      </c>
      <c r="Q464" s="12" t="s">
        <v>6051</v>
      </c>
      <c r="V464" t="s">
        <v>6232</v>
      </c>
      <c r="W464" t="s">
        <v>6232</v>
      </c>
      <c r="X464" t="s">
        <v>6232</v>
      </c>
    </row>
    <row r="465" spans="1:24" ht="18.399999999999999" hidden="1" customHeight="1">
      <c r="A465" s="11" t="s">
        <v>2966</v>
      </c>
      <c r="B465" s="2" t="s">
        <v>603</v>
      </c>
      <c r="C465" s="2" t="s">
        <v>2037</v>
      </c>
      <c r="D465" s="2" t="s">
        <v>6141</v>
      </c>
      <c r="E465" s="25">
        <v>224580</v>
      </c>
      <c r="F465" s="2"/>
      <c r="G465" s="2" t="s">
        <v>6232</v>
      </c>
      <c r="H465" s="2"/>
      <c r="I465" s="2" t="s">
        <v>6232</v>
      </c>
      <c r="J465" s="2"/>
      <c r="K465" s="2" t="s">
        <v>6232</v>
      </c>
      <c r="L465" s="25">
        <v>313060</v>
      </c>
      <c r="M465" s="2" t="s">
        <v>3761</v>
      </c>
      <c r="N465" s="25">
        <v>224580</v>
      </c>
      <c r="O465" s="2" t="s">
        <v>101</v>
      </c>
      <c r="P465" s="25">
        <v>356300</v>
      </c>
      <c r="Q465" s="12" t="s">
        <v>6051</v>
      </c>
      <c r="V465" t="s">
        <v>6232</v>
      </c>
      <c r="W465" t="s">
        <v>6232</v>
      </c>
      <c r="X465" t="s">
        <v>6232</v>
      </c>
    </row>
    <row r="466" spans="1:24" ht="18.399999999999999" hidden="1" customHeight="1">
      <c r="A466" s="11" t="s">
        <v>1411</v>
      </c>
      <c r="B466" s="2" t="s">
        <v>603</v>
      </c>
      <c r="C466" s="2" t="s">
        <v>2412</v>
      </c>
      <c r="D466" s="2" t="s">
        <v>6141</v>
      </c>
      <c r="E466" s="25">
        <v>230210</v>
      </c>
      <c r="F466" s="2"/>
      <c r="G466" s="2" t="s">
        <v>6232</v>
      </c>
      <c r="H466" s="2"/>
      <c r="I466" s="2" t="s">
        <v>6232</v>
      </c>
      <c r="J466" s="2"/>
      <c r="K466" s="2" t="s">
        <v>6232</v>
      </c>
      <c r="L466" s="25">
        <v>319000</v>
      </c>
      <c r="M466" s="2" t="s">
        <v>3761</v>
      </c>
      <c r="N466" s="25">
        <v>230210</v>
      </c>
      <c r="O466" s="2" t="s">
        <v>101</v>
      </c>
      <c r="P466" s="25">
        <v>362500</v>
      </c>
      <c r="Q466" s="12" t="s">
        <v>6051</v>
      </c>
      <c r="V466" t="s">
        <v>6232</v>
      </c>
      <c r="W466" t="s">
        <v>6232</v>
      </c>
      <c r="X466" t="s">
        <v>6232</v>
      </c>
    </row>
    <row r="467" spans="1:24" ht="18.399999999999999" hidden="1" customHeight="1">
      <c r="A467" s="11" t="s">
        <v>2858</v>
      </c>
      <c r="B467" s="2" t="s">
        <v>603</v>
      </c>
      <c r="C467" s="2" t="s">
        <v>3074</v>
      </c>
      <c r="D467" s="2" t="s">
        <v>6141</v>
      </c>
      <c r="E467" s="25">
        <v>239080</v>
      </c>
      <c r="F467" s="2"/>
      <c r="G467" s="2" t="s">
        <v>6232</v>
      </c>
      <c r="H467" s="2"/>
      <c r="I467" s="2" t="s">
        <v>6232</v>
      </c>
      <c r="J467" s="2"/>
      <c r="K467" s="2" t="s">
        <v>6232</v>
      </c>
      <c r="L467" s="25">
        <v>330570</v>
      </c>
      <c r="M467" s="2" t="s">
        <v>3761</v>
      </c>
      <c r="N467" s="25">
        <v>239080</v>
      </c>
      <c r="O467" s="2" t="s">
        <v>101</v>
      </c>
      <c r="P467" s="25">
        <v>425100</v>
      </c>
      <c r="Q467" s="12" t="s">
        <v>6051</v>
      </c>
      <c r="V467" t="s">
        <v>6232</v>
      </c>
      <c r="W467" t="s">
        <v>6232</v>
      </c>
      <c r="X467" t="s">
        <v>6232</v>
      </c>
    </row>
    <row r="468" spans="1:24" ht="18.399999999999999" hidden="1" customHeight="1">
      <c r="A468" s="11" t="s">
        <v>2883</v>
      </c>
      <c r="B468" s="2" t="s">
        <v>603</v>
      </c>
      <c r="C468" s="2" t="s">
        <v>1165</v>
      </c>
      <c r="D468" s="2" t="s">
        <v>6141</v>
      </c>
      <c r="E468" s="25">
        <v>246170</v>
      </c>
      <c r="F468" s="2"/>
      <c r="G468" s="2" t="s">
        <v>6232</v>
      </c>
      <c r="H468" s="2"/>
      <c r="I468" s="2" t="s">
        <v>6232</v>
      </c>
      <c r="J468" s="2"/>
      <c r="K468" s="2" t="s">
        <v>6232</v>
      </c>
      <c r="L468" s="25">
        <v>339720</v>
      </c>
      <c r="M468" s="2" t="s">
        <v>3761</v>
      </c>
      <c r="N468" s="25">
        <v>246170</v>
      </c>
      <c r="O468" s="2" t="s">
        <v>101</v>
      </c>
      <c r="P468" s="25">
        <v>446100</v>
      </c>
      <c r="Q468" s="12" t="s">
        <v>6051</v>
      </c>
      <c r="V468" t="s">
        <v>6232</v>
      </c>
      <c r="W468" t="s">
        <v>6232</v>
      </c>
      <c r="X468" t="s">
        <v>6232</v>
      </c>
    </row>
    <row r="469" spans="1:24" ht="18.399999999999999" hidden="1" customHeight="1">
      <c r="A469" s="11" t="s">
        <v>1721</v>
      </c>
      <c r="B469" s="2" t="s">
        <v>603</v>
      </c>
      <c r="C469" s="2" t="s">
        <v>1570</v>
      </c>
      <c r="D469" s="2" t="s">
        <v>6141</v>
      </c>
      <c r="E469" s="25">
        <v>297160</v>
      </c>
      <c r="F469" s="2"/>
      <c r="G469" s="2" t="s">
        <v>6232</v>
      </c>
      <c r="H469" s="2"/>
      <c r="I469" s="2" t="s">
        <v>6232</v>
      </c>
      <c r="J469" s="2"/>
      <c r="K469" s="2" t="s">
        <v>6232</v>
      </c>
      <c r="L469" s="25">
        <v>352660</v>
      </c>
      <c r="M469" s="2" t="s">
        <v>3761</v>
      </c>
      <c r="N469" s="25">
        <v>297160</v>
      </c>
      <c r="O469" s="2" t="s">
        <v>101</v>
      </c>
      <c r="P469" s="25">
        <v>457000</v>
      </c>
      <c r="Q469" s="12" t="s">
        <v>6051</v>
      </c>
      <c r="V469" t="s">
        <v>6232</v>
      </c>
      <c r="W469" t="s">
        <v>6232</v>
      </c>
      <c r="X469" t="s">
        <v>6232</v>
      </c>
    </row>
    <row r="470" spans="1:24" ht="18.399999999999999" hidden="1" customHeight="1">
      <c r="A470" s="11" t="s">
        <v>1658</v>
      </c>
      <c r="B470" s="2" t="s">
        <v>603</v>
      </c>
      <c r="C470" s="2" t="s">
        <v>2531</v>
      </c>
      <c r="D470" s="2" t="s">
        <v>6141</v>
      </c>
      <c r="E470" s="25">
        <v>306430</v>
      </c>
      <c r="F470" s="2"/>
      <c r="G470" s="2" t="s">
        <v>6232</v>
      </c>
      <c r="H470" s="2"/>
      <c r="I470" s="2" t="s">
        <v>6232</v>
      </c>
      <c r="J470" s="2"/>
      <c r="K470" s="2" t="s">
        <v>6232</v>
      </c>
      <c r="L470" s="25">
        <v>415740</v>
      </c>
      <c r="M470" s="2" t="s">
        <v>3761</v>
      </c>
      <c r="N470" s="25">
        <v>306430</v>
      </c>
      <c r="O470" s="2" t="s">
        <v>101</v>
      </c>
      <c r="P470" s="25">
        <v>521600</v>
      </c>
      <c r="Q470" s="12" t="s">
        <v>6051</v>
      </c>
      <c r="V470" t="s">
        <v>6232</v>
      </c>
      <c r="W470" t="s">
        <v>6232</v>
      </c>
      <c r="X470" t="s">
        <v>6232</v>
      </c>
    </row>
    <row r="471" spans="1:24" ht="18.399999999999999" hidden="1" customHeight="1">
      <c r="A471" s="11" t="s">
        <v>301</v>
      </c>
      <c r="B471" s="2" t="s">
        <v>603</v>
      </c>
      <c r="C471" s="2" t="s">
        <v>4124</v>
      </c>
      <c r="D471" s="2" t="s">
        <v>6141</v>
      </c>
      <c r="E471" s="25">
        <v>337510</v>
      </c>
      <c r="F471" s="2"/>
      <c r="G471" s="2" t="s">
        <v>6232</v>
      </c>
      <c r="H471" s="2"/>
      <c r="I471" s="2" t="s">
        <v>6232</v>
      </c>
      <c r="J471" s="2"/>
      <c r="K471" s="2" t="s">
        <v>6232</v>
      </c>
      <c r="L471" s="25">
        <v>433710</v>
      </c>
      <c r="M471" s="2" t="s">
        <v>3761</v>
      </c>
      <c r="N471" s="25">
        <v>337510</v>
      </c>
      <c r="O471" s="2" t="s">
        <v>101</v>
      </c>
      <c r="P471" s="25">
        <v>540300</v>
      </c>
      <c r="Q471" s="12" t="s">
        <v>6051</v>
      </c>
      <c r="V471" t="s">
        <v>6232</v>
      </c>
      <c r="W471" t="s">
        <v>6232</v>
      </c>
      <c r="X471" t="s">
        <v>6232</v>
      </c>
    </row>
    <row r="472" spans="1:24" ht="18.399999999999999" hidden="1" customHeight="1">
      <c r="A472" s="11" t="s">
        <v>406</v>
      </c>
      <c r="B472" s="2" t="s">
        <v>603</v>
      </c>
      <c r="C472" s="2" t="s">
        <v>4184</v>
      </c>
      <c r="D472" s="2" t="s">
        <v>6141</v>
      </c>
      <c r="E472" s="25">
        <v>368980</v>
      </c>
      <c r="F472" s="2"/>
      <c r="G472" s="2" t="s">
        <v>6232</v>
      </c>
      <c r="H472" s="2"/>
      <c r="I472" s="2" t="s">
        <v>6232</v>
      </c>
      <c r="J472" s="2"/>
      <c r="K472" s="2" t="s">
        <v>6232</v>
      </c>
      <c r="L472" s="25">
        <v>478600</v>
      </c>
      <c r="M472" s="2" t="s">
        <v>3761</v>
      </c>
      <c r="N472" s="25">
        <v>368980</v>
      </c>
      <c r="O472" s="2" t="s">
        <v>101</v>
      </c>
      <c r="P472" s="25">
        <v>587000</v>
      </c>
      <c r="Q472" s="12" t="s">
        <v>6051</v>
      </c>
      <c r="V472" t="s">
        <v>6232</v>
      </c>
      <c r="W472" t="s">
        <v>6232</v>
      </c>
      <c r="X472" t="s">
        <v>6232</v>
      </c>
    </row>
    <row r="473" spans="1:24" ht="18.399999999999999" hidden="1" customHeight="1">
      <c r="A473" s="11" t="s">
        <v>2036</v>
      </c>
      <c r="B473" s="2" t="s">
        <v>603</v>
      </c>
      <c r="C473" s="2" t="s">
        <v>1695</v>
      </c>
      <c r="D473" s="2" t="s">
        <v>6141</v>
      </c>
      <c r="E473" s="25">
        <v>480410</v>
      </c>
      <c r="F473" s="2"/>
      <c r="G473" s="2" t="s">
        <v>6232</v>
      </c>
      <c r="H473" s="2"/>
      <c r="I473" s="2" t="s">
        <v>6232</v>
      </c>
      <c r="J473" s="2"/>
      <c r="K473" s="2" t="s">
        <v>6232</v>
      </c>
      <c r="L473" s="25">
        <v>529180</v>
      </c>
      <c r="M473" s="2" t="s">
        <v>3761</v>
      </c>
      <c r="N473" s="25">
        <v>480410</v>
      </c>
      <c r="O473" s="2" t="s">
        <v>101</v>
      </c>
      <c r="P473" s="25">
        <v>773300</v>
      </c>
      <c r="Q473" s="12" t="s">
        <v>6051</v>
      </c>
      <c r="V473" t="s">
        <v>6232</v>
      </c>
      <c r="W473" t="s">
        <v>6232</v>
      </c>
      <c r="X473" t="s">
        <v>6232</v>
      </c>
    </row>
    <row r="474" spans="1:24" ht="18.399999999999999" hidden="1" customHeight="1">
      <c r="A474" s="11" t="s">
        <v>937</v>
      </c>
      <c r="B474" s="2" t="s">
        <v>603</v>
      </c>
      <c r="C474" s="2" t="s">
        <v>4869</v>
      </c>
      <c r="D474" s="2" t="s">
        <v>6141</v>
      </c>
      <c r="E474" s="25">
        <v>518400</v>
      </c>
      <c r="F474" s="2"/>
      <c r="G474" s="2" t="s">
        <v>6232</v>
      </c>
      <c r="H474" s="2"/>
      <c r="I474" s="2" t="s">
        <v>6232</v>
      </c>
      <c r="J474" s="2"/>
      <c r="K474" s="2" t="s">
        <v>6232</v>
      </c>
      <c r="L474" s="25">
        <v>566410</v>
      </c>
      <c r="M474" s="2" t="s">
        <v>3761</v>
      </c>
      <c r="N474" s="25">
        <v>518400</v>
      </c>
      <c r="O474" s="2" t="s">
        <v>101</v>
      </c>
      <c r="P474" s="25">
        <v>810400</v>
      </c>
      <c r="Q474" s="12" t="s">
        <v>6051</v>
      </c>
      <c r="V474" t="s">
        <v>6232</v>
      </c>
      <c r="W474" t="s">
        <v>6232</v>
      </c>
      <c r="X474" t="s">
        <v>6232</v>
      </c>
    </row>
    <row r="475" spans="1:24" ht="18.399999999999999" hidden="1" customHeight="1">
      <c r="A475" s="11" t="s">
        <v>2410</v>
      </c>
      <c r="B475" s="2" t="s">
        <v>603</v>
      </c>
      <c r="C475" s="2" t="s">
        <v>808</v>
      </c>
      <c r="D475" s="2" t="s">
        <v>6141</v>
      </c>
      <c r="E475" s="25">
        <v>552700</v>
      </c>
      <c r="F475" s="2"/>
      <c r="G475" s="2" t="s">
        <v>6232</v>
      </c>
      <c r="H475" s="2"/>
      <c r="I475" s="2" t="s">
        <v>6232</v>
      </c>
      <c r="J475" s="2"/>
      <c r="K475" s="2" t="s">
        <v>6232</v>
      </c>
      <c r="L475" s="25">
        <v>697980</v>
      </c>
      <c r="M475" s="2" t="s">
        <v>3761</v>
      </c>
      <c r="N475" s="25">
        <v>552700</v>
      </c>
      <c r="O475" s="2" t="s">
        <v>101</v>
      </c>
      <c r="P475" s="25">
        <v>851000</v>
      </c>
      <c r="Q475" s="12" t="s">
        <v>6051</v>
      </c>
      <c r="V475" t="s">
        <v>6232</v>
      </c>
      <c r="W475" t="s">
        <v>6232</v>
      </c>
      <c r="X475" t="s">
        <v>6232</v>
      </c>
    </row>
    <row r="476" spans="1:24" ht="18.399999999999999" hidden="1" customHeight="1">
      <c r="A476" s="11" t="s">
        <v>3975</v>
      </c>
      <c r="B476" s="2" t="s">
        <v>603</v>
      </c>
      <c r="C476" s="2" t="s">
        <v>2695</v>
      </c>
      <c r="D476" s="2" t="s">
        <v>6141</v>
      </c>
      <c r="E476" s="25">
        <v>600850</v>
      </c>
      <c r="F476" s="2"/>
      <c r="G476" s="2" t="s">
        <v>6232</v>
      </c>
      <c r="H476" s="2"/>
      <c r="I476" s="2" t="s">
        <v>6232</v>
      </c>
      <c r="J476" s="2"/>
      <c r="K476" s="2" t="s">
        <v>6232</v>
      </c>
      <c r="L476" s="25">
        <v>743800</v>
      </c>
      <c r="M476" s="2" t="s">
        <v>3761</v>
      </c>
      <c r="N476" s="25">
        <v>600850</v>
      </c>
      <c r="O476" s="2" t="s">
        <v>101</v>
      </c>
      <c r="P476" s="25">
        <v>901000</v>
      </c>
      <c r="Q476" s="12" t="s">
        <v>6051</v>
      </c>
      <c r="V476" t="s">
        <v>6232</v>
      </c>
      <c r="W476" t="s">
        <v>6232</v>
      </c>
      <c r="X476" t="s">
        <v>6232</v>
      </c>
    </row>
    <row r="477" spans="1:24" ht="18.399999999999999" hidden="1" customHeight="1">
      <c r="A477" s="11" t="s">
        <v>5611</v>
      </c>
      <c r="B477" s="2" t="s">
        <v>603</v>
      </c>
      <c r="C477" s="2" t="s">
        <v>3762</v>
      </c>
      <c r="D477" s="2" t="s">
        <v>6141</v>
      </c>
      <c r="E477" s="25">
        <v>704210</v>
      </c>
      <c r="F477" s="2"/>
      <c r="G477" s="2" t="s">
        <v>6232</v>
      </c>
      <c r="H477" s="2"/>
      <c r="I477" s="2" t="s">
        <v>6232</v>
      </c>
      <c r="J477" s="2"/>
      <c r="K477" s="2" t="s">
        <v>6232</v>
      </c>
      <c r="L477" s="25">
        <v>801390</v>
      </c>
      <c r="M477" s="2" t="s">
        <v>3761</v>
      </c>
      <c r="N477" s="25">
        <v>704210</v>
      </c>
      <c r="O477" s="2" t="s">
        <v>101</v>
      </c>
      <c r="P477" s="25">
        <v>1096300</v>
      </c>
      <c r="Q477" s="12" t="s">
        <v>6051</v>
      </c>
      <c r="V477" t="s">
        <v>6232</v>
      </c>
      <c r="W477" t="s">
        <v>6232</v>
      </c>
      <c r="X477" t="s">
        <v>6232</v>
      </c>
    </row>
    <row r="478" spans="1:24" ht="18.399999999999999" hidden="1" customHeight="1">
      <c r="A478" s="11" t="s">
        <v>3611</v>
      </c>
      <c r="B478" s="2" t="s">
        <v>603</v>
      </c>
      <c r="C478" s="2" t="s">
        <v>512</v>
      </c>
      <c r="D478" s="2" t="s">
        <v>6141</v>
      </c>
      <c r="E478" s="25">
        <v>767970</v>
      </c>
      <c r="F478" s="2"/>
      <c r="G478" s="2" t="s">
        <v>6232</v>
      </c>
      <c r="H478" s="2"/>
      <c r="I478" s="2" t="s">
        <v>6232</v>
      </c>
      <c r="J478" s="2"/>
      <c r="K478" s="2" t="s">
        <v>6232</v>
      </c>
      <c r="L478" s="25">
        <v>869800</v>
      </c>
      <c r="M478" s="2" t="s">
        <v>3761</v>
      </c>
      <c r="N478" s="25">
        <v>767970</v>
      </c>
      <c r="O478" s="2" t="s">
        <v>101</v>
      </c>
      <c r="P478" s="25">
        <v>1167100</v>
      </c>
      <c r="Q478" s="12" t="s">
        <v>6051</v>
      </c>
      <c r="V478" t="s">
        <v>6232</v>
      </c>
      <c r="W478" t="s">
        <v>6232</v>
      </c>
      <c r="X478" t="s">
        <v>6232</v>
      </c>
    </row>
    <row r="479" spans="1:24" ht="18.399999999999999" hidden="1" customHeight="1">
      <c r="A479" s="11" t="s">
        <v>5083</v>
      </c>
      <c r="B479" s="2" t="s">
        <v>603</v>
      </c>
      <c r="C479" s="2" t="s">
        <v>6186</v>
      </c>
      <c r="D479" s="2" t="s">
        <v>6141</v>
      </c>
      <c r="E479" s="25">
        <v>1006430</v>
      </c>
      <c r="F479" s="2"/>
      <c r="G479" s="2" t="s">
        <v>6232</v>
      </c>
      <c r="H479" s="2"/>
      <c r="I479" s="2" t="s">
        <v>6232</v>
      </c>
      <c r="J479" s="2"/>
      <c r="K479" s="2" t="s">
        <v>6232</v>
      </c>
      <c r="L479" s="25">
        <v>1022240</v>
      </c>
      <c r="M479" s="2" t="s">
        <v>3761</v>
      </c>
      <c r="N479" s="25">
        <v>1006430</v>
      </c>
      <c r="O479" s="2" t="s">
        <v>101</v>
      </c>
      <c r="P479" s="25">
        <v>1321800</v>
      </c>
      <c r="Q479" s="12" t="s">
        <v>6051</v>
      </c>
      <c r="V479" t="s">
        <v>6232</v>
      </c>
      <c r="W479" t="s">
        <v>6232</v>
      </c>
      <c r="X479" t="s">
        <v>6232</v>
      </c>
    </row>
    <row r="480" spans="1:24" ht="18.399999999999999" hidden="1" customHeight="1">
      <c r="A480" s="11" t="s">
        <v>4975</v>
      </c>
      <c r="B480" s="2" t="s">
        <v>603</v>
      </c>
      <c r="C480" s="2" t="s">
        <v>6105</v>
      </c>
      <c r="D480" s="2" t="s">
        <v>6141</v>
      </c>
      <c r="E480" s="25">
        <v>1083890</v>
      </c>
      <c r="F480" s="2"/>
      <c r="G480" s="2" t="s">
        <v>6232</v>
      </c>
      <c r="H480" s="2"/>
      <c r="I480" s="2" t="s">
        <v>6232</v>
      </c>
      <c r="J480" s="2"/>
      <c r="K480" s="2" t="s">
        <v>6232</v>
      </c>
      <c r="L480" s="25">
        <v>1097610</v>
      </c>
      <c r="M480" s="2" t="s">
        <v>3761</v>
      </c>
      <c r="N480" s="25">
        <v>1083890</v>
      </c>
      <c r="O480" s="2" t="s">
        <v>101</v>
      </c>
      <c r="P480" s="25">
        <v>1670900</v>
      </c>
      <c r="Q480" s="12" t="s">
        <v>6051</v>
      </c>
      <c r="V480" t="s">
        <v>6232</v>
      </c>
      <c r="W480" t="s">
        <v>6232</v>
      </c>
      <c r="X480" t="s">
        <v>6232</v>
      </c>
    </row>
    <row r="481" spans="1:24" ht="18.399999999999999" hidden="1" customHeight="1">
      <c r="A481" s="11" t="s">
        <v>3305</v>
      </c>
      <c r="B481" s="2" t="s">
        <v>603</v>
      </c>
      <c r="C481" s="2" t="s">
        <v>369</v>
      </c>
      <c r="D481" s="2" t="s">
        <v>6141</v>
      </c>
      <c r="E481" s="25">
        <v>1130110</v>
      </c>
      <c r="F481" s="2"/>
      <c r="G481" s="2" t="s">
        <v>6232</v>
      </c>
      <c r="H481" s="2"/>
      <c r="I481" s="2" t="s">
        <v>6232</v>
      </c>
      <c r="J481" s="2"/>
      <c r="K481" s="2" t="s">
        <v>6232</v>
      </c>
      <c r="L481" s="25">
        <v>1194160</v>
      </c>
      <c r="M481" s="2" t="s">
        <v>3761</v>
      </c>
      <c r="N481" s="25">
        <v>1130110</v>
      </c>
      <c r="O481" s="2" t="s">
        <v>101</v>
      </c>
      <c r="P481" s="25">
        <v>1824300</v>
      </c>
      <c r="Q481" s="12" t="s">
        <v>6051</v>
      </c>
      <c r="V481" t="s">
        <v>6232</v>
      </c>
      <c r="W481" t="s">
        <v>6232</v>
      </c>
      <c r="X481" t="s">
        <v>6232</v>
      </c>
    </row>
    <row r="482" spans="1:24" ht="18.399999999999999" hidden="1" customHeight="1">
      <c r="A482" s="11" t="s">
        <v>6097</v>
      </c>
      <c r="B482" s="2" t="s">
        <v>603</v>
      </c>
      <c r="C482" s="2" t="s">
        <v>3821</v>
      </c>
      <c r="D482" s="2" t="s">
        <v>6141</v>
      </c>
      <c r="E482" s="25">
        <v>1178770</v>
      </c>
      <c r="F482" s="2"/>
      <c r="G482" s="2" t="s">
        <v>6232</v>
      </c>
      <c r="H482" s="2"/>
      <c r="I482" s="2" t="s">
        <v>6232</v>
      </c>
      <c r="J482" s="2"/>
      <c r="K482" s="2" t="s">
        <v>6232</v>
      </c>
      <c r="L482" s="25">
        <v>1258030</v>
      </c>
      <c r="M482" s="2" t="s">
        <v>3761</v>
      </c>
      <c r="N482" s="25">
        <v>1178770</v>
      </c>
      <c r="O482" s="2" t="s">
        <v>101</v>
      </c>
      <c r="P482" s="25">
        <v>1900400</v>
      </c>
      <c r="Q482" s="12" t="s">
        <v>6051</v>
      </c>
      <c r="V482" t="s">
        <v>6232</v>
      </c>
      <c r="W482" t="s">
        <v>6232</v>
      </c>
      <c r="X482" t="s">
        <v>6232</v>
      </c>
    </row>
    <row r="483" spans="1:24" ht="18.399999999999999" hidden="1" customHeight="1">
      <c r="A483" s="11" t="s">
        <v>4642</v>
      </c>
      <c r="B483" s="2" t="s">
        <v>603</v>
      </c>
      <c r="C483" s="2" t="s">
        <v>2812</v>
      </c>
      <c r="D483" s="2" t="s">
        <v>6141</v>
      </c>
      <c r="E483" s="25">
        <v>1225290</v>
      </c>
      <c r="F483" s="2"/>
      <c r="G483" s="2" t="s">
        <v>6232</v>
      </c>
      <c r="H483" s="2"/>
      <c r="I483" s="2" t="s">
        <v>6232</v>
      </c>
      <c r="J483" s="2"/>
      <c r="K483" s="2" t="s">
        <v>6232</v>
      </c>
      <c r="L483" s="25">
        <v>1314450</v>
      </c>
      <c r="M483" s="2" t="s">
        <v>3761</v>
      </c>
      <c r="N483" s="25">
        <v>1225290</v>
      </c>
      <c r="O483" s="2" t="s">
        <v>101</v>
      </c>
      <c r="P483" s="25">
        <v>2228300</v>
      </c>
      <c r="Q483" s="12" t="s">
        <v>6051</v>
      </c>
      <c r="V483" t="s">
        <v>6232</v>
      </c>
      <c r="W483" t="s">
        <v>6232</v>
      </c>
      <c r="X483" t="s">
        <v>6232</v>
      </c>
    </row>
    <row r="484" spans="1:24" ht="18.399999999999999" hidden="1" customHeight="1">
      <c r="A484" s="11" t="s">
        <v>4742</v>
      </c>
      <c r="B484" s="2" t="s">
        <v>148</v>
      </c>
      <c r="C484" s="2" t="s">
        <v>5612</v>
      </c>
      <c r="D484" s="2" t="s">
        <v>6141</v>
      </c>
      <c r="E484" s="25">
        <v>37770</v>
      </c>
      <c r="F484" s="2"/>
      <c r="G484" s="2" t="s">
        <v>6232</v>
      </c>
      <c r="H484" s="2"/>
      <c r="I484" s="2" t="s">
        <v>6232</v>
      </c>
      <c r="J484" s="2"/>
      <c r="K484" s="2" t="s">
        <v>6232</v>
      </c>
      <c r="L484" s="25">
        <v>65800</v>
      </c>
      <c r="M484" s="2" t="s">
        <v>3761</v>
      </c>
      <c r="N484" s="25">
        <v>37770</v>
      </c>
      <c r="O484" s="2" t="s">
        <v>101</v>
      </c>
      <c r="P484" s="25">
        <v>61600</v>
      </c>
      <c r="Q484" s="12" t="s">
        <v>6051</v>
      </c>
      <c r="V484" t="s">
        <v>6232</v>
      </c>
      <c r="W484" t="s">
        <v>6232</v>
      </c>
      <c r="X484" t="s">
        <v>6232</v>
      </c>
    </row>
    <row r="485" spans="1:24" ht="18.399999999999999" hidden="1" customHeight="1">
      <c r="A485" s="11" t="s">
        <v>1829</v>
      </c>
      <c r="B485" s="2" t="s">
        <v>148</v>
      </c>
      <c r="C485" s="2" t="s">
        <v>3978</v>
      </c>
      <c r="D485" s="2" t="s">
        <v>6141</v>
      </c>
      <c r="E485" s="25">
        <v>37770</v>
      </c>
      <c r="F485" s="2"/>
      <c r="G485" s="2" t="s">
        <v>6232</v>
      </c>
      <c r="H485" s="2"/>
      <c r="I485" s="2" t="s">
        <v>6232</v>
      </c>
      <c r="J485" s="2"/>
      <c r="K485" s="2" t="s">
        <v>6232</v>
      </c>
      <c r="L485" s="25">
        <v>65860</v>
      </c>
      <c r="M485" s="2" t="s">
        <v>3761</v>
      </c>
      <c r="N485" s="25">
        <v>37770</v>
      </c>
      <c r="O485" s="2" t="s">
        <v>101</v>
      </c>
      <c r="P485" s="25">
        <v>61600</v>
      </c>
      <c r="Q485" s="12" t="s">
        <v>6051</v>
      </c>
      <c r="V485" t="s">
        <v>6232</v>
      </c>
      <c r="W485" t="s">
        <v>6232</v>
      </c>
      <c r="X485" t="s">
        <v>6232</v>
      </c>
    </row>
    <row r="486" spans="1:24" ht="18.399999999999999" hidden="1" customHeight="1">
      <c r="A486" s="11" t="s">
        <v>4242</v>
      </c>
      <c r="B486" s="2" t="s">
        <v>148</v>
      </c>
      <c r="C486" s="2" t="s">
        <v>2004</v>
      </c>
      <c r="D486" s="2" t="s">
        <v>6141</v>
      </c>
      <c r="E486" s="25">
        <v>38360</v>
      </c>
      <c r="F486" s="2"/>
      <c r="G486" s="2" t="s">
        <v>6232</v>
      </c>
      <c r="H486" s="2"/>
      <c r="I486" s="2" t="s">
        <v>6232</v>
      </c>
      <c r="J486" s="2"/>
      <c r="K486" s="2" t="s">
        <v>6232</v>
      </c>
      <c r="L486" s="25">
        <v>678300</v>
      </c>
      <c r="M486" s="2" t="s">
        <v>3761</v>
      </c>
      <c r="N486" s="25">
        <v>38360</v>
      </c>
      <c r="O486" s="2" t="s">
        <v>101</v>
      </c>
      <c r="P486" s="25">
        <v>62700</v>
      </c>
      <c r="Q486" s="12" t="s">
        <v>6051</v>
      </c>
      <c r="V486" t="s">
        <v>6232</v>
      </c>
      <c r="W486" t="s">
        <v>6232</v>
      </c>
      <c r="X486" t="s">
        <v>6232</v>
      </c>
    </row>
    <row r="487" spans="1:24" ht="18.399999999999999" hidden="1" customHeight="1">
      <c r="A487" s="11" t="s">
        <v>1659</v>
      </c>
      <c r="B487" s="2" t="s">
        <v>148</v>
      </c>
      <c r="C487" s="2" t="s">
        <v>2037</v>
      </c>
      <c r="D487" s="2" t="s">
        <v>6141</v>
      </c>
      <c r="E487" s="25">
        <v>38360</v>
      </c>
      <c r="F487" s="2"/>
      <c r="G487" s="2" t="s">
        <v>6232</v>
      </c>
      <c r="H487" s="2"/>
      <c r="I487" s="2" t="s">
        <v>6232</v>
      </c>
      <c r="J487" s="2"/>
      <c r="K487" s="2" t="s">
        <v>6232</v>
      </c>
      <c r="L487" s="25">
        <v>678300</v>
      </c>
      <c r="M487" s="2" t="s">
        <v>3761</v>
      </c>
      <c r="N487" s="25">
        <v>38360</v>
      </c>
      <c r="O487" s="2" t="s">
        <v>101</v>
      </c>
      <c r="P487" s="25">
        <v>63800</v>
      </c>
      <c r="Q487" s="12" t="s">
        <v>6051</v>
      </c>
      <c r="V487" t="s">
        <v>6232</v>
      </c>
      <c r="W487" t="s">
        <v>6232</v>
      </c>
      <c r="X487" t="s">
        <v>6232</v>
      </c>
    </row>
    <row r="488" spans="1:24" ht="18.399999999999999" hidden="1" customHeight="1">
      <c r="A488" s="11" t="s">
        <v>106</v>
      </c>
      <c r="B488" s="2" t="s">
        <v>148</v>
      </c>
      <c r="C488" s="2" t="s">
        <v>2412</v>
      </c>
      <c r="D488" s="2" t="s">
        <v>6141</v>
      </c>
      <c r="E488" s="25">
        <v>38360</v>
      </c>
      <c r="F488" s="2"/>
      <c r="G488" s="2" t="s">
        <v>6232</v>
      </c>
      <c r="H488" s="2"/>
      <c r="I488" s="2" t="s">
        <v>6232</v>
      </c>
      <c r="J488" s="2"/>
      <c r="K488" s="2" t="s">
        <v>6232</v>
      </c>
      <c r="L488" s="25">
        <v>72910</v>
      </c>
      <c r="M488" s="2" t="s">
        <v>3761</v>
      </c>
      <c r="N488" s="25">
        <v>38360</v>
      </c>
      <c r="O488" s="2" t="s">
        <v>101</v>
      </c>
      <c r="P488" s="25">
        <v>65000</v>
      </c>
      <c r="Q488" s="12" t="s">
        <v>6051</v>
      </c>
      <c r="V488" t="s">
        <v>6232</v>
      </c>
      <c r="W488" t="s">
        <v>6232</v>
      </c>
      <c r="X488" t="s">
        <v>6232</v>
      </c>
    </row>
    <row r="489" spans="1:24" ht="18.399999999999999" hidden="1" customHeight="1">
      <c r="A489" s="11" t="s">
        <v>1722</v>
      </c>
      <c r="B489" s="2" t="s">
        <v>148</v>
      </c>
      <c r="C489" s="2" t="s">
        <v>3074</v>
      </c>
      <c r="D489" s="2" t="s">
        <v>6141</v>
      </c>
      <c r="E489" s="25">
        <v>38970</v>
      </c>
      <c r="F489" s="2"/>
      <c r="G489" s="2" t="s">
        <v>6232</v>
      </c>
      <c r="H489" s="2"/>
      <c r="I489" s="2" t="s">
        <v>6232</v>
      </c>
      <c r="J489" s="2"/>
      <c r="K489" s="2" t="s">
        <v>6232</v>
      </c>
      <c r="L489" s="25">
        <v>74240</v>
      </c>
      <c r="M489" s="2" t="s">
        <v>3761</v>
      </c>
      <c r="N489" s="25">
        <v>38970</v>
      </c>
      <c r="O489" s="2" t="s">
        <v>101</v>
      </c>
      <c r="P489" s="25">
        <v>66100</v>
      </c>
      <c r="Q489" s="12" t="s">
        <v>6051</v>
      </c>
      <c r="V489" t="s">
        <v>6232</v>
      </c>
      <c r="W489" t="s">
        <v>6232</v>
      </c>
      <c r="X489" t="s">
        <v>6232</v>
      </c>
    </row>
    <row r="490" spans="1:24" ht="18.399999999999999" hidden="1" customHeight="1">
      <c r="A490" s="11" t="s">
        <v>1756</v>
      </c>
      <c r="B490" s="2" t="s">
        <v>148</v>
      </c>
      <c r="C490" s="2" t="s">
        <v>1165</v>
      </c>
      <c r="D490" s="2" t="s">
        <v>6141</v>
      </c>
      <c r="E490" s="25">
        <v>39590</v>
      </c>
      <c r="F490" s="2"/>
      <c r="G490" s="2" t="s">
        <v>6232</v>
      </c>
      <c r="H490" s="2"/>
      <c r="I490" s="2" t="s">
        <v>6232</v>
      </c>
      <c r="J490" s="2"/>
      <c r="K490" s="2" t="s">
        <v>6232</v>
      </c>
      <c r="L490" s="25">
        <v>76910</v>
      </c>
      <c r="M490" s="2" t="s">
        <v>3761</v>
      </c>
      <c r="N490" s="25">
        <v>39590</v>
      </c>
      <c r="O490" s="2" t="s">
        <v>101</v>
      </c>
      <c r="P490" s="25">
        <v>69700</v>
      </c>
      <c r="Q490" s="12" t="s">
        <v>6051</v>
      </c>
      <c r="V490" t="s">
        <v>6232</v>
      </c>
      <c r="W490" t="s">
        <v>6232</v>
      </c>
      <c r="X490" t="s">
        <v>6232</v>
      </c>
    </row>
    <row r="491" spans="1:24" ht="18.399999999999999" hidden="1" customHeight="1">
      <c r="A491" s="11" t="s">
        <v>2859</v>
      </c>
      <c r="B491" s="2" t="s">
        <v>148</v>
      </c>
      <c r="C491" s="2" t="s">
        <v>1570</v>
      </c>
      <c r="D491" s="2" t="s">
        <v>6141</v>
      </c>
      <c r="E491" s="25">
        <v>53210</v>
      </c>
      <c r="F491" s="2"/>
      <c r="G491" s="2" t="s">
        <v>6232</v>
      </c>
      <c r="H491" s="2"/>
      <c r="I491" s="2" t="s">
        <v>6232</v>
      </c>
      <c r="J491" s="2"/>
      <c r="K491" s="2" t="s">
        <v>6232</v>
      </c>
      <c r="L491" s="25">
        <v>82070</v>
      </c>
      <c r="M491" s="2" t="s">
        <v>3761</v>
      </c>
      <c r="N491" s="25">
        <v>53210</v>
      </c>
      <c r="O491" s="2" t="s">
        <v>101</v>
      </c>
      <c r="P491" s="25">
        <v>78200</v>
      </c>
      <c r="Q491" s="12" t="s">
        <v>6051</v>
      </c>
      <c r="V491" t="s">
        <v>6232</v>
      </c>
      <c r="W491" t="s">
        <v>6232</v>
      </c>
      <c r="X491" t="s">
        <v>6232</v>
      </c>
    </row>
    <row r="492" spans="1:24" ht="18.399999999999999" hidden="1" customHeight="1">
      <c r="A492" s="11" t="s">
        <v>2967</v>
      </c>
      <c r="B492" s="2" t="s">
        <v>148</v>
      </c>
      <c r="C492" s="2" t="s">
        <v>2531</v>
      </c>
      <c r="D492" s="2" t="s">
        <v>6141</v>
      </c>
      <c r="E492" s="25">
        <v>54070</v>
      </c>
      <c r="F492" s="2"/>
      <c r="G492" s="2" t="s">
        <v>6232</v>
      </c>
      <c r="H492" s="2"/>
      <c r="I492" s="2" t="s">
        <v>6232</v>
      </c>
      <c r="J492" s="2"/>
      <c r="K492" s="2" t="s">
        <v>6232</v>
      </c>
      <c r="L492" s="25">
        <v>86790</v>
      </c>
      <c r="M492" s="2" t="s">
        <v>3761</v>
      </c>
      <c r="N492" s="25">
        <v>54070</v>
      </c>
      <c r="O492" s="2" t="s">
        <v>101</v>
      </c>
      <c r="P492" s="25">
        <v>97900</v>
      </c>
      <c r="Q492" s="12" t="s">
        <v>6051</v>
      </c>
      <c r="V492" t="s">
        <v>6232</v>
      </c>
      <c r="W492" t="s">
        <v>6232</v>
      </c>
      <c r="X492" t="s">
        <v>6232</v>
      </c>
    </row>
    <row r="493" spans="1:24" ht="18.399999999999999" hidden="1" customHeight="1">
      <c r="A493" s="11" t="s">
        <v>1235</v>
      </c>
      <c r="B493" s="2" t="s">
        <v>148</v>
      </c>
      <c r="C493" s="2" t="s">
        <v>4124</v>
      </c>
      <c r="D493" s="2" t="s">
        <v>6141</v>
      </c>
      <c r="E493" s="25">
        <v>55580</v>
      </c>
      <c r="F493" s="2"/>
      <c r="G493" s="2" t="s">
        <v>6232</v>
      </c>
      <c r="H493" s="2"/>
      <c r="I493" s="2" t="s">
        <v>6232</v>
      </c>
      <c r="J493" s="2"/>
      <c r="K493" s="2" t="s">
        <v>6232</v>
      </c>
      <c r="L493" s="25">
        <v>94390</v>
      </c>
      <c r="M493" s="2" t="s">
        <v>3761</v>
      </c>
      <c r="N493" s="25">
        <v>55580</v>
      </c>
      <c r="O493" s="2" t="s">
        <v>101</v>
      </c>
      <c r="P493" s="25">
        <v>124300</v>
      </c>
      <c r="Q493" s="12" t="s">
        <v>6051</v>
      </c>
      <c r="V493" t="s">
        <v>6232</v>
      </c>
      <c r="W493" t="s">
        <v>6232</v>
      </c>
      <c r="X493" t="s">
        <v>6232</v>
      </c>
    </row>
    <row r="494" spans="1:24" ht="18.399999999999999" hidden="1" customHeight="1">
      <c r="A494" s="11" t="s">
        <v>1139</v>
      </c>
      <c r="B494" s="2" t="s">
        <v>148</v>
      </c>
      <c r="C494" s="2" t="s">
        <v>4184</v>
      </c>
      <c r="D494" s="2" t="s">
        <v>6141</v>
      </c>
      <c r="E494" s="25">
        <v>60720</v>
      </c>
      <c r="F494" s="2"/>
      <c r="G494" s="2" t="s">
        <v>6232</v>
      </c>
      <c r="H494" s="2"/>
      <c r="I494" s="2" t="s">
        <v>6232</v>
      </c>
      <c r="J494" s="2"/>
      <c r="K494" s="2" t="s">
        <v>6232</v>
      </c>
      <c r="L494" s="25">
        <v>110810</v>
      </c>
      <c r="M494" s="2" t="s">
        <v>3761</v>
      </c>
      <c r="N494" s="25">
        <v>60720</v>
      </c>
      <c r="O494" s="2" t="s">
        <v>101</v>
      </c>
      <c r="P494" s="25">
        <v>140900</v>
      </c>
      <c r="Q494" s="12" t="s">
        <v>6051</v>
      </c>
      <c r="V494" t="s">
        <v>6232</v>
      </c>
      <c r="W494" t="s">
        <v>6232</v>
      </c>
      <c r="X494" t="s">
        <v>6232</v>
      </c>
    </row>
    <row r="495" spans="1:24" ht="18.399999999999999" hidden="1" customHeight="1">
      <c r="A495" s="11" t="s">
        <v>2561</v>
      </c>
      <c r="B495" s="2" t="s">
        <v>148</v>
      </c>
      <c r="C495" s="2" t="s">
        <v>1695</v>
      </c>
      <c r="D495" s="2" t="s">
        <v>6141</v>
      </c>
      <c r="E495" s="25">
        <v>94320</v>
      </c>
      <c r="F495" s="2"/>
      <c r="G495" s="2" t="s">
        <v>6232</v>
      </c>
      <c r="H495" s="2"/>
      <c r="I495" s="2" t="s">
        <v>6232</v>
      </c>
      <c r="J495" s="2"/>
      <c r="K495" s="2" t="s">
        <v>6232</v>
      </c>
      <c r="L495" s="25">
        <v>147120</v>
      </c>
      <c r="M495" s="2" t="s">
        <v>3761</v>
      </c>
      <c r="N495" s="25">
        <v>94320</v>
      </c>
      <c r="O495" s="2" t="s">
        <v>101</v>
      </c>
      <c r="P495" s="25">
        <v>164200</v>
      </c>
      <c r="Q495" s="12" t="s">
        <v>6051</v>
      </c>
      <c r="V495" t="s">
        <v>6232</v>
      </c>
      <c r="W495" t="s">
        <v>6232</v>
      </c>
      <c r="X495" t="s">
        <v>6232</v>
      </c>
    </row>
    <row r="496" spans="1:24" ht="18.399999999999999" hidden="1" customHeight="1">
      <c r="A496" s="11" t="s">
        <v>610</v>
      </c>
      <c r="B496" s="2" t="s">
        <v>148</v>
      </c>
      <c r="C496" s="2" t="s">
        <v>4869</v>
      </c>
      <c r="D496" s="2" t="s">
        <v>6141</v>
      </c>
      <c r="E496" s="25">
        <v>99880</v>
      </c>
      <c r="F496" s="2"/>
      <c r="G496" s="2" t="s">
        <v>6232</v>
      </c>
      <c r="H496" s="2"/>
      <c r="I496" s="2" t="s">
        <v>6232</v>
      </c>
      <c r="J496" s="2"/>
      <c r="K496" s="2" t="s">
        <v>6232</v>
      </c>
      <c r="L496" s="25">
        <v>163960</v>
      </c>
      <c r="M496" s="2" t="s">
        <v>3761</v>
      </c>
      <c r="N496" s="25">
        <v>99880</v>
      </c>
      <c r="O496" s="2" t="s">
        <v>101</v>
      </c>
      <c r="P496" s="25">
        <v>235400</v>
      </c>
      <c r="Q496" s="12" t="s">
        <v>6051</v>
      </c>
      <c r="V496" t="s">
        <v>6232</v>
      </c>
      <c r="W496" t="s">
        <v>6232</v>
      </c>
      <c r="X496" t="s">
        <v>6232</v>
      </c>
    </row>
    <row r="497" spans="1:24" ht="18.399999999999999" hidden="1" customHeight="1">
      <c r="A497" s="11" t="s">
        <v>2245</v>
      </c>
      <c r="B497" s="2" t="s">
        <v>148</v>
      </c>
      <c r="C497" s="2" t="s">
        <v>808</v>
      </c>
      <c r="D497" s="2" t="s">
        <v>6141</v>
      </c>
      <c r="E497" s="25">
        <v>106380</v>
      </c>
      <c r="F497" s="2"/>
      <c r="G497" s="2" t="s">
        <v>6232</v>
      </c>
      <c r="H497" s="2"/>
      <c r="I497" s="2" t="s">
        <v>6232</v>
      </c>
      <c r="J497" s="2"/>
      <c r="K497" s="2" t="s">
        <v>6232</v>
      </c>
      <c r="L497" s="25">
        <v>190210</v>
      </c>
      <c r="M497" s="2" t="s">
        <v>3761</v>
      </c>
      <c r="N497" s="25">
        <v>106380</v>
      </c>
      <c r="O497" s="2" t="s">
        <v>101</v>
      </c>
      <c r="P497" s="25">
        <v>281800</v>
      </c>
      <c r="Q497" s="12" t="s">
        <v>6051</v>
      </c>
      <c r="V497" t="s">
        <v>6232</v>
      </c>
      <c r="W497" t="s">
        <v>6232</v>
      </c>
      <c r="X497" t="s">
        <v>6232</v>
      </c>
    </row>
    <row r="498" spans="1:24" ht="18.399999999999999" hidden="1" customHeight="1">
      <c r="A498" s="11" t="s">
        <v>3817</v>
      </c>
      <c r="B498" s="2" t="s">
        <v>148</v>
      </c>
      <c r="C498" s="2" t="s">
        <v>2695</v>
      </c>
      <c r="D498" s="2" t="s">
        <v>6141</v>
      </c>
      <c r="E498" s="25">
        <v>116630</v>
      </c>
      <c r="F498" s="2"/>
      <c r="G498" s="2" t="s">
        <v>6232</v>
      </c>
      <c r="H498" s="2"/>
      <c r="I498" s="2" t="s">
        <v>6232</v>
      </c>
      <c r="J498" s="2"/>
      <c r="K498" s="2" t="s">
        <v>6232</v>
      </c>
      <c r="L498" s="25">
        <v>226260</v>
      </c>
      <c r="M498" s="2" t="s">
        <v>3761</v>
      </c>
      <c r="N498" s="25">
        <v>116630</v>
      </c>
      <c r="O498" s="2" t="s">
        <v>101</v>
      </c>
      <c r="P498" s="25">
        <v>462800</v>
      </c>
      <c r="Q498" s="12" t="s">
        <v>6051</v>
      </c>
      <c r="V498" t="s">
        <v>6232</v>
      </c>
      <c r="W498" t="s">
        <v>6232</v>
      </c>
      <c r="X498" t="s">
        <v>6232</v>
      </c>
    </row>
    <row r="499" spans="1:24" ht="18.399999999999999" hidden="1" customHeight="1">
      <c r="A499" s="11" t="s">
        <v>5253</v>
      </c>
      <c r="B499" s="2" t="s">
        <v>148</v>
      </c>
      <c r="C499" s="2" t="s">
        <v>3762</v>
      </c>
      <c r="D499" s="2" t="s">
        <v>6141</v>
      </c>
      <c r="E499" s="25">
        <v>345960</v>
      </c>
      <c r="F499" s="2"/>
      <c r="G499" s="2" t="s">
        <v>6232</v>
      </c>
      <c r="H499" s="2"/>
      <c r="I499" s="2" t="s">
        <v>6232</v>
      </c>
      <c r="J499" s="2"/>
      <c r="K499" s="2" t="s">
        <v>6232</v>
      </c>
      <c r="L499" s="25">
        <v>386960</v>
      </c>
      <c r="M499" s="2" t="s">
        <v>3761</v>
      </c>
      <c r="N499" s="25">
        <v>345960</v>
      </c>
      <c r="O499" s="2" t="s">
        <v>101</v>
      </c>
      <c r="P499" s="25">
        <v>683400</v>
      </c>
      <c r="Q499" s="12" t="s">
        <v>6051</v>
      </c>
      <c r="V499" t="s">
        <v>6232</v>
      </c>
      <c r="W499" t="s">
        <v>6232</v>
      </c>
      <c r="X499" t="s">
        <v>6232</v>
      </c>
    </row>
    <row r="500" spans="1:24" ht="18.399999999999999" hidden="1" customHeight="1">
      <c r="A500" s="11" t="s">
        <v>4155</v>
      </c>
      <c r="B500" s="2" t="s">
        <v>148</v>
      </c>
      <c r="C500" s="2" t="s">
        <v>512</v>
      </c>
      <c r="D500" s="2" t="s">
        <v>6141</v>
      </c>
      <c r="E500" s="25">
        <v>407110</v>
      </c>
      <c r="F500" s="2"/>
      <c r="G500" s="2" t="s">
        <v>6232</v>
      </c>
      <c r="H500" s="2"/>
      <c r="I500" s="2" t="s">
        <v>6232</v>
      </c>
      <c r="J500" s="2"/>
      <c r="K500" s="2" t="s">
        <v>6232</v>
      </c>
      <c r="L500" s="25">
        <v>472440</v>
      </c>
      <c r="M500" s="2" t="s">
        <v>3761</v>
      </c>
      <c r="N500" s="25">
        <v>407110</v>
      </c>
      <c r="O500" s="2" t="s">
        <v>101</v>
      </c>
      <c r="P500" s="25">
        <v>976900</v>
      </c>
      <c r="Q500" s="12" t="s">
        <v>6051</v>
      </c>
      <c r="V500" t="s">
        <v>6232</v>
      </c>
      <c r="W500" t="s">
        <v>6232</v>
      </c>
      <c r="X500" t="s">
        <v>6232</v>
      </c>
    </row>
    <row r="501" spans="1:24" ht="18.399999999999999" hidden="1" customHeight="1">
      <c r="A501" s="11" t="s">
        <v>5824</v>
      </c>
      <c r="B501" s="2" t="s">
        <v>148</v>
      </c>
      <c r="C501" s="2" t="s">
        <v>6186</v>
      </c>
      <c r="D501" s="2" t="s">
        <v>6141</v>
      </c>
      <c r="E501" s="25">
        <v>461110</v>
      </c>
      <c r="F501" s="2"/>
      <c r="G501" s="2" t="s">
        <v>6232</v>
      </c>
      <c r="H501" s="2"/>
      <c r="I501" s="2" t="s">
        <v>6232</v>
      </c>
      <c r="J501" s="2"/>
      <c r="K501" s="2" t="s">
        <v>6232</v>
      </c>
      <c r="L501" s="25">
        <v>474700</v>
      </c>
      <c r="M501" s="2" t="s">
        <v>3761</v>
      </c>
      <c r="N501" s="25">
        <v>461110</v>
      </c>
      <c r="O501" s="2" t="s">
        <v>101</v>
      </c>
      <c r="P501" s="25">
        <v>976900</v>
      </c>
      <c r="Q501" s="12" t="s">
        <v>6051</v>
      </c>
      <c r="V501" t="s">
        <v>6232</v>
      </c>
      <c r="W501" t="s">
        <v>6232</v>
      </c>
      <c r="X501" t="s">
        <v>6232</v>
      </c>
    </row>
    <row r="502" spans="1:24" ht="18.399999999999999" hidden="1" customHeight="1">
      <c r="A502" s="11" t="s">
        <v>5909</v>
      </c>
      <c r="B502" s="2" t="s">
        <v>148</v>
      </c>
      <c r="C502" s="2" t="s">
        <v>6105</v>
      </c>
      <c r="D502" s="2" t="s">
        <v>6141</v>
      </c>
      <c r="E502" s="25">
        <v>230820</v>
      </c>
      <c r="F502" s="2"/>
      <c r="G502" s="2" t="s">
        <v>6232</v>
      </c>
      <c r="H502" s="2"/>
      <c r="I502" s="2" t="s">
        <v>6232</v>
      </c>
      <c r="J502" s="2"/>
      <c r="K502" s="2" t="s">
        <v>6232</v>
      </c>
      <c r="L502" s="25">
        <v>575130</v>
      </c>
      <c r="M502" s="2" t="s">
        <v>3761</v>
      </c>
      <c r="N502" s="25">
        <v>230820</v>
      </c>
      <c r="O502" s="2" t="s">
        <v>101</v>
      </c>
      <c r="P502" s="25">
        <v>1120000</v>
      </c>
      <c r="Q502" s="12" t="s">
        <v>6051</v>
      </c>
      <c r="V502" t="s">
        <v>6232</v>
      </c>
      <c r="W502" t="s">
        <v>6232</v>
      </c>
      <c r="X502" t="s">
        <v>6232</v>
      </c>
    </row>
    <row r="503" spans="1:24" ht="18.399999999999999" hidden="1" customHeight="1">
      <c r="A503" s="11" t="s">
        <v>4420</v>
      </c>
      <c r="B503" s="2" t="s">
        <v>148</v>
      </c>
      <c r="C503" s="2" t="s">
        <v>369</v>
      </c>
      <c r="D503" s="2" t="s">
        <v>6141</v>
      </c>
      <c r="E503" s="25">
        <v>570800</v>
      </c>
      <c r="F503" s="2"/>
      <c r="G503" s="2" t="s">
        <v>6232</v>
      </c>
      <c r="H503" s="2"/>
      <c r="I503" s="2" t="s">
        <v>6232</v>
      </c>
      <c r="J503" s="2"/>
      <c r="K503" s="2" t="s">
        <v>6232</v>
      </c>
      <c r="L503" s="25">
        <v>629900</v>
      </c>
      <c r="M503" s="2" t="s">
        <v>3761</v>
      </c>
      <c r="N503" s="25">
        <v>570800</v>
      </c>
      <c r="O503" s="2" t="s">
        <v>101</v>
      </c>
      <c r="P503" s="25">
        <v>1184000</v>
      </c>
      <c r="Q503" s="12" t="s">
        <v>6051</v>
      </c>
      <c r="V503" t="s">
        <v>6232</v>
      </c>
      <c r="W503" t="s">
        <v>6232</v>
      </c>
      <c r="X503" t="s">
        <v>6232</v>
      </c>
    </row>
    <row r="504" spans="1:24" ht="18.399999999999999" hidden="1" customHeight="1">
      <c r="A504" s="11" t="s">
        <v>4777</v>
      </c>
      <c r="B504" s="2" t="s">
        <v>148</v>
      </c>
      <c r="C504" s="2" t="s">
        <v>3821</v>
      </c>
      <c r="D504" s="2" t="s">
        <v>6141</v>
      </c>
      <c r="E504" s="25">
        <v>247670</v>
      </c>
      <c r="F504" s="2"/>
      <c r="G504" s="2" t="s">
        <v>6232</v>
      </c>
      <c r="H504" s="2"/>
      <c r="I504" s="2" t="s">
        <v>6232</v>
      </c>
      <c r="J504" s="2"/>
      <c r="K504" s="2" t="s">
        <v>6232</v>
      </c>
      <c r="L504" s="25">
        <v>730300</v>
      </c>
      <c r="M504" s="2" t="s">
        <v>3761</v>
      </c>
      <c r="N504" s="25">
        <v>247670</v>
      </c>
      <c r="O504" s="2" t="s">
        <v>101</v>
      </c>
      <c r="P504" s="25">
        <v>1214400</v>
      </c>
      <c r="Q504" s="12" t="s">
        <v>6051</v>
      </c>
      <c r="V504" t="s">
        <v>6232</v>
      </c>
      <c r="W504" t="s">
        <v>6232</v>
      </c>
      <c r="X504" t="s">
        <v>6232</v>
      </c>
    </row>
    <row r="505" spans="1:24" ht="18.399999999999999" hidden="1" customHeight="1">
      <c r="A505" s="11" t="s">
        <v>3122</v>
      </c>
      <c r="B505" s="2" t="s">
        <v>148</v>
      </c>
      <c r="C505" s="2" t="s">
        <v>2812</v>
      </c>
      <c r="D505" s="2" t="s">
        <v>6141</v>
      </c>
      <c r="E505" s="25">
        <v>652680</v>
      </c>
      <c r="F505" s="2"/>
      <c r="G505" s="2" t="s">
        <v>6232</v>
      </c>
      <c r="H505" s="2"/>
      <c r="I505" s="2" t="s">
        <v>6232</v>
      </c>
      <c r="J505" s="2"/>
      <c r="K505" s="2" t="s">
        <v>6232</v>
      </c>
      <c r="L505" s="25">
        <v>758590</v>
      </c>
      <c r="M505" s="2" t="s">
        <v>3761</v>
      </c>
      <c r="N505" s="25">
        <v>652680</v>
      </c>
      <c r="O505" s="2" t="s">
        <v>101</v>
      </c>
      <c r="P505" s="25">
        <v>1249600</v>
      </c>
      <c r="Q505" s="12" t="s">
        <v>6051</v>
      </c>
      <c r="V505" t="s">
        <v>6232</v>
      </c>
      <c r="W505" t="s">
        <v>6232</v>
      </c>
      <c r="X505" t="s">
        <v>6232</v>
      </c>
    </row>
    <row r="506" spans="1:24" ht="18.399999999999999" hidden="1" customHeight="1">
      <c r="A506" s="11" t="s">
        <v>1881</v>
      </c>
      <c r="B506" s="2" t="s">
        <v>93</v>
      </c>
      <c r="C506" s="2" t="s">
        <v>5612</v>
      </c>
      <c r="D506" s="2" t="s">
        <v>6141</v>
      </c>
      <c r="E506" s="25">
        <v>633000</v>
      </c>
      <c r="F506" s="2"/>
      <c r="G506" s="2" t="s">
        <v>6232</v>
      </c>
      <c r="H506" s="2"/>
      <c r="I506" s="2" t="s">
        <v>6232</v>
      </c>
      <c r="J506" s="2"/>
      <c r="K506" s="2" t="s">
        <v>6232</v>
      </c>
      <c r="L506" s="25">
        <v>1206000</v>
      </c>
      <c r="M506" s="2" t="s">
        <v>249</v>
      </c>
      <c r="N506" s="25">
        <v>633000</v>
      </c>
      <c r="O506" s="2" t="s">
        <v>4244</v>
      </c>
      <c r="P506" s="2"/>
      <c r="Q506" s="12" t="s">
        <v>6232</v>
      </c>
      <c r="V506" t="s">
        <v>6232</v>
      </c>
      <c r="W506" t="s">
        <v>6232</v>
      </c>
      <c r="X506" t="s">
        <v>6232</v>
      </c>
    </row>
    <row r="507" spans="1:24" ht="18.399999999999999" hidden="1" customHeight="1">
      <c r="A507" s="11" t="s">
        <v>4684</v>
      </c>
      <c r="B507" s="2" t="s">
        <v>93</v>
      </c>
      <c r="C507" s="2" t="s">
        <v>3978</v>
      </c>
      <c r="D507" s="2" t="s">
        <v>6141</v>
      </c>
      <c r="E507" s="25">
        <v>656000</v>
      </c>
      <c r="F507" s="2"/>
      <c r="G507" s="2" t="s">
        <v>6232</v>
      </c>
      <c r="H507" s="2"/>
      <c r="I507" s="2" t="s">
        <v>6232</v>
      </c>
      <c r="J507" s="2"/>
      <c r="K507" s="2" t="s">
        <v>6232</v>
      </c>
      <c r="L507" s="25">
        <v>1236000</v>
      </c>
      <c r="M507" s="2" t="s">
        <v>249</v>
      </c>
      <c r="N507" s="25">
        <v>656000</v>
      </c>
      <c r="O507" s="2" t="s">
        <v>4244</v>
      </c>
      <c r="P507" s="2"/>
      <c r="Q507" s="12" t="s">
        <v>6232</v>
      </c>
      <c r="V507" t="s">
        <v>6232</v>
      </c>
      <c r="W507" t="s">
        <v>6232</v>
      </c>
      <c r="X507" t="s">
        <v>6232</v>
      </c>
    </row>
    <row r="508" spans="1:24" ht="18.399999999999999" hidden="1" customHeight="1">
      <c r="A508" s="11" t="s">
        <v>852</v>
      </c>
      <c r="B508" s="2" t="s">
        <v>93</v>
      </c>
      <c r="C508" s="2" t="s">
        <v>2004</v>
      </c>
      <c r="D508" s="2" t="s">
        <v>6141</v>
      </c>
      <c r="E508" s="25">
        <v>685000</v>
      </c>
      <c r="F508" s="2"/>
      <c r="G508" s="2" t="s">
        <v>6232</v>
      </c>
      <c r="H508" s="2"/>
      <c r="I508" s="2" t="s">
        <v>6232</v>
      </c>
      <c r="J508" s="2"/>
      <c r="K508" s="2" t="s">
        <v>6232</v>
      </c>
      <c r="L508" s="25">
        <v>1286000</v>
      </c>
      <c r="M508" s="2" t="s">
        <v>249</v>
      </c>
      <c r="N508" s="25">
        <v>685000</v>
      </c>
      <c r="O508" s="2" t="s">
        <v>4244</v>
      </c>
      <c r="P508" s="2"/>
      <c r="Q508" s="12" t="s">
        <v>6232</v>
      </c>
      <c r="V508" t="s">
        <v>6232</v>
      </c>
      <c r="W508" t="s">
        <v>6232</v>
      </c>
      <c r="X508" t="s">
        <v>6232</v>
      </c>
    </row>
    <row r="509" spans="1:24" ht="18.399999999999999" hidden="1" customHeight="1">
      <c r="A509" s="11" t="s">
        <v>4864</v>
      </c>
      <c r="B509" s="2" t="s">
        <v>93</v>
      </c>
      <c r="C509" s="2" t="s">
        <v>2037</v>
      </c>
      <c r="D509" s="2" t="s">
        <v>6141</v>
      </c>
      <c r="E509" s="25">
        <v>825000</v>
      </c>
      <c r="F509" s="2"/>
      <c r="G509" s="2" t="s">
        <v>6232</v>
      </c>
      <c r="H509" s="2"/>
      <c r="I509" s="2" t="s">
        <v>6232</v>
      </c>
      <c r="J509" s="2"/>
      <c r="K509" s="2" t="s">
        <v>6232</v>
      </c>
      <c r="L509" s="25">
        <v>1434000</v>
      </c>
      <c r="M509" s="2" t="s">
        <v>249</v>
      </c>
      <c r="N509" s="25">
        <v>825000</v>
      </c>
      <c r="O509" s="2" t="s">
        <v>4244</v>
      </c>
      <c r="P509" s="2"/>
      <c r="Q509" s="12" t="s">
        <v>6232</v>
      </c>
      <c r="V509" t="s">
        <v>6232</v>
      </c>
      <c r="W509" t="s">
        <v>6232</v>
      </c>
      <c r="X509" t="s">
        <v>6232</v>
      </c>
    </row>
    <row r="510" spans="1:24" ht="18.399999999999999" hidden="1" customHeight="1">
      <c r="A510" s="11" t="s">
        <v>3315</v>
      </c>
      <c r="B510" s="2" t="s">
        <v>93</v>
      </c>
      <c r="C510" s="2" t="s">
        <v>2412</v>
      </c>
      <c r="D510" s="2" t="s">
        <v>6141</v>
      </c>
      <c r="E510" s="25">
        <v>894000</v>
      </c>
      <c r="F510" s="2"/>
      <c r="G510" s="2" t="s">
        <v>6232</v>
      </c>
      <c r="H510" s="2"/>
      <c r="I510" s="2" t="s">
        <v>6232</v>
      </c>
      <c r="J510" s="2"/>
      <c r="K510" s="2" t="s">
        <v>6232</v>
      </c>
      <c r="L510" s="25">
        <v>1775000</v>
      </c>
      <c r="M510" s="2" t="s">
        <v>249</v>
      </c>
      <c r="N510" s="25">
        <v>894000</v>
      </c>
      <c r="O510" s="2" t="s">
        <v>4244</v>
      </c>
      <c r="P510" s="2"/>
      <c r="Q510" s="12" t="s">
        <v>6232</v>
      </c>
      <c r="V510" t="s">
        <v>6232</v>
      </c>
      <c r="W510" t="s">
        <v>6232</v>
      </c>
      <c r="X510" t="s">
        <v>6232</v>
      </c>
    </row>
    <row r="511" spans="1:24" ht="18.399999999999999" hidden="1" customHeight="1">
      <c r="A511" s="11" t="s">
        <v>4801</v>
      </c>
      <c r="B511" s="2" t="s">
        <v>93</v>
      </c>
      <c r="C511" s="2" t="s">
        <v>3074</v>
      </c>
      <c r="D511" s="2" t="s">
        <v>6141</v>
      </c>
      <c r="E511" s="25">
        <v>999000</v>
      </c>
      <c r="F511" s="2"/>
      <c r="G511" s="2" t="s">
        <v>6232</v>
      </c>
      <c r="H511" s="2"/>
      <c r="I511" s="2" t="s">
        <v>6232</v>
      </c>
      <c r="J511" s="2"/>
      <c r="K511" s="2" t="s">
        <v>6232</v>
      </c>
      <c r="L511" s="25">
        <v>2055000</v>
      </c>
      <c r="M511" s="2" t="s">
        <v>249</v>
      </c>
      <c r="N511" s="25">
        <v>999000</v>
      </c>
      <c r="O511" s="2" t="s">
        <v>4244</v>
      </c>
      <c r="P511" s="2"/>
      <c r="Q511" s="12" t="s">
        <v>6232</v>
      </c>
      <c r="V511" t="s">
        <v>6232</v>
      </c>
      <c r="W511" t="s">
        <v>6232</v>
      </c>
      <c r="X511" t="s">
        <v>6232</v>
      </c>
    </row>
    <row r="512" spans="1:24" ht="18.399999999999999" hidden="1" customHeight="1">
      <c r="A512" s="11" t="s">
        <v>4778</v>
      </c>
      <c r="B512" s="2" t="s">
        <v>93</v>
      </c>
      <c r="C512" s="2" t="s">
        <v>1165</v>
      </c>
      <c r="D512" s="2" t="s">
        <v>6141</v>
      </c>
      <c r="E512" s="25">
        <v>1230000</v>
      </c>
      <c r="F512" s="2"/>
      <c r="G512" s="2" t="s">
        <v>6232</v>
      </c>
      <c r="H512" s="2"/>
      <c r="I512" s="2" t="s">
        <v>6232</v>
      </c>
      <c r="J512" s="2"/>
      <c r="K512" s="2" t="s">
        <v>6232</v>
      </c>
      <c r="L512" s="25">
        <v>2243000</v>
      </c>
      <c r="M512" s="2" t="s">
        <v>249</v>
      </c>
      <c r="N512" s="25">
        <v>1230000</v>
      </c>
      <c r="O512" s="2" t="s">
        <v>4244</v>
      </c>
      <c r="P512" s="2"/>
      <c r="Q512" s="12" t="s">
        <v>6232</v>
      </c>
      <c r="V512" t="s">
        <v>6232</v>
      </c>
      <c r="W512" t="s">
        <v>6232</v>
      </c>
      <c r="X512" t="s">
        <v>6232</v>
      </c>
    </row>
    <row r="513" spans="1:24" ht="18.399999999999999" hidden="1" customHeight="1">
      <c r="A513" s="11" t="s">
        <v>6132</v>
      </c>
      <c r="B513" s="2" t="s">
        <v>93</v>
      </c>
      <c r="C513" s="2" t="s">
        <v>1570</v>
      </c>
      <c r="D513" s="2" t="s">
        <v>6141</v>
      </c>
      <c r="E513" s="25">
        <v>1353000</v>
      </c>
      <c r="F513" s="2"/>
      <c r="G513" s="2" t="s">
        <v>6232</v>
      </c>
      <c r="H513" s="2"/>
      <c r="I513" s="2" t="s">
        <v>6232</v>
      </c>
      <c r="J513" s="2"/>
      <c r="K513" s="2" t="s">
        <v>6232</v>
      </c>
      <c r="L513" s="25">
        <v>2511000</v>
      </c>
      <c r="M513" s="2" t="s">
        <v>249</v>
      </c>
      <c r="N513" s="25">
        <v>1353000</v>
      </c>
      <c r="O513" s="2" t="s">
        <v>4244</v>
      </c>
      <c r="P513" s="2"/>
      <c r="Q513" s="12" t="s">
        <v>6232</v>
      </c>
      <c r="V513" t="s">
        <v>6232</v>
      </c>
      <c r="W513" t="s">
        <v>6232</v>
      </c>
      <c r="X513" t="s">
        <v>6232</v>
      </c>
    </row>
    <row r="514" spans="1:24" ht="18.399999999999999" hidden="1" customHeight="1">
      <c r="A514" s="11" t="s">
        <v>5999</v>
      </c>
      <c r="B514" s="2" t="s">
        <v>93</v>
      </c>
      <c r="C514" s="2" t="s">
        <v>2531</v>
      </c>
      <c r="D514" s="2" t="s">
        <v>6141</v>
      </c>
      <c r="E514" s="25">
        <v>1614000</v>
      </c>
      <c r="F514" s="2"/>
      <c r="G514" s="2" t="s">
        <v>6232</v>
      </c>
      <c r="H514" s="2"/>
      <c r="I514" s="2" t="s">
        <v>6232</v>
      </c>
      <c r="J514" s="2"/>
      <c r="K514" s="2" t="s">
        <v>6232</v>
      </c>
      <c r="L514" s="25">
        <v>3479000</v>
      </c>
      <c r="M514" s="2" t="s">
        <v>249</v>
      </c>
      <c r="N514" s="25">
        <v>1614000</v>
      </c>
      <c r="O514" s="2" t="s">
        <v>4244</v>
      </c>
      <c r="P514" s="2"/>
      <c r="Q514" s="12" t="s">
        <v>6232</v>
      </c>
      <c r="V514" t="s">
        <v>6232</v>
      </c>
      <c r="W514" t="s">
        <v>6232</v>
      </c>
      <c r="X514" t="s">
        <v>6232</v>
      </c>
    </row>
    <row r="515" spans="1:24" ht="18.399999999999999" hidden="1" customHeight="1">
      <c r="A515" s="11" t="s">
        <v>4611</v>
      </c>
      <c r="B515" s="2" t="s">
        <v>93</v>
      </c>
      <c r="C515" s="2" t="s">
        <v>4124</v>
      </c>
      <c r="D515" s="2" t="s">
        <v>6141</v>
      </c>
      <c r="E515" s="25">
        <v>2964000</v>
      </c>
      <c r="F515" s="2"/>
      <c r="G515" s="2" t="s">
        <v>6232</v>
      </c>
      <c r="H515" s="2"/>
      <c r="I515" s="2" t="s">
        <v>6232</v>
      </c>
      <c r="J515" s="2"/>
      <c r="K515" s="2" t="s">
        <v>6232</v>
      </c>
      <c r="L515" s="25">
        <v>5364000</v>
      </c>
      <c r="M515" s="2" t="s">
        <v>249</v>
      </c>
      <c r="N515" s="25">
        <v>2964000</v>
      </c>
      <c r="O515" s="2" t="s">
        <v>4244</v>
      </c>
      <c r="P515" s="2"/>
      <c r="Q515" s="12" t="s">
        <v>6232</v>
      </c>
      <c r="V515" t="s">
        <v>6232</v>
      </c>
      <c r="W515" t="s">
        <v>6232</v>
      </c>
      <c r="X515" t="s">
        <v>6232</v>
      </c>
    </row>
    <row r="516" spans="1:24" ht="18.399999999999999" hidden="1" customHeight="1">
      <c r="A516" s="11" t="s">
        <v>3945</v>
      </c>
      <c r="B516" s="2" t="s">
        <v>93</v>
      </c>
      <c r="C516" s="2" t="s">
        <v>4184</v>
      </c>
      <c r="D516" s="2" t="s">
        <v>6141</v>
      </c>
      <c r="E516" s="25">
        <v>3136000</v>
      </c>
      <c r="F516" s="2"/>
      <c r="G516" s="2" t="s">
        <v>6232</v>
      </c>
      <c r="H516" s="2"/>
      <c r="I516" s="2" t="s">
        <v>6232</v>
      </c>
      <c r="J516" s="2"/>
      <c r="K516" s="2" t="s">
        <v>6232</v>
      </c>
      <c r="L516" s="25">
        <v>6586000</v>
      </c>
      <c r="M516" s="2" t="s">
        <v>249</v>
      </c>
      <c r="N516" s="25">
        <v>3136000</v>
      </c>
      <c r="O516" s="2" t="s">
        <v>4244</v>
      </c>
      <c r="P516" s="2"/>
      <c r="Q516" s="12" t="s">
        <v>6232</v>
      </c>
      <c r="V516" t="s">
        <v>6232</v>
      </c>
      <c r="W516" t="s">
        <v>6232</v>
      </c>
      <c r="X516" t="s">
        <v>6232</v>
      </c>
    </row>
    <row r="517" spans="1:24" ht="18.399999999999999" hidden="1" customHeight="1">
      <c r="A517" s="11" t="s">
        <v>5641</v>
      </c>
      <c r="B517" s="2" t="s">
        <v>93</v>
      </c>
      <c r="C517" s="2" t="s">
        <v>1695</v>
      </c>
      <c r="D517" s="2" t="s">
        <v>6141</v>
      </c>
      <c r="E517" s="25">
        <v>5213000</v>
      </c>
      <c r="F517" s="2"/>
      <c r="G517" s="2" t="s">
        <v>6232</v>
      </c>
      <c r="H517" s="2"/>
      <c r="I517" s="2" t="s">
        <v>6232</v>
      </c>
      <c r="J517" s="2"/>
      <c r="K517" s="2" t="s">
        <v>6232</v>
      </c>
      <c r="L517" s="25">
        <v>9636000</v>
      </c>
      <c r="M517" s="2" t="s">
        <v>249</v>
      </c>
      <c r="N517" s="25">
        <v>5213000</v>
      </c>
      <c r="O517" s="2" t="s">
        <v>4244</v>
      </c>
      <c r="P517" s="2"/>
      <c r="Q517" s="12" t="s">
        <v>6232</v>
      </c>
      <c r="V517" t="s">
        <v>6232</v>
      </c>
      <c r="W517" t="s">
        <v>6232</v>
      </c>
      <c r="X517" t="s">
        <v>6232</v>
      </c>
    </row>
    <row r="518" spans="1:24" ht="18.399999999999999" hidden="1" customHeight="1">
      <c r="A518" s="11" t="s">
        <v>3634</v>
      </c>
      <c r="B518" s="2" t="s">
        <v>93</v>
      </c>
      <c r="C518" s="2" t="s">
        <v>4869</v>
      </c>
      <c r="D518" s="2" t="s">
        <v>6141</v>
      </c>
      <c r="E518" s="25">
        <v>8554000</v>
      </c>
      <c r="F518" s="2"/>
      <c r="G518" s="2" t="s">
        <v>6232</v>
      </c>
      <c r="H518" s="2"/>
      <c r="I518" s="2" t="s">
        <v>6232</v>
      </c>
      <c r="J518" s="2"/>
      <c r="K518" s="2" t="s">
        <v>6232</v>
      </c>
      <c r="L518" s="25">
        <v>13396000</v>
      </c>
      <c r="M518" s="2" t="s">
        <v>249</v>
      </c>
      <c r="N518" s="25">
        <v>8554000</v>
      </c>
      <c r="O518" s="2" t="s">
        <v>4244</v>
      </c>
      <c r="P518" s="2"/>
      <c r="Q518" s="12" t="s">
        <v>6232</v>
      </c>
      <c r="V518" t="s">
        <v>6232</v>
      </c>
      <c r="W518" t="s">
        <v>6232</v>
      </c>
      <c r="X518" t="s">
        <v>6232</v>
      </c>
    </row>
    <row r="519" spans="1:24" ht="18.399999999999999" hidden="1" customHeight="1">
      <c r="A519" s="11" t="s">
        <v>5056</v>
      </c>
      <c r="B519" s="2" t="s">
        <v>93</v>
      </c>
      <c r="C519" s="2" t="s">
        <v>808</v>
      </c>
      <c r="D519" s="2" t="s">
        <v>6141</v>
      </c>
      <c r="E519" s="25">
        <v>13329000</v>
      </c>
      <c r="F519" s="2"/>
      <c r="G519" s="2" t="s">
        <v>6232</v>
      </c>
      <c r="H519" s="2"/>
      <c r="I519" s="2" t="s">
        <v>6232</v>
      </c>
      <c r="J519" s="2"/>
      <c r="K519" s="2" t="s">
        <v>6232</v>
      </c>
      <c r="L519" s="25">
        <v>25630000</v>
      </c>
      <c r="M519" s="2" t="s">
        <v>249</v>
      </c>
      <c r="N519" s="25">
        <v>13329000</v>
      </c>
      <c r="O519" s="2" t="s">
        <v>4244</v>
      </c>
      <c r="P519" s="2"/>
      <c r="Q519" s="12" t="s">
        <v>6232</v>
      </c>
      <c r="V519" t="s">
        <v>6232</v>
      </c>
      <c r="W519" t="s">
        <v>6232</v>
      </c>
      <c r="X519" t="s">
        <v>6232</v>
      </c>
    </row>
    <row r="520" spans="1:24" ht="18.399999999999999" hidden="1" customHeight="1">
      <c r="A520" s="11" t="s">
        <v>372</v>
      </c>
      <c r="B520" s="2" t="s">
        <v>93</v>
      </c>
      <c r="C520" s="2" t="s">
        <v>2695</v>
      </c>
      <c r="D520" s="2" t="s">
        <v>6141</v>
      </c>
      <c r="E520" s="25">
        <v>16913000</v>
      </c>
      <c r="F520" s="2"/>
      <c r="G520" s="2" t="s">
        <v>6232</v>
      </c>
      <c r="H520" s="2"/>
      <c r="I520" s="2" t="s">
        <v>6232</v>
      </c>
      <c r="J520" s="2"/>
      <c r="K520" s="2" t="s">
        <v>6232</v>
      </c>
      <c r="L520" s="25">
        <v>29015000</v>
      </c>
      <c r="M520" s="2" t="s">
        <v>249</v>
      </c>
      <c r="N520" s="25">
        <v>16913000</v>
      </c>
      <c r="O520" s="2" t="s">
        <v>4244</v>
      </c>
      <c r="P520" s="2"/>
      <c r="Q520" s="12" t="s">
        <v>6232</v>
      </c>
      <c r="V520" t="s">
        <v>6232</v>
      </c>
      <c r="W520" t="s">
        <v>6232</v>
      </c>
      <c r="X520" t="s">
        <v>6232</v>
      </c>
    </row>
    <row r="521" spans="1:24" ht="18.399999999999999" hidden="1" customHeight="1">
      <c r="A521" s="11" t="s">
        <v>2062</v>
      </c>
      <c r="B521" s="2" t="s">
        <v>93</v>
      </c>
      <c r="C521" s="2" t="s">
        <v>3762</v>
      </c>
      <c r="D521" s="2" t="s">
        <v>6141</v>
      </c>
      <c r="E521" s="25">
        <v>22147000</v>
      </c>
      <c r="F521" s="2"/>
      <c r="G521" s="2" t="s">
        <v>6232</v>
      </c>
      <c r="H521" s="2"/>
      <c r="I521" s="2" t="s">
        <v>6232</v>
      </c>
      <c r="J521" s="2"/>
      <c r="K521" s="2" t="s">
        <v>6232</v>
      </c>
      <c r="L521" s="25">
        <v>32340000</v>
      </c>
      <c r="M521" s="2" t="s">
        <v>249</v>
      </c>
      <c r="N521" s="25">
        <v>22147000</v>
      </c>
      <c r="O521" s="2" t="s">
        <v>4244</v>
      </c>
      <c r="P521" s="2"/>
      <c r="Q521" s="12" t="s">
        <v>6232</v>
      </c>
      <c r="V521" t="s">
        <v>6232</v>
      </c>
      <c r="W521" t="s">
        <v>6232</v>
      </c>
      <c r="X521" t="s">
        <v>6232</v>
      </c>
    </row>
    <row r="522" spans="1:24" ht="18.399999999999999" hidden="1" customHeight="1">
      <c r="A522" s="11" t="s">
        <v>963</v>
      </c>
      <c r="B522" s="2" t="s">
        <v>93</v>
      </c>
      <c r="C522" s="2" t="s">
        <v>512</v>
      </c>
      <c r="D522" s="2" t="s">
        <v>6141</v>
      </c>
      <c r="E522" s="25">
        <v>26820000</v>
      </c>
      <c r="F522" s="2"/>
      <c r="G522" s="2" t="s">
        <v>6232</v>
      </c>
      <c r="H522" s="2"/>
      <c r="I522" s="2" t="s">
        <v>6232</v>
      </c>
      <c r="J522" s="2"/>
      <c r="K522" s="2" t="s">
        <v>6232</v>
      </c>
      <c r="L522" s="25">
        <v>42845000</v>
      </c>
      <c r="M522" s="2" t="s">
        <v>249</v>
      </c>
      <c r="N522" s="25">
        <v>26820000</v>
      </c>
      <c r="O522" s="2" t="s">
        <v>4244</v>
      </c>
      <c r="P522" s="2"/>
      <c r="Q522" s="12" t="s">
        <v>6232</v>
      </c>
      <c r="V522" t="s">
        <v>6232</v>
      </c>
      <c r="W522" t="s">
        <v>6232</v>
      </c>
      <c r="X522" t="s">
        <v>6232</v>
      </c>
    </row>
    <row r="523" spans="1:24" ht="18.399999999999999" hidden="1" customHeight="1">
      <c r="A523" s="11" t="s">
        <v>2380</v>
      </c>
      <c r="B523" s="2" t="s">
        <v>93</v>
      </c>
      <c r="C523" s="2" t="s">
        <v>6186</v>
      </c>
      <c r="D523" s="2" t="s">
        <v>6141</v>
      </c>
      <c r="E523" s="25">
        <v>34700000</v>
      </c>
      <c r="F523" s="2"/>
      <c r="G523" s="2" t="s">
        <v>6232</v>
      </c>
      <c r="H523" s="2"/>
      <c r="I523" s="2" t="s">
        <v>6232</v>
      </c>
      <c r="J523" s="2"/>
      <c r="K523" s="2" t="s">
        <v>6232</v>
      </c>
      <c r="L523" s="25">
        <v>53913000</v>
      </c>
      <c r="M523" s="2" t="s">
        <v>249</v>
      </c>
      <c r="N523" s="25">
        <v>34700000</v>
      </c>
      <c r="O523" s="2" t="s">
        <v>4244</v>
      </c>
      <c r="P523" s="2"/>
      <c r="Q523" s="12" t="s">
        <v>6232</v>
      </c>
      <c r="V523" t="s">
        <v>6232</v>
      </c>
      <c r="W523" t="s">
        <v>6232</v>
      </c>
      <c r="X523" t="s">
        <v>6232</v>
      </c>
    </row>
    <row r="524" spans="1:24" ht="18.399999999999999" hidden="1" customHeight="1">
      <c r="A524" s="11" t="s">
        <v>3036</v>
      </c>
      <c r="B524" s="2" t="s">
        <v>93</v>
      </c>
      <c r="C524" s="2" t="s">
        <v>6105</v>
      </c>
      <c r="D524" s="2" t="s">
        <v>6141</v>
      </c>
      <c r="E524" s="25">
        <v>40360000</v>
      </c>
      <c r="F524" s="2"/>
      <c r="G524" s="2" t="s">
        <v>6232</v>
      </c>
      <c r="H524" s="2"/>
      <c r="I524" s="2" t="s">
        <v>6232</v>
      </c>
      <c r="J524" s="2"/>
      <c r="K524" s="2" t="s">
        <v>6232</v>
      </c>
      <c r="L524" s="25">
        <v>70209000</v>
      </c>
      <c r="M524" s="2" t="s">
        <v>249</v>
      </c>
      <c r="N524" s="25">
        <v>40360000</v>
      </c>
      <c r="O524" s="2" t="s">
        <v>4244</v>
      </c>
      <c r="P524" s="2"/>
      <c r="Q524" s="12" t="s">
        <v>6232</v>
      </c>
      <c r="V524" t="s">
        <v>6232</v>
      </c>
      <c r="W524" t="s">
        <v>6232</v>
      </c>
      <c r="X524" t="s">
        <v>6232</v>
      </c>
    </row>
    <row r="525" spans="1:24" ht="18.399999999999999" hidden="1" customHeight="1">
      <c r="A525" s="11" t="s">
        <v>1432</v>
      </c>
      <c r="B525" s="2" t="s">
        <v>93</v>
      </c>
      <c r="C525" s="2" t="s">
        <v>369</v>
      </c>
      <c r="D525" s="2" t="s">
        <v>6141</v>
      </c>
      <c r="E525" s="25">
        <v>70748000</v>
      </c>
      <c r="F525" s="2"/>
      <c r="G525" s="2" t="s">
        <v>6232</v>
      </c>
      <c r="H525" s="2"/>
      <c r="I525" s="2" t="s">
        <v>6232</v>
      </c>
      <c r="J525" s="2"/>
      <c r="K525" s="2" t="s">
        <v>6232</v>
      </c>
      <c r="L525" s="25">
        <v>79654000</v>
      </c>
      <c r="M525" s="2" t="s">
        <v>249</v>
      </c>
      <c r="N525" s="25">
        <v>70748000</v>
      </c>
      <c r="O525" s="2" t="s">
        <v>4244</v>
      </c>
      <c r="P525" s="2"/>
      <c r="Q525" s="12" t="s">
        <v>6232</v>
      </c>
      <c r="V525" t="s">
        <v>6232</v>
      </c>
      <c r="W525" t="s">
        <v>6232</v>
      </c>
      <c r="X525" t="s">
        <v>6232</v>
      </c>
    </row>
    <row r="526" spans="1:24" ht="18.399999999999999" hidden="1" customHeight="1">
      <c r="A526" s="11" t="s">
        <v>1757</v>
      </c>
      <c r="B526" s="2" t="s">
        <v>93</v>
      </c>
      <c r="C526" s="2" t="s">
        <v>3821</v>
      </c>
      <c r="D526" s="2" t="s">
        <v>6141</v>
      </c>
      <c r="E526" s="25">
        <v>81790000</v>
      </c>
      <c r="F526" s="2"/>
      <c r="G526" s="2" t="s">
        <v>6232</v>
      </c>
      <c r="H526" s="2"/>
      <c r="I526" s="2" t="s">
        <v>6232</v>
      </c>
      <c r="J526" s="2"/>
      <c r="K526" s="2" t="s">
        <v>6232</v>
      </c>
      <c r="L526" s="25">
        <v>125222000</v>
      </c>
      <c r="M526" s="2" t="s">
        <v>249</v>
      </c>
      <c r="N526" s="25">
        <v>81790000</v>
      </c>
      <c r="O526" s="2" t="s">
        <v>4244</v>
      </c>
      <c r="P526" s="2"/>
      <c r="Q526" s="12" t="s">
        <v>6232</v>
      </c>
      <c r="V526" t="s">
        <v>6232</v>
      </c>
      <c r="W526" t="s">
        <v>6232</v>
      </c>
      <c r="X526" t="s">
        <v>6232</v>
      </c>
    </row>
    <row r="527" spans="1:24" ht="18.399999999999999" hidden="1" customHeight="1">
      <c r="A527" s="11" t="s">
        <v>275</v>
      </c>
      <c r="B527" s="2" t="s">
        <v>93</v>
      </c>
      <c r="C527" s="2" t="s">
        <v>2812</v>
      </c>
      <c r="D527" s="2" t="s">
        <v>6141</v>
      </c>
      <c r="E527" s="25">
        <v>97202000</v>
      </c>
      <c r="F527" s="2"/>
      <c r="G527" s="2" t="s">
        <v>6232</v>
      </c>
      <c r="H527" s="2"/>
      <c r="I527" s="2" t="s">
        <v>6232</v>
      </c>
      <c r="J527" s="2"/>
      <c r="K527" s="2" t="s">
        <v>6232</v>
      </c>
      <c r="L527" s="25">
        <v>169884000</v>
      </c>
      <c r="M527" s="2" t="s">
        <v>249</v>
      </c>
      <c r="N527" s="25">
        <v>97202000</v>
      </c>
      <c r="O527" s="2" t="s">
        <v>4244</v>
      </c>
      <c r="P527" s="2"/>
      <c r="Q527" s="12" t="s">
        <v>6232</v>
      </c>
      <c r="V527" t="s">
        <v>6232</v>
      </c>
      <c r="W527" t="s">
        <v>6232</v>
      </c>
      <c r="X527" t="s">
        <v>6232</v>
      </c>
    </row>
    <row r="528" spans="1:24" ht="18.399999999999999" hidden="1" customHeight="1">
      <c r="A528" s="11" t="s">
        <v>6179</v>
      </c>
      <c r="B528" s="2" t="s">
        <v>93</v>
      </c>
      <c r="C528" s="2" t="s">
        <v>898</v>
      </c>
      <c r="D528" s="2" t="s">
        <v>6141</v>
      </c>
      <c r="E528" s="25">
        <v>3960000</v>
      </c>
      <c r="F528" s="2"/>
      <c r="G528" s="2" t="s">
        <v>6232</v>
      </c>
      <c r="H528" s="2"/>
      <c r="I528" s="2" t="s">
        <v>6232</v>
      </c>
      <c r="J528" s="2"/>
      <c r="K528" s="2" t="s">
        <v>6232</v>
      </c>
      <c r="L528" s="25">
        <v>7706000</v>
      </c>
      <c r="M528" s="2" t="s">
        <v>249</v>
      </c>
      <c r="N528" s="25">
        <v>3960000</v>
      </c>
      <c r="O528" s="2" t="s">
        <v>4244</v>
      </c>
      <c r="P528" s="2"/>
      <c r="Q528" s="12" t="s">
        <v>6232</v>
      </c>
      <c r="V528" t="s">
        <v>6232</v>
      </c>
      <c r="W528" t="s">
        <v>6232</v>
      </c>
      <c r="X528" t="s">
        <v>6232</v>
      </c>
    </row>
    <row r="529" spans="1:24" ht="18.399999999999999" hidden="1" customHeight="1">
      <c r="A529" s="11" t="s">
        <v>5469</v>
      </c>
      <c r="B529" s="2" t="s">
        <v>93</v>
      </c>
      <c r="C529" s="2" t="s">
        <v>4038</v>
      </c>
      <c r="D529" s="2" t="s">
        <v>6141</v>
      </c>
      <c r="E529" s="25">
        <v>4603000</v>
      </c>
      <c r="F529" s="2"/>
      <c r="G529" s="2" t="s">
        <v>6232</v>
      </c>
      <c r="H529" s="2"/>
      <c r="I529" s="2" t="s">
        <v>6232</v>
      </c>
      <c r="J529" s="2"/>
      <c r="K529" s="2" t="s">
        <v>6232</v>
      </c>
      <c r="L529" s="25">
        <v>8929000</v>
      </c>
      <c r="M529" s="2" t="s">
        <v>249</v>
      </c>
      <c r="N529" s="25">
        <v>4603000</v>
      </c>
      <c r="O529" s="2" t="s">
        <v>4244</v>
      </c>
      <c r="P529" s="2"/>
      <c r="Q529" s="12" t="s">
        <v>6232</v>
      </c>
      <c r="V529" t="s">
        <v>6232</v>
      </c>
      <c r="W529" t="s">
        <v>6232</v>
      </c>
      <c r="X529" t="s">
        <v>6232</v>
      </c>
    </row>
    <row r="530" spans="1:24" ht="18.399999999999999" hidden="1" customHeight="1">
      <c r="A530" s="11" t="s">
        <v>4016</v>
      </c>
      <c r="B530" s="2" t="s">
        <v>93</v>
      </c>
      <c r="C530" s="2" t="s">
        <v>5363</v>
      </c>
      <c r="D530" s="2" t="s">
        <v>6141</v>
      </c>
      <c r="E530" s="25">
        <v>7543000</v>
      </c>
      <c r="F530" s="2"/>
      <c r="G530" s="2" t="s">
        <v>6232</v>
      </c>
      <c r="H530" s="2"/>
      <c r="I530" s="2" t="s">
        <v>6232</v>
      </c>
      <c r="J530" s="2"/>
      <c r="K530" s="2" t="s">
        <v>6232</v>
      </c>
      <c r="L530" s="25">
        <v>11978000</v>
      </c>
      <c r="M530" s="2" t="s">
        <v>249</v>
      </c>
      <c r="N530" s="25">
        <v>7543000</v>
      </c>
      <c r="O530" s="2" t="s">
        <v>4244</v>
      </c>
      <c r="P530" s="2"/>
      <c r="Q530" s="12" t="s">
        <v>6232</v>
      </c>
      <c r="V530" t="s">
        <v>6232</v>
      </c>
      <c r="W530" t="s">
        <v>6232</v>
      </c>
      <c r="X530" t="s">
        <v>6232</v>
      </c>
    </row>
    <row r="531" spans="1:24" ht="18.399999999999999" hidden="1" customHeight="1">
      <c r="A531" s="11" t="s">
        <v>5210</v>
      </c>
      <c r="B531" s="2" t="s">
        <v>93</v>
      </c>
      <c r="C531" s="2" t="s">
        <v>1207</v>
      </c>
      <c r="D531" s="2" t="s">
        <v>6141</v>
      </c>
      <c r="E531" s="25">
        <v>11043000</v>
      </c>
      <c r="F531" s="2"/>
      <c r="G531" s="2" t="s">
        <v>6232</v>
      </c>
      <c r="H531" s="2"/>
      <c r="I531" s="2" t="s">
        <v>6232</v>
      </c>
      <c r="J531" s="2"/>
      <c r="K531" s="2" t="s">
        <v>6232</v>
      </c>
      <c r="L531" s="25">
        <v>16078000</v>
      </c>
      <c r="M531" s="2" t="s">
        <v>249</v>
      </c>
      <c r="N531" s="25">
        <v>11043000</v>
      </c>
      <c r="O531" s="2" t="s">
        <v>4244</v>
      </c>
      <c r="P531" s="2"/>
      <c r="Q531" s="12" t="s">
        <v>6232</v>
      </c>
      <c r="V531" t="s">
        <v>6232</v>
      </c>
      <c r="W531" t="s">
        <v>6232</v>
      </c>
      <c r="X531" t="s">
        <v>6232</v>
      </c>
    </row>
    <row r="532" spans="1:24" ht="18.399999999999999" hidden="1" customHeight="1">
      <c r="A532" s="11" t="s">
        <v>3562</v>
      </c>
      <c r="B532" s="2" t="s">
        <v>93</v>
      </c>
      <c r="C532" s="2" t="s">
        <v>1782</v>
      </c>
      <c r="D532" s="2" t="s">
        <v>6141</v>
      </c>
      <c r="E532" s="25">
        <v>15781000</v>
      </c>
      <c r="F532" s="2"/>
      <c r="G532" s="2" t="s">
        <v>6232</v>
      </c>
      <c r="H532" s="2"/>
      <c r="I532" s="2" t="s">
        <v>6232</v>
      </c>
      <c r="J532" s="2"/>
      <c r="K532" s="2" t="s">
        <v>6232</v>
      </c>
      <c r="L532" s="25">
        <v>27972000</v>
      </c>
      <c r="M532" s="2" t="s">
        <v>249</v>
      </c>
      <c r="N532" s="25">
        <v>15781000</v>
      </c>
      <c r="O532" s="2" t="s">
        <v>4244</v>
      </c>
      <c r="P532" s="2"/>
      <c r="Q532" s="12" t="s">
        <v>6232</v>
      </c>
      <c r="V532" t="s">
        <v>6232</v>
      </c>
      <c r="W532" t="s">
        <v>6232</v>
      </c>
      <c r="X532" t="s">
        <v>6232</v>
      </c>
    </row>
    <row r="533" spans="1:24" ht="18.399999999999999" hidden="1" customHeight="1">
      <c r="A533" s="11" t="s">
        <v>1990</v>
      </c>
      <c r="B533" s="2" t="s">
        <v>93</v>
      </c>
      <c r="C533" s="2" t="s">
        <v>495</v>
      </c>
      <c r="D533" s="2" t="s">
        <v>6141</v>
      </c>
      <c r="E533" s="25">
        <v>19473000</v>
      </c>
      <c r="F533" s="2"/>
      <c r="G533" s="2" t="s">
        <v>6232</v>
      </c>
      <c r="H533" s="2"/>
      <c r="I533" s="2" t="s">
        <v>6232</v>
      </c>
      <c r="J533" s="2"/>
      <c r="K533" s="2" t="s">
        <v>6232</v>
      </c>
      <c r="L533" s="25">
        <v>32229000</v>
      </c>
      <c r="M533" s="2" t="s">
        <v>249</v>
      </c>
      <c r="N533" s="25">
        <v>19473000</v>
      </c>
      <c r="O533" s="2" t="s">
        <v>4244</v>
      </c>
      <c r="P533" s="2"/>
      <c r="Q533" s="12" t="s">
        <v>6232</v>
      </c>
      <c r="V533" t="s">
        <v>6232</v>
      </c>
      <c r="W533" t="s">
        <v>6232</v>
      </c>
      <c r="X533" t="s">
        <v>6232</v>
      </c>
    </row>
    <row r="534" spans="1:24" ht="18.399999999999999" hidden="1" customHeight="1">
      <c r="A534" s="11" t="s">
        <v>565</v>
      </c>
      <c r="B534" s="2" t="s">
        <v>93</v>
      </c>
      <c r="C534" s="2" t="s">
        <v>2628</v>
      </c>
      <c r="D534" s="2" t="s">
        <v>6141</v>
      </c>
      <c r="E534" s="25">
        <v>25020000</v>
      </c>
      <c r="F534" s="2"/>
      <c r="G534" s="2" t="s">
        <v>6232</v>
      </c>
      <c r="H534" s="2"/>
      <c r="I534" s="2" t="s">
        <v>6232</v>
      </c>
      <c r="J534" s="2"/>
      <c r="K534" s="2" t="s">
        <v>6232</v>
      </c>
      <c r="L534" s="25">
        <v>36070000</v>
      </c>
      <c r="M534" s="2" t="s">
        <v>249</v>
      </c>
      <c r="N534" s="25">
        <v>25020000</v>
      </c>
      <c r="O534" s="2" t="s">
        <v>4244</v>
      </c>
      <c r="P534" s="2"/>
      <c r="Q534" s="12" t="s">
        <v>6232</v>
      </c>
      <c r="V534" t="s">
        <v>6232</v>
      </c>
      <c r="W534" t="s">
        <v>6232</v>
      </c>
      <c r="X534" t="s">
        <v>6232</v>
      </c>
    </row>
    <row r="535" spans="1:24" ht="18.399999999999999" hidden="1" customHeight="1">
      <c r="A535" s="11" t="s">
        <v>2440</v>
      </c>
      <c r="B535" s="2" t="s">
        <v>93</v>
      </c>
      <c r="C535" s="2" t="s">
        <v>3164</v>
      </c>
      <c r="D535" s="2" t="s">
        <v>6141</v>
      </c>
      <c r="E535" s="25">
        <v>29565000</v>
      </c>
      <c r="F535" s="2"/>
      <c r="G535" s="2" t="s">
        <v>6232</v>
      </c>
      <c r="H535" s="2"/>
      <c r="I535" s="2" t="s">
        <v>6232</v>
      </c>
      <c r="J535" s="2"/>
      <c r="K535" s="2" t="s">
        <v>6232</v>
      </c>
      <c r="L535" s="25">
        <v>45187000</v>
      </c>
      <c r="M535" s="2" t="s">
        <v>249</v>
      </c>
      <c r="N535" s="25">
        <v>29565000</v>
      </c>
      <c r="O535" s="2" t="s">
        <v>4244</v>
      </c>
      <c r="P535" s="2"/>
      <c r="Q535" s="12" t="s">
        <v>6232</v>
      </c>
      <c r="V535" t="s">
        <v>6232</v>
      </c>
      <c r="W535" t="s">
        <v>6232</v>
      </c>
      <c r="X535" t="s">
        <v>6232</v>
      </c>
    </row>
    <row r="536" spans="1:24" ht="18.399999999999999" hidden="1" customHeight="1">
      <c r="A536" s="11" t="s">
        <v>805</v>
      </c>
      <c r="B536" s="2" t="s">
        <v>93</v>
      </c>
      <c r="C536" s="2" t="s">
        <v>6133</v>
      </c>
      <c r="D536" s="2" t="s">
        <v>6141</v>
      </c>
      <c r="E536" s="25">
        <v>37461000</v>
      </c>
      <c r="F536" s="2"/>
      <c r="G536" s="2" t="s">
        <v>6232</v>
      </c>
      <c r="H536" s="2"/>
      <c r="I536" s="2" t="s">
        <v>6232</v>
      </c>
      <c r="J536" s="2"/>
      <c r="K536" s="2" t="s">
        <v>6232</v>
      </c>
      <c r="L536" s="25">
        <v>56256000</v>
      </c>
      <c r="M536" s="2" t="s">
        <v>249</v>
      </c>
      <c r="N536" s="25">
        <v>37461000</v>
      </c>
      <c r="O536" s="2" t="s">
        <v>4244</v>
      </c>
      <c r="P536" s="2"/>
      <c r="Q536" s="12" t="s">
        <v>6232</v>
      </c>
      <c r="V536" t="s">
        <v>6232</v>
      </c>
      <c r="W536" t="s">
        <v>6232</v>
      </c>
      <c r="X536" t="s">
        <v>6232</v>
      </c>
    </row>
    <row r="537" spans="1:24" ht="18.399999999999999" hidden="1" customHeight="1">
      <c r="A537" s="11" t="s">
        <v>1478</v>
      </c>
      <c r="B537" s="2" t="s">
        <v>93</v>
      </c>
      <c r="C537" s="2" t="s">
        <v>2959</v>
      </c>
      <c r="D537" s="2" t="s">
        <v>6141</v>
      </c>
      <c r="E537" s="25">
        <v>43164000</v>
      </c>
      <c r="F537" s="2"/>
      <c r="G537" s="2" t="s">
        <v>6232</v>
      </c>
      <c r="H537" s="2"/>
      <c r="I537" s="2" t="s">
        <v>6232</v>
      </c>
      <c r="J537" s="2"/>
      <c r="K537" s="2" t="s">
        <v>6232</v>
      </c>
      <c r="L537" s="25">
        <v>72552000</v>
      </c>
      <c r="M537" s="2" t="s">
        <v>249</v>
      </c>
      <c r="N537" s="25">
        <v>43164000</v>
      </c>
      <c r="O537" s="2" t="s">
        <v>4244</v>
      </c>
      <c r="P537" s="2"/>
      <c r="Q537" s="12" t="s">
        <v>6232</v>
      </c>
      <c r="V537" t="s">
        <v>6232</v>
      </c>
      <c r="W537" t="s">
        <v>6232</v>
      </c>
      <c r="X537" t="s">
        <v>6232</v>
      </c>
    </row>
    <row r="538" spans="1:24" ht="18.399999999999999" hidden="1" customHeight="1">
      <c r="A538" s="11" t="s">
        <v>2910</v>
      </c>
      <c r="B538" s="2" t="s">
        <v>93</v>
      </c>
      <c r="C538" s="2" t="s">
        <v>72</v>
      </c>
      <c r="D538" s="2" t="s">
        <v>6141</v>
      </c>
      <c r="E538" s="25">
        <v>77631000</v>
      </c>
      <c r="F538" s="2"/>
      <c r="G538" s="2" t="s">
        <v>6232</v>
      </c>
      <c r="H538" s="2"/>
      <c r="I538" s="2" t="s">
        <v>6232</v>
      </c>
      <c r="J538" s="2"/>
      <c r="K538" s="2" t="s">
        <v>6232</v>
      </c>
      <c r="L538" s="25">
        <v>81996000</v>
      </c>
      <c r="M538" s="2" t="s">
        <v>249</v>
      </c>
      <c r="N538" s="25">
        <v>77631000</v>
      </c>
      <c r="O538" s="2" t="s">
        <v>4244</v>
      </c>
      <c r="P538" s="2"/>
      <c r="Q538" s="12" t="s">
        <v>6232</v>
      </c>
      <c r="V538" t="s">
        <v>6232</v>
      </c>
      <c r="W538" t="s">
        <v>6232</v>
      </c>
      <c r="X538" t="s">
        <v>6232</v>
      </c>
    </row>
    <row r="539" spans="1:24" ht="18.399999999999999" hidden="1" customHeight="1">
      <c r="A539" s="11" t="s">
        <v>240</v>
      </c>
      <c r="B539" s="2" t="s">
        <v>93</v>
      </c>
      <c r="C539" s="2" t="s">
        <v>5732</v>
      </c>
      <c r="D539" s="2" t="s">
        <v>6141</v>
      </c>
      <c r="E539" s="25">
        <v>89751000</v>
      </c>
      <c r="F539" s="2"/>
      <c r="G539" s="2" t="s">
        <v>6232</v>
      </c>
      <c r="H539" s="2"/>
      <c r="I539" s="2" t="s">
        <v>6232</v>
      </c>
      <c r="J539" s="2"/>
      <c r="K539" s="2" t="s">
        <v>6232</v>
      </c>
      <c r="L539" s="25">
        <v>127565000</v>
      </c>
      <c r="M539" s="2" t="s">
        <v>249</v>
      </c>
      <c r="N539" s="25">
        <v>89751000</v>
      </c>
      <c r="O539" s="2" t="s">
        <v>4244</v>
      </c>
      <c r="P539" s="2"/>
      <c r="Q539" s="12" t="s">
        <v>6232</v>
      </c>
      <c r="V539" t="s">
        <v>6232</v>
      </c>
      <c r="W539" t="s">
        <v>6232</v>
      </c>
      <c r="X539" t="s">
        <v>6232</v>
      </c>
    </row>
    <row r="540" spans="1:24" ht="18.399999999999999" hidden="1" customHeight="1">
      <c r="A540" s="11" t="s">
        <v>1908</v>
      </c>
      <c r="B540" s="2" t="s">
        <v>93</v>
      </c>
      <c r="C540" s="2" t="s">
        <v>3600</v>
      </c>
      <c r="D540" s="2" t="s">
        <v>6141</v>
      </c>
      <c r="E540" s="25">
        <v>106667000</v>
      </c>
      <c r="F540" s="2"/>
      <c r="G540" s="2" t="s">
        <v>6232</v>
      </c>
      <c r="H540" s="2"/>
      <c r="I540" s="2" t="s">
        <v>6232</v>
      </c>
      <c r="J540" s="2"/>
      <c r="K540" s="2" t="s">
        <v>6232</v>
      </c>
      <c r="L540" s="25">
        <v>172226000</v>
      </c>
      <c r="M540" s="2" t="s">
        <v>249</v>
      </c>
      <c r="N540" s="25">
        <v>106667000</v>
      </c>
      <c r="O540" s="2" t="s">
        <v>4244</v>
      </c>
      <c r="P540" s="2"/>
      <c r="Q540" s="12" t="s">
        <v>6232</v>
      </c>
      <c r="V540" t="s">
        <v>6232</v>
      </c>
      <c r="W540" t="s">
        <v>6232</v>
      </c>
      <c r="X540" t="s">
        <v>6232</v>
      </c>
    </row>
    <row r="541" spans="1:24" ht="18.399999999999999" hidden="1" customHeight="1">
      <c r="A541" s="11" t="s">
        <v>3748</v>
      </c>
      <c r="B541" s="2" t="s">
        <v>2690</v>
      </c>
      <c r="C541" s="2" t="s">
        <v>999</v>
      </c>
      <c r="D541" s="2" t="s">
        <v>2272</v>
      </c>
      <c r="E541" s="25">
        <v>36200</v>
      </c>
      <c r="F541" s="2"/>
      <c r="G541" s="2" t="s">
        <v>6232</v>
      </c>
      <c r="H541" s="2"/>
      <c r="I541" s="2" t="s">
        <v>6232</v>
      </c>
      <c r="J541" s="2"/>
      <c r="K541" s="2" t="s">
        <v>6232</v>
      </c>
      <c r="L541" s="25">
        <v>36200</v>
      </c>
      <c r="M541" s="2" t="s">
        <v>5933</v>
      </c>
      <c r="N541" s="2"/>
      <c r="O541" s="2" t="s">
        <v>6232</v>
      </c>
      <c r="P541" s="2"/>
      <c r="Q541" s="12" t="s">
        <v>6232</v>
      </c>
      <c r="V541" t="s">
        <v>6232</v>
      </c>
      <c r="W541" t="s">
        <v>6232</v>
      </c>
      <c r="X541" t="s">
        <v>6232</v>
      </c>
    </row>
    <row r="542" spans="1:24" ht="18.399999999999999" hidden="1" customHeight="1">
      <c r="A542" s="11" t="s">
        <v>601</v>
      </c>
      <c r="B542" s="2" t="s">
        <v>2690</v>
      </c>
      <c r="C542" s="2" t="s">
        <v>1710</v>
      </c>
      <c r="D542" s="2" t="s">
        <v>2272</v>
      </c>
      <c r="E542" s="25">
        <v>40100</v>
      </c>
      <c r="F542" s="2"/>
      <c r="G542" s="2" t="s">
        <v>6232</v>
      </c>
      <c r="H542" s="2"/>
      <c r="I542" s="2" t="s">
        <v>6232</v>
      </c>
      <c r="J542" s="2"/>
      <c r="K542" s="2" t="s">
        <v>6232</v>
      </c>
      <c r="L542" s="25">
        <v>40100</v>
      </c>
      <c r="M542" s="2" t="s">
        <v>5933</v>
      </c>
      <c r="N542" s="2"/>
      <c r="O542" s="2" t="s">
        <v>6232</v>
      </c>
      <c r="P542" s="2"/>
      <c r="Q542" s="12" t="s">
        <v>6232</v>
      </c>
      <c r="V542" t="s">
        <v>6232</v>
      </c>
      <c r="W542" t="s">
        <v>6232</v>
      </c>
      <c r="X542" t="s">
        <v>6232</v>
      </c>
    </row>
    <row r="543" spans="1:24" ht="18.399999999999999" hidden="1" customHeight="1">
      <c r="A543" s="11" t="s">
        <v>3649</v>
      </c>
      <c r="B543" s="2" t="s">
        <v>2690</v>
      </c>
      <c r="C543" s="2" t="s">
        <v>1832</v>
      </c>
      <c r="D543" s="2" t="s">
        <v>2272</v>
      </c>
      <c r="E543" s="25">
        <v>48300</v>
      </c>
      <c r="F543" s="2"/>
      <c r="G543" s="2" t="s">
        <v>6232</v>
      </c>
      <c r="H543" s="2"/>
      <c r="I543" s="2" t="s">
        <v>6232</v>
      </c>
      <c r="J543" s="2"/>
      <c r="K543" s="2" t="s">
        <v>6232</v>
      </c>
      <c r="L543" s="25">
        <v>48300</v>
      </c>
      <c r="M543" s="2" t="s">
        <v>5933</v>
      </c>
      <c r="N543" s="2"/>
      <c r="O543" s="2" t="s">
        <v>6232</v>
      </c>
      <c r="P543" s="2"/>
      <c r="Q543" s="12" t="s">
        <v>6232</v>
      </c>
      <c r="V543" t="s">
        <v>6232</v>
      </c>
      <c r="W543" t="s">
        <v>6232</v>
      </c>
      <c r="X543" t="s">
        <v>6232</v>
      </c>
    </row>
    <row r="544" spans="1:24" ht="18.399999999999999" hidden="1" customHeight="1">
      <c r="A544" s="11" t="s">
        <v>2727</v>
      </c>
      <c r="B544" s="2" t="s">
        <v>2690</v>
      </c>
      <c r="C544" s="2" t="s">
        <v>1833</v>
      </c>
      <c r="D544" s="2" t="s">
        <v>2272</v>
      </c>
      <c r="E544" s="25">
        <v>36200</v>
      </c>
      <c r="F544" s="2"/>
      <c r="G544" s="2" t="s">
        <v>6232</v>
      </c>
      <c r="H544" s="2"/>
      <c r="I544" s="2" t="s">
        <v>6232</v>
      </c>
      <c r="J544" s="2"/>
      <c r="K544" s="2" t="s">
        <v>6232</v>
      </c>
      <c r="L544" s="25">
        <v>36200</v>
      </c>
      <c r="M544" s="2" t="s">
        <v>5933</v>
      </c>
      <c r="N544" s="2"/>
      <c r="O544" s="2" t="s">
        <v>6232</v>
      </c>
      <c r="P544" s="2"/>
      <c r="Q544" s="12" t="s">
        <v>6232</v>
      </c>
      <c r="V544" t="s">
        <v>6232</v>
      </c>
      <c r="W544" t="s">
        <v>6232</v>
      </c>
      <c r="X544" t="s">
        <v>6232</v>
      </c>
    </row>
    <row r="545" spans="1:24" ht="18.399999999999999" hidden="1" customHeight="1">
      <c r="A545" s="11" t="s">
        <v>5910</v>
      </c>
      <c r="B545" s="2" t="s">
        <v>2690</v>
      </c>
      <c r="C545" s="2" t="s">
        <v>842</v>
      </c>
      <c r="D545" s="2" t="s">
        <v>2272</v>
      </c>
      <c r="E545" s="25">
        <v>40100</v>
      </c>
      <c r="F545" s="2"/>
      <c r="G545" s="2" t="s">
        <v>6232</v>
      </c>
      <c r="H545" s="2"/>
      <c r="I545" s="2" t="s">
        <v>6232</v>
      </c>
      <c r="J545" s="2"/>
      <c r="K545" s="2" t="s">
        <v>6232</v>
      </c>
      <c r="L545" s="25">
        <v>40100</v>
      </c>
      <c r="M545" s="2" t="s">
        <v>5933</v>
      </c>
      <c r="N545" s="2"/>
      <c r="O545" s="2" t="s">
        <v>6232</v>
      </c>
      <c r="P545" s="2"/>
      <c r="Q545" s="12" t="s">
        <v>6232</v>
      </c>
      <c r="V545" t="s">
        <v>6232</v>
      </c>
      <c r="W545" t="s">
        <v>6232</v>
      </c>
      <c r="X545" t="s">
        <v>6232</v>
      </c>
    </row>
    <row r="546" spans="1:24" ht="18.399999999999999" hidden="1" customHeight="1">
      <c r="A546" s="11" t="s">
        <v>3013</v>
      </c>
      <c r="B546" s="2" t="s">
        <v>2690</v>
      </c>
      <c r="C546" s="2" t="s">
        <v>1000</v>
      </c>
      <c r="D546" s="2" t="s">
        <v>2272</v>
      </c>
      <c r="E546" s="25">
        <v>48300</v>
      </c>
      <c r="F546" s="2"/>
      <c r="G546" s="2" t="s">
        <v>6232</v>
      </c>
      <c r="H546" s="2"/>
      <c r="I546" s="2" t="s">
        <v>6232</v>
      </c>
      <c r="J546" s="2"/>
      <c r="K546" s="2" t="s">
        <v>6232</v>
      </c>
      <c r="L546" s="25">
        <v>48300</v>
      </c>
      <c r="M546" s="2" t="s">
        <v>5933</v>
      </c>
      <c r="N546" s="2"/>
      <c r="O546" s="2" t="s">
        <v>6232</v>
      </c>
      <c r="P546" s="2"/>
      <c r="Q546" s="12" t="s">
        <v>6232</v>
      </c>
      <c r="V546" t="s">
        <v>6232</v>
      </c>
      <c r="W546" t="s">
        <v>6232</v>
      </c>
      <c r="X546" t="s">
        <v>6232</v>
      </c>
    </row>
    <row r="547" spans="1:24" ht="18.399999999999999" hidden="1" customHeight="1">
      <c r="A547" s="11" t="s">
        <v>3501</v>
      </c>
      <c r="B547" s="2" t="s">
        <v>2690</v>
      </c>
      <c r="C547" s="2" t="s">
        <v>589</v>
      </c>
      <c r="D547" s="2" t="s">
        <v>2272</v>
      </c>
      <c r="E547" s="25">
        <v>37900</v>
      </c>
      <c r="F547" s="2"/>
      <c r="G547" s="2" t="s">
        <v>6232</v>
      </c>
      <c r="H547" s="2"/>
      <c r="I547" s="2" t="s">
        <v>6232</v>
      </c>
      <c r="J547" s="2"/>
      <c r="K547" s="2" t="s">
        <v>6232</v>
      </c>
      <c r="L547" s="25">
        <v>37900</v>
      </c>
      <c r="M547" s="2" t="s">
        <v>5933</v>
      </c>
      <c r="N547" s="2"/>
      <c r="O547" s="2" t="s">
        <v>6232</v>
      </c>
      <c r="P547" s="2"/>
      <c r="Q547" s="12" t="s">
        <v>6232</v>
      </c>
      <c r="V547" t="s">
        <v>6232</v>
      </c>
      <c r="W547" t="s">
        <v>6232</v>
      </c>
      <c r="X547" t="s">
        <v>6232</v>
      </c>
    </row>
    <row r="548" spans="1:24" ht="18.399999999999999" hidden="1" customHeight="1">
      <c r="A548" s="11" t="s">
        <v>464</v>
      </c>
      <c r="B548" s="2" t="s">
        <v>2690</v>
      </c>
      <c r="C548" s="2" t="s">
        <v>2931</v>
      </c>
      <c r="D548" s="2" t="s">
        <v>2272</v>
      </c>
      <c r="E548" s="25">
        <v>46700</v>
      </c>
      <c r="F548" s="2"/>
      <c r="G548" s="2" t="s">
        <v>6232</v>
      </c>
      <c r="H548" s="2"/>
      <c r="I548" s="2" t="s">
        <v>6232</v>
      </c>
      <c r="J548" s="2"/>
      <c r="K548" s="2" t="s">
        <v>6232</v>
      </c>
      <c r="L548" s="25">
        <v>46700</v>
      </c>
      <c r="M548" s="2" t="s">
        <v>5933</v>
      </c>
      <c r="N548" s="2"/>
      <c r="O548" s="2" t="s">
        <v>6232</v>
      </c>
      <c r="P548" s="2"/>
      <c r="Q548" s="12" t="s">
        <v>6232</v>
      </c>
      <c r="V548" t="s">
        <v>6232</v>
      </c>
      <c r="W548" t="s">
        <v>6232</v>
      </c>
      <c r="X548" t="s">
        <v>6232</v>
      </c>
    </row>
    <row r="549" spans="1:24" ht="18.399999999999999" hidden="1" customHeight="1">
      <c r="A549" s="11" t="s">
        <v>3808</v>
      </c>
      <c r="B549" s="2" t="s">
        <v>2690</v>
      </c>
      <c r="C549" s="2" t="s">
        <v>2782</v>
      </c>
      <c r="D549" s="2" t="s">
        <v>2272</v>
      </c>
      <c r="E549" s="25">
        <v>52500</v>
      </c>
      <c r="F549" s="2"/>
      <c r="G549" s="2" t="s">
        <v>6232</v>
      </c>
      <c r="H549" s="2"/>
      <c r="I549" s="2" t="s">
        <v>6232</v>
      </c>
      <c r="J549" s="2"/>
      <c r="K549" s="2" t="s">
        <v>6232</v>
      </c>
      <c r="L549" s="25">
        <v>52500</v>
      </c>
      <c r="M549" s="2" t="s">
        <v>5933</v>
      </c>
      <c r="N549" s="2"/>
      <c r="O549" s="2" t="s">
        <v>6232</v>
      </c>
      <c r="P549" s="2"/>
      <c r="Q549" s="12" t="s">
        <v>6232</v>
      </c>
      <c r="V549" t="s">
        <v>6232</v>
      </c>
      <c r="W549" t="s">
        <v>6232</v>
      </c>
      <c r="X549" t="s">
        <v>6232</v>
      </c>
    </row>
    <row r="550" spans="1:24" ht="18.399999999999999" hidden="1" customHeight="1">
      <c r="A550" s="11" t="s">
        <v>1678</v>
      </c>
      <c r="B550" s="2" t="s">
        <v>2690</v>
      </c>
      <c r="C550" s="2" t="s">
        <v>3981</v>
      </c>
      <c r="D550" s="2" t="s">
        <v>2272</v>
      </c>
      <c r="E550" s="25">
        <v>37900</v>
      </c>
      <c r="F550" s="2"/>
      <c r="G550" s="2" t="s">
        <v>6232</v>
      </c>
      <c r="H550" s="2"/>
      <c r="I550" s="2" t="s">
        <v>6232</v>
      </c>
      <c r="J550" s="2"/>
      <c r="K550" s="2" t="s">
        <v>6232</v>
      </c>
      <c r="L550" s="25">
        <v>37900</v>
      </c>
      <c r="M550" s="2" t="s">
        <v>5933</v>
      </c>
      <c r="N550" s="2"/>
      <c r="O550" s="2" t="s">
        <v>6232</v>
      </c>
      <c r="P550" s="2"/>
      <c r="Q550" s="12" t="s">
        <v>6232</v>
      </c>
      <c r="V550" t="s">
        <v>6232</v>
      </c>
      <c r="W550" t="s">
        <v>6232</v>
      </c>
      <c r="X550" t="s">
        <v>6232</v>
      </c>
    </row>
    <row r="551" spans="1:24" ht="18.399999999999999" hidden="1" customHeight="1">
      <c r="A551" s="11" t="s">
        <v>4759</v>
      </c>
      <c r="B551" s="2" t="s">
        <v>2690</v>
      </c>
      <c r="C551" s="2" t="s">
        <v>4963</v>
      </c>
      <c r="D551" s="2" t="s">
        <v>2272</v>
      </c>
      <c r="E551" s="25">
        <v>47000</v>
      </c>
      <c r="F551" s="2"/>
      <c r="G551" s="2" t="s">
        <v>6232</v>
      </c>
      <c r="H551" s="2"/>
      <c r="I551" s="2" t="s">
        <v>6232</v>
      </c>
      <c r="J551" s="2"/>
      <c r="K551" s="2" t="s">
        <v>6232</v>
      </c>
      <c r="L551" s="25">
        <v>47000</v>
      </c>
      <c r="M551" s="2" t="s">
        <v>5933</v>
      </c>
      <c r="N551" s="2"/>
      <c r="O551" s="2" t="s">
        <v>6232</v>
      </c>
      <c r="P551" s="2"/>
      <c r="Q551" s="12" t="s">
        <v>6232</v>
      </c>
      <c r="V551" t="s">
        <v>6232</v>
      </c>
      <c r="W551" t="s">
        <v>6232</v>
      </c>
      <c r="X551" t="s">
        <v>6232</v>
      </c>
    </row>
    <row r="552" spans="1:24" ht="18.399999999999999" hidden="1" customHeight="1">
      <c r="A552" s="11" t="s">
        <v>1769</v>
      </c>
      <c r="B552" s="2" t="s">
        <v>2690</v>
      </c>
      <c r="C552" s="2" t="s">
        <v>4843</v>
      </c>
      <c r="D552" s="2" t="s">
        <v>2272</v>
      </c>
      <c r="E552" s="25">
        <v>52500</v>
      </c>
      <c r="F552" s="2"/>
      <c r="G552" s="2" t="s">
        <v>6232</v>
      </c>
      <c r="H552" s="2"/>
      <c r="I552" s="2" t="s">
        <v>6232</v>
      </c>
      <c r="J552" s="2"/>
      <c r="K552" s="2" t="s">
        <v>6232</v>
      </c>
      <c r="L552" s="25">
        <v>52500</v>
      </c>
      <c r="M552" s="2" t="s">
        <v>5933</v>
      </c>
      <c r="N552" s="2"/>
      <c r="O552" s="2" t="s">
        <v>6232</v>
      </c>
      <c r="P552" s="2"/>
      <c r="Q552" s="12" t="s">
        <v>6232</v>
      </c>
      <c r="V552" t="s">
        <v>6232</v>
      </c>
      <c r="W552" t="s">
        <v>6232</v>
      </c>
      <c r="X552" t="s">
        <v>6232</v>
      </c>
    </row>
    <row r="553" spans="1:24" ht="18.399999999999999" hidden="1" customHeight="1">
      <c r="A553" s="11" t="s">
        <v>853</v>
      </c>
      <c r="B553" s="2" t="s">
        <v>2690</v>
      </c>
      <c r="C553" s="2" t="s">
        <v>5447</v>
      </c>
      <c r="D553" s="2" t="s">
        <v>2272</v>
      </c>
      <c r="E553" s="25">
        <v>39700</v>
      </c>
      <c r="F553" s="2"/>
      <c r="G553" s="2" t="s">
        <v>6232</v>
      </c>
      <c r="H553" s="2"/>
      <c r="I553" s="2" t="s">
        <v>6232</v>
      </c>
      <c r="J553" s="2"/>
      <c r="K553" s="2" t="s">
        <v>6232</v>
      </c>
      <c r="L553" s="25">
        <v>39700</v>
      </c>
      <c r="M553" s="2" t="s">
        <v>5933</v>
      </c>
      <c r="N553" s="2"/>
      <c r="O553" s="2" t="s">
        <v>6232</v>
      </c>
      <c r="P553" s="2"/>
      <c r="Q553" s="12" t="s">
        <v>6232</v>
      </c>
      <c r="V553" t="s">
        <v>6232</v>
      </c>
      <c r="W553" t="s">
        <v>6232</v>
      </c>
      <c r="X553" t="s">
        <v>6232</v>
      </c>
    </row>
    <row r="554" spans="1:24" ht="18.399999999999999" hidden="1" customHeight="1">
      <c r="A554" s="11" t="s">
        <v>3914</v>
      </c>
      <c r="B554" s="2" t="s">
        <v>2690</v>
      </c>
      <c r="C554" s="2" t="s">
        <v>3447</v>
      </c>
      <c r="D554" s="2" t="s">
        <v>2272</v>
      </c>
      <c r="E554" s="25">
        <v>48200</v>
      </c>
      <c r="F554" s="2"/>
      <c r="G554" s="2" t="s">
        <v>6232</v>
      </c>
      <c r="H554" s="2"/>
      <c r="I554" s="2" t="s">
        <v>6232</v>
      </c>
      <c r="J554" s="2"/>
      <c r="K554" s="2" t="s">
        <v>6232</v>
      </c>
      <c r="L554" s="25">
        <v>48200</v>
      </c>
      <c r="M554" s="2" t="s">
        <v>5933</v>
      </c>
      <c r="N554" s="2"/>
      <c r="O554" s="2" t="s">
        <v>6232</v>
      </c>
      <c r="P554" s="2"/>
      <c r="Q554" s="12" t="s">
        <v>6232</v>
      </c>
      <c r="V554" t="s">
        <v>6232</v>
      </c>
      <c r="W554" t="s">
        <v>6232</v>
      </c>
      <c r="X554" t="s">
        <v>6232</v>
      </c>
    </row>
    <row r="555" spans="1:24" ht="18.399999999999999" hidden="1" customHeight="1">
      <c r="A555" s="11" t="s">
        <v>1126</v>
      </c>
      <c r="B555" s="2" t="s">
        <v>2690</v>
      </c>
      <c r="C555" s="2" t="s">
        <v>3173</v>
      </c>
      <c r="D555" s="2" t="s">
        <v>2272</v>
      </c>
      <c r="E555" s="25">
        <v>55500</v>
      </c>
      <c r="F555" s="2"/>
      <c r="G555" s="2" t="s">
        <v>6232</v>
      </c>
      <c r="H555" s="2"/>
      <c r="I555" s="2" t="s">
        <v>6232</v>
      </c>
      <c r="J555" s="2"/>
      <c r="K555" s="2" t="s">
        <v>6232</v>
      </c>
      <c r="L555" s="25">
        <v>55500</v>
      </c>
      <c r="M555" s="2" t="s">
        <v>5933</v>
      </c>
      <c r="N555" s="2"/>
      <c r="O555" s="2" t="s">
        <v>6232</v>
      </c>
      <c r="P555" s="2"/>
      <c r="Q555" s="12" t="s">
        <v>6232</v>
      </c>
      <c r="V555" t="s">
        <v>6232</v>
      </c>
      <c r="W555" t="s">
        <v>6232</v>
      </c>
      <c r="X555" t="s">
        <v>6232</v>
      </c>
    </row>
    <row r="556" spans="1:24" ht="18.399999999999999" hidden="1" customHeight="1">
      <c r="A556" s="11" t="s">
        <v>922</v>
      </c>
      <c r="B556" s="2" t="s">
        <v>2690</v>
      </c>
      <c r="C556" s="2" t="s">
        <v>1567</v>
      </c>
      <c r="D556" s="2" t="s">
        <v>2272</v>
      </c>
      <c r="E556" s="25">
        <v>42500</v>
      </c>
      <c r="F556" s="2"/>
      <c r="G556" s="2" t="s">
        <v>6232</v>
      </c>
      <c r="H556" s="2"/>
      <c r="I556" s="2" t="s">
        <v>6232</v>
      </c>
      <c r="J556" s="2"/>
      <c r="K556" s="2" t="s">
        <v>6232</v>
      </c>
      <c r="L556" s="25">
        <v>42500</v>
      </c>
      <c r="M556" s="2" t="s">
        <v>5933</v>
      </c>
      <c r="N556" s="2"/>
      <c r="O556" s="2" t="s">
        <v>6232</v>
      </c>
      <c r="P556" s="2"/>
      <c r="Q556" s="12" t="s">
        <v>6232</v>
      </c>
      <c r="V556" t="s">
        <v>6232</v>
      </c>
      <c r="W556" t="s">
        <v>6232</v>
      </c>
      <c r="X556" t="s">
        <v>6232</v>
      </c>
    </row>
    <row r="557" spans="1:24" ht="18.399999999999999" hidden="1" customHeight="1">
      <c r="A557" s="11" t="s">
        <v>3994</v>
      </c>
      <c r="B557" s="2" t="s">
        <v>2690</v>
      </c>
      <c r="C557" s="2" t="s">
        <v>1145</v>
      </c>
      <c r="D557" s="2" t="s">
        <v>2272</v>
      </c>
      <c r="E557" s="25">
        <v>50100</v>
      </c>
      <c r="F557" s="2"/>
      <c r="G557" s="2" t="s">
        <v>6232</v>
      </c>
      <c r="H557" s="2"/>
      <c r="I557" s="2" t="s">
        <v>6232</v>
      </c>
      <c r="J557" s="2"/>
      <c r="K557" s="2" t="s">
        <v>6232</v>
      </c>
      <c r="L557" s="25">
        <v>50100</v>
      </c>
      <c r="M557" s="2" t="s">
        <v>5933</v>
      </c>
      <c r="N557" s="2"/>
      <c r="O557" s="2" t="s">
        <v>6232</v>
      </c>
      <c r="P557" s="2"/>
      <c r="Q557" s="12" t="s">
        <v>6232</v>
      </c>
      <c r="V557" t="s">
        <v>6232</v>
      </c>
      <c r="W557" t="s">
        <v>6232</v>
      </c>
      <c r="X557" t="s">
        <v>6232</v>
      </c>
    </row>
    <row r="558" spans="1:24" ht="18.399999999999999" hidden="1" customHeight="1">
      <c r="A558" s="11" t="s">
        <v>1011</v>
      </c>
      <c r="B558" s="2" t="s">
        <v>2690</v>
      </c>
      <c r="C558" s="2" t="s">
        <v>913</v>
      </c>
      <c r="D558" s="2" t="s">
        <v>2272</v>
      </c>
      <c r="E558" s="25">
        <v>65800</v>
      </c>
      <c r="F558" s="2"/>
      <c r="G558" s="2" t="s">
        <v>6232</v>
      </c>
      <c r="H558" s="2"/>
      <c r="I558" s="2" t="s">
        <v>6232</v>
      </c>
      <c r="J558" s="2"/>
      <c r="K558" s="2" t="s">
        <v>6232</v>
      </c>
      <c r="L558" s="25">
        <v>65800</v>
      </c>
      <c r="M558" s="2" t="s">
        <v>5933</v>
      </c>
      <c r="N558" s="2"/>
      <c r="O558" s="2" t="s">
        <v>6232</v>
      </c>
      <c r="P558" s="2"/>
      <c r="Q558" s="12" t="s">
        <v>6232</v>
      </c>
      <c r="V558" t="s">
        <v>6232</v>
      </c>
      <c r="W558" t="s">
        <v>6232</v>
      </c>
      <c r="X558" t="s">
        <v>6232</v>
      </c>
    </row>
    <row r="559" spans="1:24" ht="18.399999999999999" hidden="1" customHeight="1">
      <c r="A559" s="11" t="s">
        <v>6195</v>
      </c>
      <c r="B559" s="2" t="s">
        <v>2690</v>
      </c>
      <c r="C559" s="2" t="s">
        <v>4451</v>
      </c>
      <c r="D559" s="2" t="s">
        <v>2272</v>
      </c>
      <c r="E559" s="25">
        <v>47900</v>
      </c>
      <c r="F559" s="2"/>
      <c r="G559" s="2" t="s">
        <v>6232</v>
      </c>
      <c r="H559" s="2"/>
      <c r="I559" s="2" t="s">
        <v>6232</v>
      </c>
      <c r="J559" s="2"/>
      <c r="K559" s="2" t="s">
        <v>6232</v>
      </c>
      <c r="L559" s="25">
        <v>47900</v>
      </c>
      <c r="M559" s="2" t="s">
        <v>5933</v>
      </c>
      <c r="N559" s="2"/>
      <c r="O559" s="2" t="s">
        <v>6232</v>
      </c>
      <c r="P559" s="2"/>
      <c r="Q559" s="12" t="s">
        <v>6232</v>
      </c>
      <c r="V559" t="s">
        <v>6232</v>
      </c>
      <c r="W559" t="s">
        <v>6232</v>
      </c>
      <c r="X559" t="s">
        <v>6232</v>
      </c>
    </row>
    <row r="560" spans="1:24" ht="18.399999999999999" hidden="1" customHeight="1">
      <c r="A560" s="11" t="s">
        <v>2977</v>
      </c>
      <c r="B560" s="2" t="s">
        <v>2690</v>
      </c>
      <c r="C560" s="2" t="s">
        <v>5278</v>
      </c>
      <c r="D560" s="2" t="s">
        <v>2272</v>
      </c>
      <c r="E560" s="25">
        <v>60800</v>
      </c>
      <c r="F560" s="2"/>
      <c r="G560" s="2" t="s">
        <v>6232</v>
      </c>
      <c r="H560" s="2"/>
      <c r="I560" s="2" t="s">
        <v>6232</v>
      </c>
      <c r="J560" s="2"/>
      <c r="K560" s="2" t="s">
        <v>6232</v>
      </c>
      <c r="L560" s="25">
        <v>60800</v>
      </c>
      <c r="M560" s="2" t="s">
        <v>5933</v>
      </c>
      <c r="N560" s="2"/>
      <c r="O560" s="2" t="s">
        <v>6232</v>
      </c>
      <c r="P560" s="2"/>
      <c r="Q560" s="12" t="s">
        <v>6232</v>
      </c>
      <c r="V560" t="s">
        <v>6232</v>
      </c>
      <c r="W560" t="s">
        <v>6232</v>
      </c>
      <c r="X560" t="s">
        <v>6232</v>
      </c>
    </row>
    <row r="561" spans="1:24" ht="18.399999999999999" hidden="1" customHeight="1">
      <c r="A561" s="11" t="s">
        <v>5880</v>
      </c>
      <c r="B561" s="2" t="s">
        <v>2690</v>
      </c>
      <c r="C561" s="2" t="s">
        <v>5136</v>
      </c>
      <c r="D561" s="2" t="s">
        <v>2272</v>
      </c>
      <c r="E561" s="25">
        <v>72900</v>
      </c>
      <c r="F561" s="2"/>
      <c r="G561" s="2" t="s">
        <v>6232</v>
      </c>
      <c r="H561" s="2"/>
      <c r="I561" s="2" t="s">
        <v>6232</v>
      </c>
      <c r="J561" s="2"/>
      <c r="K561" s="2" t="s">
        <v>6232</v>
      </c>
      <c r="L561" s="25">
        <v>72900</v>
      </c>
      <c r="M561" s="2" t="s">
        <v>5933</v>
      </c>
      <c r="N561" s="2"/>
      <c r="O561" s="2" t="s">
        <v>6232</v>
      </c>
      <c r="P561" s="2"/>
      <c r="Q561" s="12" t="s">
        <v>6232</v>
      </c>
      <c r="V561" t="s">
        <v>6232</v>
      </c>
      <c r="W561" t="s">
        <v>6232</v>
      </c>
      <c r="X561" t="s">
        <v>6232</v>
      </c>
    </row>
    <row r="562" spans="1:24" ht="18.399999999999999" hidden="1" customHeight="1">
      <c r="A562" s="11" t="s">
        <v>3915</v>
      </c>
      <c r="B562" s="2" t="s">
        <v>2690</v>
      </c>
      <c r="C562" s="2" t="s">
        <v>2735</v>
      </c>
      <c r="D562" s="2" t="s">
        <v>2272</v>
      </c>
      <c r="E562" s="25">
        <v>57500</v>
      </c>
      <c r="F562" s="2"/>
      <c r="G562" s="2" t="s">
        <v>6232</v>
      </c>
      <c r="H562" s="2"/>
      <c r="I562" s="2" t="s">
        <v>6232</v>
      </c>
      <c r="J562" s="2"/>
      <c r="K562" s="2" t="s">
        <v>6232</v>
      </c>
      <c r="L562" s="25">
        <v>57500</v>
      </c>
      <c r="M562" s="2" t="s">
        <v>5933</v>
      </c>
      <c r="N562" s="2"/>
      <c r="O562" s="2" t="s">
        <v>6232</v>
      </c>
      <c r="P562" s="2"/>
      <c r="Q562" s="12" t="s">
        <v>6232</v>
      </c>
      <c r="V562" t="s">
        <v>6232</v>
      </c>
      <c r="W562" t="s">
        <v>6232</v>
      </c>
      <c r="X562" t="s">
        <v>6232</v>
      </c>
    </row>
    <row r="563" spans="1:24" ht="18.399999999999999" hidden="1" customHeight="1">
      <c r="A563" s="11" t="s">
        <v>854</v>
      </c>
      <c r="B563" s="2" t="s">
        <v>2690</v>
      </c>
      <c r="C563" s="2" t="s">
        <v>761</v>
      </c>
      <c r="D563" s="2" t="s">
        <v>2272</v>
      </c>
      <c r="E563" s="25">
        <v>70900</v>
      </c>
      <c r="F563" s="2"/>
      <c r="G563" s="2" t="s">
        <v>6232</v>
      </c>
      <c r="H563" s="2"/>
      <c r="I563" s="2" t="s">
        <v>6232</v>
      </c>
      <c r="J563" s="2"/>
      <c r="K563" s="2" t="s">
        <v>6232</v>
      </c>
      <c r="L563" s="25">
        <v>70900</v>
      </c>
      <c r="M563" s="2" t="s">
        <v>5933</v>
      </c>
      <c r="N563" s="2"/>
      <c r="O563" s="2" t="s">
        <v>6232</v>
      </c>
      <c r="P563" s="2"/>
      <c r="Q563" s="12" t="s">
        <v>6232</v>
      </c>
      <c r="V563" t="s">
        <v>6232</v>
      </c>
      <c r="W563" t="s">
        <v>6232</v>
      </c>
      <c r="X563" t="s">
        <v>6232</v>
      </c>
    </row>
    <row r="564" spans="1:24" ht="18.399999999999999" hidden="1" customHeight="1">
      <c r="A564" s="11" t="s">
        <v>4210</v>
      </c>
      <c r="B564" s="2" t="s">
        <v>2690</v>
      </c>
      <c r="C564" s="2" t="s">
        <v>533</v>
      </c>
      <c r="D564" s="2" t="s">
        <v>2272</v>
      </c>
      <c r="E564" s="25">
        <v>85100</v>
      </c>
      <c r="F564" s="2"/>
      <c r="G564" s="2" t="s">
        <v>6232</v>
      </c>
      <c r="H564" s="2"/>
      <c r="I564" s="2" t="s">
        <v>6232</v>
      </c>
      <c r="J564" s="2"/>
      <c r="K564" s="2" t="s">
        <v>6232</v>
      </c>
      <c r="L564" s="25">
        <v>85100</v>
      </c>
      <c r="M564" s="2" t="s">
        <v>5933</v>
      </c>
      <c r="N564" s="2"/>
      <c r="O564" s="2" t="s">
        <v>6232</v>
      </c>
      <c r="P564" s="2"/>
      <c r="Q564" s="12" t="s">
        <v>6232</v>
      </c>
      <c r="V564" t="s">
        <v>6232</v>
      </c>
      <c r="W564" t="s">
        <v>6232</v>
      </c>
      <c r="X564" t="s">
        <v>6232</v>
      </c>
    </row>
    <row r="565" spans="1:24" ht="18.399999999999999" hidden="1" customHeight="1">
      <c r="A565" s="11" t="s">
        <v>4685</v>
      </c>
      <c r="B565" s="2" t="s">
        <v>2690</v>
      </c>
      <c r="C565" s="2" t="s">
        <v>3547</v>
      </c>
      <c r="D565" s="2" t="s">
        <v>2272</v>
      </c>
      <c r="E565" s="25">
        <v>61100</v>
      </c>
      <c r="F565" s="2"/>
      <c r="G565" s="2" t="s">
        <v>6232</v>
      </c>
      <c r="H565" s="2"/>
      <c r="I565" s="2" t="s">
        <v>6232</v>
      </c>
      <c r="J565" s="2"/>
      <c r="K565" s="2" t="s">
        <v>6232</v>
      </c>
      <c r="L565" s="25">
        <v>61100</v>
      </c>
      <c r="M565" s="2" t="s">
        <v>5933</v>
      </c>
      <c r="N565" s="2"/>
      <c r="O565" s="2" t="s">
        <v>6232</v>
      </c>
      <c r="P565" s="2"/>
      <c r="Q565" s="12" t="s">
        <v>6232</v>
      </c>
      <c r="V565" t="s">
        <v>6232</v>
      </c>
      <c r="W565" t="s">
        <v>6232</v>
      </c>
      <c r="X565" t="s">
        <v>6232</v>
      </c>
    </row>
    <row r="566" spans="1:24" ht="18.399999999999999" hidden="1" customHeight="1">
      <c r="A566" s="11" t="s">
        <v>1608</v>
      </c>
      <c r="B566" s="2" t="s">
        <v>2690</v>
      </c>
      <c r="C566" s="2" t="s">
        <v>6176</v>
      </c>
      <c r="D566" s="2" t="s">
        <v>2272</v>
      </c>
      <c r="E566" s="25">
        <v>78800</v>
      </c>
      <c r="F566" s="2"/>
      <c r="G566" s="2" t="s">
        <v>6232</v>
      </c>
      <c r="H566" s="2"/>
      <c r="I566" s="2" t="s">
        <v>6232</v>
      </c>
      <c r="J566" s="2"/>
      <c r="K566" s="2" t="s">
        <v>6232</v>
      </c>
      <c r="L566" s="25">
        <v>78800</v>
      </c>
      <c r="M566" s="2" t="s">
        <v>5933</v>
      </c>
      <c r="N566" s="2"/>
      <c r="O566" s="2" t="s">
        <v>6232</v>
      </c>
      <c r="P566" s="2"/>
      <c r="Q566" s="12" t="s">
        <v>6232</v>
      </c>
      <c r="V566" t="s">
        <v>6232</v>
      </c>
      <c r="W566" t="s">
        <v>6232</v>
      </c>
      <c r="X566" t="s">
        <v>6232</v>
      </c>
    </row>
    <row r="567" spans="1:24" ht="18.399999999999999" hidden="1" customHeight="1">
      <c r="A567" s="11" t="s">
        <v>4976</v>
      </c>
      <c r="B567" s="2" t="s">
        <v>2690</v>
      </c>
      <c r="C567" s="2" t="s">
        <v>6024</v>
      </c>
      <c r="D567" s="2" t="s">
        <v>2272</v>
      </c>
      <c r="E567" s="25">
        <v>93000</v>
      </c>
      <c r="F567" s="2"/>
      <c r="G567" s="2" t="s">
        <v>6232</v>
      </c>
      <c r="H567" s="2"/>
      <c r="I567" s="2" t="s">
        <v>6232</v>
      </c>
      <c r="J567" s="2"/>
      <c r="K567" s="2" t="s">
        <v>6232</v>
      </c>
      <c r="L567" s="25">
        <v>93000</v>
      </c>
      <c r="M567" s="2" t="s">
        <v>5933</v>
      </c>
      <c r="N567" s="2"/>
      <c r="O567" s="2" t="s">
        <v>6232</v>
      </c>
      <c r="P567" s="2"/>
      <c r="Q567" s="12" t="s">
        <v>6232</v>
      </c>
      <c r="V567" t="s">
        <v>6232</v>
      </c>
      <c r="W567" t="s">
        <v>6232</v>
      </c>
      <c r="X567" t="s">
        <v>6232</v>
      </c>
    </row>
    <row r="568" spans="1:24" ht="18.399999999999999" hidden="1" customHeight="1">
      <c r="A568" s="11" t="s">
        <v>3564</v>
      </c>
      <c r="B568" s="2" t="s">
        <v>2690</v>
      </c>
      <c r="C568" s="2" t="s">
        <v>1496</v>
      </c>
      <c r="D568" s="2" t="s">
        <v>2272</v>
      </c>
      <c r="E568" s="25">
        <v>64000</v>
      </c>
      <c r="F568" s="2"/>
      <c r="G568" s="2" t="s">
        <v>6232</v>
      </c>
      <c r="H568" s="2"/>
      <c r="I568" s="2" t="s">
        <v>6232</v>
      </c>
      <c r="J568" s="2"/>
      <c r="K568" s="2" t="s">
        <v>6232</v>
      </c>
      <c r="L568" s="25">
        <v>64000</v>
      </c>
      <c r="M568" s="2" t="s">
        <v>5933</v>
      </c>
      <c r="N568" s="2"/>
      <c r="O568" s="2" t="s">
        <v>6232</v>
      </c>
      <c r="P568" s="2"/>
      <c r="Q568" s="12" t="s">
        <v>6232</v>
      </c>
      <c r="V568" t="s">
        <v>6232</v>
      </c>
      <c r="W568" t="s">
        <v>6232</v>
      </c>
      <c r="X568" t="s">
        <v>6232</v>
      </c>
    </row>
    <row r="569" spans="1:24" ht="18.399999999999999" hidden="1" customHeight="1">
      <c r="A569" s="11" t="s">
        <v>407</v>
      </c>
      <c r="B569" s="2" t="s">
        <v>2690</v>
      </c>
      <c r="C569" s="2" t="s">
        <v>1924</v>
      </c>
      <c r="D569" s="2" t="s">
        <v>2272</v>
      </c>
      <c r="E569" s="25">
        <v>81900</v>
      </c>
      <c r="F569" s="2"/>
      <c r="G569" s="2" t="s">
        <v>6232</v>
      </c>
      <c r="H569" s="2"/>
      <c r="I569" s="2" t="s">
        <v>6232</v>
      </c>
      <c r="J569" s="2"/>
      <c r="K569" s="2" t="s">
        <v>6232</v>
      </c>
      <c r="L569" s="25">
        <v>81900</v>
      </c>
      <c r="M569" s="2" t="s">
        <v>5933</v>
      </c>
      <c r="N569" s="2"/>
      <c r="O569" s="2" t="s">
        <v>6232</v>
      </c>
      <c r="P569" s="2"/>
      <c r="Q569" s="12" t="s">
        <v>6232</v>
      </c>
      <c r="V569" t="s">
        <v>6232</v>
      </c>
      <c r="W569" t="s">
        <v>6232</v>
      </c>
      <c r="X569" t="s">
        <v>6232</v>
      </c>
    </row>
    <row r="570" spans="1:24" ht="18.399999999999999" hidden="1" customHeight="1">
      <c r="A570" s="11" t="s">
        <v>3856</v>
      </c>
      <c r="B570" s="2" t="s">
        <v>2690</v>
      </c>
      <c r="C570" s="2" t="s">
        <v>2174</v>
      </c>
      <c r="D570" s="2" t="s">
        <v>2272</v>
      </c>
      <c r="E570" s="25">
        <v>99100</v>
      </c>
      <c r="F570" s="2"/>
      <c r="G570" s="2" t="s">
        <v>6232</v>
      </c>
      <c r="H570" s="2"/>
      <c r="I570" s="2" t="s">
        <v>6232</v>
      </c>
      <c r="J570" s="2"/>
      <c r="K570" s="2" t="s">
        <v>6232</v>
      </c>
      <c r="L570" s="25">
        <v>99100</v>
      </c>
      <c r="M570" s="2" t="s">
        <v>5933</v>
      </c>
      <c r="N570" s="2"/>
      <c r="O570" s="2" t="s">
        <v>6232</v>
      </c>
      <c r="P570" s="2"/>
      <c r="Q570" s="12" t="s">
        <v>6232</v>
      </c>
      <c r="V570" t="s">
        <v>6232</v>
      </c>
      <c r="W570" t="s">
        <v>6232</v>
      </c>
      <c r="X570" t="s">
        <v>6232</v>
      </c>
    </row>
    <row r="571" spans="1:24" ht="18.399999999999999" hidden="1" customHeight="1">
      <c r="A571" s="11" t="s">
        <v>2728</v>
      </c>
      <c r="B571" s="2" t="s">
        <v>2690</v>
      </c>
      <c r="C571" s="2" t="s">
        <v>2755</v>
      </c>
      <c r="D571" s="2" t="s">
        <v>2272</v>
      </c>
      <c r="E571" s="25">
        <v>83500</v>
      </c>
      <c r="F571" s="2"/>
      <c r="G571" s="2" t="s">
        <v>6232</v>
      </c>
      <c r="H571" s="2"/>
      <c r="I571" s="2" t="s">
        <v>6232</v>
      </c>
      <c r="J571" s="2"/>
      <c r="K571" s="2" t="s">
        <v>6232</v>
      </c>
      <c r="L571" s="25">
        <v>83500</v>
      </c>
      <c r="M571" s="2" t="s">
        <v>5933</v>
      </c>
      <c r="N571" s="2"/>
      <c r="O571" s="2" t="s">
        <v>6232</v>
      </c>
      <c r="P571" s="2"/>
      <c r="Q571" s="12" t="s">
        <v>6232</v>
      </c>
      <c r="V571" t="s">
        <v>6232</v>
      </c>
      <c r="W571" t="s">
        <v>6232</v>
      </c>
      <c r="X571" t="s">
        <v>6232</v>
      </c>
    </row>
    <row r="572" spans="1:24" ht="18.399999999999999" hidden="1" customHeight="1">
      <c r="A572" s="11" t="s">
        <v>5911</v>
      </c>
      <c r="B572" s="2" t="s">
        <v>2690</v>
      </c>
      <c r="C572" s="2" t="s">
        <v>689</v>
      </c>
      <c r="D572" s="2" t="s">
        <v>2272</v>
      </c>
      <c r="E572" s="25">
        <v>103700</v>
      </c>
      <c r="F572" s="2"/>
      <c r="G572" s="2" t="s">
        <v>6232</v>
      </c>
      <c r="H572" s="2"/>
      <c r="I572" s="2" t="s">
        <v>6232</v>
      </c>
      <c r="J572" s="2"/>
      <c r="K572" s="2" t="s">
        <v>6232</v>
      </c>
      <c r="L572" s="25">
        <v>103700</v>
      </c>
      <c r="M572" s="2" t="s">
        <v>5933</v>
      </c>
      <c r="N572" s="2"/>
      <c r="O572" s="2" t="s">
        <v>6232</v>
      </c>
      <c r="P572" s="2"/>
      <c r="Q572" s="12" t="s">
        <v>6232</v>
      </c>
      <c r="V572" t="s">
        <v>6232</v>
      </c>
      <c r="W572" t="s">
        <v>6232</v>
      </c>
      <c r="X572" t="s">
        <v>6232</v>
      </c>
    </row>
    <row r="573" spans="1:24" ht="18.399999999999999" hidden="1" customHeight="1">
      <c r="A573" s="11" t="s">
        <v>3014</v>
      </c>
      <c r="B573" s="2" t="s">
        <v>2690</v>
      </c>
      <c r="C573" s="2" t="s">
        <v>564</v>
      </c>
      <c r="D573" s="2" t="s">
        <v>2272</v>
      </c>
      <c r="E573" s="25">
        <v>124100</v>
      </c>
      <c r="F573" s="2"/>
      <c r="G573" s="2" t="s">
        <v>6232</v>
      </c>
      <c r="H573" s="2"/>
      <c r="I573" s="2" t="s">
        <v>6232</v>
      </c>
      <c r="J573" s="2"/>
      <c r="K573" s="2" t="s">
        <v>6232</v>
      </c>
      <c r="L573" s="25">
        <v>124100</v>
      </c>
      <c r="M573" s="2" t="s">
        <v>5933</v>
      </c>
      <c r="N573" s="2"/>
      <c r="O573" s="2" t="s">
        <v>6232</v>
      </c>
      <c r="P573" s="2"/>
      <c r="Q573" s="12" t="s">
        <v>6232</v>
      </c>
      <c r="V573" t="s">
        <v>6232</v>
      </c>
      <c r="W573" t="s">
        <v>6232</v>
      </c>
      <c r="X573" t="s">
        <v>6232</v>
      </c>
    </row>
    <row r="574" spans="1:24" ht="18.399999999999999" hidden="1" customHeight="1">
      <c r="A574" s="11" t="s">
        <v>1609</v>
      </c>
      <c r="B574" s="2" t="s">
        <v>2690</v>
      </c>
      <c r="C574" s="2" t="s">
        <v>1476</v>
      </c>
      <c r="D574" s="2" t="s">
        <v>2272</v>
      </c>
      <c r="E574" s="25">
        <v>98900</v>
      </c>
      <c r="F574" s="2"/>
      <c r="G574" s="2" t="s">
        <v>6232</v>
      </c>
      <c r="H574" s="2"/>
      <c r="I574" s="2" t="s">
        <v>6232</v>
      </c>
      <c r="J574" s="2"/>
      <c r="K574" s="2" t="s">
        <v>6232</v>
      </c>
      <c r="L574" s="25">
        <v>98900</v>
      </c>
      <c r="M574" s="2" t="s">
        <v>5933</v>
      </c>
      <c r="N574" s="2"/>
      <c r="O574" s="2" t="s">
        <v>6232</v>
      </c>
      <c r="P574" s="2"/>
      <c r="Q574" s="12" t="s">
        <v>6232</v>
      </c>
      <c r="V574" t="s">
        <v>6232</v>
      </c>
      <c r="W574" t="s">
        <v>6232</v>
      </c>
      <c r="X574" t="s">
        <v>6232</v>
      </c>
    </row>
    <row r="575" spans="1:24" ht="18.399999999999999" hidden="1" customHeight="1">
      <c r="A575" s="11" t="s">
        <v>4699</v>
      </c>
      <c r="B575" s="2" t="s">
        <v>2690</v>
      </c>
      <c r="C575" s="2" t="s">
        <v>1982</v>
      </c>
      <c r="D575" s="2" t="s">
        <v>2272</v>
      </c>
      <c r="E575" s="25">
        <v>118500</v>
      </c>
      <c r="F575" s="2"/>
      <c r="G575" s="2" t="s">
        <v>6232</v>
      </c>
      <c r="H575" s="2"/>
      <c r="I575" s="2" t="s">
        <v>6232</v>
      </c>
      <c r="J575" s="2"/>
      <c r="K575" s="2" t="s">
        <v>6232</v>
      </c>
      <c r="L575" s="25">
        <v>118500</v>
      </c>
      <c r="M575" s="2" t="s">
        <v>5933</v>
      </c>
      <c r="N575" s="2"/>
      <c r="O575" s="2" t="s">
        <v>6232</v>
      </c>
      <c r="P575" s="2"/>
      <c r="Q575" s="12" t="s">
        <v>6232</v>
      </c>
      <c r="V575" t="s">
        <v>6232</v>
      </c>
      <c r="W575" t="s">
        <v>6232</v>
      </c>
      <c r="X575" t="s">
        <v>6232</v>
      </c>
    </row>
    <row r="576" spans="1:24" ht="18.399999999999999" hidden="1" customHeight="1">
      <c r="A576" s="11" t="s">
        <v>1897</v>
      </c>
      <c r="B576" s="2" t="s">
        <v>2690</v>
      </c>
      <c r="C576" s="2" t="s">
        <v>2158</v>
      </c>
      <c r="D576" s="2" t="s">
        <v>2272</v>
      </c>
      <c r="E576" s="25">
        <v>144700</v>
      </c>
      <c r="F576" s="2"/>
      <c r="G576" s="2" t="s">
        <v>6232</v>
      </c>
      <c r="H576" s="2"/>
      <c r="I576" s="2" t="s">
        <v>6232</v>
      </c>
      <c r="J576" s="2"/>
      <c r="K576" s="2" t="s">
        <v>6232</v>
      </c>
      <c r="L576" s="25">
        <v>144700</v>
      </c>
      <c r="M576" s="2" t="s">
        <v>5933</v>
      </c>
      <c r="N576" s="2"/>
      <c r="O576" s="2" t="s">
        <v>6232</v>
      </c>
      <c r="P576" s="2"/>
      <c r="Q576" s="12" t="s">
        <v>6232</v>
      </c>
      <c r="V576" t="s">
        <v>6232</v>
      </c>
      <c r="W576" t="s">
        <v>6232</v>
      </c>
      <c r="X576" t="s">
        <v>6232</v>
      </c>
    </row>
    <row r="577" spans="1:24" ht="18.399999999999999" hidden="1" customHeight="1">
      <c r="A577" s="11" t="s">
        <v>4673</v>
      </c>
      <c r="B577" s="2" t="s">
        <v>2690</v>
      </c>
      <c r="C577" s="2" t="s">
        <v>1827</v>
      </c>
      <c r="D577" s="2" t="s">
        <v>2272</v>
      </c>
      <c r="E577" s="25">
        <v>107700</v>
      </c>
      <c r="F577" s="2"/>
      <c r="G577" s="2" t="s">
        <v>6232</v>
      </c>
      <c r="H577" s="2"/>
      <c r="I577" s="2" t="s">
        <v>6232</v>
      </c>
      <c r="J577" s="2"/>
      <c r="K577" s="2" t="s">
        <v>6232</v>
      </c>
      <c r="L577" s="25">
        <v>107700</v>
      </c>
      <c r="M577" s="2" t="s">
        <v>5933</v>
      </c>
      <c r="N577" s="2"/>
      <c r="O577" s="2" t="s">
        <v>6232</v>
      </c>
      <c r="P577" s="2"/>
      <c r="Q577" s="12" t="s">
        <v>6232</v>
      </c>
      <c r="V577" t="s">
        <v>6232</v>
      </c>
      <c r="W577" t="s">
        <v>6232</v>
      </c>
      <c r="X577" t="s">
        <v>6232</v>
      </c>
    </row>
    <row r="578" spans="1:24" ht="18.399999999999999" hidden="1" customHeight="1">
      <c r="A578" s="11" t="s">
        <v>1610</v>
      </c>
      <c r="B578" s="2" t="s">
        <v>2690</v>
      </c>
      <c r="C578" s="2" t="s">
        <v>806</v>
      </c>
      <c r="D578" s="2" t="s">
        <v>2272</v>
      </c>
      <c r="E578" s="25">
        <v>138400</v>
      </c>
      <c r="F578" s="2"/>
      <c r="G578" s="2" t="s">
        <v>6232</v>
      </c>
      <c r="H578" s="2"/>
      <c r="I578" s="2" t="s">
        <v>6232</v>
      </c>
      <c r="J578" s="2"/>
      <c r="K578" s="2" t="s">
        <v>6232</v>
      </c>
      <c r="L578" s="25">
        <v>138400</v>
      </c>
      <c r="M578" s="2" t="s">
        <v>5933</v>
      </c>
      <c r="N578" s="2"/>
      <c r="O578" s="2" t="s">
        <v>6232</v>
      </c>
      <c r="P578" s="2"/>
      <c r="Q578" s="12" t="s">
        <v>6232</v>
      </c>
      <c r="V578" t="s">
        <v>6232</v>
      </c>
      <c r="W578" t="s">
        <v>6232</v>
      </c>
      <c r="X578" t="s">
        <v>6232</v>
      </c>
    </row>
    <row r="579" spans="1:24" ht="18.399999999999999" hidden="1" customHeight="1">
      <c r="A579" s="11" t="s">
        <v>4977</v>
      </c>
      <c r="B579" s="2" t="s">
        <v>2690</v>
      </c>
      <c r="C579" s="2" t="s">
        <v>981</v>
      </c>
      <c r="D579" s="2" t="s">
        <v>2272</v>
      </c>
      <c r="E579" s="25">
        <v>164000</v>
      </c>
      <c r="F579" s="2"/>
      <c r="G579" s="2" t="s">
        <v>6232</v>
      </c>
      <c r="H579" s="2"/>
      <c r="I579" s="2" t="s">
        <v>6232</v>
      </c>
      <c r="J579" s="2"/>
      <c r="K579" s="2" t="s">
        <v>6232</v>
      </c>
      <c r="L579" s="25">
        <v>164000</v>
      </c>
      <c r="M579" s="2" t="s">
        <v>5933</v>
      </c>
      <c r="N579" s="2"/>
      <c r="O579" s="2" t="s">
        <v>6232</v>
      </c>
      <c r="P579" s="2"/>
      <c r="Q579" s="12" t="s">
        <v>6232</v>
      </c>
      <c r="V579" t="s">
        <v>6232</v>
      </c>
      <c r="W579" t="s">
        <v>6232</v>
      </c>
      <c r="X579" t="s">
        <v>6232</v>
      </c>
    </row>
    <row r="580" spans="1:24" ht="18.399999999999999" hidden="1" customHeight="1">
      <c r="A580" s="11" t="s">
        <v>5925</v>
      </c>
      <c r="B580" s="2" t="s">
        <v>2690</v>
      </c>
      <c r="C580" s="2" t="s">
        <v>83</v>
      </c>
      <c r="D580" s="2" t="s">
        <v>2272</v>
      </c>
      <c r="E580" s="25">
        <v>121900</v>
      </c>
      <c r="F580" s="2"/>
      <c r="G580" s="2" t="s">
        <v>6232</v>
      </c>
      <c r="H580" s="2"/>
      <c r="I580" s="2" t="s">
        <v>6232</v>
      </c>
      <c r="J580" s="2"/>
      <c r="K580" s="2" t="s">
        <v>6232</v>
      </c>
      <c r="L580" s="25">
        <v>121900</v>
      </c>
      <c r="M580" s="2" t="s">
        <v>5933</v>
      </c>
      <c r="N580" s="2"/>
      <c r="O580" s="2" t="s">
        <v>6232</v>
      </c>
      <c r="P580" s="2"/>
      <c r="Q580" s="12" t="s">
        <v>6232</v>
      </c>
      <c r="V580" t="s">
        <v>6232</v>
      </c>
      <c r="W580" t="s">
        <v>6232</v>
      </c>
      <c r="X580" t="s">
        <v>6232</v>
      </c>
    </row>
    <row r="581" spans="1:24" ht="18.399999999999999" hidden="1" customHeight="1">
      <c r="A581" s="11" t="s">
        <v>2729</v>
      </c>
      <c r="B581" s="2" t="s">
        <v>2690</v>
      </c>
      <c r="C581" s="2" t="s">
        <v>2650</v>
      </c>
      <c r="D581" s="2" t="s">
        <v>2272</v>
      </c>
      <c r="E581" s="25">
        <v>149800</v>
      </c>
      <c r="F581" s="2"/>
      <c r="G581" s="2" t="s">
        <v>6232</v>
      </c>
      <c r="H581" s="2"/>
      <c r="I581" s="2" t="s">
        <v>6232</v>
      </c>
      <c r="J581" s="2"/>
      <c r="K581" s="2" t="s">
        <v>6232</v>
      </c>
      <c r="L581" s="25">
        <v>149800</v>
      </c>
      <c r="M581" s="2" t="s">
        <v>5933</v>
      </c>
      <c r="N581" s="2"/>
      <c r="O581" s="2" t="s">
        <v>6232</v>
      </c>
      <c r="P581" s="2"/>
      <c r="Q581" s="12" t="s">
        <v>6232</v>
      </c>
      <c r="V581" t="s">
        <v>6232</v>
      </c>
      <c r="W581" t="s">
        <v>6232</v>
      </c>
      <c r="X581" t="s">
        <v>6232</v>
      </c>
    </row>
    <row r="582" spans="1:24" ht="18.399999999999999" hidden="1" customHeight="1">
      <c r="A582" s="11" t="s">
        <v>6217</v>
      </c>
      <c r="B582" s="2" t="s">
        <v>2690</v>
      </c>
      <c r="C582" s="2" t="s">
        <v>2507</v>
      </c>
      <c r="D582" s="2" t="s">
        <v>2272</v>
      </c>
      <c r="E582" s="25">
        <v>178800</v>
      </c>
      <c r="F582" s="2"/>
      <c r="G582" s="2" t="s">
        <v>6232</v>
      </c>
      <c r="H582" s="2"/>
      <c r="I582" s="2" t="s">
        <v>6232</v>
      </c>
      <c r="J582" s="2"/>
      <c r="K582" s="2" t="s">
        <v>6232</v>
      </c>
      <c r="L582" s="25">
        <v>178800</v>
      </c>
      <c r="M582" s="2" t="s">
        <v>5933</v>
      </c>
      <c r="N582" s="2"/>
      <c r="O582" s="2" t="s">
        <v>6232</v>
      </c>
      <c r="P582" s="2"/>
      <c r="Q582" s="12" t="s">
        <v>6232</v>
      </c>
      <c r="V582" t="s">
        <v>6232</v>
      </c>
      <c r="W582" t="s">
        <v>6232</v>
      </c>
      <c r="X582" t="s">
        <v>6232</v>
      </c>
    </row>
    <row r="583" spans="1:24" ht="18.399999999999999" hidden="1" customHeight="1">
      <c r="A583" s="11" t="s">
        <v>5067</v>
      </c>
      <c r="B583" s="2" t="s">
        <v>2690</v>
      </c>
      <c r="C583" s="2" t="s">
        <v>1284</v>
      </c>
      <c r="D583" s="2" t="s">
        <v>2272</v>
      </c>
      <c r="E583" s="25">
        <v>133300</v>
      </c>
      <c r="F583" s="2"/>
      <c r="G583" s="2" t="s">
        <v>6232</v>
      </c>
      <c r="H583" s="2"/>
      <c r="I583" s="2" t="s">
        <v>6232</v>
      </c>
      <c r="J583" s="2"/>
      <c r="K583" s="2" t="s">
        <v>6232</v>
      </c>
      <c r="L583" s="25">
        <v>133300</v>
      </c>
      <c r="M583" s="2" t="s">
        <v>5933</v>
      </c>
      <c r="N583" s="2"/>
      <c r="O583" s="2" t="s">
        <v>6232</v>
      </c>
      <c r="P583" s="2"/>
      <c r="Q583" s="12" t="s">
        <v>6232</v>
      </c>
      <c r="V583" t="s">
        <v>6232</v>
      </c>
      <c r="W583" t="s">
        <v>6232</v>
      </c>
      <c r="X583" t="s">
        <v>6232</v>
      </c>
    </row>
    <row r="584" spans="1:24" ht="18.399999999999999" hidden="1" customHeight="1">
      <c r="A584" s="11" t="s">
        <v>1991</v>
      </c>
      <c r="B584" s="2" t="s">
        <v>2690</v>
      </c>
      <c r="C584" s="2" t="s">
        <v>2203</v>
      </c>
      <c r="D584" s="2" t="s">
        <v>2272</v>
      </c>
      <c r="E584" s="25">
        <v>164400</v>
      </c>
      <c r="F584" s="2"/>
      <c r="G584" s="2" t="s">
        <v>6232</v>
      </c>
      <c r="H584" s="2"/>
      <c r="I584" s="2" t="s">
        <v>6232</v>
      </c>
      <c r="J584" s="2"/>
      <c r="K584" s="2" t="s">
        <v>6232</v>
      </c>
      <c r="L584" s="25">
        <v>164400</v>
      </c>
      <c r="M584" s="2" t="s">
        <v>5933</v>
      </c>
      <c r="N584" s="2"/>
      <c r="O584" s="2" t="s">
        <v>6232</v>
      </c>
      <c r="P584" s="2"/>
      <c r="Q584" s="12" t="s">
        <v>6232</v>
      </c>
      <c r="V584" t="s">
        <v>6232</v>
      </c>
      <c r="W584" t="s">
        <v>6232</v>
      </c>
      <c r="X584" t="s">
        <v>6232</v>
      </c>
    </row>
    <row r="585" spans="1:24" ht="18.399999999999999" hidden="1" customHeight="1">
      <c r="A585" s="11" t="s">
        <v>5370</v>
      </c>
      <c r="B585" s="2" t="s">
        <v>2690</v>
      </c>
      <c r="C585" s="2" t="s">
        <v>1952</v>
      </c>
      <c r="D585" s="2" t="s">
        <v>2272</v>
      </c>
      <c r="E585" s="25">
        <v>195400</v>
      </c>
      <c r="F585" s="2"/>
      <c r="G585" s="2" t="s">
        <v>6232</v>
      </c>
      <c r="H585" s="2"/>
      <c r="I585" s="2" t="s">
        <v>6232</v>
      </c>
      <c r="J585" s="2"/>
      <c r="K585" s="2" t="s">
        <v>6232</v>
      </c>
      <c r="L585" s="25">
        <v>195400</v>
      </c>
      <c r="M585" s="2" t="s">
        <v>5933</v>
      </c>
      <c r="N585" s="2"/>
      <c r="O585" s="2" t="s">
        <v>6232</v>
      </c>
      <c r="P585" s="2"/>
      <c r="Q585" s="12" t="s">
        <v>6232</v>
      </c>
      <c r="V585" t="s">
        <v>6232</v>
      </c>
      <c r="W585" t="s">
        <v>6232</v>
      </c>
      <c r="X585" t="s">
        <v>6232</v>
      </c>
    </row>
    <row r="586" spans="1:24" ht="18.399999999999999" hidden="1" customHeight="1">
      <c r="A586" s="11" t="s">
        <v>5521</v>
      </c>
      <c r="B586" s="2" t="s">
        <v>2690</v>
      </c>
      <c r="C586" s="2" t="s">
        <v>2943</v>
      </c>
      <c r="D586" s="2" t="s">
        <v>2272</v>
      </c>
      <c r="E586" s="25">
        <v>146900</v>
      </c>
      <c r="F586" s="2"/>
      <c r="G586" s="2" t="s">
        <v>6232</v>
      </c>
      <c r="H586" s="2"/>
      <c r="I586" s="2" t="s">
        <v>6232</v>
      </c>
      <c r="J586" s="2"/>
      <c r="K586" s="2" t="s">
        <v>6232</v>
      </c>
      <c r="L586" s="25">
        <v>146900</v>
      </c>
      <c r="M586" s="2" t="s">
        <v>5933</v>
      </c>
      <c r="N586" s="2"/>
      <c r="O586" s="2" t="s">
        <v>6232</v>
      </c>
      <c r="P586" s="2"/>
      <c r="Q586" s="12" t="s">
        <v>6232</v>
      </c>
      <c r="V586" t="s">
        <v>6232</v>
      </c>
      <c r="W586" t="s">
        <v>6232</v>
      </c>
      <c r="X586" t="s">
        <v>6232</v>
      </c>
    </row>
    <row r="587" spans="1:24" ht="18.399999999999999" hidden="1" customHeight="1">
      <c r="A587" s="11" t="s">
        <v>2348</v>
      </c>
      <c r="B587" s="2" t="s">
        <v>2690</v>
      </c>
      <c r="C587" s="2" t="s">
        <v>478</v>
      </c>
      <c r="D587" s="2" t="s">
        <v>2272</v>
      </c>
      <c r="E587" s="25">
        <v>178800</v>
      </c>
      <c r="F587" s="2"/>
      <c r="G587" s="2" t="s">
        <v>6232</v>
      </c>
      <c r="H587" s="2"/>
      <c r="I587" s="2" t="s">
        <v>6232</v>
      </c>
      <c r="J587" s="2"/>
      <c r="K587" s="2" t="s">
        <v>6232</v>
      </c>
      <c r="L587" s="25">
        <v>178800</v>
      </c>
      <c r="M587" s="2" t="s">
        <v>5933</v>
      </c>
      <c r="N587" s="2"/>
      <c r="O587" s="2" t="s">
        <v>6232</v>
      </c>
      <c r="P587" s="2"/>
      <c r="Q587" s="12" t="s">
        <v>6232</v>
      </c>
      <c r="V587" t="s">
        <v>6232</v>
      </c>
      <c r="W587" t="s">
        <v>6232</v>
      </c>
      <c r="X587" t="s">
        <v>6232</v>
      </c>
    </row>
    <row r="588" spans="1:24" ht="18.399999999999999" hidden="1" customHeight="1">
      <c r="A588" s="11" t="s">
        <v>5812</v>
      </c>
      <c r="B588" s="2" t="s">
        <v>2690</v>
      </c>
      <c r="C588" s="2" t="s">
        <v>743</v>
      </c>
      <c r="D588" s="2" t="s">
        <v>2272</v>
      </c>
      <c r="E588" s="25">
        <v>215700</v>
      </c>
      <c r="F588" s="2"/>
      <c r="G588" s="2" t="s">
        <v>6232</v>
      </c>
      <c r="H588" s="2"/>
      <c r="I588" s="2" t="s">
        <v>6232</v>
      </c>
      <c r="J588" s="2"/>
      <c r="K588" s="2" t="s">
        <v>6232</v>
      </c>
      <c r="L588" s="25">
        <v>215700</v>
      </c>
      <c r="M588" s="2" t="s">
        <v>5933</v>
      </c>
      <c r="N588" s="2"/>
      <c r="O588" s="2" t="s">
        <v>6232</v>
      </c>
      <c r="P588" s="2"/>
      <c r="Q588" s="12" t="s">
        <v>6232</v>
      </c>
      <c r="V588" t="s">
        <v>6232</v>
      </c>
      <c r="W588" t="s">
        <v>6232</v>
      </c>
      <c r="X588" t="s">
        <v>6232</v>
      </c>
    </row>
    <row r="589" spans="1:24" ht="18.399999999999999" hidden="1" customHeight="1">
      <c r="A589" s="11" t="s">
        <v>2349</v>
      </c>
      <c r="B589" s="2" t="s">
        <v>2690</v>
      </c>
      <c r="C589" s="2" t="s">
        <v>259</v>
      </c>
      <c r="D589" s="2" t="s">
        <v>2272</v>
      </c>
      <c r="E589" s="25">
        <v>173700</v>
      </c>
      <c r="F589" s="2"/>
      <c r="G589" s="2" t="s">
        <v>6232</v>
      </c>
      <c r="H589" s="2"/>
      <c r="I589" s="2" t="s">
        <v>6232</v>
      </c>
      <c r="J589" s="2"/>
      <c r="K589" s="2" t="s">
        <v>6232</v>
      </c>
      <c r="L589" s="25">
        <v>173700</v>
      </c>
      <c r="M589" s="2" t="s">
        <v>5933</v>
      </c>
      <c r="N589" s="2"/>
      <c r="O589" s="2" t="s">
        <v>6232</v>
      </c>
      <c r="P589" s="2"/>
      <c r="Q589" s="12" t="s">
        <v>6232</v>
      </c>
      <c r="V589" t="s">
        <v>6232</v>
      </c>
      <c r="W589" t="s">
        <v>6232</v>
      </c>
      <c r="X589" t="s">
        <v>6232</v>
      </c>
    </row>
    <row r="590" spans="1:24" ht="18.399999999999999" hidden="1" customHeight="1">
      <c r="A590" s="11" t="s">
        <v>5522</v>
      </c>
      <c r="B590" s="2" t="s">
        <v>2690</v>
      </c>
      <c r="C590" s="2" t="s">
        <v>2464</v>
      </c>
      <c r="D590" s="2" t="s">
        <v>2272</v>
      </c>
      <c r="E590" s="25">
        <v>211000</v>
      </c>
      <c r="F590" s="2"/>
      <c r="G590" s="2" t="s">
        <v>6232</v>
      </c>
      <c r="H590" s="2"/>
      <c r="I590" s="2" t="s">
        <v>6232</v>
      </c>
      <c r="J590" s="2"/>
      <c r="K590" s="2" t="s">
        <v>6232</v>
      </c>
      <c r="L590" s="25">
        <v>211000</v>
      </c>
      <c r="M590" s="2" t="s">
        <v>5933</v>
      </c>
      <c r="N590" s="2"/>
      <c r="O590" s="2" t="s">
        <v>6232</v>
      </c>
      <c r="P590" s="2"/>
      <c r="Q590" s="12" t="s">
        <v>6232</v>
      </c>
      <c r="V590" t="s">
        <v>6232</v>
      </c>
      <c r="W590" t="s">
        <v>6232</v>
      </c>
      <c r="X590" t="s">
        <v>6232</v>
      </c>
    </row>
    <row r="591" spans="1:24" ht="18.399999999999999" hidden="1" customHeight="1">
      <c r="A591" s="11" t="s">
        <v>2641</v>
      </c>
      <c r="B591" s="2" t="s">
        <v>2690</v>
      </c>
      <c r="C591" s="2" t="s">
        <v>2691</v>
      </c>
      <c r="D591" s="2" t="s">
        <v>2272</v>
      </c>
      <c r="E591" s="25">
        <v>254000</v>
      </c>
      <c r="F591" s="2"/>
      <c r="G591" s="2" t="s">
        <v>6232</v>
      </c>
      <c r="H591" s="2"/>
      <c r="I591" s="2" t="s">
        <v>6232</v>
      </c>
      <c r="J591" s="2"/>
      <c r="K591" s="2" t="s">
        <v>6232</v>
      </c>
      <c r="L591" s="25">
        <v>254000</v>
      </c>
      <c r="M591" s="2" t="s">
        <v>5933</v>
      </c>
      <c r="N591" s="2"/>
      <c r="O591" s="2" t="s">
        <v>6232</v>
      </c>
      <c r="P591" s="2"/>
      <c r="Q591" s="12" t="s">
        <v>6232</v>
      </c>
      <c r="V591" t="s">
        <v>6232</v>
      </c>
      <c r="W591" t="s">
        <v>6232</v>
      </c>
      <c r="X591" t="s">
        <v>6232</v>
      </c>
    </row>
    <row r="592" spans="1:24" ht="18.399999999999999" hidden="1" customHeight="1">
      <c r="A592" s="11" t="s">
        <v>1992</v>
      </c>
      <c r="B592" s="2" t="s">
        <v>2690</v>
      </c>
      <c r="C592" s="2" t="s">
        <v>1632</v>
      </c>
      <c r="D592" s="2" t="s">
        <v>2272</v>
      </c>
      <c r="E592" s="25">
        <v>172900</v>
      </c>
      <c r="F592" s="2"/>
      <c r="G592" s="2" t="s">
        <v>6232</v>
      </c>
      <c r="H592" s="2"/>
      <c r="I592" s="2" t="s">
        <v>6232</v>
      </c>
      <c r="J592" s="2"/>
      <c r="K592" s="2" t="s">
        <v>6232</v>
      </c>
      <c r="L592" s="25">
        <v>172900</v>
      </c>
      <c r="M592" s="2" t="s">
        <v>5933</v>
      </c>
      <c r="N592" s="2"/>
      <c r="O592" s="2" t="s">
        <v>6232</v>
      </c>
      <c r="P592" s="2"/>
      <c r="Q592" s="12" t="s">
        <v>6232</v>
      </c>
      <c r="V592" t="s">
        <v>6232</v>
      </c>
      <c r="W592" t="s">
        <v>6232</v>
      </c>
      <c r="X592" t="s">
        <v>6232</v>
      </c>
    </row>
    <row r="593" spans="1:24" ht="18.399999999999999" hidden="1" customHeight="1">
      <c r="A593" s="11" t="s">
        <v>5068</v>
      </c>
      <c r="B593" s="2" t="s">
        <v>2690</v>
      </c>
      <c r="C593" s="2" t="s">
        <v>1022</v>
      </c>
      <c r="D593" s="2" t="s">
        <v>2272</v>
      </c>
      <c r="E593" s="25">
        <v>211500</v>
      </c>
      <c r="F593" s="2"/>
      <c r="G593" s="2" t="s">
        <v>6232</v>
      </c>
      <c r="H593" s="2"/>
      <c r="I593" s="2" t="s">
        <v>6232</v>
      </c>
      <c r="J593" s="2"/>
      <c r="K593" s="2" t="s">
        <v>6232</v>
      </c>
      <c r="L593" s="25">
        <v>211500</v>
      </c>
      <c r="M593" s="2" t="s">
        <v>5933</v>
      </c>
      <c r="N593" s="2"/>
      <c r="O593" s="2" t="s">
        <v>6232</v>
      </c>
      <c r="P593" s="2"/>
      <c r="Q593" s="12" t="s">
        <v>6232</v>
      </c>
      <c r="V593" t="s">
        <v>6232</v>
      </c>
      <c r="W593" t="s">
        <v>6232</v>
      </c>
      <c r="X593" t="s">
        <v>6232</v>
      </c>
    </row>
    <row r="594" spans="1:24" ht="18.399999999999999" hidden="1" customHeight="1">
      <c r="A594" s="11" t="s">
        <v>2295</v>
      </c>
      <c r="B594" s="2" t="s">
        <v>2690</v>
      </c>
      <c r="C594" s="2" t="s">
        <v>776</v>
      </c>
      <c r="D594" s="2" t="s">
        <v>2272</v>
      </c>
      <c r="E594" s="25">
        <v>254000</v>
      </c>
      <c r="F594" s="2"/>
      <c r="G594" s="2" t="s">
        <v>6232</v>
      </c>
      <c r="H594" s="2"/>
      <c r="I594" s="2" t="s">
        <v>6232</v>
      </c>
      <c r="J594" s="2"/>
      <c r="K594" s="2" t="s">
        <v>6232</v>
      </c>
      <c r="L594" s="25">
        <v>254000</v>
      </c>
      <c r="M594" s="2" t="s">
        <v>5933</v>
      </c>
      <c r="N594" s="2"/>
      <c r="O594" s="2" t="s">
        <v>6232</v>
      </c>
      <c r="P594" s="2"/>
      <c r="Q594" s="12" t="s">
        <v>6232</v>
      </c>
      <c r="V594" t="s">
        <v>6232</v>
      </c>
      <c r="W594" t="s">
        <v>6232</v>
      </c>
      <c r="X594" t="s">
        <v>6232</v>
      </c>
    </row>
    <row r="595" spans="1:24" ht="18.399999999999999" hidden="1" customHeight="1">
      <c r="A595" s="11" t="s">
        <v>4315</v>
      </c>
      <c r="B595" s="2" t="s">
        <v>2690</v>
      </c>
      <c r="C595" s="2" t="s">
        <v>199</v>
      </c>
      <c r="D595" s="2" t="s">
        <v>2272</v>
      </c>
      <c r="E595" s="25">
        <v>192300</v>
      </c>
      <c r="F595" s="2"/>
      <c r="G595" s="2" t="s">
        <v>6232</v>
      </c>
      <c r="H595" s="2"/>
      <c r="I595" s="2" t="s">
        <v>6232</v>
      </c>
      <c r="J595" s="2"/>
      <c r="K595" s="2" t="s">
        <v>6232</v>
      </c>
      <c r="L595" s="25">
        <v>192300</v>
      </c>
      <c r="M595" s="2" t="s">
        <v>5933</v>
      </c>
      <c r="N595" s="2"/>
      <c r="O595" s="2" t="s">
        <v>6232</v>
      </c>
      <c r="P595" s="2"/>
      <c r="Q595" s="12" t="s">
        <v>6232</v>
      </c>
      <c r="V595" t="s">
        <v>6232</v>
      </c>
      <c r="W595" t="s">
        <v>6232</v>
      </c>
      <c r="X595" t="s">
        <v>6232</v>
      </c>
    </row>
    <row r="596" spans="1:24" ht="18.399999999999999" hidden="1" customHeight="1">
      <c r="A596" s="11" t="s">
        <v>1236</v>
      </c>
      <c r="B596" s="2" t="s">
        <v>2690</v>
      </c>
      <c r="C596" s="2" t="s">
        <v>2485</v>
      </c>
      <c r="D596" s="2" t="s">
        <v>2272</v>
      </c>
      <c r="E596" s="25">
        <v>238000</v>
      </c>
      <c r="F596" s="2"/>
      <c r="G596" s="2" t="s">
        <v>6232</v>
      </c>
      <c r="H596" s="2"/>
      <c r="I596" s="2" t="s">
        <v>6232</v>
      </c>
      <c r="J596" s="2"/>
      <c r="K596" s="2" t="s">
        <v>6232</v>
      </c>
      <c r="L596" s="25">
        <v>238000</v>
      </c>
      <c r="M596" s="2" t="s">
        <v>5933</v>
      </c>
      <c r="N596" s="2"/>
      <c r="O596" s="2" t="s">
        <v>6232</v>
      </c>
      <c r="P596" s="2"/>
      <c r="Q596" s="12" t="s">
        <v>6232</v>
      </c>
      <c r="V596" t="s">
        <v>6232</v>
      </c>
      <c r="W596" t="s">
        <v>6232</v>
      </c>
      <c r="X596" t="s">
        <v>6232</v>
      </c>
    </row>
    <row r="597" spans="1:24" ht="18.399999999999999" hidden="1" customHeight="1">
      <c r="A597" s="11" t="s">
        <v>4572</v>
      </c>
      <c r="B597" s="2" t="s">
        <v>2690</v>
      </c>
      <c r="C597" s="2" t="s">
        <v>2632</v>
      </c>
      <c r="D597" s="2" t="s">
        <v>2272</v>
      </c>
      <c r="E597" s="25">
        <v>284000</v>
      </c>
      <c r="F597" s="2"/>
      <c r="G597" s="2" t="s">
        <v>6232</v>
      </c>
      <c r="H597" s="2"/>
      <c r="I597" s="2" t="s">
        <v>6232</v>
      </c>
      <c r="J597" s="2"/>
      <c r="K597" s="2" t="s">
        <v>6232</v>
      </c>
      <c r="L597" s="25">
        <v>284000</v>
      </c>
      <c r="M597" s="2" t="s">
        <v>5933</v>
      </c>
      <c r="N597" s="2"/>
      <c r="O597" s="2" t="s">
        <v>6232</v>
      </c>
      <c r="P597" s="2"/>
      <c r="Q597" s="12" t="s">
        <v>6232</v>
      </c>
      <c r="V597" t="s">
        <v>6232</v>
      </c>
      <c r="W597" t="s">
        <v>6232</v>
      </c>
      <c r="X597" t="s">
        <v>6232</v>
      </c>
    </row>
    <row r="598" spans="1:24" ht="18.399999999999999" hidden="1" customHeight="1">
      <c r="A598" s="11" t="s">
        <v>3159</v>
      </c>
      <c r="B598" s="2" t="s">
        <v>2690</v>
      </c>
      <c r="C598" s="2" t="s">
        <v>1709</v>
      </c>
      <c r="D598" s="2" t="s">
        <v>2272</v>
      </c>
      <c r="E598" s="25">
        <v>199600</v>
      </c>
      <c r="F598" s="2"/>
      <c r="G598" s="2" t="s">
        <v>6232</v>
      </c>
      <c r="H598" s="2"/>
      <c r="I598" s="2" t="s">
        <v>6232</v>
      </c>
      <c r="J598" s="2"/>
      <c r="K598" s="2" t="s">
        <v>6232</v>
      </c>
      <c r="L598" s="25">
        <v>199600</v>
      </c>
      <c r="M598" s="2" t="s">
        <v>5933</v>
      </c>
      <c r="N598" s="2"/>
      <c r="O598" s="2" t="s">
        <v>6232</v>
      </c>
      <c r="P598" s="2"/>
      <c r="Q598" s="12" t="s">
        <v>6232</v>
      </c>
      <c r="V598" t="s">
        <v>6232</v>
      </c>
      <c r="W598" t="s">
        <v>6232</v>
      </c>
      <c r="X598" t="s">
        <v>6232</v>
      </c>
    </row>
    <row r="599" spans="1:24" ht="18.399999999999999" hidden="1" customHeight="1">
      <c r="A599" s="11" t="s">
        <v>32</v>
      </c>
      <c r="B599" s="2" t="s">
        <v>2690</v>
      </c>
      <c r="C599" s="2" t="s">
        <v>997</v>
      </c>
      <c r="D599" s="2" t="s">
        <v>2272</v>
      </c>
      <c r="E599" s="25">
        <v>250300</v>
      </c>
      <c r="F599" s="2"/>
      <c r="G599" s="2" t="s">
        <v>6232</v>
      </c>
      <c r="H599" s="2"/>
      <c r="I599" s="2" t="s">
        <v>6232</v>
      </c>
      <c r="J599" s="2"/>
      <c r="K599" s="2" t="s">
        <v>6232</v>
      </c>
      <c r="L599" s="25">
        <v>250300</v>
      </c>
      <c r="M599" s="2" t="s">
        <v>5933</v>
      </c>
      <c r="N599" s="2"/>
      <c r="O599" s="2" t="s">
        <v>6232</v>
      </c>
      <c r="P599" s="2"/>
      <c r="Q599" s="12" t="s">
        <v>6232</v>
      </c>
      <c r="V599" t="s">
        <v>6232</v>
      </c>
      <c r="W599" t="s">
        <v>6232</v>
      </c>
      <c r="X599" t="s">
        <v>6232</v>
      </c>
    </row>
    <row r="600" spans="1:24" ht="18.399999999999999" hidden="1" customHeight="1">
      <c r="A600" s="11" t="s">
        <v>3457</v>
      </c>
      <c r="B600" s="2" t="s">
        <v>2690</v>
      </c>
      <c r="C600" s="2" t="s">
        <v>841</v>
      </c>
      <c r="D600" s="2" t="s">
        <v>2272</v>
      </c>
      <c r="E600" s="25">
        <v>300800</v>
      </c>
      <c r="F600" s="2"/>
      <c r="G600" s="2" t="s">
        <v>6232</v>
      </c>
      <c r="H600" s="2"/>
      <c r="I600" s="2" t="s">
        <v>6232</v>
      </c>
      <c r="J600" s="2"/>
      <c r="K600" s="2" t="s">
        <v>6232</v>
      </c>
      <c r="L600" s="25">
        <v>300800</v>
      </c>
      <c r="M600" s="2" t="s">
        <v>5933</v>
      </c>
      <c r="N600" s="2"/>
      <c r="O600" s="2" t="s">
        <v>6232</v>
      </c>
      <c r="P600" s="2"/>
      <c r="Q600" s="12" t="s">
        <v>6232</v>
      </c>
      <c r="V600" t="s">
        <v>6232</v>
      </c>
      <c r="W600" t="s">
        <v>6232</v>
      </c>
      <c r="X600" t="s">
        <v>6232</v>
      </c>
    </row>
    <row r="601" spans="1:24" ht="18.399999999999999" hidden="1" customHeight="1">
      <c r="A601" s="11" t="s">
        <v>33</v>
      </c>
      <c r="B601" s="2" t="s">
        <v>2690</v>
      </c>
      <c r="C601" s="2" t="s">
        <v>1305</v>
      </c>
      <c r="D601" s="2" t="s">
        <v>2272</v>
      </c>
      <c r="E601" s="25">
        <v>214900</v>
      </c>
      <c r="F601" s="2"/>
      <c r="G601" s="2" t="s">
        <v>6232</v>
      </c>
      <c r="H601" s="2"/>
      <c r="I601" s="2" t="s">
        <v>6232</v>
      </c>
      <c r="J601" s="2"/>
      <c r="K601" s="2" t="s">
        <v>6232</v>
      </c>
      <c r="L601" s="25">
        <v>214900</v>
      </c>
      <c r="M601" s="2" t="s">
        <v>5933</v>
      </c>
      <c r="N601" s="2"/>
      <c r="O601" s="2" t="s">
        <v>6232</v>
      </c>
      <c r="P601" s="2"/>
      <c r="Q601" s="12" t="s">
        <v>6232</v>
      </c>
      <c r="V601" t="s">
        <v>6232</v>
      </c>
      <c r="W601" t="s">
        <v>6232</v>
      </c>
      <c r="X601" t="s">
        <v>6232</v>
      </c>
    </row>
    <row r="602" spans="1:24" ht="18.399999999999999" hidden="1" customHeight="1">
      <c r="A602" s="11" t="s">
        <v>3160</v>
      </c>
      <c r="B602" s="2" t="s">
        <v>2690</v>
      </c>
      <c r="C602" s="2" t="s">
        <v>2136</v>
      </c>
      <c r="D602" s="2" t="s">
        <v>2272</v>
      </c>
      <c r="E602" s="25">
        <v>263600</v>
      </c>
      <c r="F602" s="2"/>
      <c r="G602" s="2" t="s">
        <v>6232</v>
      </c>
      <c r="H602" s="2"/>
      <c r="I602" s="2" t="s">
        <v>6232</v>
      </c>
      <c r="J602" s="2"/>
      <c r="K602" s="2" t="s">
        <v>6232</v>
      </c>
      <c r="L602" s="25">
        <v>263600</v>
      </c>
      <c r="M602" s="2" t="s">
        <v>5933</v>
      </c>
      <c r="N602" s="2"/>
      <c r="O602" s="2" t="s">
        <v>6232</v>
      </c>
      <c r="P602" s="2"/>
      <c r="Q602" s="12" t="s">
        <v>6232</v>
      </c>
      <c r="V602" t="s">
        <v>6232</v>
      </c>
      <c r="W602" t="s">
        <v>6232</v>
      </c>
      <c r="X602" t="s">
        <v>6232</v>
      </c>
    </row>
    <row r="603" spans="1:24" ht="18.399999999999999" hidden="1" customHeight="1">
      <c r="A603" s="11" t="s">
        <v>287</v>
      </c>
      <c r="B603" s="2" t="s">
        <v>2690</v>
      </c>
      <c r="C603" s="2" t="s">
        <v>1974</v>
      </c>
      <c r="D603" s="2" t="s">
        <v>2272</v>
      </c>
      <c r="E603" s="25">
        <v>322200</v>
      </c>
      <c r="F603" s="2"/>
      <c r="G603" s="2" t="s">
        <v>6232</v>
      </c>
      <c r="H603" s="2"/>
      <c r="I603" s="2" t="s">
        <v>6232</v>
      </c>
      <c r="J603" s="2"/>
      <c r="K603" s="2" t="s">
        <v>6232</v>
      </c>
      <c r="L603" s="25">
        <v>322200</v>
      </c>
      <c r="M603" s="2" t="s">
        <v>5933</v>
      </c>
      <c r="N603" s="2"/>
      <c r="O603" s="2" t="s">
        <v>6232</v>
      </c>
      <c r="P603" s="2"/>
      <c r="Q603" s="12" t="s">
        <v>6232</v>
      </c>
      <c r="V603" t="s">
        <v>6232</v>
      </c>
      <c r="W603" t="s">
        <v>6232</v>
      </c>
      <c r="X603" t="s">
        <v>6232</v>
      </c>
    </row>
    <row r="604" spans="1:24" ht="18.399999999999999" hidden="1" customHeight="1">
      <c r="A604" s="11" t="s">
        <v>1237</v>
      </c>
      <c r="B604" s="2" t="s">
        <v>2690</v>
      </c>
      <c r="C604" s="2" t="s">
        <v>2926</v>
      </c>
      <c r="D604" s="2" t="s">
        <v>2272</v>
      </c>
      <c r="E604" s="25">
        <v>224900</v>
      </c>
      <c r="F604" s="2"/>
      <c r="G604" s="2" t="s">
        <v>6232</v>
      </c>
      <c r="H604" s="2"/>
      <c r="I604" s="2" t="s">
        <v>6232</v>
      </c>
      <c r="J604" s="2"/>
      <c r="K604" s="2" t="s">
        <v>6232</v>
      </c>
      <c r="L604" s="25">
        <v>224900</v>
      </c>
      <c r="M604" s="2" t="s">
        <v>5933</v>
      </c>
      <c r="N604" s="2"/>
      <c r="O604" s="2" t="s">
        <v>6232</v>
      </c>
      <c r="P604" s="2"/>
      <c r="Q604" s="12" t="s">
        <v>6232</v>
      </c>
      <c r="V604" t="s">
        <v>6232</v>
      </c>
      <c r="W604" t="s">
        <v>6232</v>
      </c>
      <c r="X604" t="s">
        <v>6232</v>
      </c>
    </row>
    <row r="605" spans="1:24" ht="18.399999999999999" hidden="1" customHeight="1">
      <c r="A605" s="11" t="s">
        <v>4316</v>
      </c>
      <c r="B605" s="2" t="s">
        <v>2690</v>
      </c>
      <c r="C605" s="2" t="s">
        <v>583</v>
      </c>
      <c r="D605" s="2" t="s">
        <v>2272</v>
      </c>
      <c r="E605" s="25">
        <v>275800</v>
      </c>
      <c r="F605" s="2"/>
      <c r="G605" s="2" t="s">
        <v>6232</v>
      </c>
      <c r="H605" s="2"/>
      <c r="I605" s="2" t="s">
        <v>6232</v>
      </c>
      <c r="J605" s="2"/>
      <c r="K605" s="2" t="s">
        <v>6232</v>
      </c>
      <c r="L605" s="25">
        <v>275800</v>
      </c>
      <c r="M605" s="2" t="s">
        <v>5933</v>
      </c>
      <c r="N605" s="2"/>
      <c r="O605" s="2" t="s">
        <v>6232</v>
      </c>
      <c r="P605" s="2"/>
      <c r="Q605" s="12" t="s">
        <v>6232</v>
      </c>
      <c r="V605" t="s">
        <v>6232</v>
      </c>
      <c r="W605" t="s">
        <v>6232</v>
      </c>
      <c r="X605" t="s">
        <v>6232</v>
      </c>
    </row>
    <row r="606" spans="1:24" ht="18.399999999999999" hidden="1" customHeight="1">
      <c r="A606" s="11" t="s">
        <v>1506</v>
      </c>
      <c r="B606" s="2" t="s">
        <v>2690</v>
      </c>
      <c r="C606" s="2" t="s">
        <v>719</v>
      </c>
      <c r="D606" s="2" t="s">
        <v>2272</v>
      </c>
      <c r="E606" s="25">
        <v>333600</v>
      </c>
      <c r="F606" s="2"/>
      <c r="G606" s="2" t="s">
        <v>6232</v>
      </c>
      <c r="H606" s="2"/>
      <c r="I606" s="2" t="s">
        <v>6232</v>
      </c>
      <c r="J606" s="2"/>
      <c r="K606" s="2" t="s">
        <v>6232</v>
      </c>
      <c r="L606" s="25">
        <v>333600</v>
      </c>
      <c r="M606" s="2" t="s">
        <v>5933</v>
      </c>
      <c r="N606" s="2"/>
      <c r="O606" s="2" t="s">
        <v>6232</v>
      </c>
      <c r="P606" s="2"/>
      <c r="Q606" s="12" t="s">
        <v>6232</v>
      </c>
      <c r="V606" t="s">
        <v>6232</v>
      </c>
      <c r="W606" t="s">
        <v>6232</v>
      </c>
      <c r="X606" t="s">
        <v>6232</v>
      </c>
    </row>
    <row r="607" spans="1:24" ht="18.399999999999999" hidden="1" customHeight="1">
      <c r="A607" s="11" t="s">
        <v>5283</v>
      </c>
      <c r="B607" s="2" t="s">
        <v>2438</v>
      </c>
      <c r="C607" s="2" t="s">
        <v>999</v>
      </c>
      <c r="D607" s="2" t="s">
        <v>1606</v>
      </c>
      <c r="E607" s="25">
        <v>66400</v>
      </c>
      <c r="F607" s="2"/>
      <c r="G607" s="2" t="s">
        <v>6232</v>
      </c>
      <c r="H607" s="2"/>
      <c r="I607" s="2" t="s">
        <v>6232</v>
      </c>
      <c r="J607" s="2"/>
      <c r="K607" s="2" t="s">
        <v>6232</v>
      </c>
      <c r="L607" s="25">
        <v>66400</v>
      </c>
      <c r="M607" s="2" t="s">
        <v>5933</v>
      </c>
      <c r="N607" s="2"/>
      <c r="O607" s="2" t="s">
        <v>6232</v>
      </c>
      <c r="P607" s="2"/>
      <c r="Q607" s="12" t="s">
        <v>6232</v>
      </c>
      <c r="V607" t="s">
        <v>6232</v>
      </c>
      <c r="W607" t="s">
        <v>6232</v>
      </c>
      <c r="X607" t="s">
        <v>6232</v>
      </c>
    </row>
    <row r="608" spans="1:24" ht="18.399999999999999" hidden="1" customHeight="1">
      <c r="A608" s="11" t="s">
        <v>2193</v>
      </c>
      <c r="B608" s="2" t="s">
        <v>2438</v>
      </c>
      <c r="C608" s="2" t="s">
        <v>1710</v>
      </c>
      <c r="D608" s="2" t="s">
        <v>1606</v>
      </c>
      <c r="E608" s="25">
        <v>76000</v>
      </c>
      <c r="F608" s="2"/>
      <c r="G608" s="2" t="s">
        <v>6232</v>
      </c>
      <c r="H608" s="2"/>
      <c r="I608" s="2" t="s">
        <v>6232</v>
      </c>
      <c r="J608" s="2"/>
      <c r="K608" s="2" t="s">
        <v>6232</v>
      </c>
      <c r="L608" s="25">
        <v>76000</v>
      </c>
      <c r="M608" s="2" t="s">
        <v>5933</v>
      </c>
      <c r="N608" s="2"/>
      <c r="O608" s="2" t="s">
        <v>6232</v>
      </c>
      <c r="P608" s="2"/>
      <c r="Q608" s="12" t="s">
        <v>6232</v>
      </c>
      <c r="V608" t="s">
        <v>6232</v>
      </c>
      <c r="W608" t="s">
        <v>6232</v>
      </c>
      <c r="X608" t="s">
        <v>6232</v>
      </c>
    </row>
    <row r="609" spans="1:24" ht="18.399999999999999" hidden="1" customHeight="1">
      <c r="A609" s="11" t="s">
        <v>5179</v>
      </c>
      <c r="B609" s="2" t="s">
        <v>2438</v>
      </c>
      <c r="C609" s="2" t="s">
        <v>1832</v>
      </c>
      <c r="D609" s="2" t="s">
        <v>1606</v>
      </c>
      <c r="E609" s="25">
        <v>83700</v>
      </c>
      <c r="F609" s="2"/>
      <c r="G609" s="2" t="s">
        <v>6232</v>
      </c>
      <c r="H609" s="2"/>
      <c r="I609" s="2" t="s">
        <v>6232</v>
      </c>
      <c r="J609" s="2"/>
      <c r="K609" s="2" t="s">
        <v>6232</v>
      </c>
      <c r="L609" s="25">
        <v>83700</v>
      </c>
      <c r="M609" s="2" t="s">
        <v>5933</v>
      </c>
      <c r="N609" s="2"/>
      <c r="O609" s="2" t="s">
        <v>6232</v>
      </c>
      <c r="P609" s="2"/>
      <c r="Q609" s="12" t="s">
        <v>6232</v>
      </c>
      <c r="V609" t="s">
        <v>6232</v>
      </c>
      <c r="W609" t="s">
        <v>6232</v>
      </c>
      <c r="X609" t="s">
        <v>6232</v>
      </c>
    </row>
    <row r="610" spans="1:24" ht="18.399999999999999" hidden="1" customHeight="1">
      <c r="A610" s="11" t="s">
        <v>1202</v>
      </c>
      <c r="B610" s="2" t="s">
        <v>2438</v>
      </c>
      <c r="C610" s="2" t="s">
        <v>1833</v>
      </c>
      <c r="D610" s="2" t="s">
        <v>1606</v>
      </c>
      <c r="E610" s="25">
        <v>66400</v>
      </c>
      <c r="F610" s="2"/>
      <c r="G610" s="2" t="s">
        <v>6232</v>
      </c>
      <c r="H610" s="2"/>
      <c r="I610" s="2" t="s">
        <v>6232</v>
      </c>
      <c r="J610" s="2"/>
      <c r="K610" s="2" t="s">
        <v>6232</v>
      </c>
      <c r="L610" s="25">
        <v>66400</v>
      </c>
      <c r="M610" s="2" t="s">
        <v>5933</v>
      </c>
      <c r="N610" s="2"/>
      <c r="O610" s="2" t="s">
        <v>6232</v>
      </c>
      <c r="P610" s="2"/>
      <c r="Q610" s="12" t="s">
        <v>6232</v>
      </c>
      <c r="V610" t="s">
        <v>6232</v>
      </c>
      <c r="W610" t="s">
        <v>6232</v>
      </c>
      <c r="X610" t="s">
        <v>6232</v>
      </c>
    </row>
    <row r="611" spans="1:24" ht="18.399999999999999" hidden="1" customHeight="1">
      <c r="A611" s="11" t="s">
        <v>4282</v>
      </c>
      <c r="B611" s="2" t="s">
        <v>2438</v>
      </c>
      <c r="C611" s="2" t="s">
        <v>842</v>
      </c>
      <c r="D611" s="2" t="s">
        <v>1606</v>
      </c>
      <c r="E611" s="25">
        <v>76000</v>
      </c>
      <c r="F611" s="2"/>
      <c r="G611" s="2" t="s">
        <v>6232</v>
      </c>
      <c r="H611" s="2"/>
      <c r="I611" s="2" t="s">
        <v>6232</v>
      </c>
      <c r="J611" s="2"/>
      <c r="K611" s="2" t="s">
        <v>6232</v>
      </c>
      <c r="L611" s="25">
        <v>76000</v>
      </c>
      <c r="M611" s="2" t="s">
        <v>5933</v>
      </c>
      <c r="N611" s="2"/>
      <c r="O611" s="2" t="s">
        <v>6232</v>
      </c>
      <c r="P611" s="2"/>
      <c r="Q611" s="12" t="s">
        <v>6232</v>
      </c>
      <c r="V611" t="s">
        <v>6232</v>
      </c>
      <c r="W611" t="s">
        <v>6232</v>
      </c>
      <c r="X611" t="s">
        <v>6232</v>
      </c>
    </row>
    <row r="612" spans="1:24" ht="18.399999999999999" hidden="1" customHeight="1">
      <c r="A612" s="11" t="s">
        <v>1488</v>
      </c>
      <c r="B612" s="2" t="s">
        <v>2438</v>
      </c>
      <c r="C612" s="2" t="s">
        <v>1000</v>
      </c>
      <c r="D612" s="2" t="s">
        <v>1606</v>
      </c>
      <c r="E612" s="25">
        <v>83700</v>
      </c>
      <c r="F612" s="2"/>
      <c r="G612" s="2" t="s">
        <v>6232</v>
      </c>
      <c r="H612" s="2"/>
      <c r="I612" s="2" t="s">
        <v>6232</v>
      </c>
      <c r="J612" s="2"/>
      <c r="K612" s="2" t="s">
        <v>6232</v>
      </c>
      <c r="L612" s="25">
        <v>83700</v>
      </c>
      <c r="M612" s="2" t="s">
        <v>5933</v>
      </c>
      <c r="N612" s="2"/>
      <c r="O612" s="2" t="s">
        <v>6232</v>
      </c>
      <c r="P612" s="2"/>
      <c r="Q612" s="12" t="s">
        <v>6232</v>
      </c>
      <c r="V612" t="s">
        <v>6232</v>
      </c>
      <c r="W612" t="s">
        <v>6232</v>
      </c>
      <c r="X612" t="s">
        <v>6232</v>
      </c>
    </row>
    <row r="613" spans="1:24" ht="18.399999999999999" hidden="1" customHeight="1">
      <c r="A613" s="11" t="s">
        <v>5094</v>
      </c>
      <c r="B613" s="2" t="s">
        <v>2438</v>
      </c>
      <c r="C613" s="2" t="s">
        <v>589</v>
      </c>
      <c r="D613" s="2" t="s">
        <v>1606</v>
      </c>
      <c r="E613" s="25">
        <v>69500</v>
      </c>
      <c r="F613" s="2"/>
      <c r="G613" s="2" t="s">
        <v>6232</v>
      </c>
      <c r="H613" s="2"/>
      <c r="I613" s="2" t="s">
        <v>6232</v>
      </c>
      <c r="J613" s="2"/>
      <c r="K613" s="2" t="s">
        <v>6232</v>
      </c>
      <c r="L613" s="25">
        <v>69500</v>
      </c>
      <c r="M613" s="2" t="s">
        <v>5933</v>
      </c>
      <c r="N613" s="2"/>
      <c r="O613" s="2" t="s">
        <v>6232</v>
      </c>
      <c r="P613" s="2"/>
      <c r="Q613" s="12" t="s">
        <v>6232</v>
      </c>
      <c r="V613" t="s">
        <v>6232</v>
      </c>
      <c r="W613" t="s">
        <v>6232</v>
      </c>
      <c r="X613" t="s">
        <v>6232</v>
      </c>
    </row>
    <row r="614" spans="1:24" ht="18.399999999999999" hidden="1" customHeight="1">
      <c r="A614" s="11" t="s">
        <v>1916</v>
      </c>
      <c r="B614" s="2" t="s">
        <v>2438</v>
      </c>
      <c r="C614" s="2" t="s">
        <v>2931</v>
      </c>
      <c r="D614" s="2" t="s">
        <v>1606</v>
      </c>
      <c r="E614" s="25">
        <v>80100</v>
      </c>
      <c r="F614" s="2"/>
      <c r="G614" s="2" t="s">
        <v>6232</v>
      </c>
      <c r="H614" s="2"/>
      <c r="I614" s="2" t="s">
        <v>6232</v>
      </c>
      <c r="J614" s="2"/>
      <c r="K614" s="2" t="s">
        <v>6232</v>
      </c>
      <c r="L614" s="25">
        <v>80100</v>
      </c>
      <c r="M614" s="2" t="s">
        <v>5933</v>
      </c>
      <c r="N614" s="2"/>
      <c r="O614" s="2" t="s">
        <v>6232</v>
      </c>
      <c r="P614" s="2"/>
      <c r="Q614" s="12" t="s">
        <v>6232</v>
      </c>
      <c r="V614" t="s">
        <v>6232</v>
      </c>
      <c r="W614" t="s">
        <v>6232</v>
      </c>
      <c r="X614" t="s">
        <v>6232</v>
      </c>
    </row>
    <row r="615" spans="1:24" ht="18.399999999999999" hidden="1" customHeight="1">
      <c r="A615" s="11" t="s">
        <v>5397</v>
      </c>
      <c r="B615" s="2" t="s">
        <v>2438</v>
      </c>
      <c r="C615" s="2" t="s">
        <v>2782</v>
      </c>
      <c r="D615" s="2" t="s">
        <v>1606</v>
      </c>
      <c r="E615" s="25">
        <v>90600</v>
      </c>
      <c r="F615" s="2"/>
      <c r="G615" s="2" t="s">
        <v>6232</v>
      </c>
      <c r="H615" s="2"/>
      <c r="I615" s="2" t="s">
        <v>6232</v>
      </c>
      <c r="J615" s="2"/>
      <c r="K615" s="2" t="s">
        <v>6232</v>
      </c>
      <c r="L615" s="25">
        <v>90600</v>
      </c>
      <c r="M615" s="2" t="s">
        <v>5933</v>
      </c>
      <c r="N615" s="2"/>
      <c r="O615" s="2" t="s">
        <v>6232</v>
      </c>
      <c r="P615" s="2"/>
      <c r="Q615" s="12" t="s">
        <v>6232</v>
      </c>
      <c r="V615" t="s">
        <v>6232</v>
      </c>
      <c r="W615" t="s">
        <v>6232</v>
      </c>
      <c r="X615" t="s">
        <v>6232</v>
      </c>
    </row>
    <row r="616" spans="1:24" ht="18.399999999999999" hidden="1" customHeight="1">
      <c r="A616" s="11" t="s">
        <v>119</v>
      </c>
      <c r="B616" s="2" t="s">
        <v>2438</v>
      </c>
      <c r="C616" s="2" t="s">
        <v>3981</v>
      </c>
      <c r="D616" s="2" t="s">
        <v>1606</v>
      </c>
      <c r="E616" s="25">
        <v>70600</v>
      </c>
      <c r="F616" s="2"/>
      <c r="G616" s="2" t="s">
        <v>6232</v>
      </c>
      <c r="H616" s="2"/>
      <c r="I616" s="2" t="s">
        <v>6232</v>
      </c>
      <c r="J616" s="2"/>
      <c r="K616" s="2" t="s">
        <v>6232</v>
      </c>
      <c r="L616" s="25">
        <v>70600</v>
      </c>
      <c r="M616" s="2" t="s">
        <v>5933</v>
      </c>
      <c r="N616" s="2"/>
      <c r="O616" s="2" t="s">
        <v>6232</v>
      </c>
      <c r="P616" s="2"/>
      <c r="Q616" s="12" t="s">
        <v>6232</v>
      </c>
      <c r="V616" t="s">
        <v>6232</v>
      </c>
      <c r="W616" t="s">
        <v>6232</v>
      </c>
      <c r="X616" t="s">
        <v>6232</v>
      </c>
    </row>
    <row r="617" spans="1:24" ht="18.399999999999999" hidden="1" customHeight="1">
      <c r="A617" s="11" t="s">
        <v>3263</v>
      </c>
      <c r="B617" s="2" t="s">
        <v>2438</v>
      </c>
      <c r="C617" s="2" t="s">
        <v>4963</v>
      </c>
      <c r="D617" s="2" t="s">
        <v>1606</v>
      </c>
      <c r="E617" s="25">
        <v>82500</v>
      </c>
      <c r="F617" s="2"/>
      <c r="G617" s="2" t="s">
        <v>6232</v>
      </c>
      <c r="H617" s="2"/>
      <c r="I617" s="2" t="s">
        <v>6232</v>
      </c>
      <c r="J617" s="2"/>
      <c r="K617" s="2" t="s">
        <v>6232</v>
      </c>
      <c r="L617" s="25">
        <v>82500</v>
      </c>
      <c r="M617" s="2" t="s">
        <v>5933</v>
      </c>
      <c r="N617" s="2"/>
      <c r="O617" s="2" t="s">
        <v>6232</v>
      </c>
      <c r="P617" s="2"/>
      <c r="Q617" s="12" t="s">
        <v>6232</v>
      </c>
      <c r="V617" t="s">
        <v>6232</v>
      </c>
      <c r="W617" t="s">
        <v>6232</v>
      </c>
      <c r="X617" t="s">
        <v>6232</v>
      </c>
    </row>
    <row r="618" spans="1:24" ht="18.399999999999999" hidden="1" customHeight="1">
      <c r="A618" s="11" t="s">
        <v>214</v>
      </c>
      <c r="B618" s="2" t="s">
        <v>2438</v>
      </c>
      <c r="C618" s="2" t="s">
        <v>4843</v>
      </c>
      <c r="D618" s="2" t="s">
        <v>1606</v>
      </c>
      <c r="E618" s="25">
        <v>92700</v>
      </c>
      <c r="F618" s="2"/>
      <c r="G618" s="2" t="s">
        <v>6232</v>
      </c>
      <c r="H618" s="2"/>
      <c r="I618" s="2" t="s">
        <v>6232</v>
      </c>
      <c r="J618" s="2"/>
      <c r="K618" s="2" t="s">
        <v>6232</v>
      </c>
      <c r="L618" s="25">
        <v>92700</v>
      </c>
      <c r="M618" s="2" t="s">
        <v>5933</v>
      </c>
      <c r="N618" s="2"/>
      <c r="O618" s="2" t="s">
        <v>6232</v>
      </c>
      <c r="P618" s="2"/>
      <c r="Q618" s="12" t="s">
        <v>6232</v>
      </c>
      <c r="V618" t="s">
        <v>6232</v>
      </c>
      <c r="W618" t="s">
        <v>6232</v>
      </c>
      <c r="X618" t="s">
        <v>6232</v>
      </c>
    </row>
    <row r="619" spans="1:24" ht="18.399999999999999" hidden="1" customHeight="1">
      <c r="A619" s="11" t="s">
        <v>2322</v>
      </c>
      <c r="B619" s="2" t="s">
        <v>2438</v>
      </c>
      <c r="C619" s="2" t="s">
        <v>5447</v>
      </c>
      <c r="D619" s="2" t="s">
        <v>1606</v>
      </c>
      <c r="E619" s="25">
        <v>76600</v>
      </c>
      <c r="F619" s="2"/>
      <c r="G619" s="2" t="s">
        <v>6232</v>
      </c>
      <c r="H619" s="2"/>
      <c r="I619" s="2" t="s">
        <v>6232</v>
      </c>
      <c r="J619" s="2"/>
      <c r="K619" s="2" t="s">
        <v>6232</v>
      </c>
      <c r="L619" s="25">
        <v>76600</v>
      </c>
      <c r="M619" s="2" t="s">
        <v>5933</v>
      </c>
      <c r="N619" s="2"/>
      <c r="O619" s="2" t="s">
        <v>6232</v>
      </c>
      <c r="P619" s="2"/>
      <c r="Q619" s="12" t="s">
        <v>6232</v>
      </c>
      <c r="V619" t="s">
        <v>6232</v>
      </c>
      <c r="W619" t="s">
        <v>6232</v>
      </c>
      <c r="X619" t="s">
        <v>6232</v>
      </c>
    </row>
    <row r="620" spans="1:24" ht="18.399999999999999" hidden="1" customHeight="1">
      <c r="A620" s="11" t="s">
        <v>5488</v>
      </c>
      <c r="B620" s="2" t="s">
        <v>2438</v>
      </c>
      <c r="C620" s="2" t="s">
        <v>3447</v>
      </c>
      <c r="D620" s="2" t="s">
        <v>1606</v>
      </c>
      <c r="E620" s="25">
        <v>85100</v>
      </c>
      <c r="F620" s="2"/>
      <c r="G620" s="2" t="s">
        <v>6232</v>
      </c>
      <c r="H620" s="2"/>
      <c r="I620" s="2" t="s">
        <v>6232</v>
      </c>
      <c r="J620" s="2"/>
      <c r="K620" s="2" t="s">
        <v>6232</v>
      </c>
      <c r="L620" s="25">
        <v>85100</v>
      </c>
      <c r="M620" s="2" t="s">
        <v>5933</v>
      </c>
      <c r="N620" s="2"/>
      <c r="O620" s="2" t="s">
        <v>6232</v>
      </c>
      <c r="P620" s="2"/>
      <c r="Q620" s="12" t="s">
        <v>6232</v>
      </c>
      <c r="V620" t="s">
        <v>6232</v>
      </c>
      <c r="W620" t="s">
        <v>6232</v>
      </c>
      <c r="X620" t="s">
        <v>6232</v>
      </c>
    </row>
    <row r="621" spans="1:24" ht="18.399999999999999" hidden="1" customHeight="1">
      <c r="A621" s="11" t="s">
        <v>2624</v>
      </c>
      <c r="B621" s="2" t="s">
        <v>2438</v>
      </c>
      <c r="C621" s="2" t="s">
        <v>3173</v>
      </c>
      <c r="D621" s="2" t="s">
        <v>1606</v>
      </c>
      <c r="E621" s="25">
        <v>95500</v>
      </c>
      <c r="F621" s="2"/>
      <c r="G621" s="2" t="s">
        <v>6232</v>
      </c>
      <c r="H621" s="2"/>
      <c r="I621" s="2" t="s">
        <v>6232</v>
      </c>
      <c r="J621" s="2"/>
      <c r="K621" s="2" t="s">
        <v>6232</v>
      </c>
      <c r="L621" s="25">
        <v>95500</v>
      </c>
      <c r="M621" s="2" t="s">
        <v>5933</v>
      </c>
      <c r="N621" s="2"/>
      <c r="O621" s="2" t="s">
        <v>6232</v>
      </c>
      <c r="P621" s="2"/>
      <c r="Q621" s="12" t="s">
        <v>6232</v>
      </c>
      <c r="V621" t="s">
        <v>6232</v>
      </c>
      <c r="W621" t="s">
        <v>6232</v>
      </c>
      <c r="X621" t="s">
        <v>6232</v>
      </c>
    </row>
    <row r="622" spans="1:24" ht="18.399999999999999" hidden="1" customHeight="1">
      <c r="A622" s="11" t="s">
        <v>2454</v>
      </c>
      <c r="B622" s="2" t="s">
        <v>2438</v>
      </c>
      <c r="C622" s="2" t="s">
        <v>1567</v>
      </c>
      <c r="D622" s="2" t="s">
        <v>1606</v>
      </c>
      <c r="E622" s="25">
        <v>79200</v>
      </c>
      <c r="F622" s="2"/>
      <c r="G622" s="2" t="s">
        <v>6232</v>
      </c>
      <c r="H622" s="2"/>
      <c r="I622" s="2" t="s">
        <v>6232</v>
      </c>
      <c r="J622" s="2"/>
      <c r="K622" s="2" t="s">
        <v>6232</v>
      </c>
      <c r="L622" s="25">
        <v>79200</v>
      </c>
      <c r="M622" s="2" t="s">
        <v>5933</v>
      </c>
      <c r="N622" s="2"/>
      <c r="O622" s="2" t="s">
        <v>6232</v>
      </c>
      <c r="P622" s="2"/>
      <c r="Q622" s="12" t="s">
        <v>6232</v>
      </c>
      <c r="V622" t="s">
        <v>6232</v>
      </c>
      <c r="W622" t="s">
        <v>6232</v>
      </c>
      <c r="X622" t="s">
        <v>6232</v>
      </c>
    </row>
    <row r="623" spans="1:24" ht="18.399999999999999" hidden="1" customHeight="1">
      <c r="A623" s="11" t="s">
        <v>5627</v>
      </c>
      <c r="B623" s="2" t="s">
        <v>2438</v>
      </c>
      <c r="C623" s="2" t="s">
        <v>1145</v>
      </c>
      <c r="D623" s="2" t="s">
        <v>1606</v>
      </c>
      <c r="E623" s="25">
        <v>89700</v>
      </c>
      <c r="F623" s="2"/>
      <c r="G623" s="2" t="s">
        <v>6232</v>
      </c>
      <c r="H623" s="2"/>
      <c r="I623" s="2" t="s">
        <v>6232</v>
      </c>
      <c r="J623" s="2"/>
      <c r="K623" s="2" t="s">
        <v>6232</v>
      </c>
      <c r="L623" s="25">
        <v>89700</v>
      </c>
      <c r="M623" s="2" t="s">
        <v>5933</v>
      </c>
      <c r="N623" s="2"/>
      <c r="O623" s="2" t="s">
        <v>6232</v>
      </c>
      <c r="P623" s="2"/>
      <c r="Q623" s="12" t="s">
        <v>6232</v>
      </c>
      <c r="V623" t="s">
        <v>6232</v>
      </c>
      <c r="W623" t="s">
        <v>6232</v>
      </c>
      <c r="X623" t="s">
        <v>6232</v>
      </c>
    </row>
    <row r="624" spans="1:24" ht="18.399999999999999" hidden="1" customHeight="1">
      <c r="A624" s="11" t="s">
        <v>2539</v>
      </c>
      <c r="B624" s="2" t="s">
        <v>2438</v>
      </c>
      <c r="C624" s="2" t="s">
        <v>913</v>
      </c>
      <c r="D624" s="2" t="s">
        <v>1606</v>
      </c>
      <c r="E624" s="25">
        <v>108700</v>
      </c>
      <c r="F624" s="2"/>
      <c r="G624" s="2" t="s">
        <v>6232</v>
      </c>
      <c r="H624" s="2"/>
      <c r="I624" s="2" t="s">
        <v>6232</v>
      </c>
      <c r="J624" s="2"/>
      <c r="K624" s="2" t="s">
        <v>6232</v>
      </c>
      <c r="L624" s="25">
        <v>108700</v>
      </c>
      <c r="M624" s="2" t="s">
        <v>5933</v>
      </c>
      <c r="N624" s="2"/>
      <c r="O624" s="2" t="s">
        <v>6232</v>
      </c>
      <c r="P624" s="2"/>
      <c r="Q624" s="12" t="s">
        <v>6232</v>
      </c>
      <c r="V624" t="s">
        <v>6232</v>
      </c>
      <c r="W624" t="s">
        <v>6232</v>
      </c>
      <c r="X624" t="s">
        <v>6232</v>
      </c>
    </row>
    <row r="625" spans="1:24" ht="18.399999999999999" hidden="1" customHeight="1">
      <c r="A625" s="11" t="s">
        <v>4573</v>
      </c>
      <c r="B625" s="2" t="s">
        <v>2438</v>
      </c>
      <c r="C625" s="2" t="s">
        <v>4451</v>
      </c>
      <c r="D625" s="2" t="s">
        <v>1606</v>
      </c>
      <c r="E625" s="25">
        <v>83700</v>
      </c>
      <c r="F625" s="2"/>
      <c r="G625" s="2" t="s">
        <v>6232</v>
      </c>
      <c r="H625" s="2"/>
      <c r="I625" s="2" t="s">
        <v>6232</v>
      </c>
      <c r="J625" s="2"/>
      <c r="K625" s="2" t="s">
        <v>6232</v>
      </c>
      <c r="L625" s="25">
        <v>83700</v>
      </c>
      <c r="M625" s="2" t="s">
        <v>5933</v>
      </c>
      <c r="N625" s="2"/>
      <c r="O625" s="2" t="s">
        <v>6232</v>
      </c>
      <c r="P625" s="2"/>
      <c r="Q625" s="12" t="s">
        <v>6232</v>
      </c>
      <c r="V625" t="s">
        <v>6232</v>
      </c>
      <c r="W625" t="s">
        <v>6232</v>
      </c>
      <c r="X625" t="s">
        <v>6232</v>
      </c>
    </row>
    <row r="626" spans="1:24" ht="18.399999999999999" hidden="1" customHeight="1">
      <c r="A626" s="11" t="s">
        <v>1507</v>
      </c>
      <c r="B626" s="2" t="s">
        <v>2438</v>
      </c>
      <c r="C626" s="2" t="s">
        <v>5285</v>
      </c>
      <c r="D626" s="2" t="s">
        <v>1606</v>
      </c>
      <c r="E626" s="25">
        <v>100500</v>
      </c>
      <c r="F626" s="2"/>
      <c r="G626" s="2" t="s">
        <v>6232</v>
      </c>
      <c r="H626" s="2"/>
      <c r="I626" s="2" t="s">
        <v>6232</v>
      </c>
      <c r="J626" s="2"/>
      <c r="K626" s="2" t="s">
        <v>6232</v>
      </c>
      <c r="L626" s="25">
        <v>100500</v>
      </c>
      <c r="M626" s="2" t="s">
        <v>5933</v>
      </c>
      <c r="N626" s="2"/>
      <c r="O626" s="2" t="s">
        <v>6232</v>
      </c>
      <c r="P626" s="2"/>
      <c r="Q626" s="12" t="s">
        <v>6232</v>
      </c>
      <c r="V626" t="s">
        <v>6232</v>
      </c>
      <c r="W626" t="s">
        <v>6232</v>
      </c>
      <c r="X626" t="s">
        <v>6232</v>
      </c>
    </row>
    <row r="627" spans="1:24" ht="18.399999999999999" hidden="1" customHeight="1">
      <c r="A627" s="11" t="s">
        <v>4317</v>
      </c>
      <c r="B627" s="2" t="s">
        <v>2438</v>
      </c>
      <c r="C627" s="2" t="s">
        <v>5136</v>
      </c>
      <c r="D627" s="2" t="s">
        <v>1606</v>
      </c>
      <c r="E627" s="25">
        <v>118500</v>
      </c>
      <c r="F627" s="2"/>
      <c r="G627" s="2" t="s">
        <v>6232</v>
      </c>
      <c r="H627" s="2"/>
      <c r="I627" s="2" t="s">
        <v>6232</v>
      </c>
      <c r="J627" s="2"/>
      <c r="K627" s="2" t="s">
        <v>6232</v>
      </c>
      <c r="L627" s="25">
        <v>118500</v>
      </c>
      <c r="M627" s="2" t="s">
        <v>5933</v>
      </c>
      <c r="N627" s="2"/>
      <c r="O627" s="2" t="s">
        <v>6232</v>
      </c>
      <c r="P627" s="2"/>
      <c r="Q627" s="12" t="s">
        <v>6232</v>
      </c>
      <c r="V627" t="s">
        <v>6232</v>
      </c>
      <c r="W627" t="s">
        <v>6232</v>
      </c>
      <c r="X627" t="s">
        <v>6232</v>
      </c>
    </row>
    <row r="628" spans="1:24" ht="18.399999999999999" hidden="1" customHeight="1">
      <c r="A628" s="11" t="s">
        <v>5489</v>
      </c>
      <c r="B628" s="2" t="s">
        <v>2438</v>
      </c>
      <c r="C628" s="2" t="s">
        <v>2735</v>
      </c>
      <c r="D628" s="2" t="s">
        <v>1606</v>
      </c>
      <c r="E628" s="25">
        <v>99600</v>
      </c>
      <c r="F628" s="2"/>
      <c r="G628" s="2" t="s">
        <v>6232</v>
      </c>
      <c r="H628" s="2"/>
      <c r="I628" s="2" t="s">
        <v>6232</v>
      </c>
      <c r="J628" s="2"/>
      <c r="K628" s="2" t="s">
        <v>6232</v>
      </c>
      <c r="L628" s="25">
        <v>99600</v>
      </c>
      <c r="M628" s="2" t="s">
        <v>5933</v>
      </c>
      <c r="N628" s="2"/>
      <c r="O628" s="2" t="s">
        <v>6232</v>
      </c>
      <c r="P628" s="2"/>
      <c r="Q628" s="12" t="s">
        <v>6232</v>
      </c>
      <c r="V628" t="s">
        <v>6232</v>
      </c>
      <c r="W628" t="s">
        <v>6232</v>
      </c>
      <c r="X628" t="s">
        <v>6232</v>
      </c>
    </row>
    <row r="629" spans="1:24" ht="18.399999999999999" hidden="1" customHeight="1">
      <c r="A629" s="11" t="s">
        <v>2323</v>
      </c>
      <c r="B629" s="2" t="s">
        <v>2438</v>
      </c>
      <c r="C629" s="2" t="s">
        <v>761</v>
      </c>
      <c r="D629" s="2" t="s">
        <v>1606</v>
      </c>
      <c r="E629" s="25">
        <v>115100</v>
      </c>
      <c r="F629" s="2"/>
      <c r="G629" s="2" t="s">
        <v>6232</v>
      </c>
      <c r="H629" s="2"/>
      <c r="I629" s="2" t="s">
        <v>6232</v>
      </c>
      <c r="J629" s="2"/>
      <c r="K629" s="2" t="s">
        <v>6232</v>
      </c>
      <c r="L629" s="25">
        <v>115100</v>
      </c>
      <c r="M629" s="2" t="s">
        <v>5933</v>
      </c>
      <c r="N629" s="2"/>
      <c r="O629" s="2" t="s">
        <v>6232</v>
      </c>
      <c r="P629" s="2"/>
      <c r="Q629" s="12" t="s">
        <v>6232</v>
      </c>
      <c r="V629" t="s">
        <v>6232</v>
      </c>
      <c r="W629" t="s">
        <v>6232</v>
      </c>
      <c r="X629" t="s">
        <v>6232</v>
      </c>
    </row>
    <row r="630" spans="1:24" ht="18.399999999999999" hidden="1" customHeight="1">
      <c r="A630" s="11" t="s">
        <v>5787</v>
      </c>
      <c r="B630" s="2" t="s">
        <v>2438</v>
      </c>
      <c r="C630" s="2" t="s">
        <v>533</v>
      </c>
      <c r="D630" s="2" t="s">
        <v>1606</v>
      </c>
      <c r="E630" s="25">
        <v>131500</v>
      </c>
      <c r="F630" s="2"/>
      <c r="G630" s="2" t="s">
        <v>6232</v>
      </c>
      <c r="H630" s="2"/>
      <c r="I630" s="2" t="s">
        <v>6232</v>
      </c>
      <c r="J630" s="2"/>
      <c r="K630" s="2" t="s">
        <v>6232</v>
      </c>
      <c r="L630" s="25">
        <v>131500</v>
      </c>
      <c r="M630" s="2" t="s">
        <v>5933</v>
      </c>
      <c r="N630" s="2"/>
      <c r="O630" s="2" t="s">
        <v>6232</v>
      </c>
      <c r="P630" s="2"/>
      <c r="Q630" s="12" t="s">
        <v>6232</v>
      </c>
      <c r="V630" t="s">
        <v>6232</v>
      </c>
      <c r="W630" t="s">
        <v>6232</v>
      </c>
      <c r="X630" t="s">
        <v>6232</v>
      </c>
    </row>
    <row r="631" spans="1:24" ht="18.399999999999999" hidden="1" customHeight="1">
      <c r="A631" s="11" t="s">
        <v>3134</v>
      </c>
      <c r="B631" s="2" t="s">
        <v>2438</v>
      </c>
      <c r="C631" s="2" t="s">
        <v>3547</v>
      </c>
      <c r="D631" s="2" t="s">
        <v>1606</v>
      </c>
      <c r="E631" s="25">
        <v>120500</v>
      </c>
      <c r="F631" s="2"/>
      <c r="G631" s="2" t="s">
        <v>6232</v>
      </c>
      <c r="H631" s="2"/>
      <c r="I631" s="2" t="s">
        <v>6232</v>
      </c>
      <c r="J631" s="2"/>
      <c r="K631" s="2" t="s">
        <v>6232</v>
      </c>
      <c r="L631" s="25">
        <v>120500</v>
      </c>
      <c r="M631" s="2" t="s">
        <v>5933</v>
      </c>
      <c r="N631" s="2"/>
      <c r="O631" s="2" t="s">
        <v>6232</v>
      </c>
      <c r="P631" s="2"/>
      <c r="Q631" s="12" t="s">
        <v>6232</v>
      </c>
      <c r="V631" t="s">
        <v>6232</v>
      </c>
      <c r="W631" t="s">
        <v>6232</v>
      </c>
      <c r="X631" t="s">
        <v>6232</v>
      </c>
    </row>
    <row r="632" spans="1:24" ht="18.399999999999999" hidden="1" customHeight="1">
      <c r="A632" s="11" t="s">
        <v>8</v>
      </c>
      <c r="B632" s="2" t="s">
        <v>2438</v>
      </c>
      <c r="C632" s="2" t="s">
        <v>6176</v>
      </c>
      <c r="D632" s="2" t="s">
        <v>1606</v>
      </c>
      <c r="E632" s="25">
        <v>139000</v>
      </c>
      <c r="F632" s="2"/>
      <c r="G632" s="2" t="s">
        <v>6232</v>
      </c>
      <c r="H632" s="2"/>
      <c r="I632" s="2" t="s">
        <v>6232</v>
      </c>
      <c r="J632" s="2"/>
      <c r="K632" s="2" t="s">
        <v>6232</v>
      </c>
      <c r="L632" s="25">
        <v>139000</v>
      </c>
      <c r="M632" s="2" t="s">
        <v>5933</v>
      </c>
      <c r="N632" s="2"/>
      <c r="O632" s="2" t="s">
        <v>6232</v>
      </c>
      <c r="P632" s="2"/>
      <c r="Q632" s="12" t="s">
        <v>6232</v>
      </c>
      <c r="V632" t="s">
        <v>6232</v>
      </c>
      <c r="W632" t="s">
        <v>6232</v>
      </c>
      <c r="X632" t="s">
        <v>6232</v>
      </c>
    </row>
    <row r="633" spans="1:24" ht="18.399999999999999" hidden="1" customHeight="1">
      <c r="A633" s="11" t="s">
        <v>3430</v>
      </c>
      <c r="B633" s="2" t="s">
        <v>2438</v>
      </c>
      <c r="C633" s="2" t="s">
        <v>6024</v>
      </c>
      <c r="D633" s="2" t="s">
        <v>1606</v>
      </c>
      <c r="E633" s="25">
        <v>159800</v>
      </c>
      <c r="F633" s="2"/>
      <c r="G633" s="2" t="s">
        <v>6232</v>
      </c>
      <c r="H633" s="2"/>
      <c r="I633" s="2" t="s">
        <v>6232</v>
      </c>
      <c r="J633" s="2"/>
      <c r="K633" s="2" t="s">
        <v>6232</v>
      </c>
      <c r="L633" s="25">
        <v>159800</v>
      </c>
      <c r="M633" s="2" t="s">
        <v>5933</v>
      </c>
      <c r="N633" s="2"/>
      <c r="O633" s="2" t="s">
        <v>6232</v>
      </c>
      <c r="P633" s="2"/>
      <c r="Q633" s="12" t="s">
        <v>6232</v>
      </c>
      <c r="V633" t="s">
        <v>6232</v>
      </c>
      <c r="W633" t="s">
        <v>6232</v>
      </c>
      <c r="X633" t="s">
        <v>6232</v>
      </c>
    </row>
    <row r="634" spans="1:24" ht="18.399999999999999" hidden="1" customHeight="1">
      <c r="A634" s="11" t="s">
        <v>5041</v>
      </c>
      <c r="B634" s="2" t="s">
        <v>2438</v>
      </c>
      <c r="C634" s="2" t="s">
        <v>1496</v>
      </c>
      <c r="D634" s="2" t="s">
        <v>1606</v>
      </c>
      <c r="E634" s="25">
        <v>124400</v>
      </c>
      <c r="F634" s="2"/>
      <c r="G634" s="2" t="s">
        <v>6232</v>
      </c>
      <c r="H634" s="2"/>
      <c r="I634" s="2" t="s">
        <v>6232</v>
      </c>
      <c r="J634" s="2"/>
      <c r="K634" s="2" t="s">
        <v>6232</v>
      </c>
      <c r="L634" s="25">
        <v>124400</v>
      </c>
      <c r="M634" s="2" t="s">
        <v>5933</v>
      </c>
      <c r="N634" s="2"/>
      <c r="O634" s="2" t="s">
        <v>6232</v>
      </c>
      <c r="P634" s="2"/>
      <c r="Q634" s="12" t="s">
        <v>6232</v>
      </c>
      <c r="V634" t="s">
        <v>6232</v>
      </c>
      <c r="W634" t="s">
        <v>6232</v>
      </c>
      <c r="X634" t="s">
        <v>6232</v>
      </c>
    </row>
    <row r="635" spans="1:24" ht="18.399999999999999" hidden="1" customHeight="1">
      <c r="A635" s="11" t="s">
        <v>1965</v>
      </c>
      <c r="B635" s="2" t="s">
        <v>2438</v>
      </c>
      <c r="C635" s="2" t="s">
        <v>1924</v>
      </c>
      <c r="D635" s="2" t="s">
        <v>1606</v>
      </c>
      <c r="E635" s="25">
        <v>146800</v>
      </c>
      <c r="F635" s="2"/>
      <c r="G635" s="2" t="s">
        <v>6232</v>
      </c>
      <c r="H635" s="2"/>
      <c r="I635" s="2" t="s">
        <v>6232</v>
      </c>
      <c r="J635" s="2"/>
      <c r="K635" s="2" t="s">
        <v>6232</v>
      </c>
      <c r="L635" s="25">
        <v>146800</v>
      </c>
      <c r="M635" s="2" t="s">
        <v>5933</v>
      </c>
      <c r="N635" s="2"/>
      <c r="O635" s="2" t="s">
        <v>6232</v>
      </c>
      <c r="P635" s="2"/>
      <c r="Q635" s="12" t="s">
        <v>6232</v>
      </c>
      <c r="V635" t="s">
        <v>6232</v>
      </c>
      <c r="W635" t="s">
        <v>6232</v>
      </c>
      <c r="X635" t="s">
        <v>6232</v>
      </c>
    </row>
    <row r="636" spans="1:24" ht="18.399999999999999" hidden="1" customHeight="1">
      <c r="A636" s="11" t="s">
        <v>5347</v>
      </c>
      <c r="B636" s="2" t="s">
        <v>2438</v>
      </c>
      <c r="C636" s="2" t="s">
        <v>2174</v>
      </c>
      <c r="D636" s="2" t="s">
        <v>1606</v>
      </c>
      <c r="E636" s="25">
        <v>166100</v>
      </c>
      <c r="F636" s="2"/>
      <c r="G636" s="2" t="s">
        <v>6232</v>
      </c>
      <c r="H636" s="2"/>
      <c r="I636" s="2" t="s">
        <v>6232</v>
      </c>
      <c r="J636" s="2"/>
      <c r="K636" s="2" t="s">
        <v>6232</v>
      </c>
      <c r="L636" s="25">
        <v>166100</v>
      </c>
      <c r="M636" s="2" t="s">
        <v>5933</v>
      </c>
      <c r="N636" s="2"/>
      <c r="O636" s="2" t="s">
        <v>6232</v>
      </c>
      <c r="P636" s="2"/>
      <c r="Q636" s="12" t="s">
        <v>6232</v>
      </c>
      <c r="V636" t="s">
        <v>6232</v>
      </c>
      <c r="W636" t="s">
        <v>6232</v>
      </c>
      <c r="X636" t="s">
        <v>6232</v>
      </c>
    </row>
    <row r="637" spans="1:24" ht="18.399999999999999" hidden="1" customHeight="1">
      <c r="A637" s="11" t="s">
        <v>1203</v>
      </c>
      <c r="B637" s="2" t="s">
        <v>2438</v>
      </c>
      <c r="C637" s="2" t="s">
        <v>2755</v>
      </c>
      <c r="D637" s="2" t="s">
        <v>1606</v>
      </c>
      <c r="E637" s="25">
        <v>228900</v>
      </c>
      <c r="F637" s="2"/>
      <c r="G637" s="2" t="s">
        <v>6232</v>
      </c>
      <c r="H637" s="2"/>
      <c r="I637" s="2" t="s">
        <v>6232</v>
      </c>
      <c r="J637" s="2"/>
      <c r="K637" s="2" t="s">
        <v>6232</v>
      </c>
      <c r="L637" s="25">
        <v>228900</v>
      </c>
      <c r="M637" s="2" t="s">
        <v>5933</v>
      </c>
      <c r="N637" s="2"/>
      <c r="O637" s="2" t="s">
        <v>6232</v>
      </c>
      <c r="P637" s="2"/>
      <c r="Q637" s="12" t="s">
        <v>6232</v>
      </c>
      <c r="V637" t="s">
        <v>6232</v>
      </c>
      <c r="W637" t="s">
        <v>6232</v>
      </c>
      <c r="X637" t="s">
        <v>6232</v>
      </c>
    </row>
    <row r="638" spans="1:24" ht="18.399999999999999" hidden="1" customHeight="1">
      <c r="A638" s="11" t="s">
        <v>4283</v>
      </c>
      <c r="B638" s="2" t="s">
        <v>2438</v>
      </c>
      <c r="C638" s="2" t="s">
        <v>689</v>
      </c>
      <c r="D638" s="2" t="s">
        <v>1606</v>
      </c>
      <c r="E638" s="25">
        <v>276600</v>
      </c>
      <c r="F638" s="2"/>
      <c r="G638" s="2" t="s">
        <v>6232</v>
      </c>
      <c r="H638" s="2"/>
      <c r="I638" s="2" t="s">
        <v>6232</v>
      </c>
      <c r="J638" s="2"/>
      <c r="K638" s="2" t="s">
        <v>6232</v>
      </c>
      <c r="L638" s="25">
        <v>276600</v>
      </c>
      <c r="M638" s="2" t="s">
        <v>5933</v>
      </c>
      <c r="N638" s="2"/>
      <c r="O638" s="2" t="s">
        <v>6232</v>
      </c>
      <c r="P638" s="2"/>
      <c r="Q638" s="12" t="s">
        <v>6232</v>
      </c>
      <c r="V638" t="s">
        <v>6232</v>
      </c>
      <c r="W638" t="s">
        <v>6232</v>
      </c>
      <c r="X638" t="s">
        <v>6232</v>
      </c>
    </row>
    <row r="639" spans="1:24" ht="18.399999999999999" hidden="1" customHeight="1">
      <c r="A639" s="11" t="s">
        <v>1489</v>
      </c>
      <c r="B639" s="2" t="s">
        <v>2438</v>
      </c>
      <c r="C639" s="2" t="s">
        <v>564</v>
      </c>
      <c r="D639" s="2" t="s">
        <v>1606</v>
      </c>
      <c r="E639" s="25">
        <v>319500</v>
      </c>
      <c r="F639" s="2"/>
      <c r="G639" s="2" t="s">
        <v>6232</v>
      </c>
      <c r="H639" s="2"/>
      <c r="I639" s="2" t="s">
        <v>6232</v>
      </c>
      <c r="J639" s="2"/>
      <c r="K639" s="2" t="s">
        <v>6232</v>
      </c>
      <c r="L639" s="25">
        <v>319500</v>
      </c>
      <c r="M639" s="2" t="s">
        <v>5933</v>
      </c>
      <c r="N639" s="2"/>
      <c r="O639" s="2" t="s">
        <v>6232</v>
      </c>
      <c r="P639" s="2"/>
      <c r="Q639" s="12" t="s">
        <v>6232</v>
      </c>
      <c r="V639" t="s">
        <v>6232</v>
      </c>
      <c r="W639" t="s">
        <v>6232</v>
      </c>
      <c r="X639" t="s">
        <v>6232</v>
      </c>
    </row>
    <row r="640" spans="1:24" ht="18.399999999999999" hidden="1" customHeight="1">
      <c r="A640" s="11" t="s">
        <v>9</v>
      </c>
      <c r="B640" s="2" t="s">
        <v>2438</v>
      </c>
      <c r="C640" s="2" t="s">
        <v>1476</v>
      </c>
      <c r="D640" s="2" t="s">
        <v>1606</v>
      </c>
      <c r="E640" s="25">
        <v>275300</v>
      </c>
      <c r="F640" s="2"/>
      <c r="G640" s="2" t="s">
        <v>6232</v>
      </c>
      <c r="H640" s="2"/>
      <c r="I640" s="2" t="s">
        <v>6232</v>
      </c>
      <c r="J640" s="2"/>
      <c r="K640" s="2" t="s">
        <v>6232</v>
      </c>
      <c r="L640" s="25">
        <v>275300</v>
      </c>
      <c r="M640" s="2" t="s">
        <v>5933</v>
      </c>
      <c r="N640" s="2"/>
      <c r="O640" s="2" t="s">
        <v>6232</v>
      </c>
      <c r="P640" s="2"/>
      <c r="Q640" s="12" t="s">
        <v>6232</v>
      </c>
      <c r="V640" t="s">
        <v>6232</v>
      </c>
      <c r="W640" t="s">
        <v>6232</v>
      </c>
      <c r="X640" t="s">
        <v>6232</v>
      </c>
    </row>
    <row r="641" spans="1:24" ht="18.399999999999999" hidden="1" customHeight="1">
      <c r="A641" s="11" t="s">
        <v>3135</v>
      </c>
      <c r="B641" s="2" t="s">
        <v>2438</v>
      </c>
      <c r="C641" s="2" t="s">
        <v>1982</v>
      </c>
      <c r="D641" s="2" t="s">
        <v>1606</v>
      </c>
      <c r="E641" s="25">
        <v>328800</v>
      </c>
      <c r="F641" s="2"/>
      <c r="G641" s="2" t="s">
        <v>6232</v>
      </c>
      <c r="H641" s="2"/>
      <c r="I641" s="2" t="s">
        <v>6232</v>
      </c>
      <c r="J641" s="2"/>
      <c r="K641" s="2" t="s">
        <v>6232</v>
      </c>
      <c r="L641" s="25">
        <v>328800</v>
      </c>
      <c r="M641" s="2" t="s">
        <v>5933</v>
      </c>
      <c r="N641" s="2"/>
      <c r="O641" s="2" t="s">
        <v>6232</v>
      </c>
      <c r="P641" s="2"/>
      <c r="Q641" s="12" t="s">
        <v>6232</v>
      </c>
      <c r="V641" t="s">
        <v>6232</v>
      </c>
      <c r="W641" t="s">
        <v>6232</v>
      </c>
      <c r="X641" t="s">
        <v>6232</v>
      </c>
    </row>
    <row r="642" spans="1:24" ht="18.399999999999999" hidden="1" customHeight="1">
      <c r="A642" s="11" t="s">
        <v>270</v>
      </c>
      <c r="B642" s="2" t="s">
        <v>2438</v>
      </c>
      <c r="C642" s="2" t="s">
        <v>2158</v>
      </c>
      <c r="D642" s="2" t="s">
        <v>1606</v>
      </c>
      <c r="E642" s="25">
        <v>380700</v>
      </c>
      <c r="F642" s="2"/>
      <c r="G642" s="2" t="s">
        <v>6232</v>
      </c>
      <c r="H642" s="2"/>
      <c r="I642" s="2" t="s">
        <v>6232</v>
      </c>
      <c r="J642" s="2"/>
      <c r="K642" s="2" t="s">
        <v>6232</v>
      </c>
      <c r="L642" s="25">
        <v>380700</v>
      </c>
      <c r="M642" s="2" t="s">
        <v>5933</v>
      </c>
      <c r="N642" s="2"/>
      <c r="O642" s="2" t="s">
        <v>6232</v>
      </c>
      <c r="P642" s="2"/>
      <c r="Q642" s="12" t="s">
        <v>6232</v>
      </c>
      <c r="V642" t="s">
        <v>6232</v>
      </c>
      <c r="W642" t="s">
        <v>6232</v>
      </c>
      <c r="X642" t="s">
        <v>6232</v>
      </c>
    </row>
    <row r="643" spans="1:24" ht="18.399999999999999" hidden="1" customHeight="1">
      <c r="A643" s="11" t="s">
        <v>3136</v>
      </c>
      <c r="B643" s="2" t="s">
        <v>2438</v>
      </c>
      <c r="C643" s="2" t="s">
        <v>1827</v>
      </c>
      <c r="D643" s="2" t="s">
        <v>1606</v>
      </c>
      <c r="E643" s="25">
        <v>288400</v>
      </c>
      <c r="F643" s="2"/>
      <c r="G643" s="2" t="s">
        <v>6232</v>
      </c>
      <c r="H643" s="2"/>
      <c r="I643" s="2" t="s">
        <v>6232</v>
      </c>
      <c r="J643" s="2"/>
      <c r="K643" s="2" t="s">
        <v>6232</v>
      </c>
      <c r="L643" s="25">
        <v>288400</v>
      </c>
      <c r="M643" s="2" t="s">
        <v>5933</v>
      </c>
      <c r="N643" s="2"/>
      <c r="O643" s="2" t="s">
        <v>6232</v>
      </c>
      <c r="P643" s="2"/>
      <c r="Q643" s="12" t="s">
        <v>6232</v>
      </c>
      <c r="V643" t="s">
        <v>6232</v>
      </c>
      <c r="W643" t="s">
        <v>6232</v>
      </c>
      <c r="X643" t="s">
        <v>6232</v>
      </c>
    </row>
    <row r="644" spans="1:24" ht="18.399999999999999" hidden="1" customHeight="1">
      <c r="A644" s="11" t="s">
        <v>10</v>
      </c>
      <c r="B644" s="2" t="s">
        <v>2438</v>
      </c>
      <c r="C644" s="2" t="s">
        <v>806</v>
      </c>
      <c r="D644" s="2" t="s">
        <v>1606</v>
      </c>
      <c r="E644" s="25">
        <v>350900</v>
      </c>
      <c r="F644" s="2"/>
      <c r="G644" s="2" t="s">
        <v>6232</v>
      </c>
      <c r="H644" s="2"/>
      <c r="I644" s="2" t="s">
        <v>6232</v>
      </c>
      <c r="J644" s="2"/>
      <c r="K644" s="2" t="s">
        <v>6232</v>
      </c>
      <c r="L644" s="25">
        <v>350900</v>
      </c>
      <c r="M644" s="2" t="s">
        <v>5933</v>
      </c>
      <c r="N644" s="2"/>
      <c r="O644" s="2" t="s">
        <v>6232</v>
      </c>
      <c r="P644" s="2"/>
      <c r="Q644" s="12" t="s">
        <v>6232</v>
      </c>
      <c r="V644" t="s">
        <v>6232</v>
      </c>
      <c r="W644" t="s">
        <v>6232</v>
      </c>
      <c r="X644" t="s">
        <v>6232</v>
      </c>
    </row>
    <row r="645" spans="1:24" ht="18.399999999999999" hidden="1" customHeight="1">
      <c r="A645" s="11" t="s">
        <v>3431</v>
      </c>
      <c r="B645" s="2" t="s">
        <v>2438</v>
      </c>
      <c r="C645" s="2" t="s">
        <v>981</v>
      </c>
      <c r="D645" s="2" t="s">
        <v>1606</v>
      </c>
      <c r="E645" s="25">
        <v>405800</v>
      </c>
      <c r="F645" s="2"/>
      <c r="G645" s="2" t="s">
        <v>6232</v>
      </c>
      <c r="H645" s="2"/>
      <c r="I645" s="2" t="s">
        <v>6232</v>
      </c>
      <c r="J645" s="2"/>
      <c r="K645" s="2" t="s">
        <v>6232</v>
      </c>
      <c r="L645" s="25">
        <v>405800</v>
      </c>
      <c r="M645" s="2" t="s">
        <v>5933</v>
      </c>
      <c r="N645" s="2"/>
      <c r="O645" s="2" t="s">
        <v>6232</v>
      </c>
      <c r="P645" s="2"/>
      <c r="Q645" s="12" t="s">
        <v>6232</v>
      </c>
      <c r="V645" t="s">
        <v>6232</v>
      </c>
      <c r="W645" t="s">
        <v>6232</v>
      </c>
      <c r="X645" t="s">
        <v>6232</v>
      </c>
    </row>
    <row r="646" spans="1:24" ht="18.399999999999999" hidden="1" customHeight="1">
      <c r="A646" s="11" t="s">
        <v>4284</v>
      </c>
      <c r="B646" s="2" t="s">
        <v>2438</v>
      </c>
      <c r="C646" s="2" t="s">
        <v>83</v>
      </c>
      <c r="D646" s="2" t="s">
        <v>1606</v>
      </c>
      <c r="E646" s="25">
        <v>316600</v>
      </c>
      <c r="F646" s="2"/>
      <c r="G646" s="2" t="s">
        <v>6232</v>
      </c>
      <c r="H646" s="2"/>
      <c r="I646" s="2" t="s">
        <v>6232</v>
      </c>
      <c r="J646" s="2"/>
      <c r="K646" s="2" t="s">
        <v>6232</v>
      </c>
      <c r="L646" s="25">
        <v>316600</v>
      </c>
      <c r="M646" s="2" t="s">
        <v>5933</v>
      </c>
      <c r="N646" s="2"/>
      <c r="O646" s="2" t="s">
        <v>6232</v>
      </c>
      <c r="P646" s="2"/>
      <c r="Q646" s="12" t="s">
        <v>6232</v>
      </c>
      <c r="V646" t="s">
        <v>6232</v>
      </c>
      <c r="W646" t="s">
        <v>6232</v>
      </c>
      <c r="X646" t="s">
        <v>6232</v>
      </c>
    </row>
    <row r="647" spans="1:24" ht="18.399999999999999" hidden="1" customHeight="1">
      <c r="A647" s="11" t="s">
        <v>1204</v>
      </c>
      <c r="B647" s="2" t="s">
        <v>2438</v>
      </c>
      <c r="C647" s="2" t="s">
        <v>2650</v>
      </c>
      <c r="D647" s="2" t="s">
        <v>1606</v>
      </c>
      <c r="E647" s="25">
        <v>374600</v>
      </c>
      <c r="F647" s="2"/>
      <c r="G647" s="2" t="s">
        <v>6232</v>
      </c>
      <c r="H647" s="2"/>
      <c r="I647" s="2" t="s">
        <v>6232</v>
      </c>
      <c r="J647" s="2"/>
      <c r="K647" s="2" t="s">
        <v>6232</v>
      </c>
      <c r="L647" s="25">
        <v>374600</v>
      </c>
      <c r="M647" s="2" t="s">
        <v>5933</v>
      </c>
      <c r="N647" s="2"/>
      <c r="O647" s="2" t="s">
        <v>6232</v>
      </c>
      <c r="P647" s="2"/>
      <c r="Q647" s="12" t="s">
        <v>6232</v>
      </c>
      <c r="V647" t="s">
        <v>6232</v>
      </c>
      <c r="W647" t="s">
        <v>6232</v>
      </c>
      <c r="X647" t="s">
        <v>6232</v>
      </c>
    </row>
    <row r="648" spans="1:24" ht="18.399999999999999" hidden="1" customHeight="1">
      <c r="A648" s="11" t="s">
        <v>4559</v>
      </c>
      <c r="B648" s="2" t="s">
        <v>2438</v>
      </c>
      <c r="C648" s="2" t="s">
        <v>2507</v>
      </c>
      <c r="D648" s="2" t="s">
        <v>1606</v>
      </c>
      <c r="E648" s="25">
        <v>439000</v>
      </c>
      <c r="F648" s="2"/>
      <c r="G648" s="2" t="s">
        <v>6232</v>
      </c>
      <c r="H648" s="2"/>
      <c r="I648" s="2" t="s">
        <v>6232</v>
      </c>
      <c r="J648" s="2"/>
      <c r="K648" s="2" t="s">
        <v>6232</v>
      </c>
      <c r="L648" s="25">
        <v>439000</v>
      </c>
      <c r="M648" s="2" t="s">
        <v>5933</v>
      </c>
      <c r="N648" s="2"/>
      <c r="O648" s="2" t="s">
        <v>6232</v>
      </c>
      <c r="P648" s="2"/>
      <c r="Q648" s="12" t="s">
        <v>6232</v>
      </c>
      <c r="V648" t="s">
        <v>6232</v>
      </c>
      <c r="W648" t="s">
        <v>6232</v>
      </c>
      <c r="X648" t="s">
        <v>6232</v>
      </c>
    </row>
    <row r="649" spans="1:24" ht="18.399999999999999" hidden="1" customHeight="1">
      <c r="A649" s="11" t="s">
        <v>3525</v>
      </c>
      <c r="B649" s="2" t="s">
        <v>2438</v>
      </c>
      <c r="C649" s="2" t="s">
        <v>1284</v>
      </c>
      <c r="D649" s="2" t="s">
        <v>1606</v>
      </c>
      <c r="E649" s="25">
        <v>338400</v>
      </c>
      <c r="F649" s="2"/>
      <c r="G649" s="2" t="s">
        <v>6232</v>
      </c>
      <c r="H649" s="2"/>
      <c r="I649" s="2" t="s">
        <v>6232</v>
      </c>
      <c r="J649" s="2"/>
      <c r="K649" s="2" t="s">
        <v>6232</v>
      </c>
      <c r="L649" s="25">
        <v>338400</v>
      </c>
      <c r="M649" s="2" t="s">
        <v>5933</v>
      </c>
      <c r="N649" s="2"/>
      <c r="O649" s="2" t="s">
        <v>6232</v>
      </c>
      <c r="P649" s="2"/>
      <c r="Q649" s="12" t="s">
        <v>6232</v>
      </c>
      <c r="V649" t="s">
        <v>6232</v>
      </c>
      <c r="W649" t="s">
        <v>6232</v>
      </c>
      <c r="X649" t="s">
        <v>6232</v>
      </c>
    </row>
    <row r="650" spans="1:24" ht="18.399999999999999" hidden="1" customHeight="1">
      <c r="A650" s="11" t="s">
        <v>373</v>
      </c>
      <c r="B650" s="2" t="s">
        <v>2438</v>
      </c>
      <c r="C650" s="2" t="s">
        <v>2203</v>
      </c>
      <c r="D650" s="2" t="s">
        <v>1606</v>
      </c>
      <c r="E650" s="25">
        <v>411100</v>
      </c>
      <c r="F650" s="2"/>
      <c r="G650" s="2" t="s">
        <v>6232</v>
      </c>
      <c r="H650" s="2"/>
      <c r="I650" s="2" t="s">
        <v>6232</v>
      </c>
      <c r="J650" s="2"/>
      <c r="K650" s="2" t="s">
        <v>6232</v>
      </c>
      <c r="L650" s="25">
        <v>411100</v>
      </c>
      <c r="M650" s="2" t="s">
        <v>5933</v>
      </c>
      <c r="N650" s="2"/>
      <c r="O650" s="2" t="s">
        <v>6232</v>
      </c>
      <c r="P650" s="2"/>
      <c r="Q650" s="12" t="s">
        <v>6232</v>
      </c>
      <c r="V650" t="s">
        <v>6232</v>
      </c>
      <c r="W650" t="s">
        <v>6232</v>
      </c>
      <c r="X650" t="s">
        <v>6232</v>
      </c>
    </row>
    <row r="651" spans="1:24" ht="18.399999999999999" hidden="1" customHeight="1">
      <c r="A651" s="11" t="s">
        <v>3832</v>
      </c>
      <c r="B651" s="2" t="s">
        <v>2438</v>
      </c>
      <c r="C651" s="2" t="s">
        <v>1952</v>
      </c>
      <c r="D651" s="2" t="s">
        <v>1606</v>
      </c>
      <c r="E651" s="25">
        <v>470800</v>
      </c>
      <c r="F651" s="2"/>
      <c r="G651" s="2" t="s">
        <v>6232</v>
      </c>
      <c r="H651" s="2"/>
      <c r="I651" s="2" t="s">
        <v>6232</v>
      </c>
      <c r="J651" s="2"/>
      <c r="K651" s="2" t="s">
        <v>6232</v>
      </c>
      <c r="L651" s="25">
        <v>470800</v>
      </c>
      <c r="M651" s="2" t="s">
        <v>5933</v>
      </c>
      <c r="N651" s="2"/>
      <c r="O651" s="2" t="s">
        <v>6232</v>
      </c>
      <c r="P651" s="2"/>
      <c r="Q651" s="12" t="s">
        <v>6232</v>
      </c>
      <c r="V651" t="s">
        <v>6232</v>
      </c>
      <c r="W651" t="s">
        <v>6232</v>
      </c>
      <c r="X651" t="s">
        <v>6232</v>
      </c>
    </row>
    <row r="652" spans="1:24" ht="18.399999999999999" hidden="1" customHeight="1">
      <c r="A652" s="11" t="s">
        <v>3883</v>
      </c>
      <c r="B652" s="2" t="s">
        <v>2438</v>
      </c>
      <c r="C652" s="2" t="s">
        <v>2943</v>
      </c>
      <c r="D652" s="2" t="s">
        <v>1606</v>
      </c>
      <c r="E652" s="25">
        <v>369700</v>
      </c>
      <c r="F652" s="2"/>
      <c r="G652" s="2" t="s">
        <v>6232</v>
      </c>
      <c r="H652" s="2"/>
      <c r="I652" s="2" t="s">
        <v>6232</v>
      </c>
      <c r="J652" s="2"/>
      <c r="K652" s="2" t="s">
        <v>6232</v>
      </c>
      <c r="L652" s="25">
        <v>369700</v>
      </c>
      <c r="M652" s="2" t="s">
        <v>5933</v>
      </c>
      <c r="N652" s="2"/>
      <c r="O652" s="2" t="s">
        <v>6232</v>
      </c>
      <c r="P652" s="2"/>
      <c r="Q652" s="12" t="s">
        <v>6232</v>
      </c>
      <c r="V652" t="s">
        <v>6232</v>
      </c>
      <c r="W652" t="s">
        <v>6232</v>
      </c>
      <c r="X652" t="s">
        <v>6232</v>
      </c>
    </row>
    <row r="653" spans="1:24" ht="18.399999999999999" hidden="1" customHeight="1">
      <c r="A653" s="11" t="s">
        <v>813</v>
      </c>
      <c r="B653" s="2" t="s">
        <v>2438</v>
      </c>
      <c r="C653" s="2" t="s">
        <v>478</v>
      </c>
      <c r="D653" s="2" t="s">
        <v>1606</v>
      </c>
      <c r="E653" s="25">
        <v>440900</v>
      </c>
      <c r="F653" s="2"/>
      <c r="G653" s="2" t="s">
        <v>6232</v>
      </c>
      <c r="H653" s="2"/>
      <c r="I653" s="2" t="s">
        <v>6232</v>
      </c>
      <c r="J653" s="2"/>
      <c r="K653" s="2" t="s">
        <v>6232</v>
      </c>
      <c r="L653" s="25">
        <v>440900</v>
      </c>
      <c r="M653" s="2" t="s">
        <v>5933</v>
      </c>
      <c r="N653" s="2"/>
      <c r="O653" s="2" t="s">
        <v>6232</v>
      </c>
      <c r="P653" s="2"/>
      <c r="Q653" s="12" t="s">
        <v>6232</v>
      </c>
      <c r="V653" t="s">
        <v>6232</v>
      </c>
      <c r="W653" t="s">
        <v>6232</v>
      </c>
      <c r="X653" t="s">
        <v>6232</v>
      </c>
    </row>
    <row r="654" spans="1:24" ht="18.399999999999999" hidden="1" customHeight="1">
      <c r="A654" s="11" t="s">
        <v>4192</v>
      </c>
      <c r="B654" s="2" t="s">
        <v>2438</v>
      </c>
      <c r="C654" s="2" t="s">
        <v>743</v>
      </c>
      <c r="D654" s="2" t="s">
        <v>1606</v>
      </c>
      <c r="E654" s="25">
        <v>509800</v>
      </c>
      <c r="F654" s="2"/>
      <c r="G654" s="2" t="s">
        <v>6232</v>
      </c>
      <c r="H654" s="2"/>
      <c r="I654" s="2" t="s">
        <v>6232</v>
      </c>
      <c r="J654" s="2"/>
      <c r="K654" s="2" t="s">
        <v>6232</v>
      </c>
      <c r="L654" s="25">
        <v>509800</v>
      </c>
      <c r="M654" s="2" t="s">
        <v>5933</v>
      </c>
      <c r="N654" s="2"/>
      <c r="O654" s="2" t="s">
        <v>6232</v>
      </c>
      <c r="P654" s="2"/>
      <c r="Q654" s="12" t="s">
        <v>6232</v>
      </c>
      <c r="V654" t="s">
        <v>6232</v>
      </c>
      <c r="W654" t="s">
        <v>6232</v>
      </c>
      <c r="X654" t="s">
        <v>6232</v>
      </c>
    </row>
    <row r="655" spans="1:24" ht="18.399999999999999" hidden="1" customHeight="1">
      <c r="A655" s="11" t="s">
        <v>836</v>
      </c>
      <c r="B655" s="2" t="s">
        <v>2438</v>
      </c>
      <c r="C655" s="2" t="s">
        <v>259</v>
      </c>
      <c r="D655" s="2" t="s">
        <v>1606</v>
      </c>
      <c r="E655" s="25">
        <v>454800</v>
      </c>
      <c r="F655" s="2"/>
      <c r="G655" s="2" t="s">
        <v>6232</v>
      </c>
      <c r="H655" s="2"/>
      <c r="I655" s="2" t="s">
        <v>6232</v>
      </c>
      <c r="J655" s="2"/>
      <c r="K655" s="2" t="s">
        <v>6232</v>
      </c>
      <c r="L655" s="25">
        <v>454800</v>
      </c>
      <c r="M655" s="2" t="s">
        <v>5933</v>
      </c>
      <c r="N655" s="2"/>
      <c r="O655" s="2" t="s">
        <v>6232</v>
      </c>
      <c r="P655" s="2"/>
      <c r="Q655" s="12" t="s">
        <v>6232</v>
      </c>
      <c r="V655" t="s">
        <v>6232</v>
      </c>
      <c r="W655" t="s">
        <v>6232</v>
      </c>
      <c r="X655" t="s">
        <v>6232</v>
      </c>
    </row>
    <row r="656" spans="1:24" ht="18.399999999999999" hidden="1" customHeight="1">
      <c r="A656" s="11" t="s">
        <v>3884</v>
      </c>
      <c r="B656" s="2" t="s">
        <v>2438</v>
      </c>
      <c r="C656" s="2" t="s">
        <v>2464</v>
      </c>
      <c r="D656" s="2" t="s">
        <v>1606</v>
      </c>
      <c r="E656" s="25">
        <v>541700</v>
      </c>
      <c r="F656" s="2"/>
      <c r="G656" s="2" t="s">
        <v>6232</v>
      </c>
      <c r="H656" s="2"/>
      <c r="I656" s="2" t="s">
        <v>6232</v>
      </c>
      <c r="J656" s="2"/>
      <c r="K656" s="2" t="s">
        <v>6232</v>
      </c>
      <c r="L656" s="25">
        <v>541700</v>
      </c>
      <c r="M656" s="2" t="s">
        <v>5933</v>
      </c>
      <c r="N656" s="2"/>
      <c r="O656" s="2" t="s">
        <v>6232</v>
      </c>
      <c r="P656" s="2"/>
      <c r="Q656" s="12" t="s">
        <v>6232</v>
      </c>
      <c r="V656" t="s">
        <v>6232</v>
      </c>
      <c r="W656" t="s">
        <v>6232</v>
      </c>
      <c r="X656" t="s">
        <v>6232</v>
      </c>
    </row>
    <row r="657" spans="1:24" ht="18.399999999999999" hidden="1" customHeight="1">
      <c r="A657" s="11" t="s">
        <v>1091</v>
      </c>
      <c r="B657" s="2" t="s">
        <v>2438</v>
      </c>
      <c r="C657" s="2" t="s">
        <v>2691</v>
      </c>
      <c r="D657" s="2" t="s">
        <v>1606</v>
      </c>
      <c r="E657" s="25">
        <v>633700</v>
      </c>
      <c r="F657" s="2"/>
      <c r="G657" s="2" t="s">
        <v>6232</v>
      </c>
      <c r="H657" s="2"/>
      <c r="I657" s="2" t="s">
        <v>6232</v>
      </c>
      <c r="J657" s="2"/>
      <c r="K657" s="2" t="s">
        <v>6232</v>
      </c>
      <c r="L657" s="25">
        <v>633700</v>
      </c>
      <c r="M657" s="2" t="s">
        <v>5933</v>
      </c>
      <c r="N657" s="2"/>
      <c r="O657" s="2" t="s">
        <v>6232</v>
      </c>
      <c r="P657" s="2"/>
      <c r="Q657" s="12" t="s">
        <v>6232</v>
      </c>
      <c r="V657" t="s">
        <v>6232</v>
      </c>
      <c r="W657" t="s">
        <v>6232</v>
      </c>
      <c r="X657" t="s">
        <v>6232</v>
      </c>
    </row>
    <row r="658" spans="1:24" ht="18.399999999999999" hidden="1" customHeight="1">
      <c r="A658" s="11" t="s">
        <v>374</v>
      </c>
      <c r="B658" s="2" t="s">
        <v>2438</v>
      </c>
      <c r="C658" s="2" t="s">
        <v>1632</v>
      </c>
      <c r="D658" s="2" t="s">
        <v>1606</v>
      </c>
      <c r="E658" s="25">
        <v>457800</v>
      </c>
      <c r="F658" s="2"/>
      <c r="G658" s="2" t="s">
        <v>6232</v>
      </c>
      <c r="H658" s="2"/>
      <c r="I658" s="2" t="s">
        <v>6232</v>
      </c>
      <c r="J658" s="2"/>
      <c r="K658" s="2" t="s">
        <v>6232</v>
      </c>
      <c r="L658" s="25">
        <v>457800</v>
      </c>
      <c r="M658" s="2" t="s">
        <v>5933</v>
      </c>
      <c r="N658" s="2"/>
      <c r="O658" s="2" t="s">
        <v>6232</v>
      </c>
      <c r="P658" s="2"/>
      <c r="Q658" s="12" t="s">
        <v>6232</v>
      </c>
      <c r="V658" t="s">
        <v>6232</v>
      </c>
      <c r="W658" t="s">
        <v>6232</v>
      </c>
      <c r="X658" t="s">
        <v>6232</v>
      </c>
    </row>
    <row r="659" spans="1:24" ht="18.399999999999999" hidden="1" customHeight="1">
      <c r="A659" s="11" t="s">
        <v>3526</v>
      </c>
      <c r="B659" s="2" t="s">
        <v>2438</v>
      </c>
      <c r="C659" s="2" t="s">
        <v>1022</v>
      </c>
      <c r="D659" s="2" t="s">
        <v>1606</v>
      </c>
      <c r="E659" s="25">
        <v>544500</v>
      </c>
      <c r="F659" s="2"/>
      <c r="G659" s="2" t="s">
        <v>6232</v>
      </c>
      <c r="H659" s="2"/>
      <c r="I659" s="2" t="s">
        <v>6232</v>
      </c>
      <c r="J659" s="2"/>
      <c r="K659" s="2" t="s">
        <v>6232</v>
      </c>
      <c r="L659" s="25">
        <v>544500</v>
      </c>
      <c r="M659" s="2" t="s">
        <v>5933</v>
      </c>
      <c r="N659" s="2"/>
      <c r="O659" s="2" t="s">
        <v>6232</v>
      </c>
      <c r="P659" s="2"/>
      <c r="Q659" s="12" t="s">
        <v>6232</v>
      </c>
      <c r="V659" t="s">
        <v>6232</v>
      </c>
      <c r="W659" t="s">
        <v>6232</v>
      </c>
      <c r="X659" t="s">
        <v>6232</v>
      </c>
    </row>
    <row r="660" spans="1:24" ht="18.399999999999999" hidden="1" customHeight="1">
      <c r="A660" s="11" t="s">
        <v>681</v>
      </c>
      <c r="B660" s="2" t="s">
        <v>2438</v>
      </c>
      <c r="C660" s="2" t="s">
        <v>776</v>
      </c>
      <c r="D660" s="2" t="s">
        <v>1606</v>
      </c>
      <c r="E660" s="25">
        <v>635900</v>
      </c>
      <c r="F660" s="2"/>
      <c r="G660" s="2" t="s">
        <v>6232</v>
      </c>
      <c r="H660" s="2"/>
      <c r="I660" s="2" t="s">
        <v>6232</v>
      </c>
      <c r="J660" s="2"/>
      <c r="K660" s="2" t="s">
        <v>6232</v>
      </c>
      <c r="L660" s="25">
        <v>635900</v>
      </c>
      <c r="M660" s="2" t="s">
        <v>5933</v>
      </c>
      <c r="N660" s="2"/>
      <c r="O660" s="2" t="s">
        <v>6232</v>
      </c>
      <c r="P660" s="2"/>
      <c r="Q660" s="12" t="s">
        <v>6232</v>
      </c>
      <c r="V660" t="s">
        <v>6232</v>
      </c>
      <c r="W660" t="s">
        <v>6232</v>
      </c>
      <c r="X660" t="s">
        <v>6232</v>
      </c>
    </row>
    <row r="661" spans="1:24" ht="18.399999999999999" hidden="1" customHeight="1">
      <c r="A661" s="11" t="s">
        <v>5881</v>
      </c>
      <c r="B661" s="2" t="s">
        <v>2438</v>
      </c>
      <c r="C661" s="2" t="s">
        <v>199</v>
      </c>
      <c r="D661" s="2" t="s">
        <v>1606</v>
      </c>
      <c r="E661" s="25">
        <v>532000</v>
      </c>
      <c r="F661" s="2"/>
      <c r="G661" s="2" t="s">
        <v>6232</v>
      </c>
      <c r="H661" s="2"/>
      <c r="I661" s="2" t="s">
        <v>6232</v>
      </c>
      <c r="J661" s="2"/>
      <c r="K661" s="2" t="s">
        <v>6232</v>
      </c>
      <c r="L661" s="25">
        <v>532000</v>
      </c>
      <c r="M661" s="2" t="s">
        <v>5933</v>
      </c>
      <c r="N661" s="2"/>
      <c r="O661" s="2" t="s">
        <v>6232</v>
      </c>
      <c r="P661" s="2"/>
      <c r="Q661" s="12" t="s">
        <v>6232</v>
      </c>
      <c r="V661" t="s">
        <v>6232</v>
      </c>
      <c r="W661" t="s">
        <v>6232</v>
      </c>
      <c r="X661" t="s">
        <v>6232</v>
      </c>
    </row>
    <row r="662" spans="1:24" ht="18.399999999999999" hidden="1" customHeight="1">
      <c r="A662" s="11" t="s">
        <v>2706</v>
      </c>
      <c r="B662" s="2" t="s">
        <v>2438</v>
      </c>
      <c r="C662" s="2" t="s">
        <v>2485</v>
      </c>
      <c r="D662" s="2" t="s">
        <v>1606</v>
      </c>
      <c r="E662" s="25">
        <v>553500</v>
      </c>
      <c r="F662" s="2"/>
      <c r="G662" s="2" t="s">
        <v>6232</v>
      </c>
      <c r="H662" s="2"/>
      <c r="I662" s="2" t="s">
        <v>6232</v>
      </c>
      <c r="J662" s="2"/>
      <c r="K662" s="2" t="s">
        <v>6232</v>
      </c>
      <c r="L662" s="25">
        <v>553500</v>
      </c>
      <c r="M662" s="2" t="s">
        <v>5933</v>
      </c>
      <c r="N662" s="2"/>
      <c r="O662" s="2" t="s">
        <v>6232</v>
      </c>
      <c r="P662" s="2"/>
      <c r="Q662" s="12" t="s">
        <v>6232</v>
      </c>
      <c r="V662" t="s">
        <v>6232</v>
      </c>
      <c r="W662" t="s">
        <v>6232</v>
      </c>
      <c r="X662" t="s">
        <v>6232</v>
      </c>
    </row>
    <row r="663" spans="1:24" ht="18.399999999999999" hidden="1" customHeight="1">
      <c r="A663" s="11" t="s">
        <v>6196</v>
      </c>
      <c r="B663" s="2" t="s">
        <v>2438</v>
      </c>
      <c r="C663" s="2" t="s">
        <v>2632</v>
      </c>
      <c r="D663" s="2" t="s">
        <v>1606</v>
      </c>
      <c r="E663" s="25">
        <v>693900</v>
      </c>
      <c r="F663" s="2"/>
      <c r="G663" s="2" t="s">
        <v>6232</v>
      </c>
      <c r="H663" s="2"/>
      <c r="I663" s="2" t="s">
        <v>6232</v>
      </c>
      <c r="J663" s="2"/>
      <c r="K663" s="2" t="s">
        <v>6232</v>
      </c>
      <c r="L663" s="25">
        <v>693900</v>
      </c>
      <c r="M663" s="2" t="s">
        <v>5933</v>
      </c>
      <c r="N663" s="2"/>
      <c r="O663" s="2" t="s">
        <v>6232</v>
      </c>
      <c r="P663" s="2"/>
      <c r="Q663" s="12" t="s">
        <v>6232</v>
      </c>
      <c r="V663" t="s">
        <v>6232</v>
      </c>
      <c r="W663" t="s">
        <v>6232</v>
      </c>
      <c r="X663" t="s">
        <v>6232</v>
      </c>
    </row>
    <row r="664" spans="1:24" ht="18.399999999999999" hidden="1" customHeight="1">
      <c r="A664" s="11" t="s">
        <v>4655</v>
      </c>
      <c r="B664" s="2" t="s">
        <v>2438</v>
      </c>
      <c r="C664" s="2" t="s">
        <v>1709</v>
      </c>
      <c r="D664" s="2" t="s">
        <v>1606</v>
      </c>
      <c r="E664" s="25">
        <v>551900</v>
      </c>
      <c r="F664" s="2"/>
      <c r="G664" s="2" t="s">
        <v>6232</v>
      </c>
      <c r="H664" s="2"/>
      <c r="I664" s="2" t="s">
        <v>6232</v>
      </c>
      <c r="J664" s="2"/>
      <c r="K664" s="2" t="s">
        <v>6232</v>
      </c>
      <c r="L664" s="25">
        <v>551900</v>
      </c>
      <c r="M664" s="2" t="s">
        <v>5933</v>
      </c>
      <c r="N664" s="2"/>
      <c r="O664" s="2" t="s">
        <v>6232</v>
      </c>
      <c r="P664" s="2"/>
      <c r="Q664" s="12" t="s">
        <v>6232</v>
      </c>
      <c r="V664" t="s">
        <v>6232</v>
      </c>
      <c r="W664" t="s">
        <v>6232</v>
      </c>
      <c r="X664" t="s">
        <v>6232</v>
      </c>
    </row>
    <row r="665" spans="1:24" ht="18.399999999999999" hidden="1" customHeight="1">
      <c r="A665" s="11" t="s">
        <v>1576</v>
      </c>
      <c r="B665" s="2" t="s">
        <v>2438</v>
      </c>
      <c r="C665" s="2" t="s">
        <v>997</v>
      </c>
      <c r="D665" s="2" t="s">
        <v>1606</v>
      </c>
      <c r="E665" s="25">
        <v>671600</v>
      </c>
      <c r="F665" s="2"/>
      <c r="G665" s="2" t="s">
        <v>6232</v>
      </c>
      <c r="H665" s="2"/>
      <c r="I665" s="2" t="s">
        <v>6232</v>
      </c>
      <c r="J665" s="2"/>
      <c r="K665" s="2" t="s">
        <v>6232</v>
      </c>
      <c r="L665" s="25">
        <v>671600</v>
      </c>
      <c r="M665" s="2" t="s">
        <v>5933</v>
      </c>
      <c r="N665" s="2"/>
      <c r="O665" s="2" t="s">
        <v>6232</v>
      </c>
      <c r="P665" s="2"/>
      <c r="Q665" s="12" t="s">
        <v>6232</v>
      </c>
      <c r="V665" t="s">
        <v>6232</v>
      </c>
      <c r="W665" t="s">
        <v>6232</v>
      </c>
      <c r="X665" t="s">
        <v>6232</v>
      </c>
    </row>
    <row r="666" spans="1:24" ht="18.399999999999999" hidden="1" customHeight="1">
      <c r="A666" s="11" t="s">
        <v>4945</v>
      </c>
      <c r="B666" s="2" t="s">
        <v>2438</v>
      </c>
      <c r="C666" s="2" t="s">
        <v>841</v>
      </c>
      <c r="D666" s="2" t="s">
        <v>1606</v>
      </c>
      <c r="E666" s="25">
        <v>775700</v>
      </c>
      <c r="F666" s="2"/>
      <c r="G666" s="2" t="s">
        <v>6232</v>
      </c>
      <c r="H666" s="2"/>
      <c r="I666" s="2" t="s">
        <v>6232</v>
      </c>
      <c r="J666" s="2"/>
      <c r="K666" s="2" t="s">
        <v>6232</v>
      </c>
      <c r="L666" s="25">
        <v>775700</v>
      </c>
      <c r="M666" s="2" t="s">
        <v>5933</v>
      </c>
      <c r="N666" s="2"/>
      <c r="O666" s="2" t="s">
        <v>6232</v>
      </c>
      <c r="P666" s="2"/>
      <c r="Q666" s="12" t="s">
        <v>6232</v>
      </c>
      <c r="V666" t="s">
        <v>6232</v>
      </c>
      <c r="W666" t="s">
        <v>6232</v>
      </c>
      <c r="X666" t="s">
        <v>6232</v>
      </c>
    </row>
    <row r="667" spans="1:24" ht="18.399999999999999" hidden="1" customHeight="1">
      <c r="A667" s="11" t="s">
        <v>1577</v>
      </c>
      <c r="B667" s="2" t="s">
        <v>2438</v>
      </c>
      <c r="C667" s="2" t="s">
        <v>1305</v>
      </c>
      <c r="D667" s="2" t="s">
        <v>1606</v>
      </c>
      <c r="E667" s="25">
        <v>599200</v>
      </c>
      <c r="F667" s="2"/>
      <c r="G667" s="2" t="s">
        <v>6232</v>
      </c>
      <c r="H667" s="2"/>
      <c r="I667" s="2" t="s">
        <v>6232</v>
      </c>
      <c r="J667" s="2"/>
      <c r="K667" s="2" t="s">
        <v>6232</v>
      </c>
      <c r="L667" s="25">
        <v>599200</v>
      </c>
      <c r="M667" s="2" t="s">
        <v>5933</v>
      </c>
      <c r="N667" s="2"/>
      <c r="O667" s="2" t="s">
        <v>6232</v>
      </c>
      <c r="P667" s="2"/>
      <c r="Q667" s="12" t="s">
        <v>6232</v>
      </c>
      <c r="V667" t="s">
        <v>6232</v>
      </c>
      <c r="W667" t="s">
        <v>6232</v>
      </c>
      <c r="X667" t="s">
        <v>6232</v>
      </c>
    </row>
    <row r="668" spans="1:24" ht="18.399999999999999" hidden="1" customHeight="1">
      <c r="A668" s="11" t="s">
        <v>4656</v>
      </c>
      <c r="B668" s="2" t="s">
        <v>2438</v>
      </c>
      <c r="C668" s="2" t="s">
        <v>2136</v>
      </c>
      <c r="D668" s="2" t="s">
        <v>1606</v>
      </c>
      <c r="E668" s="25">
        <v>721200</v>
      </c>
      <c r="F668" s="2"/>
      <c r="G668" s="2" t="s">
        <v>6232</v>
      </c>
      <c r="H668" s="2"/>
      <c r="I668" s="2" t="s">
        <v>6232</v>
      </c>
      <c r="J668" s="2"/>
      <c r="K668" s="2" t="s">
        <v>6232</v>
      </c>
      <c r="L668" s="25">
        <v>721200</v>
      </c>
      <c r="M668" s="2" t="s">
        <v>5933</v>
      </c>
      <c r="N668" s="2"/>
      <c r="O668" s="2" t="s">
        <v>6232</v>
      </c>
      <c r="P668" s="2"/>
      <c r="Q668" s="12" t="s">
        <v>6232</v>
      </c>
      <c r="V668" t="s">
        <v>6232</v>
      </c>
      <c r="W668" t="s">
        <v>6232</v>
      </c>
      <c r="X668" t="s">
        <v>6232</v>
      </c>
    </row>
    <row r="669" spans="1:24" ht="18.399999999999999" hidden="1" customHeight="1">
      <c r="A669" s="11" t="s">
        <v>1868</v>
      </c>
      <c r="B669" s="2" t="s">
        <v>2438</v>
      </c>
      <c r="C669" s="2" t="s">
        <v>1974</v>
      </c>
      <c r="D669" s="2" t="s">
        <v>1606</v>
      </c>
      <c r="E669" s="25">
        <v>838200</v>
      </c>
      <c r="F669" s="2"/>
      <c r="G669" s="2" t="s">
        <v>6232</v>
      </c>
      <c r="H669" s="2"/>
      <c r="I669" s="2" t="s">
        <v>6232</v>
      </c>
      <c r="J669" s="2"/>
      <c r="K669" s="2" t="s">
        <v>6232</v>
      </c>
      <c r="L669" s="25">
        <v>838200</v>
      </c>
      <c r="M669" s="2" t="s">
        <v>5933</v>
      </c>
      <c r="N669" s="2"/>
      <c r="O669" s="2" t="s">
        <v>6232</v>
      </c>
      <c r="P669" s="2"/>
      <c r="Q669" s="12" t="s">
        <v>6232</v>
      </c>
      <c r="V669" t="s">
        <v>6232</v>
      </c>
      <c r="W669" t="s">
        <v>6232</v>
      </c>
      <c r="X669" t="s">
        <v>6232</v>
      </c>
    </row>
    <row r="670" spans="1:24" ht="18.399999999999999" hidden="1" customHeight="1">
      <c r="A670" s="11" t="s">
        <v>2707</v>
      </c>
      <c r="B670" s="2" t="s">
        <v>2438</v>
      </c>
      <c r="C670" s="2" t="s">
        <v>2926</v>
      </c>
      <c r="D670" s="2" t="s">
        <v>1606</v>
      </c>
      <c r="E670" s="25">
        <v>620000</v>
      </c>
      <c r="F670" s="2"/>
      <c r="G670" s="2" t="s">
        <v>6232</v>
      </c>
      <c r="H670" s="2"/>
      <c r="I670" s="2" t="s">
        <v>6232</v>
      </c>
      <c r="J670" s="2"/>
      <c r="K670" s="2" t="s">
        <v>6232</v>
      </c>
      <c r="L670" s="25">
        <v>620000</v>
      </c>
      <c r="M670" s="2" t="s">
        <v>5933</v>
      </c>
      <c r="N670" s="2"/>
      <c r="O670" s="2" t="s">
        <v>6232</v>
      </c>
      <c r="P670" s="2"/>
      <c r="Q670" s="12" t="s">
        <v>6232</v>
      </c>
      <c r="V670" t="s">
        <v>6232</v>
      </c>
      <c r="W670" t="s">
        <v>6232</v>
      </c>
      <c r="X670" t="s">
        <v>6232</v>
      </c>
    </row>
    <row r="671" spans="1:24" ht="18.399999999999999" hidden="1" customHeight="1">
      <c r="A671" s="11" t="s">
        <v>5882</v>
      </c>
      <c r="B671" s="2" t="s">
        <v>2438</v>
      </c>
      <c r="C671" s="2" t="s">
        <v>583</v>
      </c>
      <c r="D671" s="2" t="s">
        <v>1606</v>
      </c>
      <c r="E671" s="25">
        <v>740200</v>
      </c>
      <c r="F671" s="2"/>
      <c r="G671" s="2" t="s">
        <v>6232</v>
      </c>
      <c r="H671" s="2"/>
      <c r="I671" s="2" t="s">
        <v>6232</v>
      </c>
      <c r="J671" s="2"/>
      <c r="K671" s="2" t="s">
        <v>6232</v>
      </c>
      <c r="L671" s="25">
        <v>740200</v>
      </c>
      <c r="M671" s="2" t="s">
        <v>5933</v>
      </c>
      <c r="N671" s="2"/>
      <c r="O671" s="2" t="s">
        <v>6232</v>
      </c>
      <c r="P671" s="2"/>
      <c r="Q671" s="12" t="s">
        <v>6232</v>
      </c>
      <c r="V671" t="s">
        <v>6232</v>
      </c>
      <c r="W671" t="s">
        <v>6232</v>
      </c>
      <c r="X671" t="s">
        <v>6232</v>
      </c>
    </row>
    <row r="672" spans="1:24" ht="18.399999999999999" hidden="1" customHeight="1">
      <c r="A672" s="11" t="s">
        <v>2978</v>
      </c>
      <c r="B672" s="2" t="s">
        <v>2438</v>
      </c>
      <c r="C672" s="2" t="s">
        <v>719</v>
      </c>
      <c r="D672" s="2" t="s">
        <v>1606</v>
      </c>
      <c r="E672" s="25">
        <v>862400</v>
      </c>
      <c r="F672" s="2"/>
      <c r="G672" s="2" t="s">
        <v>6232</v>
      </c>
      <c r="H672" s="2"/>
      <c r="I672" s="2" t="s">
        <v>6232</v>
      </c>
      <c r="J672" s="2"/>
      <c r="K672" s="2" t="s">
        <v>6232</v>
      </c>
      <c r="L672" s="25">
        <v>862400</v>
      </c>
      <c r="M672" s="2" t="s">
        <v>5933</v>
      </c>
      <c r="N672" s="2"/>
      <c r="O672" s="2" t="s">
        <v>6232</v>
      </c>
      <c r="P672" s="2"/>
      <c r="Q672" s="12" t="s">
        <v>6232</v>
      </c>
      <c r="V672" t="s">
        <v>6232</v>
      </c>
      <c r="W672" t="s">
        <v>6232</v>
      </c>
      <c r="X672" t="s">
        <v>6232</v>
      </c>
    </row>
    <row r="673" spans="1:24" ht="18.399999999999999" hidden="1" customHeight="1">
      <c r="A673" s="11" t="s">
        <v>3948</v>
      </c>
      <c r="B673" s="2" t="s">
        <v>1879</v>
      </c>
      <c r="C673" s="2" t="s">
        <v>2902</v>
      </c>
      <c r="D673" s="2" t="s">
        <v>1606</v>
      </c>
      <c r="E673" s="25">
        <v>86300</v>
      </c>
      <c r="F673" s="2"/>
      <c r="G673" s="2" t="s">
        <v>6232</v>
      </c>
      <c r="H673" s="2"/>
      <c r="I673" s="2" t="s">
        <v>6232</v>
      </c>
      <c r="J673" s="2"/>
      <c r="K673" s="2" t="s">
        <v>6232</v>
      </c>
      <c r="L673" s="25">
        <v>86300</v>
      </c>
      <c r="M673" s="2" t="s">
        <v>1331</v>
      </c>
      <c r="N673" s="2"/>
      <c r="O673" s="2" t="s">
        <v>6232</v>
      </c>
      <c r="P673" s="2"/>
      <c r="Q673" s="12" t="s">
        <v>6232</v>
      </c>
      <c r="V673" t="s">
        <v>6232</v>
      </c>
      <c r="W673" t="s">
        <v>6232</v>
      </c>
      <c r="X673" t="s">
        <v>6232</v>
      </c>
    </row>
    <row r="674" spans="1:24" ht="18.399999999999999" hidden="1" customHeight="1">
      <c r="A674" s="11" t="s">
        <v>4178</v>
      </c>
      <c r="B674" s="2" t="s">
        <v>1879</v>
      </c>
      <c r="C674" s="2" t="s">
        <v>1348</v>
      </c>
      <c r="D674" s="2" t="s">
        <v>1606</v>
      </c>
      <c r="E674" s="25">
        <v>101700</v>
      </c>
      <c r="F674" s="2"/>
      <c r="G674" s="2" t="s">
        <v>6232</v>
      </c>
      <c r="H674" s="2"/>
      <c r="I674" s="2" t="s">
        <v>6232</v>
      </c>
      <c r="J674" s="2"/>
      <c r="K674" s="2" t="s">
        <v>6232</v>
      </c>
      <c r="L674" s="25">
        <v>101700</v>
      </c>
      <c r="M674" s="2" t="s">
        <v>1331</v>
      </c>
      <c r="N674" s="2"/>
      <c r="O674" s="2" t="s">
        <v>6232</v>
      </c>
      <c r="P674" s="2"/>
      <c r="Q674" s="12" t="s">
        <v>6232</v>
      </c>
      <c r="V674" t="s">
        <v>6232</v>
      </c>
      <c r="W674" t="s">
        <v>6232</v>
      </c>
      <c r="X674" t="s">
        <v>6232</v>
      </c>
    </row>
    <row r="675" spans="1:24" ht="18.399999999999999" hidden="1" customHeight="1">
      <c r="A675" s="11" t="s">
        <v>5705</v>
      </c>
      <c r="B675" s="2" t="s">
        <v>1879</v>
      </c>
      <c r="C675" s="2" t="s">
        <v>2412</v>
      </c>
      <c r="D675" s="2" t="s">
        <v>1606</v>
      </c>
      <c r="E675" s="25">
        <v>111300</v>
      </c>
      <c r="F675" s="2"/>
      <c r="G675" s="2" t="s">
        <v>6232</v>
      </c>
      <c r="H675" s="2"/>
      <c r="I675" s="2" t="s">
        <v>6232</v>
      </c>
      <c r="J675" s="2"/>
      <c r="K675" s="2" t="s">
        <v>6232</v>
      </c>
      <c r="L675" s="25">
        <v>111300</v>
      </c>
      <c r="M675" s="2" t="s">
        <v>1331</v>
      </c>
      <c r="N675" s="2"/>
      <c r="O675" s="2" t="s">
        <v>6232</v>
      </c>
      <c r="P675" s="2"/>
      <c r="Q675" s="12" t="s">
        <v>6232</v>
      </c>
      <c r="V675" t="s">
        <v>6232</v>
      </c>
      <c r="W675" t="s">
        <v>6232</v>
      </c>
      <c r="X675" t="s">
        <v>6232</v>
      </c>
    </row>
    <row r="676" spans="1:24" ht="18.399999999999999" hidden="1" customHeight="1">
      <c r="A676" s="11" t="s">
        <v>4066</v>
      </c>
      <c r="B676" s="2" t="s">
        <v>1879</v>
      </c>
      <c r="C676" s="2" t="s">
        <v>3074</v>
      </c>
      <c r="D676" s="2" t="s">
        <v>1606</v>
      </c>
      <c r="E676" s="25">
        <v>129600</v>
      </c>
      <c r="F676" s="2"/>
      <c r="G676" s="2" t="s">
        <v>6232</v>
      </c>
      <c r="H676" s="2"/>
      <c r="I676" s="2" t="s">
        <v>6232</v>
      </c>
      <c r="J676" s="2"/>
      <c r="K676" s="2" t="s">
        <v>6232</v>
      </c>
      <c r="L676" s="25">
        <v>129600</v>
      </c>
      <c r="M676" s="2" t="s">
        <v>1331</v>
      </c>
      <c r="N676" s="2"/>
      <c r="O676" s="2" t="s">
        <v>6232</v>
      </c>
      <c r="P676" s="2"/>
      <c r="Q676" s="12" t="s">
        <v>6232</v>
      </c>
      <c r="V676" t="s">
        <v>6232</v>
      </c>
      <c r="W676" t="s">
        <v>6232</v>
      </c>
      <c r="X676" t="s">
        <v>6232</v>
      </c>
    </row>
    <row r="677" spans="1:24" ht="18.399999999999999" hidden="1" customHeight="1">
      <c r="A677" s="11" t="s">
        <v>4082</v>
      </c>
      <c r="B677" s="2" t="s">
        <v>1879</v>
      </c>
      <c r="C677" s="2" t="s">
        <v>1165</v>
      </c>
      <c r="D677" s="2" t="s">
        <v>1606</v>
      </c>
      <c r="E677" s="25">
        <v>137500</v>
      </c>
      <c r="F677" s="2"/>
      <c r="G677" s="2" t="s">
        <v>6232</v>
      </c>
      <c r="H677" s="2"/>
      <c r="I677" s="2" t="s">
        <v>6232</v>
      </c>
      <c r="J677" s="2"/>
      <c r="K677" s="2" t="s">
        <v>6232</v>
      </c>
      <c r="L677" s="25">
        <v>137500</v>
      </c>
      <c r="M677" s="2" t="s">
        <v>1331</v>
      </c>
      <c r="N677" s="2"/>
      <c r="O677" s="2" t="s">
        <v>6232</v>
      </c>
      <c r="P677" s="2"/>
      <c r="Q677" s="12" t="s">
        <v>6232</v>
      </c>
      <c r="V677" t="s">
        <v>6232</v>
      </c>
      <c r="W677" t="s">
        <v>6232</v>
      </c>
      <c r="X677" t="s">
        <v>6232</v>
      </c>
    </row>
    <row r="678" spans="1:24" ht="18.399999999999999" hidden="1" customHeight="1">
      <c r="A678" s="11" t="s">
        <v>3718</v>
      </c>
      <c r="B678" s="2" t="s">
        <v>1879</v>
      </c>
      <c r="C678" s="2" t="s">
        <v>1570</v>
      </c>
      <c r="D678" s="2" t="s">
        <v>1606</v>
      </c>
      <c r="E678" s="25">
        <v>154500</v>
      </c>
      <c r="F678" s="2"/>
      <c r="G678" s="2" t="s">
        <v>6232</v>
      </c>
      <c r="H678" s="2"/>
      <c r="I678" s="2" t="s">
        <v>6232</v>
      </c>
      <c r="J678" s="2"/>
      <c r="K678" s="2" t="s">
        <v>6232</v>
      </c>
      <c r="L678" s="25">
        <v>154500</v>
      </c>
      <c r="M678" s="2" t="s">
        <v>1331</v>
      </c>
      <c r="N678" s="2"/>
      <c r="O678" s="2" t="s">
        <v>6232</v>
      </c>
      <c r="P678" s="2"/>
      <c r="Q678" s="12" t="s">
        <v>6232</v>
      </c>
      <c r="V678" t="s">
        <v>6232</v>
      </c>
      <c r="W678" t="s">
        <v>6232</v>
      </c>
      <c r="X678" t="s">
        <v>6232</v>
      </c>
    </row>
    <row r="679" spans="1:24" ht="18.399999999999999" hidden="1" customHeight="1">
      <c r="A679" s="11" t="s">
        <v>3636</v>
      </c>
      <c r="B679" s="2" t="s">
        <v>1879</v>
      </c>
      <c r="C679" s="2" t="s">
        <v>2531</v>
      </c>
      <c r="D679" s="2" t="s">
        <v>1606</v>
      </c>
      <c r="E679" s="25">
        <v>178600</v>
      </c>
      <c r="F679" s="2"/>
      <c r="G679" s="2" t="s">
        <v>6232</v>
      </c>
      <c r="H679" s="2"/>
      <c r="I679" s="2" t="s">
        <v>6232</v>
      </c>
      <c r="J679" s="2"/>
      <c r="K679" s="2" t="s">
        <v>6232</v>
      </c>
      <c r="L679" s="25">
        <v>178600</v>
      </c>
      <c r="M679" s="2" t="s">
        <v>1331</v>
      </c>
      <c r="N679" s="2"/>
      <c r="O679" s="2" t="s">
        <v>6232</v>
      </c>
      <c r="P679" s="2"/>
      <c r="Q679" s="12" t="s">
        <v>6232</v>
      </c>
      <c r="V679" t="s">
        <v>6232</v>
      </c>
      <c r="W679" t="s">
        <v>6232</v>
      </c>
      <c r="X679" t="s">
        <v>6232</v>
      </c>
    </row>
    <row r="680" spans="1:24" ht="18.399999999999999" hidden="1" customHeight="1">
      <c r="A680" s="11" t="s">
        <v>5383</v>
      </c>
      <c r="B680" s="2" t="s">
        <v>1879</v>
      </c>
      <c r="C680" s="2" t="s">
        <v>4124</v>
      </c>
      <c r="D680" s="2" t="s">
        <v>1606</v>
      </c>
      <c r="E680" s="25">
        <v>192500</v>
      </c>
      <c r="F680" s="2"/>
      <c r="G680" s="2" t="s">
        <v>6232</v>
      </c>
      <c r="H680" s="2"/>
      <c r="I680" s="2" t="s">
        <v>6232</v>
      </c>
      <c r="J680" s="2"/>
      <c r="K680" s="2" t="s">
        <v>6232</v>
      </c>
      <c r="L680" s="25">
        <v>192500</v>
      </c>
      <c r="M680" s="2" t="s">
        <v>1331</v>
      </c>
      <c r="N680" s="2"/>
      <c r="O680" s="2" t="s">
        <v>6232</v>
      </c>
      <c r="P680" s="2"/>
      <c r="Q680" s="12" t="s">
        <v>6232</v>
      </c>
      <c r="V680" t="s">
        <v>6232</v>
      </c>
      <c r="W680" t="s">
        <v>6232</v>
      </c>
      <c r="X680" t="s">
        <v>6232</v>
      </c>
    </row>
    <row r="681" spans="1:24" ht="18.399999999999999" hidden="1" customHeight="1">
      <c r="A681" s="11" t="s">
        <v>4691</v>
      </c>
      <c r="B681" s="2" t="s">
        <v>1879</v>
      </c>
      <c r="C681" s="2" t="s">
        <v>4184</v>
      </c>
      <c r="D681" s="2" t="s">
        <v>1606</v>
      </c>
      <c r="E681" s="25">
        <v>251000</v>
      </c>
      <c r="F681" s="2"/>
      <c r="G681" s="2" t="s">
        <v>6232</v>
      </c>
      <c r="H681" s="2"/>
      <c r="I681" s="2" t="s">
        <v>6232</v>
      </c>
      <c r="J681" s="2"/>
      <c r="K681" s="2" t="s">
        <v>6232</v>
      </c>
      <c r="L681" s="25">
        <v>251000</v>
      </c>
      <c r="M681" s="2" t="s">
        <v>1331</v>
      </c>
      <c r="N681" s="2"/>
      <c r="O681" s="2" t="s">
        <v>6232</v>
      </c>
      <c r="P681" s="2"/>
      <c r="Q681" s="12" t="s">
        <v>6232</v>
      </c>
      <c r="V681" t="s">
        <v>6232</v>
      </c>
      <c r="W681" t="s">
        <v>6232</v>
      </c>
      <c r="X681" t="s">
        <v>6232</v>
      </c>
    </row>
    <row r="682" spans="1:24" ht="18.399999999999999" hidden="1" customHeight="1">
      <c r="A682" s="11" t="s">
        <v>3200</v>
      </c>
      <c r="B682" s="2" t="s">
        <v>1879</v>
      </c>
      <c r="C682" s="2" t="s">
        <v>1695</v>
      </c>
      <c r="D682" s="2" t="s">
        <v>1606</v>
      </c>
      <c r="E682" s="25">
        <v>345500</v>
      </c>
      <c r="F682" s="2"/>
      <c r="G682" s="2" t="s">
        <v>6232</v>
      </c>
      <c r="H682" s="2"/>
      <c r="I682" s="2" t="s">
        <v>6232</v>
      </c>
      <c r="J682" s="2"/>
      <c r="K682" s="2" t="s">
        <v>6232</v>
      </c>
      <c r="L682" s="25">
        <v>345500</v>
      </c>
      <c r="M682" s="2" t="s">
        <v>1331</v>
      </c>
      <c r="N682" s="2"/>
      <c r="O682" s="2" t="s">
        <v>6232</v>
      </c>
      <c r="P682" s="2"/>
      <c r="Q682" s="12" t="s">
        <v>6232</v>
      </c>
      <c r="V682" t="s">
        <v>6232</v>
      </c>
      <c r="W682" t="s">
        <v>6232</v>
      </c>
      <c r="X682" t="s">
        <v>6232</v>
      </c>
    </row>
    <row r="683" spans="1:24" ht="18.399999999999999" hidden="1" customHeight="1">
      <c r="A683" s="11" t="s">
        <v>6002</v>
      </c>
      <c r="B683" s="2" t="s">
        <v>1879</v>
      </c>
      <c r="C683" s="2" t="s">
        <v>4869</v>
      </c>
      <c r="D683" s="2" t="s">
        <v>1606</v>
      </c>
      <c r="E683" s="25">
        <v>385000</v>
      </c>
      <c r="F683" s="2"/>
      <c r="G683" s="2" t="s">
        <v>6232</v>
      </c>
      <c r="H683" s="2"/>
      <c r="I683" s="2" t="s">
        <v>6232</v>
      </c>
      <c r="J683" s="2"/>
      <c r="K683" s="2" t="s">
        <v>6232</v>
      </c>
      <c r="L683" s="25">
        <v>385000</v>
      </c>
      <c r="M683" s="2" t="s">
        <v>1331</v>
      </c>
      <c r="N683" s="2"/>
      <c r="O683" s="2" t="s">
        <v>6232</v>
      </c>
      <c r="P683" s="2"/>
      <c r="Q683" s="12" t="s">
        <v>6232</v>
      </c>
      <c r="V683" t="s">
        <v>6232</v>
      </c>
      <c r="W683" t="s">
        <v>6232</v>
      </c>
      <c r="X683" t="s">
        <v>6232</v>
      </c>
    </row>
    <row r="684" spans="1:24" ht="18.399999999999999" hidden="1" customHeight="1">
      <c r="A684" s="11" t="s">
        <v>4363</v>
      </c>
      <c r="B684" s="2" t="s">
        <v>1879</v>
      </c>
      <c r="C684" s="2" t="s">
        <v>809</v>
      </c>
      <c r="D684" s="2" t="s">
        <v>1606</v>
      </c>
      <c r="E684" s="25">
        <v>417200</v>
      </c>
      <c r="F684" s="2"/>
      <c r="G684" s="2" t="s">
        <v>6232</v>
      </c>
      <c r="H684" s="2"/>
      <c r="I684" s="2" t="s">
        <v>6232</v>
      </c>
      <c r="J684" s="2"/>
      <c r="K684" s="2" t="s">
        <v>6232</v>
      </c>
      <c r="L684" s="25">
        <v>417200</v>
      </c>
      <c r="M684" s="2" t="s">
        <v>1331</v>
      </c>
      <c r="N684" s="2"/>
      <c r="O684" s="2" t="s">
        <v>6232</v>
      </c>
      <c r="P684" s="2"/>
      <c r="Q684" s="12" t="s">
        <v>6232</v>
      </c>
      <c r="V684" t="s">
        <v>6232</v>
      </c>
      <c r="W684" t="s">
        <v>6232</v>
      </c>
      <c r="X684" t="s">
        <v>6232</v>
      </c>
    </row>
    <row r="685" spans="1:24" ht="18.399999999999999" hidden="1" customHeight="1">
      <c r="A685" s="11" t="s">
        <v>2779</v>
      </c>
      <c r="B685" s="2" t="s">
        <v>1879</v>
      </c>
      <c r="C685" s="2" t="s">
        <v>2695</v>
      </c>
      <c r="D685" s="2" t="s">
        <v>1606</v>
      </c>
      <c r="E685" s="25">
        <v>497100</v>
      </c>
      <c r="F685" s="2"/>
      <c r="G685" s="2" t="s">
        <v>6232</v>
      </c>
      <c r="H685" s="2"/>
      <c r="I685" s="2" t="s">
        <v>6232</v>
      </c>
      <c r="J685" s="2"/>
      <c r="K685" s="2" t="s">
        <v>6232</v>
      </c>
      <c r="L685" s="25">
        <v>497100</v>
      </c>
      <c r="M685" s="2" t="s">
        <v>1331</v>
      </c>
      <c r="N685" s="2"/>
      <c r="O685" s="2" t="s">
        <v>6232</v>
      </c>
      <c r="P685" s="2"/>
      <c r="Q685" s="12" t="s">
        <v>6232</v>
      </c>
      <c r="V685" t="s">
        <v>6232</v>
      </c>
      <c r="W685" t="s">
        <v>6232</v>
      </c>
      <c r="X685" t="s">
        <v>6232</v>
      </c>
    </row>
    <row r="686" spans="1:24" ht="18.399999999999999" hidden="1" customHeight="1">
      <c r="A686" s="11" t="s">
        <v>1308</v>
      </c>
      <c r="B686" s="2" t="s">
        <v>1879</v>
      </c>
      <c r="C686" s="2" t="s">
        <v>3762</v>
      </c>
      <c r="D686" s="2" t="s">
        <v>1606</v>
      </c>
      <c r="E686" s="25">
        <v>547000</v>
      </c>
      <c r="F686" s="2"/>
      <c r="G686" s="2" t="s">
        <v>6232</v>
      </c>
      <c r="H686" s="2"/>
      <c r="I686" s="2" t="s">
        <v>6232</v>
      </c>
      <c r="J686" s="2"/>
      <c r="K686" s="2" t="s">
        <v>6232</v>
      </c>
      <c r="L686" s="25">
        <v>547000</v>
      </c>
      <c r="M686" s="2" t="s">
        <v>1331</v>
      </c>
      <c r="N686" s="2"/>
      <c r="O686" s="2" t="s">
        <v>6232</v>
      </c>
      <c r="P686" s="2"/>
      <c r="Q686" s="12" t="s">
        <v>6232</v>
      </c>
      <c r="V686" t="s">
        <v>6232</v>
      </c>
      <c r="W686" t="s">
        <v>6232</v>
      </c>
      <c r="X686" t="s">
        <v>6232</v>
      </c>
    </row>
    <row r="687" spans="1:24" ht="18.399999999999999" hidden="1" customHeight="1">
      <c r="A687" s="11" t="s">
        <v>5558</v>
      </c>
      <c r="B687" s="2" t="s">
        <v>1879</v>
      </c>
      <c r="C687" s="2" t="s">
        <v>412</v>
      </c>
      <c r="D687" s="2" t="s">
        <v>1606</v>
      </c>
      <c r="E687" s="25">
        <v>656500</v>
      </c>
      <c r="F687" s="2"/>
      <c r="G687" s="2" t="s">
        <v>6232</v>
      </c>
      <c r="H687" s="2"/>
      <c r="I687" s="2" t="s">
        <v>6232</v>
      </c>
      <c r="J687" s="2"/>
      <c r="K687" s="2" t="s">
        <v>6232</v>
      </c>
      <c r="L687" s="25">
        <v>656500</v>
      </c>
      <c r="M687" s="2" t="s">
        <v>1331</v>
      </c>
      <c r="N687" s="2"/>
      <c r="O687" s="2" t="s">
        <v>6232</v>
      </c>
      <c r="P687" s="2"/>
      <c r="Q687" s="12" t="s">
        <v>6232</v>
      </c>
      <c r="V687" t="s">
        <v>6232</v>
      </c>
      <c r="W687" t="s">
        <v>6232</v>
      </c>
      <c r="X687" t="s">
        <v>6232</v>
      </c>
    </row>
    <row r="688" spans="1:24" ht="18.399999999999999" hidden="1" customHeight="1">
      <c r="A688" s="11" t="s">
        <v>723</v>
      </c>
      <c r="B688" s="2" t="s">
        <v>1879</v>
      </c>
      <c r="C688" s="2" t="s">
        <v>6105</v>
      </c>
      <c r="D688" s="2" t="s">
        <v>1606</v>
      </c>
      <c r="E688" s="25">
        <v>774700</v>
      </c>
      <c r="F688" s="2"/>
      <c r="G688" s="2" t="s">
        <v>6232</v>
      </c>
      <c r="H688" s="2"/>
      <c r="I688" s="2" t="s">
        <v>6232</v>
      </c>
      <c r="J688" s="2"/>
      <c r="K688" s="2" t="s">
        <v>6232</v>
      </c>
      <c r="L688" s="25">
        <v>774700</v>
      </c>
      <c r="M688" s="2" t="s">
        <v>1331</v>
      </c>
      <c r="N688" s="2"/>
      <c r="O688" s="2" t="s">
        <v>6232</v>
      </c>
      <c r="P688" s="2"/>
      <c r="Q688" s="12" t="s">
        <v>6232</v>
      </c>
      <c r="V688" t="s">
        <v>6232</v>
      </c>
      <c r="W688" t="s">
        <v>6232</v>
      </c>
      <c r="X688" t="s">
        <v>6232</v>
      </c>
    </row>
    <row r="689" spans="1:24" ht="18.399999999999999" hidden="1" customHeight="1">
      <c r="A689" s="11" t="s">
        <v>2140</v>
      </c>
      <c r="B689" s="2" t="s">
        <v>1879</v>
      </c>
      <c r="C689" s="2" t="s">
        <v>369</v>
      </c>
      <c r="D689" s="2" t="s">
        <v>1606</v>
      </c>
      <c r="E689" s="25">
        <v>846500</v>
      </c>
      <c r="F689" s="2"/>
      <c r="G689" s="2" t="s">
        <v>6232</v>
      </c>
      <c r="H689" s="2"/>
      <c r="I689" s="2" t="s">
        <v>6232</v>
      </c>
      <c r="J689" s="2"/>
      <c r="K689" s="2" t="s">
        <v>6232</v>
      </c>
      <c r="L689" s="25">
        <v>846500</v>
      </c>
      <c r="M689" s="2" t="s">
        <v>1331</v>
      </c>
      <c r="N689" s="2"/>
      <c r="O689" s="2" t="s">
        <v>6232</v>
      </c>
      <c r="P689" s="2"/>
      <c r="Q689" s="12" t="s">
        <v>6232</v>
      </c>
      <c r="V689" t="s">
        <v>6232</v>
      </c>
      <c r="W689" t="s">
        <v>6232</v>
      </c>
      <c r="X689" t="s">
        <v>6232</v>
      </c>
    </row>
    <row r="690" spans="1:24" ht="18.399999999999999" hidden="1" customHeight="1">
      <c r="A690" s="11" t="s">
        <v>1024</v>
      </c>
      <c r="B690" s="2" t="s">
        <v>1879</v>
      </c>
      <c r="C690" s="2" t="s">
        <v>3821</v>
      </c>
      <c r="D690" s="2" t="s">
        <v>1606</v>
      </c>
      <c r="E690" s="25">
        <v>932900</v>
      </c>
      <c r="F690" s="2"/>
      <c r="G690" s="2" t="s">
        <v>6232</v>
      </c>
      <c r="H690" s="2"/>
      <c r="I690" s="2" t="s">
        <v>6232</v>
      </c>
      <c r="J690" s="2"/>
      <c r="K690" s="2" t="s">
        <v>6232</v>
      </c>
      <c r="L690" s="25">
        <v>932900</v>
      </c>
      <c r="M690" s="2" t="s">
        <v>1331</v>
      </c>
      <c r="N690" s="2"/>
      <c r="O690" s="2" t="s">
        <v>6232</v>
      </c>
      <c r="P690" s="2"/>
      <c r="Q690" s="12" t="s">
        <v>6232</v>
      </c>
      <c r="V690" t="s">
        <v>6232</v>
      </c>
      <c r="W690" t="s">
        <v>6232</v>
      </c>
      <c r="X690" t="s">
        <v>6232</v>
      </c>
    </row>
    <row r="691" spans="1:24" ht="18.399999999999999" hidden="1" customHeight="1">
      <c r="A691" s="11" t="s">
        <v>2693</v>
      </c>
      <c r="B691" s="2" t="s">
        <v>1879</v>
      </c>
      <c r="C691" s="2" t="s">
        <v>2812</v>
      </c>
      <c r="D691" s="2" t="s">
        <v>1606</v>
      </c>
      <c r="E691" s="25">
        <v>988000</v>
      </c>
      <c r="F691" s="2"/>
      <c r="G691" s="2" t="s">
        <v>6232</v>
      </c>
      <c r="H691" s="2"/>
      <c r="I691" s="2" t="s">
        <v>6232</v>
      </c>
      <c r="J691" s="2"/>
      <c r="K691" s="2" t="s">
        <v>6232</v>
      </c>
      <c r="L691" s="25">
        <v>988000</v>
      </c>
      <c r="M691" s="2" t="s">
        <v>1331</v>
      </c>
      <c r="N691" s="2"/>
      <c r="O691" s="2" t="s">
        <v>6232</v>
      </c>
      <c r="P691" s="2"/>
      <c r="Q691" s="12" t="s">
        <v>6232</v>
      </c>
      <c r="V691" t="s">
        <v>6232</v>
      </c>
      <c r="W691" t="s">
        <v>6232</v>
      </c>
      <c r="X691" t="s">
        <v>6232</v>
      </c>
    </row>
    <row r="692" spans="1:24" ht="18.399999999999999" hidden="1" customHeight="1">
      <c r="A692" s="11" t="s">
        <v>2487</v>
      </c>
      <c r="B692" s="2" t="s">
        <v>1589</v>
      </c>
      <c r="C692" s="2" t="s">
        <v>4184</v>
      </c>
      <c r="D692" s="2" t="s">
        <v>6141</v>
      </c>
      <c r="E692" s="25">
        <v>442000</v>
      </c>
      <c r="F692" s="2"/>
      <c r="G692" s="2" t="s">
        <v>6232</v>
      </c>
      <c r="H692" s="2"/>
      <c r="I692" s="2" t="s">
        <v>6232</v>
      </c>
      <c r="J692" s="2"/>
      <c r="K692" s="2" t="s">
        <v>6232</v>
      </c>
      <c r="L692" s="25">
        <v>442000</v>
      </c>
      <c r="M692" s="2" t="s">
        <v>2006</v>
      </c>
      <c r="N692" s="2"/>
      <c r="O692" s="2" t="s">
        <v>6232</v>
      </c>
      <c r="P692" s="2"/>
      <c r="Q692" s="12" t="s">
        <v>6232</v>
      </c>
      <c r="V692" t="s">
        <v>6232</v>
      </c>
      <c r="W692" t="s">
        <v>6232</v>
      </c>
      <c r="X692" t="s">
        <v>6232</v>
      </c>
    </row>
    <row r="693" spans="1:24" ht="18.399999999999999" hidden="1" customHeight="1">
      <c r="A693" s="11" t="s">
        <v>855</v>
      </c>
      <c r="B693" s="2" t="s">
        <v>1589</v>
      </c>
      <c r="C693" s="2" t="s">
        <v>1695</v>
      </c>
      <c r="D693" s="2" t="s">
        <v>6141</v>
      </c>
      <c r="E693" s="25">
        <v>459000</v>
      </c>
      <c r="F693" s="2"/>
      <c r="G693" s="2" t="s">
        <v>6232</v>
      </c>
      <c r="H693" s="2"/>
      <c r="I693" s="2" t="s">
        <v>6232</v>
      </c>
      <c r="J693" s="2"/>
      <c r="K693" s="2" t="s">
        <v>6232</v>
      </c>
      <c r="L693" s="25">
        <v>459000</v>
      </c>
      <c r="M693" s="2" t="s">
        <v>2006</v>
      </c>
      <c r="N693" s="2"/>
      <c r="O693" s="2" t="s">
        <v>6232</v>
      </c>
      <c r="P693" s="2"/>
      <c r="Q693" s="12" t="s">
        <v>6232</v>
      </c>
      <c r="V693" t="s">
        <v>6232</v>
      </c>
      <c r="W693" t="s">
        <v>6232</v>
      </c>
      <c r="X693" t="s">
        <v>6232</v>
      </c>
    </row>
    <row r="694" spans="1:24" ht="18.399999999999999" hidden="1" customHeight="1">
      <c r="A694" s="11" t="s">
        <v>1954</v>
      </c>
      <c r="B694" s="2" t="s">
        <v>1589</v>
      </c>
      <c r="C694" s="2" t="s">
        <v>4869</v>
      </c>
      <c r="D694" s="2" t="s">
        <v>6141</v>
      </c>
      <c r="E694" s="25">
        <v>509000</v>
      </c>
      <c r="F694" s="2"/>
      <c r="G694" s="2" t="s">
        <v>6232</v>
      </c>
      <c r="H694" s="2"/>
      <c r="I694" s="2" t="s">
        <v>6232</v>
      </c>
      <c r="J694" s="2"/>
      <c r="K694" s="2" t="s">
        <v>6232</v>
      </c>
      <c r="L694" s="25">
        <v>509000</v>
      </c>
      <c r="M694" s="2" t="s">
        <v>2006</v>
      </c>
      <c r="N694" s="2"/>
      <c r="O694" s="2" t="s">
        <v>6232</v>
      </c>
      <c r="P694" s="2"/>
      <c r="Q694" s="12" t="s">
        <v>6232</v>
      </c>
      <c r="V694" t="s">
        <v>6232</v>
      </c>
      <c r="W694" t="s">
        <v>6232</v>
      </c>
      <c r="X694" t="s">
        <v>6232</v>
      </c>
    </row>
    <row r="695" spans="1:24" ht="18.399999999999999" hidden="1" customHeight="1">
      <c r="A695" s="11" t="s">
        <v>480</v>
      </c>
      <c r="B695" s="2" t="s">
        <v>1589</v>
      </c>
      <c r="C695" s="2" t="s">
        <v>809</v>
      </c>
      <c r="D695" s="2" t="s">
        <v>6141</v>
      </c>
      <c r="E695" s="25">
        <v>554000</v>
      </c>
      <c r="F695" s="2"/>
      <c r="G695" s="2" t="s">
        <v>6232</v>
      </c>
      <c r="H695" s="2"/>
      <c r="I695" s="2" t="s">
        <v>6232</v>
      </c>
      <c r="J695" s="2"/>
      <c r="K695" s="2" t="s">
        <v>6232</v>
      </c>
      <c r="L695" s="25">
        <v>554000</v>
      </c>
      <c r="M695" s="2" t="s">
        <v>2006</v>
      </c>
      <c r="N695" s="2"/>
      <c r="O695" s="2" t="s">
        <v>6232</v>
      </c>
      <c r="P695" s="2"/>
      <c r="Q695" s="12" t="s">
        <v>6232</v>
      </c>
      <c r="V695" t="s">
        <v>6232</v>
      </c>
      <c r="W695" t="s">
        <v>6232</v>
      </c>
      <c r="X695" t="s">
        <v>6232</v>
      </c>
    </row>
    <row r="696" spans="1:24" ht="18.399999999999999" hidden="1" customHeight="1">
      <c r="A696" s="11" t="s">
        <v>5166</v>
      </c>
      <c r="B696" s="2" t="s">
        <v>1589</v>
      </c>
      <c r="C696" s="2" t="s">
        <v>2695</v>
      </c>
      <c r="D696" s="2" t="s">
        <v>6141</v>
      </c>
      <c r="E696" s="25">
        <v>626000</v>
      </c>
      <c r="F696" s="2"/>
      <c r="G696" s="2" t="s">
        <v>6232</v>
      </c>
      <c r="H696" s="2"/>
      <c r="I696" s="2" t="s">
        <v>6232</v>
      </c>
      <c r="J696" s="2"/>
      <c r="K696" s="2" t="s">
        <v>6232</v>
      </c>
      <c r="L696" s="25">
        <v>626000</v>
      </c>
      <c r="M696" s="2" t="s">
        <v>2006</v>
      </c>
      <c r="N696" s="2"/>
      <c r="O696" s="2" t="s">
        <v>6232</v>
      </c>
      <c r="P696" s="2"/>
      <c r="Q696" s="12" t="s">
        <v>6232</v>
      </c>
      <c r="V696" t="s">
        <v>6232</v>
      </c>
      <c r="W696" t="s">
        <v>6232</v>
      </c>
      <c r="X696" t="s">
        <v>6232</v>
      </c>
    </row>
    <row r="697" spans="1:24" ht="18.399999999999999" hidden="1" customHeight="1">
      <c r="A697" s="11" t="s">
        <v>3510</v>
      </c>
      <c r="B697" s="2" t="s">
        <v>1589</v>
      </c>
      <c r="C697" s="2" t="s">
        <v>3762</v>
      </c>
      <c r="D697" s="2" t="s">
        <v>6141</v>
      </c>
      <c r="E697" s="25">
        <v>672000</v>
      </c>
      <c r="F697" s="2"/>
      <c r="G697" s="2" t="s">
        <v>6232</v>
      </c>
      <c r="H697" s="2"/>
      <c r="I697" s="2" t="s">
        <v>6232</v>
      </c>
      <c r="J697" s="2"/>
      <c r="K697" s="2" t="s">
        <v>6232</v>
      </c>
      <c r="L697" s="25">
        <v>672000</v>
      </c>
      <c r="M697" s="2" t="s">
        <v>2006</v>
      </c>
      <c r="N697" s="2"/>
      <c r="O697" s="2" t="s">
        <v>6232</v>
      </c>
      <c r="P697" s="2"/>
      <c r="Q697" s="12" t="s">
        <v>6232</v>
      </c>
      <c r="V697" t="s">
        <v>6232</v>
      </c>
      <c r="W697" t="s">
        <v>6232</v>
      </c>
      <c r="X697" t="s">
        <v>6232</v>
      </c>
    </row>
    <row r="698" spans="1:24" ht="18.399999999999999" hidden="1" customHeight="1">
      <c r="A698" s="11" t="s">
        <v>5530</v>
      </c>
      <c r="B698" s="2" t="s">
        <v>1589</v>
      </c>
      <c r="C698" s="2" t="s">
        <v>512</v>
      </c>
      <c r="D698" s="2" t="s">
        <v>6141</v>
      </c>
      <c r="E698" s="25">
        <v>725000</v>
      </c>
      <c r="F698" s="2"/>
      <c r="G698" s="2" t="s">
        <v>6232</v>
      </c>
      <c r="H698" s="2"/>
      <c r="I698" s="2" t="s">
        <v>6232</v>
      </c>
      <c r="J698" s="2"/>
      <c r="K698" s="2" t="s">
        <v>6232</v>
      </c>
      <c r="L698" s="25">
        <v>725000</v>
      </c>
      <c r="M698" s="2" t="s">
        <v>2006</v>
      </c>
      <c r="N698" s="2"/>
      <c r="O698" s="2" t="s">
        <v>6232</v>
      </c>
      <c r="P698" s="2"/>
      <c r="Q698" s="12" t="s">
        <v>6232</v>
      </c>
      <c r="V698" t="s">
        <v>6232</v>
      </c>
      <c r="W698" t="s">
        <v>6232</v>
      </c>
      <c r="X698" t="s">
        <v>6232</v>
      </c>
    </row>
    <row r="699" spans="1:24" ht="18.399999999999999" hidden="1" customHeight="1">
      <c r="A699" s="11" t="s">
        <v>4067</v>
      </c>
      <c r="B699" s="2" t="s">
        <v>1589</v>
      </c>
      <c r="C699" s="2" t="s">
        <v>6186</v>
      </c>
      <c r="D699" s="2" t="s">
        <v>6141</v>
      </c>
      <c r="E699" s="25">
        <v>734000</v>
      </c>
      <c r="F699" s="2"/>
      <c r="G699" s="2" t="s">
        <v>6232</v>
      </c>
      <c r="H699" s="2"/>
      <c r="I699" s="2" t="s">
        <v>6232</v>
      </c>
      <c r="J699" s="2"/>
      <c r="K699" s="2" t="s">
        <v>6232</v>
      </c>
      <c r="L699" s="25">
        <v>734000</v>
      </c>
      <c r="M699" s="2" t="s">
        <v>2006</v>
      </c>
      <c r="N699" s="2"/>
      <c r="O699" s="2" t="s">
        <v>6232</v>
      </c>
      <c r="P699" s="2"/>
      <c r="Q699" s="12" t="s">
        <v>6232</v>
      </c>
      <c r="V699" t="s">
        <v>6232</v>
      </c>
      <c r="W699" t="s">
        <v>6232</v>
      </c>
      <c r="X699" t="s">
        <v>6232</v>
      </c>
    </row>
    <row r="700" spans="1:24" ht="18.399999999999999" hidden="1" customHeight="1">
      <c r="A700" s="11" t="s">
        <v>4513</v>
      </c>
      <c r="B700" s="2" t="s">
        <v>1589</v>
      </c>
      <c r="C700" s="2" t="s">
        <v>6105</v>
      </c>
      <c r="D700" s="2" t="s">
        <v>6141</v>
      </c>
      <c r="E700" s="25">
        <v>781000</v>
      </c>
      <c r="F700" s="2"/>
      <c r="G700" s="2" t="s">
        <v>6232</v>
      </c>
      <c r="H700" s="2"/>
      <c r="I700" s="2" t="s">
        <v>6232</v>
      </c>
      <c r="J700" s="2"/>
      <c r="K700" s="2" t="s">
        <v>6232</v>
      </c>
      <c r="L700" s="25">
        <v>781000</v>
      </c>
      <c r="M700" s="2" t="s">
        <v>2006</v>
      </c>
      <c r="N700" s="2"/>
      <c r="O700" s="2" t="s">
        <v>6232</v>
      </c>
      <c r="P700" s="2"/>
      <c r="Q700" s="12" t="s">
        <v>6232</v>
      </c>
      <c r="V700" t="s">
        <v>6232</v>
      </c>
      <c r="W700" t="s">
        <v>6232</v>
      </c>
      <c r="X700" t="s">
        <v>6232</v>
      </c>
    </row>
    <row r="701" spans="1:24" ht="18.399999999999999" hidden="1" customHeight="1">
      <c r="A701" s="11" t="s">
        <v>6229</v>
      </c>
      <c r="B701" s="2" t="s">
        <v>1589</v>
      </c>
      <c r="C701" s="2" t="s">
        <v>369</v>
      </c>
      <c r="D701" s="2" t="s">
        <v>6141</v>
      </c>
      <c r="E701" s="25">
        <v>872000</v>
      </c>
      <c r="F701" s="2"/>
      <c r="G701" s="2" t="s">
        <v>6232</v>
      </c>
      <c r="H701" s="2"/>
      <c r="I701" s="2" t="s">
        <v>6232</v>
      </c>
      <c r="J701" s="2"/>
      <c r="K701" s="2" t="s">
        <v>6232</v>
      </c>
      <c r="L701" s="25">
        <v>872000</v>
      </c>
      <c r="M701" s="2" t="s">
        <v>2006</v>
      </c>
      <c r="N701" s="2"/>
      <c r="O701" s="2" t="s">
        <v>6232</v>
      </c>
      <c r="P701" s="2"/>
      <c r="Q701" s="12" t="s">
        <v>6232</v>
      </c>
      <c r="V701" t="s">
        <v>6232</v>
      </c>
      <c r="W701" t="s">
        <v>6232</v>
      </c>
      <c r="X701" t="s">
        <v>6232</v>
      </c>
    </row>
    <row r="702" spans="1:24" ht="18.399999999999999" hidden="1" customHeight="1">
      <c r="A702" s="11" t="s">
        <v>3422</v>
      </c>
      <c r="B702" s="2" t="s">
        <v>1589</v>
      </c>
      <c r="C702" s="2" t="s">
        <v>3821</v>
      </c>
      <c r="D702" s="2" t="s">
        <v>6141</v>
      </c>
      <c r="E702" s="25">
        <v>921000</v>
      </c>
      <c r="F702" s="2"/>
      <c r="G702" s="2" t="s">
        <v>6232</v>
      </c>
      <c r="H702" s="2"/>
      <c r="I702" s="2" t="s">
        <v>6232</v>
      </c>
      <c r="J702" s="2"/>
      <c r="K702" s="2" t="s">
        <v>6232</v>
      </c>
      <c r="L702" s="25">
        <v>921000</v>
      </c>
      <c r="M702" s="2" t="s">
        <v>2006</v>
      </c>
      <c r="N702" s="2"/>
      <c r="O702" s="2" t="s">
        <v>6232</v>
      </c>
      <c r="P702" s="2"/>
      <c r="Q702" s="12" t="s">
        <v>6232</v>
      </c>
      <c r="V702" t="s">
        <v>6232</v>
      </c>
      <c r="W702" t="s">
        <v>6232</v>
      </c>
      <c r="X702" t="s">
        <v>6232</v>
      </c>
    </row>
    <row r="703" spans="1:24" ht="18.399999999999999" hidden="1" customHeight="1">
      <c r="A703" s="11" t="s">
        <v>4866</v>
      </c>
      <c r="B703" s="2" t="s">
        <v>1589</v>
      </c>
      <c r="C703" s="2" t="s">
        <v>2812</v>
      </c>
      <c r="D703" s="2" t="s">
        <v>6141</v>
      </c>
      <c r="E703" s="25">
        <v>978000</v>
      </c>
      <c r="F703" s="2"/>
      <c r="G703" s="2" t="s">
        <v>6232</v>
      </c>
      <c r="H703" s="2"/>
      <c r="I703" s="2" t="s">
        <v>6232</v>
      </c>
      <c r="J703" s="2"/>
      <c r="K703" s="2" t="s">
        <v>6232</v>
      </c>
      <c r="L703" s="25">
        <v>978000</v>
      </c>
      <c r="M703" s="2" t="s">
        <v>2006</v>
      </c>
      <c r="N703" s="2"/>
      <c r="O703" s="2" t="s">
        <v>6232</v>
      </c>
      <c r="P703" s="2"/>
      <c r="Q703" s="12" t="s">
        <v>6232</v>
      </c>
      <c r="V703" t="s">
        <v>6232</v>
      </c>
      <c r="W703" t="s">
        <v>6232</v>
      </c>
      <c r="X703" t="s">
        <v>6232</v>
      </c>
    </row>
    <row r="704" spans="1:24" ht="18.399999999999999" hidden="1" customHeight="1">
      <c r="A704" s="11" t="s">
        <v>6129</v>
      </c>
      <c r="B704" s="2" t="s">
        <v>3196</v>
      </c>
      <c r="C704" s="2" t="s">
        <v>4184</v>
      </c>
      <c r="D704" s="2" t="s">
        <v>6141</v>
      </c>
      <c r="E704" s="25">
        <v>173000</v>
      </c>
      <c r="F704" s="2"/>
      <c r="G704" s="2" t="s">
        <v>6232</v>
      </c>
      <c r="H704" s="2"/>
      <c r="I704" s="2" t="s">
        <v>6232</v>
      </c>
      <c r="J704" s="2"/>
      <c r="K704" s="2" t="s">
        <v>6232</v>
      </c>
      <c r="L704" s="25">
        <v>173000</v>
      </c>
      <c r="M704" s="2" t="s">
        <v>2006</v>
      </c>
      <c r="N704" s="2"/>
      <c r="O704" s="2" t="s">
        <v>6232</v>
      </c>
      <c r="P704" s="2"/>
      <c r="Q704" s="12" t="s">
        <v>6232</v>
      </c>
      <c r="V704" t="s">
        <v>6232</v>
      </c>
      <c r="W704" t="s">
        <v>6232</v>
      </c>
      <c r="X704" t="s">
        <v>6232</v>
      </c>
    </row>
    <row r="705" spans="1:24" ht="18.399999999999999" hidden="1" customHeight="1">
      <c r="A705" s="11" t="s">
        <v>4613</v>
      </c>
      <c r="B705" s="2" t="s">
        <v>3196</v>
      </c>
      <c r="C705" s="2" t="s">
        <v>1695</v>
      </c>
      <c r="D705" s="2" t="s">
        <v>6141</v>
      </c>
      <c r="E705" s="25">
        <v>199000</v>
      </c>
      <c r="F705" s="2"/>
      <c r="G705" s="2" t="s">
        <v>6232</v>
      </c>
      <c r="H705" s="2"/>
      <c r="I705" s="2" t="s">
        <v>6232</v>
      </c>
      <c r="J705" s="2"/>
      <c r="K705" s="2" t="s">
        <v>6232</v>
      </c>
      <c r="L705" s="25">
        <v>199000</v>
      </c>
      <c r="M705" s="2" t="s">
        <v>2006</v>
      </c>
      <c r="N705" s="2"/>
      <c r="O705" s="2" t="s">
        <v>6232</v>
      </c>
      <c r="P705" s="2"/>
      <c r="Q705" s="12" t="s">
        <v>6232</v>
      </c>
      <c r="V705" t="s">
        <v>6232</v>
      </c>
      <c r="W705" t="s">
        <v>6232</v>
      </c>
      <c r="X705" t="s">
        <v>6232</v>
      </c>
    </row>
    <row r="706" spans="1:24" ht="18.399999999999999" hidden="1" customHeight="1">
      <c r="A706" s="11" t="s">
        <v>4958</v>
      </c>
      <c r="B706" s="2" t="s">
        <v>3196</v>
      </c>
      <c r="C706" s="2" t="s">
        <v>4869</v>
      </c>
      <c r="D706" s="2" t="s">
        <v>6141</v>
      </c>
      <c r="E706" s="25">
        <v>216000</v>
      </c>
      <c r="F706" s="2"/>
      <c r="G706" s="2" t="s">
        <v>6232</v>
      </c>
      <c r="H706" s="2"/>
      <c r="I706" s="2" t="s">
        <v>6232</v>
      </c>
      <c r="J706" s="2"/>
      <c r="K706" s="2" t="s">
        <v>6232</v>
      </c>
      <c r="L706" s="25">
        <v>216000</v>
      </c>
      <c r="M706" s="2" t="s">
        <v>2006</v>
      </c>
      <c r="N706" s="2"/>
      <c r="O706" s="2" t="s">
        <v>6232</v>
      </c>
      <c r="P706" s="2"/>
      <c r="Q706" s="12" t="s">
        <v>6232</v>
      </c>
      <c r="V706" t="s">
        <v>6232</v>
      </c>
      <c r="W706" t="s">
        <v>6232</v>
      </c>
      <c r="X706" t="s">
        <v>6232</v>
      </c>
    </row>
    <row r="707" spans="1:24" ht="18.399999999999999" hidden="1" customHeight="1">
      <c r="A707" s="11" t="s">
        <v>3334</v>
      </c>
      <c r="B707" s="2" t="s">
        <v>3196</v>
      </c>
      <c r="C707" s="2" t="s">
        <v>809</v>
      </c>
      <c r="D707" s="2" t="s">
        <v>6141</v>
      </c>
      <c r="E707" s="25">
        <v>235000</v>
      </c>
      <c r="F707" s="2"/>
      <c r="G707" s="2" t="s">
        <v>6232</v>
      </c>
      <c r="H707" s="2"/>
      <c r="I707" s="2" t="s">
        <v>6232</v>
      </c>
      <c r="J707" s="2"/>
      <c r="K707" s="2" t="s">
        <v>6232</v>
      </c>
      <c r="L707" s="25">
        <v>235000</v>
      </c>
      <c r="M707" s="2" t="s">
        <v>2006</v>
      </c>
      <c r="N707" s="2"/>
      <c r="O707" s="2" t="s">
        <v>6232</v>
      </c>
      <c r="P707" s="2"/>
      <c r="Q707" s="12" t="s">
        <v>6232</v>
      </c>
      <c r="V707" t="s">
        <v>6232</v>
      </c>
      <c r="W707" t="s">
        <v>6232</v>
      </c>
      <c r="X707" t="s">
        <v>6232</v>
      </c>
    </row>
    <row r="708" spans="1:24" ht="18.399999999999999" hidden="1" customHeight="1">
      <c r="A708" s="11" t="s">
        <v>1759</v>
      </c>
      <c r="B708" s="2" t="s">
        <v>3196</v>
      </c>
      <c r="C708" s="2" t="s">
        <v>2695</v>
      </c>
      <c r="D708" s="2" t="s">
        <v>6141</v>
      </c>
      <c r="E708" s="25">
        <v>264000</v>
      </c>
      <c r="F708" s="2"/>
      <c r="G708" s="2" t="s">
        <v>6232</v>
      </c>
      <c r="H708" s="2"/>
      <c r="I708" s="2" t="s">
        <v>6232</v>
      </c>
      <c r="J708" s="2"/>
      <c r="K708" s="2" t="s">
        <v>6232</v>
      </c>
      <c r="L708" s="25">
        <v>264000</v>
      </c>
      <c r="M708" s="2" t="s">
        <v>2006</v>
      </c>
      <c r="N708" s="2"/>
      <c r="O708" s="2" t="s">
        <v>6232</v>
      </c>
      <c r="P708" s="2"/>
      <c r="Q708" s="12" t="s">
        <v>6232</v>
      </c>
      <c r="V708" t="s">
        <v>6232</v>
      </c>
      <c r="W708" t="s">
        <v>6232</v>
      </c>
      <c r="X708" t="s">
        <v>6232</v>
      </c>
    </row>
    <row r="709" spans="1:24" ht="18.399999999999999" hidden="1" customHeight="1">
      <c r="A709" s="11" t="s">
        <v>277</v>
      </c>
      <c r="B709" s="2" t="s">
        <v>3196</v>
      </c>
      <c r="C709" s="2" t="s">
        <v>3762</v>
      </c>
      <c r="D709" s="2" t="s">
        <v>6141</v>
      </c>
      <c r="E709" s="25">
        <v>286000</v>
      </c>
      <c r="F709" s="2"/>
      <c r="G709" s="2" t="s">
        <v>6232</v>
      </c>
      <c r="H709" s="2"/>
      <c r="I709" s="2" t="s">
        <v>6232</v>
      </c>
      <c r="J709" s="2"/>
      <c r="K709" s="2" t="s">
        <v>6232</v>
      </c>
      <c r="L709" s="25">
        <v>286000</v>
      </c>
      <c r="M709" s="2" t="s">
        <v>2006</v>
      </c>
      <c r="N709" s="2"/>
      <c r="O709" s="2" t="s">
        <v>6232</v>
      </c>
      <c r="P709" s="2"/>
      <c r="Q709" s="12" t="s">
        <v>6232</v>
      </c>
      <c r="V709" t="s">
        <v>6232</v>
      </c>
      <c r="W709" t="s">
        <v>6232</v>
      </c>
      <c r="X709" t="s">
        <v>6232</v>
      </c>
    </row>
    <row r="710" spans="1:24" ht="18.399999999999999" hidden="1" customHeight="1">
      <c r="A710" s="11" t="s">
        <v>3046</v>
      </c>
      <c r="B710" s="2" t="s">
        <v>3196</v>
      </c>
      <c r="C710" s="2" t="s">
        <v>512</v>
      </c>
      <c r="D710" s="2" t="s">
        <v>6141</v>
      </c>
      <c r="E710" s="25">
        <v>330000</v>
      </c>
      <c r="F710" s="2"/>
      <c r="G710" s="2" t="s">
        <v>6232</v>
      </c>
      <c r="H710" s="2"/>
      <c r="I710" s="2" t="s">
        <v>6232</v>
      </c>
      <c r="J710" s="2"/>
      <c r="K710" s="2" t="s">
        <v>6232</v>
      </c>
      <c r="L710" s="25">
        <v>330000</v>
      </c>
      <c r="M710" s="2" t="s">
        <v>2006</v>
      </c>
      <c r="N710" s="2"/>
      <c r="O710" s="2" t="s">
        <v>6232</v>
      </c>
      <c r="P710" s="2"/>
      <c r="Q710" s="12" t="s">
        <v>6232</v>
      </c>
      <c r="V710" t="s">
        <v>6232</v>
      </c>
      <c r="W710" t="s">
        <v>6232</v>
      </c>
      <c r="X710" t="s">
        <v>6232</v>
      </c>
    </row>
    <row r="711" spans="1:24" ht="18.399999999999999" hidden="1" customHeight="1">
      <c r="A711" s="11" t="s">
        <v>1437</v>
      </c>
      <c r="B711" s="2" t="s">
        <v>3196</v>
      </c>
      <c r="C711" s="2" t="s">
        <v>6186</v>
      </c>
      <c r="D711" s="2" t="s">
        <v>6141</v>
      </c>
      <c r="E711" s="25">
        <v>325000</v>
      </c>
      <c r="F711" s="2"/>
      <c r="G711" s="2" t="s">
        <v>6232</v>
      </c>
      <c r="H711" s="2"/>
      <c r="I711" s="2" t="s">
        <v>6232</v>
      </c>
      <c r="J711" s="2"/>
      <c r="K711" s="2" t="s">
        <v>6232</v>
      </c>
      <c r="L711" s="25">
        <v>325000</v>
      </c>
      <c r="M711" s="2" t="s">
        <v>2006</v>
      </c>
      <c r="N711" s="2"/>
      <c r="O711" s="2" t="s">
        <v>6232</v>
      </c>
      <c r="P711" s="2"/>
      <c r="Q711" s="12" t="s">
        <v>6232</v>
      </c>
      <c r="V711" t="s">
        <v>6232</v>
      </c>
      <c r="W711" t="s">
        <v>6232</v>
      </c>
      <c r="X711" t="s">
        <v>6232</v>
      </c>
    </row>
    <row r="712" spans="1:24" ht="18.399999999999999" hidden="1" customHeight="1">
      <c r="A712" s="11" t="s">
        <v>966</v>
      </c>
      <c r="B712" s="2" t="s">
        <v>3196</v>
      </c>
      <c r="C712" s="2" t="s">
        <v>6105</v>
      </c>
      <c r="D712" s="2" t="s">
        <v>6141</v>
      </c>
      <c r="E712" s="25">
        <v>369000</v>
      </c>
      <c r="F712" s="2"/>
      <c r="G712" s="2" t="s">
        <v>6232</v>
      </c>
      <c r="H712" s="2"/>
      <c r="I712" s="2" t="s">
        <v>6232</v>
      </c>
      <c r="J712" s="2"/>
      <c r="K712" s="2" t="s">
        <v>6232</v>
      </c>
      <c r="L712" s="25">
        <v>369000</v>
      </c>
      <c r="M712" s="2" t="s">
        <v>2006</v>
      </c>
      <c r="N712" s="2"/>
      <c r="O712" s="2" t="s">
        <v>6232</v>
      </c>
      <c r="P712" s="2"/>
      <c r="Q712" s="12" t="s">
        <v>6232</v>
      </c>
      <c r="V712" t="s">
        <v>6232</v>
      </c>
      <c r="W712" t="s">
        <v>6232</v>
      </c>
      <c r="X712" t="s">
        <v>6232</v>
      </c>
    </row>
    <row r="713" spans="1:24" ht="18.399999999999999" hidden="1" customHeight="1">
      <c r="A713" s="11" t="s">
        <v>2384</v>
      </c>
      <c r="B713" s="2" t="s">
        <v>3196</v>
      </c>
      <c r="C713" s="2" t="s">
        <v>369</v>
      </c>
      <c r="D713" s="2" t="s">
        <v>6141</v>
      </c>
      <c r="E713" s="25">
        <v>379000</v>
      </c>
      <c r="F713" s="2"/>
      <c r="G713" s="2" t="s">
        <v>6232</v>
      </c>
      <c r="H713" s="2"/>
      <c r="I713" s="2" t="s">
        <v>6232</v>
      </c>
      <c r="J713" s="2"/>
      <c r="K713" s="2" t="s">
        <v>6232</v>
      </c>
      <c r="L713" s="25">
        <v>379000</v>
      </c>
      <c r="M713" s="2" t="s">
        <v>2006</v>
      </c>
      <c r="N713" s="2"/>
      <c r="O713" s="2" t="s">
        <v>6232</v>
      </c>
      <c r="P713" s="2"/>
      <c r="Q713" s="12" t="s">
        <v>6232</v>
      </c>
      <c r="V713" t="s">
        <v>6232</v>
      </c>
      <c r="W713" t="s">
        <v>6232</v>
      </c>
      <c r="X713" t="s">
        <v>6232</v>
      </c>
    </row>
    <row r="714" spans="1:24" ht="18.399999999999999" hidden="1" customHeight="1">
      <c r="A714" s="11" t="s">
        <v>383</v>
      </c>
      <c r="B714" s="2" t="s">
        <v>3196</v>
      </c>
      <c r="C714" s="2" t="s">
        <v>3821</v>
      </c>
      <c r="D714" s="2" t="s">
        <v>6141</v>
      </c>
      <c r="E714" s="25">
        <v>426000</v>
      </c>
      <c r="F714" s="2"/>
      <c r="G714" s="2" t="s">
        <v>6232</v>
      </c>
      <c r="H714" s="2"/>
      <c r="I714" s="2" t="s">
        <v>6232</v>
      </c>
      <c r="J714" s="2"/>
      <c r="K714" s="2" t="s">
        <v>6232</v>
      </c>
      <c r="L714" s="25">
        <v>426000</v>
      </c>
      <c r="M714" s="2" t="s">
        <v>2006</v>
      </c>
      <c r="N714" s="2"/>
      <c r="O714" s="2" t="s">
        <v>6232</v>
      </c>
      <c r="P714" s="2"/>
      <c r="Q714" s="12" t="s">
        <v>6232</v>
      </c>
      <c r="V714" t="s">
        <v>6232</v>
      </c>
      <c r="W714" t="s">
        <v>6232</v>
      </c>
      <c r="X714" t="s">
        <v>6232</v>
      </c>
    </row>
    <row r="715" spans="1:24" ht="18.399999999999999" hidden="1" customHeight="1">
      <c r="A715" s="11" t="s">
        <v>2064</v>
      </c>
      <c r="B715" s="2" t="s">
        <v>3196</v>
      </c>
      <c r="C715" s="2" t="s">
        <v>2812</v>
      </c>
      <c r="D715" s="2" t="s">
        <v>6141</v>
      </c>
      <c r="E715" s="25">
        <v>452000</v>
      </c>
      <c r="F715" s="2"/>
      <c r="G715" s="2" t="s">
        <v>6232</v>
      </c>
      <c r="H715" s="2"/>
      <c r="I715" s="2" t="s">
        <v>6232</v>
      </c>
      <c r="J715" s="2"/>
      <c r="K715" s="2" t="s">
        <v>6232</v>
      </c>
      <c r="L715" s="25">
        <v>452000</v>
      </c>
      <c r="M715" s="2" t="s">
        <v>2006</v>
      </c>
      <c r="N715" s="2"/>
      <c r="O715" s="2" t="s">
        <v>6232</v>
      </c>
      <c r="P715" s="2"/>
      <c r="Q715" s="12" t="s">
        <v>6232</v>
      </c>
      <c r="V715" t="s">
        <v>6232</v>
      </c>
      <c r="W715" t="s">
        <v>6232</v>
      </c>
      <c r="X715" t="s">
        <v>6232</v>
      </c>
    </row>
    <row r="716" spans="1:24" ht="18.399999999999999" hidden="1" customHeight="1">
      <c r="A716" s="11" t="s">
        <v>1909</v>
      </c>
      <c r="B716" s="2" t="s">
        <v>5929</v>
      </c>
      <c r="C716" s="2" t="s">
        <v>4184</v>
      </c>
      <c r="D716" s="2" t="s">
        <v>6141</v>
      </c>
      <c r="E716" s="25">
        <v>883000</v>
      </c>
      <c r="F716" s="2"/>
      <c r="G716" s="2" t="s">
        <v>6232</v>
      </c>
      <c r="H716" s="2"/>
      <c r="I716" s="2" t="s">
        <v>6232</v>
      </c>
      <c r="J716" s="2"/>
      <c r="K716" s="2" t="s">
        <v>6232</v>
      </c>
      <c r="L716" s="25">
        <v>883000</v>
      </c>
      <c r="M716" s="2" t="s">
        <v>2006</v>
      </c>
      <c r="N716" s="2"/>
      <c r="O716" s="2" t="s">
        <v>6232</v>
      </c>
      <c r="P716" s="2"/>
      <c r="Q716" s="12" t="s">
        <v>6232</v>
      </c>
      <c r="V716" t="s">
        <v>6232</v>
      </c>
      <c r="W716" t="s">
        <v>6232</v>
      </c>
      <c r="X716" t="s">
        <v>6232</v>
      </c>
    </row>
    <row r="717" spans="1:24" ht="18.399999999999999" hidden="1" customHeight="1">
      <c r="A717" s="11" t="s">
        <v>242</v>
      </c>
      <c r="B717" s="2" t="s">
        <v>5929</v>
      </c>
      <c r="C717" s="2" t="s">
        <v>1695</v>
      </c>
      <c r="D717" s="2" t="s">
        <v>6141</v>
      </c>
      <c r="E717" s="25">
        <v>920000</v>
      </c>
      <c r="F717" s="2"/>
      <c r="G717" s="2" t="s">
        <v>6232</v>
      </c>
      <c r="H717" s="2"/>
      <c r="I717" s="2" t="s">
        <v>6232</v>
      </c>
      <c r="J717" s="2"/>
      <c r="K717" s="2" t="s">
        <v>6232</v>
      </c>
      <c r="L717" s="25">
        <v>920000</v>
      </c>
      <c r="M717" s="2" t="s">
        <v>2006</v>
      </c>
      <c r="N717" s="2"/>
      <c r="O717" s="2" t="s">
        <v>6232</v>
      </c>
      <c r="P717" s="2"/>
      <c r="Q717" s="12" t="s">
        <v>6232</v>
      </c>
      <c r="V717" t="s">
        <v>6232</v>
      </c>
      <c r="W717" t="s">
        <v>6232</v>
      </c>
      <c r="X717" t="s">
        <v>6232</v>
      </c>
    </row>
    <row r="718" spans="1:24" ht="18.399999999999999" hidden="1" customHeight="1">
      <c r="A718" s="11" t="s">
        <v>2912</v>
      </c>
      <c r="B718" s="2" t="s">
        <v>5929</v>
      </c>
      <c r="C718" s="2" t="s">
        <v>4869</v>
      </c>
      <c r="D718" s="2" t="s">
        <v>6141</v>
      </c>
      <c r="E718" s="25">
        <v>1020000</v>
      </c>
      <c r="F718" s="2"/>
      <c r="G718" s="2" t="s">
        <v>6232</v>
      </c>
      <c r="H718" s="2"/>
      <c r="I718" s="2" t="s">
        <v>6232</v>
      </c>
      <c r="J718" s="2"/>
      <c r="K718" s="2" t="s">
        <v>6232</v>
      </c>
      <c r="L718" s="25">
        <v>1020000</v>
      </c>
      <c r="M718" s="2" t="s">
        <v>2006</v>
      </c>
      <c r="N718" s="2"/>
      <c r="O718" s="2" t="s">
        <v>6232</v>
      </c>
      <c r="P718" s="2"/>
      <c r="Q718" s="12" t="s">
        <v>6232</v>
      </c>
      <c r="V718" t="s">
        <v>6232</v>
      </c>
      <c r="W718" t="s">
        <v>6232</v>
      </c>
      <c r="X718" t="s">
        <v>6232</v>
      </c>
    </row>
    <row r="719" spans="1:24" ht="18.399999999999999" hidden="1" customHeight="1">
      <c r="A719" s="11" t="s">
        <v>1480</v>
      </c>
      <c r="B719" s="2" t="s">
        <v>5929</v>
      </c>
      <c r="C719" s="2" t="s">
        <v>809</v>
      </c>
      <c r="D719" s="2" t="s">
        <v>6141</v>
      </c>
      <c r="E719" s="25">
        <v>1098000</v>
      </c>
      <c r="F719" s="2"/>
      <c r="G719" s="2" t="s">
        <v>6232</v>
      </c>
      <c r="H719" s="2"/>
      <c r="I719" s="2" t="s">
        <v>6232</v>
      </c>
      <c r="J719" s="2"/>
      <c r="K719" s="2" t="s">
        <v>6232</v>
      </c>
      <c r="L719" s="25">
        <v>1098000</v>
      </c>
      <c r="M719" s="2" t="s">
        <v>2006</v>
      </c>
      <c r="N719" s="2"/>
      <c r="O719" s="2" t="s">
        <v>6232</v>
      </c>
      <c r="P719" s="2"/>
      <c r="Q719" s="12" t="s">
        <v>6232</v>
      </c>
      <c r="V719" t="s">
        <v>6232</v>
      </c>
      <c r="W719" t="s">
        <v>6232</v>
      </c>
      <c r="X719" t="s">
        <v>6232</v>
      </c>
    </row>
    <row r="720" spans="1:24" ht="18.399999999999999" hidden="1" customHeight="1">
      <c r="A720" s="11" t="s">
        <v>6183</v>
      </c>
      <c r="B720" s="2" t="s">
        <v>5929</v>
      </c>
      <c r="C720" s="2" t="s">
        <v>2695</v>
      </c>
      <c r="D720" s="2" t="s">
        <v>6141</v>
      </c>
      <c r="E720" s="25">
        <v>1252000</v>
      </c>
      <c r="F720" s="2"/>
      <c r="G720" s="2" t="s">
        <v>6232</v>
      </c>
      <c r="H720" s="2"/>
      <c r="I720" s="2" t="s">
        <v>6232</v>
      </c>
      <c r="J720" s="2"/>
      <c r="K720" s="2" t="s">
        <v>6232</v>
      </c>
      <c r="L720" s="25">
        <v>1252000</v>
      </c>
      <c r="M720" s="2" t="s">
        <v>2006</v>
      </c>
      <c r="N720" s="2"/>
      <c r="O720" s="2" t="s">
        <v>6232</v>
      </c>
      <c r="P720" s="2"/>
      <c r="Q720" s="12" t="s">
        <v>6232</v>
      </c>
      <c r="V720" t="s">
        <v>6232</v>
      </c>
      <c r="W720" t="s">
        <v>6232</v>
      </c>
      <c r="X720" t="s">
        <v>6232</v>
      </c>
    </row>
    <row r="721" spans="1:24" ht="18.399999999999999" hidden="1" customHeight="1">
      <c r="A721" s="11" t="s">
        <v>4470</v>
      </c>
      <c r="B721" s="2" t="s">
        <v>5929</v>
      </c>
      <c r="C721" s="2" t="s">
        <v>3762</v>
      </c>
      <c r="D721" s="2" t="s">
        <v>6141</v>
      </c>
      <c r="E721" s="25">
        <v>1345000</v>
      </c>
      <c r="F721" s="2"/>
      <c r="G721" s="2" t="s">
        <v>6232</v>
      </c>
      <c r="H721" s="2"/>
      <c r="I721" s="2" t="s">
        <v>6232</v>
      </c>
      <c r="J721" s="2"/>
      <c r="K721" s="2" t="s">
        <v>6232</v>
      </c>
      <c r="L721" s="25">
        <v>1345000</v>
      </c>
      <c r="M721" s="2" t="s">
        <v>2006</v>
      </c>
      <c r="N721" s="2"/>
      <c r="O721" s="2" t="s">
        <v>6232</v>
      </c>
      <c r="P721" s="2"/>
      <c r="Q721" s="12" t="s">
        <v>6232</v>
      </c>
      <c r="V721" t="s">
        <v>6232</v>
      </c>
      <c r="W721" t="s">
        <v>6232</v>
      </c>
      <c r="X721" t="s">
        <v>6232</v>
      </c>
    </row>
    <row r="722" spans="1:24" ht="18.399999999999999" hidden="1" customHeight="1">
      <c r="A722" s="11" t="s">
        <v>4921</v>
      </c>
      <c r="B722" s="2" t="s">
        <v>5929</v>
      </c>
      <c r="C722" s="2" t="s">
        <v>512</v>
      </c>
      <c r="D722" s="2" t="s">
        <v>6141</v>
      </c>
      <c r="E722" s="25">
        <v>1448000</v>
      </c>
      <c r="F722" s="2"/>
      <c r="G722" s="2" t="s">
        <v>6232</v>
      </c>
      <c r="H722" s="2"/>
      <c r="I722" s="2" t="s">
        <v>6232</v>
      </c>
      <c r="J722" s="2"/>
      <c r="K722" s="2" t="s">
        <v>6232</v>
      </c>
      <c r="L722" s="25">
        <v>1448000</v>
      </c>
      <c r="M722" s="2" t="s">
        <v>2006</v>
      </c>
      <c r="N722" s="2"/>
      <c r="O722" s="2" t="s">
        <v>6232</v>
      </c>
      <c r="P722" s="2"/>
      <c r="Q722" s="12" t="s">
        <v>6232</v>
      </c>
      <c r="V722" t="s">
        <v>6232</v>
      </c>
      <c r="W722" t="s">
        <v>6232</v>
      </c>
      <c r="X722" t="s">
        <v>6232</v>
      </c>
    </row>
    <row r="723" spans="1:24" ht="18.399999999999999" hidden="1" customHeight="1">
      <c r="A723" s="11" t="s">
        <v>3473</v>
      </c>
      <c r="B723" s="2" t="s">
        <v>5929</v>
      </c>
      <c r="C723" s="2" t="s">
        <v>6186</v>
      </c>
      <c r="D723" s="2" t="s">
        <v>6141</v>
      </c>
      <c r="E723" s="25">
        <v>1448000</v>
      </c>
      <c r="F723" s="2"/>
      <c r="G723" s="2" t="s">
        <v>6232</v>
      </c>
      <c r="H723" s="2"/>
      <c r="I723" s="2" t="s">
        <v>6232</v>
      </c>
      <c r="J723" s="2"/>
      <c r="K723" s="2" t="s">
        <v>6232</v>
      </c>
      <c r="L723" s="25">
        <v>1448000</v>
      </c>
      <c r="M723" s="2" t="s">
        <v>2006</v>
      </c>
      <c r="N723" s="2"/>
      <c r="O723" s="2" t="s">
        <v>6232</v>
      </c>
      <c r="P723" s="2"/>
      <c r="Q723" s="12" t="s">
        <v>6232</v>
      </c>
      <c r="V723" t="s">
        <v>6232</v>
      </c>
      <c r="W723" t="s">
        <v>6232</v>
      </c>
      <c r="X723" t="s">
        <v>6232</v>
      </c>
    </row>
    <row r="724" spans="1:24" ht="18.399999999999999" hidden="1" customHeight="1">
      <c r="A724" s="11" t="s">
        <v>3555</v>
      </c>
      <c r="B724" s="2" t="s">
        <v>5929</v>
      </c>
      <c r="C724" s="2" t="s">
        <v>6105</v>
      </c>
      <c r="D724" s="2" t="s">
        <v>6141</v>
      </c>
      <c r="E724" s="25">
        <v>1562000</v>
      </c>
      <c r="F724" s="2"/>
      <c r="G724" s="2" t="s">
        <v>6232</v>
      </c>
      <c r="H724" s="2"/>
      <c r="I724" s="2" t="s">
        <v>6232</v>
      </c>
      <c r="J724" s="2"/>
      <c r="K724" s="2" t="s">
        <v>6232</v>
      </c>
      <c r="L724" s="25">
        <v>1562000</v>
      </c>
      <c r="M724" s="2" t="s">
        <v>2006</v>
      </c>
      <c r="N724" s="2"/>
      <c r="O724" s="2" t="s">
        <v>6232</v>
      </c>
      <c r="P724" s="2"/>
      <c r="Q724" s="12" t="s">
        <v>6232</v>
      </c>
      <c r="V724" t="s">
        <v>6232</v>
      </c>
      <c r="W724" t="s">
        <v>6232</v>
      </c>
      <c r="X724" t="s">
        <v>6232</v>
      </c>
    </row>
    <row r="725" spans="1:24" ht="18.399999999999999" hidden="1" customHeight="1">
      <c r="A725" s="11" t="s">
        <v>5214</v>
      </c>
      <c r="B725" s="2" t="s">
        <v>5929</v>
      </c>
      <c r="C725" s="2" t="s">
        <v>397</v>
      </c>
      <c r="D725" s="2" t="s">
        <v>6141</v>
      </c>
      <c r="E725" s="25">
        <v>1744000</v>
      </c>
      <c r="F725" s="2"/>
      <c r="G725" s="2" t="s">
        <v>6232</v>
      </c>
      <c r="H725" s="2"/>
      <c r="I725" s="2" t="s">
        <v>6232</v>
      </c>
      <c r="J725" s="2"/>
      <c r="K725" s="2" t="s">
        <v>6232</v>
      </c>
      <c r="L725" s="25">
        <v>1744000</v>
      </c>
      <c r="M725" s="2" t="s">
        <v>2006</v>
      </c>
      <c r="N725" s="2"/>
      <c r="O725" s="2" t="s">
        <v>6232</v>
      </c>
      <c r="P725" s="2"/>
      <c r="Q725" s="12" t="s">
        <v>6232</v>
      </c>
      <c r="V725" t="s">
        <v>6232</v>
      </c>
      <c r="W725" t="s">
        <v>6232</v>
      </c>
      <c r="X725" t="s">
        <v>6232</v>
      </c>
    </row>
    <row r="726" spans="1:24" ht="18.399999999999999" hidden="1" customHeight="1">
      <c r="A726" s="11" t="s">
        <v>4017</v>
      </c>
      <c r="B726" s="2" t="s">
        <v>5929</v>
      </c>
      <c r="C726" s="2" t="s">
        <v>3821</v>
      </c>
      <c r="D726" s="2" t="s">
        <v>6141</v>
      </c>
      <c r="E726" s="25">
        <v>1843000</v>
      </c>
      <c r="F726" s="2"/>
      <c r="G726" s="2" t="s">
        <v>6232</v>
      </c>
      <c r="H726" s="2"/>
      <c r="I726" s="2" t="s">
        <v>6232</v>
      </c>
      <c r="J726" s="2"/>
      <c r="K726" s="2" t="s">
        <v>6232</v>
      </c>
      <c r="L726" s="25">
        <v>1843000</v>
      </c>
      <c r="M726" s="2" t="s">
        <v>2006</v>
      </c>
      <c r="N726" s="2"/>
      <c r="O726" s="2" t="s">
        <v>6232</v>
      </c>
      <c r="P726" s="2"/>
      <c r="Q726" s="12" t="s">
        <v>6232</v>
      </c>
      <c r="V726" t="s">
        <v>6232</v>
      </c>
      <c r="W726" t="s">
        <v>6232</v>
      </c>
      <c r="X726" t="s">
        <v>6232</v>
      </c>
    </row>
    <row r="727" spans="1:24" ht="18.399999999999999" hidden="1" customHeight="1">
      <c r="A727" s="11" t="s">
        <v>5471</v>
      </c>
      <c r="B727" s="2" t="s">
        <v>5929</v>
      </c>
      <c r="C727" s="2" t="s">
        <v>2812</v>
      </c>
      <c r="D727" s="2" t="s">
        <v>6141</v>
      </c>
      <c r="E727" s="25">
        <v>1955000</v>
      </c>
      <c r="F727" s="2"/>
      <c r="G727" s="2" t="s">
        <v>6232</v>
      </c>
      <c r="H727" s="2"/>
      <c r="I727" s="2" t="s">
        <v>6232</v>
      </c>
      <c r="J727" s="2"/>
      <c r="K727" s="2" t="s">
        <v>6232</v>
      </c>
      <c r="L727" s="25">
        <v>1955000</v>
      </c>
      <c r="M727" s="2" t="s">
        <v>2006</v>
      </c>
      <c r="N727" s="2"/>
      <c r="O727" s="2" t="s">
        <v>6232</v>
      </c>
      <c r="P727" s="2"/>
      <c r="Q727" s="12" t="s">
        <v>6232</v>
      </c>
      <c r="V727" t="s">
        <v>6232</v>
      </c>
      <c r="W727" t="s">
        <v>6232</v>
      </c>
      <c r="X727" t="s">
        <v>6232</v>
      </c>
    </row>
    <row r="728" spans="1:24" ht="18.399999999999999" hidden="1" customHeight="1">
      <c r="A728" s="11" t="s">
        <v>2284</v>
      </c>
      <c r="B728" s="2" t="s">
        <v>3675</v>
      </c>
      <c r="C728" s="2" t="s">
        <v>2832</v>
      </c>
      <c r="D728" s="2" t="s">
        <v>6141</v>
      </c>
      <c r="E728" s="25">
        <v>1000</v>
      </c>
      <c r="F728" s="2"/>
      <c r="G728" s="2" t="s">
        <v>6232</v>
      </c>
      <c r="H728" s="2"/>
      <c r="I728" s="2" t="s">
        <v>6232</v>
      </c>
      <c r="J728" s="2"/>
      <c r="K728" s="2" t="s">
        <v>6232</v>
      </c>
      <c r="L728" s="25">
        <v>1000</v>
      </c>
      <c r="M728" s="2" t="s">
        <v>2006</v>
      </c>
      <c r="N728" s="2"/>
      <c r="O728" s="2" t="s">
        <v>6232</v>
      </c>
      <c r="P728" s="2"/>
      <c r="Q728" s="12" t="s">
        <v>6232</v>
      </c>
      <c r="V728" t="s">
        <v>6232</v>
      </c>
      <c r="W728" t="s">
        <v>6232</v>
      </c>
      <c r="X728" t="s">
        <v>6232</v>
      </c>
    </row>
    <row r="729" spans="1:24" ht="18.399999999999999" hidden="1" customHeight="1">
      <c r="A729" s="11" t="s">
        <v>5561</v>
      </c>
      <c r="B729" s="2" t="s">
        <v>2355</v>
      </c>
      <c r="C729" s="2" t="s">
        <v>1842</v>
      </c>
      <c r="D729" s="2" t="s">
        <v>6141</v>
      </c>
      <c r="E729" s="25">
        <v>3000</v>
      </c>
      <c r="F729" s="2"/>
      <c r="G729" s="2" t="s">
        <v>6232</v>
      </c>
      <c r="H729" s="2"/>
      <c r="I729" s="2" t="s">
        <v>6232</v>
      </c>
      <c r="J729" s="2"/>
      <c r="K729" s="2" t="s">
        <v>6232</v>
      </c>
      <c r="L729" s="25">
        <v>3000</v>
      </c>
      <c r="M729" s="2" t="s">
        <v>2006</v>
      </c>
      <c r="N729" s="2"/>
      <c r="O729" s="2" t="s">
        <v>6232</v>
      </c>
      <c r="P729" s="2"/>
      <c r="Q729" s="12" t="s">
        <v>6232</v>
      </c>
      <c r="V729" t="s">
        <v>6232</v>
      </c>
      <c r="W729" t="s">
        <v>6232</v>
      </c>
      <c r="X729" t="s">
        <v>6232</v>
      </c>
    </row>
    <row r="730" spans="1:24" ht="18.399999999999999" hidden="1" customHeight="1">
      <c r="A730" s="11" t="s">
        <v>2757</v>
      </c>
      <c r="B730" s="2" t="s">
        <v>1522</v>
      </c>
      <c r="C730" s="2" t="s">
        <v>453</v>
      </c>
      <c r="D730" s="2" t="s">
        <v>6141</v>
      </c>
      <c r="E730" s="25">
        <v>16000</v>
      </c>
      <c r="F730" s="2"/>
      <c r="G730" s="2" t="s">
        <v>6232</v>
      </c>
      <c r="H730" s="2"/>
      <c r="I730" s="2" t="s">
        <v>6232</v>
      </c>
      <c r="J730" s="2"/>
      <c r="K730" s="2" t="s">
        <v>6232</v>
      </c>
      <c r="L730" s="25">
        <v>16000</v>
      </c>
      <c r="M730" s="2" t="s">
        <v>2006</v>
      </c>
      <c r="N730" s="2"/>
      <c r="O730" s="2" t="s">
        <v>6232</v>
      </c>
      <c r="P730" s="2"/>
      <c r="Q730" s="12" t="s">
        <v>6232</v>
      </c>
      <c r="V730" t="s">
        <v>6232</v>
      </c>
      <c r="W730" t="s">
        <v>6232</v>
      </c>
      <c r="X730" t="s">
        <v>6232</v>
      </c>
    </row>
    <row r="731" spans="1:24" ht="18.399999999999999" hidden="1" customHeight="1">
      <c r="A731" s="11" t="s">
        <v>159</v>
      </c>
      <c r="B731" s="2" t="s">
        <v>6045</v>
      </c>
      <c r="C731" s="2" t="s">
        <v>6232</v>
      </c>
      <c r="D731" s="2" t="s">
        <v>1054</v>
      </c>
      <c r="E731" s="25">
        <v>7500</v>
      </c>
      <c r="F731" s="2"/>
      <c r="G731" s="2" t="s">
        <v>6232</v>
      </c>
      <c r="H731" s="2"/>
      <c r="I731" s="2" t="s">
        <v>6232</v>
      </c>
      <c r="J731" s="2"/>
      <c r="K731" s="2" t="s">
        <v>6232</v>
      </c>
      <c r="L731" s="25">
        <v>7500</v>
      </c>
      <c r="M731" s="2" t="s">
        <v>2006</v>
      </c>
      <c r="N731" s="2"/>
      <c r="O731" s="2" t="s">
        <v>6232</v>
      </c>
      <c r="P731" s="2"/>
      <c r="Q731" s="12" t="s">
        <v>6232</v>
      </c>
      <c r="V731" t="s">
        <v>6232</v>
      </c>
      <c r="W731" t="s">
        <v>6232</v>
      </c>
      <c r="X731" t="s">
        <v>6232</v>
      </c>
    </row>
    <row r="732" spans="1:24" ht="18.399999999999999" hidden="1" customHeight="1">
      <c r="A732" s="11" t="s">
        <v>2309</v>
      </c>
      <c r="B732" s="2" t="s">
        <v>1807</v>
      </c>
      <c r="C732" s="2" t="s">
        <v>5114</v>
      </c>
      <c r="D732" s="2" t="s">
        <v>1054</v>
      </c>
      <c r="E732" s="25">
        <v>7500</v>
      </c>
      <c r="F732" s="2"/>
      <c r="G732" s="2" t="s">
        <v>6232</v>
      </c>
      <c r="H732" s="2"/>
      <c r="I732" s="2" t="s">
        <v>6232</v>
      </c>
      <c r="J732" s="2"/>
      <c r="K732" s="2" t="s">
        <v>6232</v>
      </c>
      <c r="L732" s="25">
        <v>7500</v>
      </c>
      <c r="M732" s="2" t="s">
        <v>2006</v>
      </c>
      <c r="N732" s="2"/>
      <c r="O732" s="2" t="s">
        <v>6232</v>
      </c>
      <c r="P732" s="2"/>
      <c r="Q732" s="12" t="s">
        <v>6232</v>
      </c>
      <c r="V732" t="s">
        <v>6232</v>
      </c>
      <c r="W732" t="s">
        <v>6232</v>
      </c>
      <c r="X732" t="s">
        <v>6232</v>
      </c>
    </row>
    <row r="733" spans="1:24" ht="18.399999999999999" hidden="1" customHeight="1">
      <c r="A733" s="11" t="s">
        <v>2525</v>
      </c>
      <c r="B733" s="2" t="s">
        <v>3680</v>
      </c>
      <c r="C733" s="2" t="s">
        <v>6232</v>
      </c>
      <c r="D733" s="2" t="s">
        <v>6141</v>
      </c>
      <c r="E733" s="25">
        <v>600</v>
      </c>
      <c r="F733" s="2"/>
      <c r="G733" s="2" t="s">
        <v>6232</v>
      </c>
      <c r="H733" s="2"/>
      <c r="I733" s="2" t="s">
        <v>6232</v>
      </c>
      <c r="J733" s="2"/>
      <c r="K733" s="2" t="s">
        <v>6232</v>
      </c>
      <c r="L733" s="25">
        <v>600</v>
      </c>
      <c r="M733" s="2" t="s">
        <v>2006</v>
      </c>
      <c r="N733" s="2"/>
      <c r="O733" s="2" t="s">
        <v>6232</v>
      </c>
      <c r="P733" s="2"/>
      <c r="Q733" s="12" t="s">
        <v>6232</v>
      </c>
      <c r="V733" t="s">
        <v>6232</v>
      </c>
      <c r="W733" t="s">
        <v>6232</v>
      </c>
      <c r="X733" t="s">
        <v>6232</v>
      </c>
    </row>
    <row r="734" spans="1:24" ht="18.399999999999999" hidden="1" customHeight="1">
      <c r="A734" s="11" t="s">
        <v>475</v>
      </c>
      <c r="B734" s="2" t="s">
        <v>5342</v>
      </c>
      <c r="C734" s="2" t="s">
        <v>5866</v>
      </c>
      <c r="D734" s="2" t="s">
        <v>3385</v>
      </c>
      <c r="E734" s="25">
        <v>24000</v>
      </c>
      <c r="F734" s="25">
        <v>24000</v>
      </c>
      <c r="G734" s="2" t="s">
        <v>6007</v>
      </c>
      <c r="H734" s="25">
        <v>24200</v>
      </c>
      <c r="I734" s="2" t="s">
        <v>2207</v>
      </c>
      <c r="J734" s="25">
        <v>24200</v>
      </c>
      <c r="K734" s="2" t="s">
        <v>3639</v>
      </c>
      <c r="L734" s="2"/>
      <c r="M734" s="2" t="s">
        <v>6232</v>
      </c>
      <c r="N734" s="2"/>
      <c r="O734" s="2" t="s">
        <v>6232</v>
      </c>
      <c r="P734" s="2"/>
      <c r="Q734" s="12" t="s">
        <v>6232</v>
      </c>
      <c r="V734" t="s">
        <v>6232</v>
      </c>
      <c r="W734" t="s">
        <v>6232</v>
      </c>
      <c r="X734" t="s">
        <v>6232</v>
      </c>
    </row>
    <row r="735" spans="1:24" ht="18.399999999999999" hidden="1" customHeight="1">
      <c r="A735" s="11" t="s">
        <v>4104</v>
      </c>
      <c r="B735" s="2" t="s">
        <v>3985</v>
      </c>
      <c r="C735" s="2" t="s">
        <v>5866</v>
      </c>
      <c r="D735" s="2" t="s">
        <v>3385</v>
      </c>
      <c r="E735" s="25">
        <v>18200</v>
      </c>
      <c r="F735" s="25">
        <v>20000</v>
      </c>
      <c r="G735" s="2" t="s">
        <v>6007</v>
      </c>
      <c r="H735" s="25">
        <v>18200</v>
      </c>
      <c r="I735" s="2" t="s">
        <v>2207</v>
      </c>
      <c r="J735" s="25">
        <v>18200</v>
      </c>
      <c r="K735" s="2" t="s">
        <v>3639</v>
      </c>
      <c r="L735" s="2"/>
      <c r="M735" s="2" t="s">
        <v>6232</v>
      </c>
      <c r="N735" s="2"/>
      <c r="O735" s="2" t="s">
        <v>6232</v>
      </c>
      <c r="P735" s="2"/>
      <c r="Q735" s="12" t="s">
        <v>6232</v>
      </c>
      <c r="V735" t="s">
        <v>6232</v>
      </c>
      <c r="W735" t="s">
        <v>6232</v>
      </c>
      <c r="X735" t="s">
        <v>6232</v>
      </c>
    </row>
    <row r="736" spans="1:24" ht="18.399999999999999" hidden="1" customHeight="1">
      <c r="A736" s="11" t="s">
        <v>5589</v>
      </c>
      <c r="B736" s="2" t="s">
        <v>971</v>
      </c>
      <c r="C736" s="2" t="s">
        <v>3849</v>
      </c>
      <c r="D736" s="2" t="s">
        <v>6141</v>
      </c>
      <c r="E736" s="25">
        <v>7300000</v>
      </c>
      <c r="F736" s="2"/>
      <c r="G736" s="2" t="s">
        <v>6232</v>
      </c>
      <c r="H736" s="2"/>
      <c r="I736" s="2" t="s">
        <v>6232</v>
      </c>
      <c r="J736" s="25">
        <v>7300000</v>
      </c>
      <c r="K736" s="2" t="s">
        <v>5321</v>
      </c>
      <c r="L736" s="2"/>
      <c r="M736" s="2" t="s">
        <v>6232</v>
      </c>
      <c r="N736" s="2"/>
      <c r="O736" s="2" t="s">
        <v>6232</v>
      </c>
      <c r="P736" s="2"/>
      <c r="Q736" s="12" t="s">
        <v>6232</v>
      </c>
      <c r="V736" t="s">
        <v>6232</v>
      </c>
      <c r="W736" t="s">
        <v>6232</v>
      </c>
      <c r="X736" t="s">
        <v>6232</v>
      </c>
    </row>
    <row r="737" spans="1:24" ht="18.399999999999999" hidden="1" customHeight="1">
      <c r="A737" s="11" t="s">
        <v>5061</v>
      </c>
      <c r="B737" s="2" t="s">
        <v>3587</v>
      </c>
      <c r="C737" s="2" t="s">
        <v>3174</v>
      </c>
      <c r="D737" s="2" t="s">
        <v>5476</v>
      </c>
      <c r="E737" s="25">
        <v>15000</v>
      </c>
      <c r="F737" s="25">
        <v>15000</v>
      </c>
      <c r="G737" s="2" t="s">
        <v>3449</v>
      </c>
      <c r="H737" s="2"/>
      <c r="I737" s="2" t="s">
        <v>6232</v>
      </c>
      <c r="J737" s="2"/>
      <c r="K737" s="2" t="s">
        <v>6232</v>
      </c>
      <c r="L737" s="2"/>
      <c r="M737" s="2" t="s">
        <v>6232</v>
      </c>
      <c r="N737" s="2"/>
      <c r="O737" s="2" t="s">
        <v>6232</v>
      </c>
      <c r="P737" s="2"/>
      <c r="Q737" s="12" t="s">
        <v>6232</v>
      </c>
      <c r="V737" t="s">
        <v>6232</v>
      </c>
      <c r="W737" t="s">
        <v>6232</v>
      </c>
      <c r="X737" t="s">
        <v>6232</v>
      </c>
    </row>
    <row r="738" spans="1:24" ht="18.399999999999999" hidden="1" customHeight="1">
      <c r="A738" s="11" t="s">
        <v>3276</v>
      </c>
      <c r="B738" s="2" t="s">
        <v>2696</v>
      </c>
      <c r="C738" s="2" t="s">
        <v>4430</v>
      </c>
      <c r="D738" s="2" t="s">
        <v>1070</v>
      </c>
      <c r="E738" s="25">
        <v>19930000</v>
      </c>
      <c r="F738" s="2"/>
      <c r="G738" s="2" t="s">
        <v>6232</v>
      </c>
      <c r="H738" s="25">
        <v>19930000</v>
      </c>
      <c r="I738" s="2" t="s">
        <v>1393</v>
      </c>
      <c r="J738" s="2"/>
      <c r="K738" s="2" t="s">
        <v>6232</v>
      </c>
      <c r="L738" s="2"/>
      <c r="M738" s="2" t="s">
        <v>6232</v>
      </c>
      <c r="N738" s="2"/>
      <c r="O738" s="2" t="s">
        <v>6232</v>
      </c>
      <c r="P738" s="2"/>
      <c r="Q738" s="12" t="s">
        <v>6232</v>
      </c>
      <c r="V738" t="s">
        <v>6232</v>
      </c>
      <c r="W738" t="s">
        <v>6232</v>
      </c>
      <c r="X738" t="s">
        <v>6232</v>
      </c>
    </row>
    <row r="739" spans="1:24" ht="18.399999999999999" customHeight="1">
      <c r="A739" s="11" t="s">
        <v>1459</v>
      </c>
      <c r="B739" s="2" t="s">
        <v>2216</v>
      </c>
      <c r="C739" s="2" t="s">
        <v>1572</v>
      </c>
      <c r="D739" s="2" t="s">
        <v>6141</v>
      </c>
      <c r="E739" s="29">
        <f>MIN(F739,H739,J739,L739,N739,P739)</f>
        <v>2102000</v>
      </c>
      <c r="F739" s="2"/>
      <c r="G739" s="2" t="s">
        <v>6232</v>
      </c>
      <c r="H739" s="2"/>
      <c r="I739" s="2" t="s">
        <v>6232</v>
      </c>
      <c r="J739" s="2"/>
      <c r="K739" s="2" t="s">
        <v>6232</v>
      </c>
      <c r="L739" s="29">
        <f>1519000+467000+360000</f>
        <v>2346000</v>
      </c>
      <c r="M739" s="2" t="s">
        <v>2570</v>
      </c>
      <c r="N739" s="259">
        <f>1395000+429000+321000</f>
        <v>2145000</v>
      </c>
      <c r="O739" s="2" t="s">
        <v>6544</v>
      </c>
      <c r="P739" s="259">
        <f>1367000+420000+315000</f>
        <v>2102000</v>
      </c>
      <c r="Q739" s="12" t="s">
        <v>6232</v>
      </c>
      <c r="V739" t="s">
        <v>6232</v>
      </c>
      <c r="W739" t="s">
        <v>6232</v>
      </c>
      <c r="X739" t="s">
        <v>6232</v>
      </c>
    </row>
    <row r="740" spans="1:24" ht="18.399999999999999" customHeight="1">
      <c r="A740" s="11" t="s">
        <v>1149</v>
      </c>
      <c r="B740" s="2" t="s">
        <v>2216</v>
      </c>
      <c r="C740" s="2" t="s">
        <v>2531</v>
      </c>
      <c r="D740" s="2" t="s">
        <v>6141</v>
      </c>
      <c r="E740" s="29">
        <f t="shared" ref="E740:E798" si="0">MIN(F740,H740,J740,L740,N740,P740)</f>
        <v>2556000</v>
      </c>
      <c r="F740" s="2"/>
      <c r="G740" s="2" t="s">
        <v>6232</v>
      </c>
      <c r="H740" s="2"/>
      <c r="I740" s="2" t="s">
        <v>6232</v>
      </c>
      <c r="J740" s="2"/>
      <c r="K740" s="2" t="s">
        <v>6232</v>
      </c>
      <c r="L740" s="29">
        <f>1791000+553000+553000</f>
        <v>2897000</v>
      </c>
      <c r="M740" s="2" t="s">
        <v>2570</v>
      </c>
      <c r="N740" s="259">
        <f>1696000+521000+391000</f>
        <v>2608000</v>
      </c>
      <c r="O740" s="2" t="s">
        <v>6544</v>
      </c>
      <c r="P740" s="259">
        <f>1662000+511000+383000</f>
        <v>2556000</v>
      </c>
      <c r="Q740" s="12" t="s">
        <v>6232</v>
      </c>
      <c r="V740" t="s">
        <v>6232</v>
      </c>
      <c r="W740" t="s">
        <v>6232</v>
      </c>
      <c r="X740" t="s">
        <v>6232</v>
      </c>
    </row>
    <row r="741" spans="1:24" ht="18.399999999999999" customHeight="1">
      <c r="A741" s="11" t="s">
        <v>2890</v>
      </c>
      <c r="B741" s="2" t="s">
        <v>2216</v>
      </c>
      <c r="C741" s="2" t="s">
        <v>4124</v>
      </c>
      <c r="D741" s="2" t="s">
        <v>6141</v>
      </c>
      <c r="E741" s="29">
        <f t="shared" si="0"/>
        <v>3360000</v>
      </c>
      <c r="F741" s="2"/>
      <c r="G741" s="2" t="s">
        <v>6232</v>
      </c>
      <c r="H741" s="2"/>
      <c r="I741" s="2" t="s">
        <v>6232</v>
      </c>
      <c r="J741" s="2"/>
      <c r="K741" s="2" t="s">
        <v>6232</v>
      </c>
      <c r="L741" s="29">
        <f>2329000+716000+955000</f>
        <v>4000000</v>
      </c>
      <c r="M741" s="2" t="s">
        <v>2570</v>
      </c>
      <c r="N741" s="259">
        <f>2230000+685000+514000</f>
        <v>3429000</v>
      </c>
      <c r="O741" s="2" t="s">
        <v>6544</v>
      </c>
      <c r="P741" s="259">
        <f>2185000+671000+504000</f>
        <v>3360000</v>
      </c>
      <c r="Q741" s="12" t="s">
        <v>6232</v>
      </c>
      <c r="V741" t="s">
        <v>6232</v>
      </c>
      <c r="W741" t="s">
        <v>6232</v>
      </c>
      <c r="X741" t="s">
        <v>6232</v>
      </c>
    </row>
    <row r="742" spans="1:24" ht="18.399999999999999" customHeight="1">
      <c r="A742" s="11" t="s">
        <v>2417</v>
      </c>
      <c r="B742" s="2" t="s">
        <v>2216</v>
      </c>
      <c r="C742" s="2" t="s">
        <v>4184</v>
      </c>
      <c r="D742" s="2" t="s">
        <v>6141</v>
      </c>
      <c r="E742" s="29">
        <f t="shared" si="0"/>
        <v>5748000</v>
      </c>
      <c r="F742" s="2"/>
      <c r="G742" s="2" t="s">
        <v>6232</v>
      </c>
      <c r="H742" s="2"/>
      <c r="I742" s="2" t="s">
        <v>6232</v>
      </c>
      <c r="J742" s="2"/>
      <c r="K742" s="2" t="s">
        <v>6232</v>
      </c>
      <c r="L742" s="29">
        <f>3715000+1549000+1363000</f>
        <v>6627000</v>
      </c>
      <c r="M742" s="2" t="s">
        <v>2570</v>
      </c>
      <c r="N742" s="259">
        <f>3520000+1465000+880000</f>
        <v>5865000</v>
      </c>
      <c r="O742" s="2" t="s">
        <v>6544</v>
      </c>
      <c r="P742" s="259">
        <f>3450000+1436000+862000</f>
        <v>5748000</v>
      </c>
      <c r="Q742" s="12" t="s">
        <v>6232</v>
      </c>
      <c r="V742" t="s">
        <v>6232</v>
      </c>
      <c r="W742" t="s">
        <v>6232</v>
      </c>
      <c r="X742" t="s">
        <v>6232</v>
      </c>
    </row>
    <row r="743" spans="1:24" ht="18.399999999999999" customHeight="1">
      <c r="A743" s="11" t="s">
        <v>782</v>
      </c>
      <c r="B743" s="2" t="s">
        <v>2216</v>
      </c>
      <c r="C743" s="2" t="s">
        <v>1695</v>
      </c>
      <c r="D743" s="2" t="s">
        <v>6141</v>
      </c>
      <c r="E743" s="29">
        <f t="shared" si="0"/>
        <v>7974000</v>
      </c>
      <c r="F743" s="2"/>
      <c r="G743" s="2" t="s">
        <v>6232</v>
      </c>
      <c r="H743" s="2"/>
      <c r="I743" s="2" t="s">
        <v>6232</v>
      </c>
      <c r="J743" s="2"/>
      <c r="K743" s="2" t="s">
        <v>6232</v>
      </c>
      <c r="L743" s="29">
        <f>5311000+2211000+1738000</f>
        <v>9260000</v>
      </c>
      <c r="M743" s="2" t="s">
        <v>2570</v>
      </c>
      <c r="N743" s="259">
        <f>4883000+2034000+1220000</f>
        <v>8137000</v>
      </c>
      <c r="O743" s="2" t="s">
        <v>6544</v>
      </c>
      <c r="P743" s="259">
        <f>4785000+1993000+1196000</f>
        <v>7974000</v>
      </c>
      <c r="Q743" s="12" t="s">
        <v>6232</v>
      </c>
      <c r="V743" t="s">
        <v>6232</v>
      </c>
      <c r="W743" t="s">
        <v>6232</v>
      </c>
      <c r="X743" t="s">
        <v>6232</v>
      </c>
    </row>
    <row r="744" spans="1:24" ht="18.399999999999999" customHeight="1">
      <c r="A744" s="11" t="s">
        <v>1997</v>
      </c>
      <c r="B744" s="2" t="s">
        <v>2216</v>
      </c>
      <c r="C744" s="2" t="s">
        <v>4869</v>
      </c>
      <c r="D744" s="2" t="s">
        <v>6141</v>
      </c>
      <c r="E744" s="29">
        <f t="shared" si="0"/>
        <v>10275000</v>
      </c>
      <c r="F744" s="2"/>
      <c r="G744" s="2" t="s">
        <v>6232</v>
      </c>
      <c r="H744" s="2"/>
      <c r="I744" s="2" t="s">
        <v>6232</v>
      </c>
      <c r="J744" s="2"/>
      <c r="K744" s="2" t="s">
        <v>6232</v>
      </c>
      <c r="L744" s="29">
        <f>6772000+2823000+2853000</f>
        <v>12448000</v>
      </c>
      <c r="M744" s="2" t="s">
        <v>2570</v>
      </c>
      <c r="N744" s="259">
        <f>6292000+2620000+1572000</f>
        <v>10484000</v>
      </c>
      <c r="O744" s="2" t="s">
        <v>6544</v>
      </c>
      <c r="P744" s="259">
        <f>6166000+2568000+1541000</f>
        <v>10275000</v>
      </c>
      <c r="Q744" s="12" t="s">
        <v>6232</v>
      </c>
      <c r="V744" t="s">
        <v>6232</v>
      </c>
      <c r="W744" t="s">
        <v>6232</v>
      </c>
      <c r="X744" t="s">
        <v>6232</v>
      </c>
    </row>
    <row r="745" spans="1:24" ht="18.399999999999999" customHeight="1">
      <c r="A745" s="11" t="s">
        <v>547</v>
      </c>
      <c r="B745" s="2" t="s">
        <v>2216</v>
      </c>
      <c r="C745" s="2" t="s">
        <v>809</v>
      </c>
      <c r="D745" s="2" t="s">
        <v>6141</v>
      </c>
      <c r="E745" s="29">
        <f t="shared" si="0"/>
        <v>16785000</v>
      </c>
      <c r="F745" s="2"/>
      <c r="G745" s="2" t="s">
        <v>6232</v>
      </c>
      <c r="H745" s="2"/>
      <c r="I745" s="2" t="s">
        <v>6232</v>
      </c>
      <c r="J745" s="2"/>
      <c r="K745" s="2" t="s">
        <v>6232</v>
      </c>
      <c r="L745" s="29">
        <f>11115000+4633000+2866000</f>
        <v>18614000</v>
      </c>
      <c r="M745" s="2" t="s">
        <v>2570</v>
      </c>
      <c r="N745" s="259">
        <f>10278000+4281000+2569000</f>
        <v>17128000</v>
      </c>
      <c r="O745" s="2" t="s">
        <v>6544</v>
      </c>
      <c r="P745" s="259">
        <f>10072000+4195000+2518000</f>
        <v>16785000</v>
      </c>
      <c r="Q745" s="12" t="s">
        <v>6232</v>
      </c>
      <c r="V745" t="s">
        <v>6232</v>
      </c>
      <c r="W745" t="s">
        <v>6232</v>
      </c>
      <c r="X745" t="s">
        <v>6232</v>
      </c>
    </row>
    <row r="746" spans="1:24" ht="18.399999999999999" customHeight="1">
      <c r="A746" s="11" t="s">
        <v>5189</v>
      </c>
      <c r="B746" s="2" t="s">
        <v>2216</v>
      </c>
      <c r="C746" s="2" t="s">
        <v>2695</v>
      </c>
      <c r="D746" s="2" t="s">
        <v>6141</v>
      </c>
      <c r="E746" s="29">
        <f t="shared" si="0"/>
        <v>17211000</v>
      </c>
      <c r="F746" s="2"/>
      <c r="G746" s="2" t="s">
        <v>6232</v>
      </c>
      <c r="H746" s="2"/>
      <c r="I746" s="2" t="s">
        <v>6232</v>
      </c>
      <c r="J746" s="2"/>
      <c r="K746" s="2" t="s">
        <v>6232</v>
      </c>
      <c r="L746" s="29">
        <f>11175000+4657000+3410000</f>
        <v>19242000</v>
      </c>
      <c r="M746" s="2" t="s">
        <v>2570</v>
      </c>
      <c r="N746" s="259">
        <f>10538000+4390000+2635000</f>
        <v>17563000</v>
      </c>
      <c r="O746" s="2" t="s">
        <v>6544</v>
      </c>
      <c r="P746" s="259">
        <f>10327000+4302000+2582000</f>
        <v>17211000</v>
      </c>
      <c r="Q746" s="12" t="s">
        <v>6232</v>
      </c>
      <c r="V746" t="s">
        <v>6232</v>
      </c>
      <c r="W746" t="s">
        <v>6232</v>
      </c>
      <c r="X746" t="s">
        <v>6232</v>
      </c>
    </row>
    <row r="747" spans="1:24" ht="18.399999999999999" customHeight="1">
      <c r="A747" s="11" t="s">
        <v>3571</v>
      </c>
      <c r="B747" s="2" t="s">
        <v>2216</v>
      </c>
      <c r="C747" s="2" t="s">
        <v>3762</v>
      </c>
      <c r="D747" s="2" t="s">
        <v>6141</v>
      </c>
      <c r="E747" s="29">
        <f t="shared" si="0"/>
        <v>20780000</v>
      </c>
      <c r="F747" s="2"/>
      <c r="G747" s="2" t="s">
        <v>6232</v>
      </c>
      <c r="H747" s="2"/>
      <c r="I747" s="2" t="s">
        <v>6232</v>
      </c>
      <c r="J747" s="2"/>
      <c r="K747" s="2" t="s">
        <v>6232</v>
      </c>
      <c r="L747" s="29">
        <f>13290000+5538000+3831000</f>
        <v>22659000</v>
      </c>
      <c r="M747" s="2" t="s">
        <v>2570</v>
      </c>
      <c r="N747" s="259">
        <f>12724000+5300000+3180000</f>
        <v>21204000</v>
      </c>
      <c r="O747" s="2" t="s">
        <v>6544</v>
      </c>
      <c r="P747" s="259">
        <f>12470000+5194000+3116000</f>
        <v>20780000</v>
      </c>
      <c r="Q747" s="12" t="s">
        <v>6232</v>
      </c>
      <c r="V747" t="s">
        <v>6232</v>
      </c>
      <c r="W747" t="s">
        <v>6232</v>
      </c>
      <c r="X747" t="s">
        <v>6232</v>
      </c>
    </row>
    <row r="748" spans="1:24" ht="18.399999999999999" customHeight="1">
      <c r="A748" s="11" t="s">
        <v>5455</v>
      </c>
      <c r="B748" s="2" t="s">
        <v>2216</v>
      </c>
      <c r="C748" s="2" t="s">
        <v>512</v>
      </c>
      <c r="D748" s="2" t="s">
        <v>6141</v>
      </c>
      <c r="E748" s="29">
        <f t="shared" si="0"/>
        <v>23352000</v>
      </c>
      <c r="F748" s="2"/>
      <c r="G748" s="2" t="s">
        <v>6232</v>
      </c>
      <c r="H748" s="2"/>
      <c r="I748" s="2" t="s">
        <v>6232</v>
      </c>
      <c r="J748" s="2"/>
      <c r="K748" s="2" t="s">
        <v>6232</v>
      </c>
      <c r="L748" s="29">
        <f>14219000+6220000+4170000</f>
        <v>24609000</v>
      </c>
      <c r="M748" s="2" t="s">
        <v>2570</v>
      </c>
      <c r="N748" s="259">
        <f>14297000+5957000+3574000</f>
        <v>23828000</v>
      </c>
      <c r="O748" s="2" t="s">
        <v>6544</v>
      </c>
      <c r="P748" s="259">
        <f>14011000+5838000+3503000</f>
        <v>23352000</v>
      </c>
      <c r="Q748" s="12" t="s">
        <v>6232</v>
      </c>
      <c r="V748" t="s">
        <v>6232</v>
      </c>
      <c r="W748" t="s">
        <v>6232</v>
      </c>
      <c r="X748" t="s">
        <v>6232</v>
      </c>
    </row>
    <row r="749" spans="1:24" ht="18.399999999999999" customHeight="1">
      <c r="A749" s="11" t="s">
        <v>3989</v>
      </c>
      <c r="B749" s="2" t="s">
        <v>2216</v>
      </c>
      <c r="C749" s="2" t="s">
        <v>6186</v>
      </c>
      <c r="D749" s="2" t="s">
        <v>6141</v>
      </c>
      <c r="E749" s="29">
        <f t="shared" si="0"/>
        <v>24670000</v>
      </c>
      <c r="F749" s="2"/>
      <c r="G749" s="2" t="s">
        <v>6232</v>
      </c>
      <c r="H749" s="2"/>
      <c r="I749" s="2" t="s">
        <v>6232</v>
      </c>
      <c r="J749" s="2"/>
      <c r="K749" s="2" t="s">
        <v>6232</v>
      </c>
      <c r="L749" s="29">
        <f>16254000+6772000+4170000</f>
        <v>27196000</v>
      </c>
      <c r="M749" s="2" t="s">
        <v>2570</v>
      </c>
      <c r="N749" s="259">
        <f>15105000+6293000+3775000</f>
        <v>25173000</v>
      </c>
      <c r="O749" s="2" t="s">
        <v>6544</v>
      </c>
      <c r="P749" s="259">
        <f>14803000+6167000+3700000</f>
        <v>24670000</v>
      </c>
      <c r="Q749" s="12" t="s">
        <v>6232</v>
      </c>
      <c r="V749" t="s">
        <v>6232</v>
      </c>
      <c r="W749" t="s">
        <v>6232</v>
      </c>
      <c r="X749" t="s">
        <v>6232</v>
      </c>
    </row>
    <row r="750" spans="1:24" ht="18.399999999999999" customHeight="1">
      <c r="A750" s="11" t="s">
        <v>4454</v>
      </c>
      <c r="B750" s="2" t="s">
        <v>2216</v>
      </c>
      <c r="C750" s="2" t="s">
        <v>6105</v>
      </c>
      <c r="D750" s="2" t="s">
        <v>6141</v>
      </c>
      <c r="E750" s="29">
        <f t="shared" si="0"/>
        <v>31331000</v>
      </c>
      <c r="F750" s="2"/>
      <c r="G750" s="2" t="s">
        <v>6232</v>
      </c>
      <c r="H750" s="2"/>
      <c r="I750" s="2" t="s">
        <v>6232</v>
      </c>
      <c r="J750" s="2"/>
      <c r="K750" s="2" t="s">
        <v>6232</v>
      </c>
      <c r="L750" s="29">
        <f>20231000+8429000+5191000</f>
        <v>33851000</v>
      </c>
      <c r="M750" s="2" t="s">
        <v>2570</v>
      </c>
      <c r="N750" s="259">
        <f>19183000+7992000+4796000</f>
        <v>31971000</v>
      </c>
      <c r="O750" s="2" t="s">
        <v>6544</v>
      </c>
      <c r="P750" s="259">
        <f>18799000+7832000+4700000</f>
        <v>31331000</v>
      </c>
      <c r="Q750" s="12" t="s">
        <v>6232</v>
      </c>
      <c r="V750" t="s">
        <v>6232</v>
      </c>
      <c r="W750" t="s">
        <v>6232</v>
      </c>
      <c r="X750" t="s">
        <v>6232</v>
      </c>
    </row>
    <row r="751" spans="1:24" ht="18.399999999999999" customHeight="1">
      <c r="A751" s="11" t="s">
        <v>6160</v>
      </c>
      <c r="B751" s="2" t="s">
        <v>2216</v>
      </c>
      <c r="C751" s="2" t="s">
        <v>397</v>
      </c>
      <c r="D751" s="2" t="s">
        <v>6141</v>
      </c>
      <c r="E751" s="29">
        <f t="shared" si="0"/>
        <v>33632000</v>
      </c>
      <c r="F751" s="2"/>
      <c r="G751" s="2" t="s">
        <v>6232</v>
      </c>
      <c r="H751" s="2"/>
      <c r="I751" s="2" t="s">
        <v>6232</v>
      </c>
      <c r="J751" s="2"/>
      <c r="K751" s="2" t="s">
        <v>6232</v>
      </c>
      <c r="L751" s="29">
        <f>22399000+9333000+5748000</f>
        <v>37480000</v>
      </c>
      <c r="M751" s="2" t="s">
        <v>2570</v>
      </c>
      <c r="N751" s="259">
        <f>20606000+8561000+5151000</f>
        <v>34318000</v>
      </c>
      <c r="O751" s="2" t="s">
        <v>6544</v>
      </c>
      <c r="P751" s="259">
        <f>20194000+8390000+5048000</f>
        <v>33632000</v>
      </c>
      <c r="Q751" s="12" t="s">
        <v>6232</v>
      </c>
      <c r="V751" t="s">
        <v>6232</v>
      </c>
      <c r="W751" t="s">
        <v>6232</v>
      </c>
      <c r="X751" t="s">
        <v>6232</v>
      </c>
    </row>
    <row r="752" spans="1:24" ht="18.399999999999999" customHeight="1">
      <c r="A752" s="11" t="s">
        <v>3458</v>
      </c>
      <c r="B752" s="2" t="s">
        <v>2216</v>
      </c>
      <c r="C752" s="2" t="s">
        <v>3821</v>
      </c>
      <c r="D752" s="2" t="s">
        <v>6141</v>
      </c>
      <c r="E752" s="29">
        <f t="shared" si="0"/>
        <v>37556000</v>
      </c>
      <c r="F752" s="2"/>
      <c r="G752" s="2" t="s">
        <v>6232</v>
      </c>
      <c r="H752" s="2"/>
      <c r="I752" s="2" t="s">
        <v>6232</v>
      </c>
      <c r="J752" s="2"/>
      <c r="K752" s="2" t="s">
        <v>6232</v>
      </c>
      <c r="L752" s="29">
        <f>24550000+10227000+6298000</f>
        <v>41075000</v>
      </c>
      <c r="M752" s="2" t="s">
        <v>2570</v>
      </c>
      <c r="N752" s="259">
        <f>23508000+8939000+5876000</f>
        <v>38323000</v>
      </c>
      <c r="O752" s="2" t="s">
        <v>6544</v>
      </c>
      <c r="P752" s="259">
        <f>23038000+8760000+5758000</f>
        <v>37556000</v>
      </c>
      <c r="Q752" s="12" t="s">
        <v>6232</v>
      </c>
      <c r="V752" t="s">
        <v>6232</v>
      </c>
      <c r="W752" t="s">
        <v>6232</v>
      </c>
      <c r="X752" t="s">
        <v>6232</v>
      </c>
    </row>
    <row r="753" spans="1:24" ht="18.399999999999999" customHeight="1">
      <c r="A753" s="11" t="s">
        <v>4905</v>
      </c>
      <c r="B753" s="2" t="s">
        <v>2216</v>
      </c>
      <c r="C753" s="2" t="s">
        <v>2812</v>
      </c>
      <c r="D753" s="2" t="s">
        <v>6141</v>
      </c>
      <c r="E753" s="29">
        <f t="shared" si="0"/>
        <v>42887000</v>
      </c>
      <c r="F753" s="2"/>
      <c r="G753" s="2" t="s">
        <v>6232</v>
      </c>
      <c r="H753" s="2"/>
      <c r="I753" s="2" t="s">
        <v>6232</v>
      </c>
      <c r="J753" s="2"/>
      <c r="K753" s="2" t="s">
        <v>6232</v>
      </c>
      <c r="L753" s="29">
        <f>29346000+11286000+6949000</f>
        <v>47581000</v>
      </c>
      <c r="M753" s="2" t="s">
        <v>2570</v>
      </c>
      <c r="N753" s="259">
        <f>27826000+9516000+6420000</f>
        <v>43762000</v>
      </c>
      <c r="O753" s="2" t="s">
        <v>6544</v>
      </c>
      <c r="P753" s="259">
        <f>27269000+9326000+6292000</f>
        <v>42887000</v>
      </c>
      <c r="Q753" s="12" t="s">
        <v>6232</v>
      </c>
      <c r="V753" t="s">
        <v>6232</v>
      </c>
      <c r="W753" t="s">
        <v>6232</v>
      </c>
      <c r="X753" t="s">
        <v>6232</v>
      </c>
    </row>
    <row r="754" spans="1:24" ht="18.399999999999999" customHeight="1">
      <c r="A754" s="11" t="s">
        <v>1836</v>
      </c>
      <c r="B754" s="2" t="s">
        <v>2103</v>
      </c>
      <c r="C754" s="2" t="s">
        <v>1572</v>
      </c>
      <c r="D754" s="2" t="s">
        <v>6141</v>
      </c>
      <c r="E754" s="29">
        <f t="shared" si="0"/>
        <v>1432000</v>
      </c>
      <c r="F754" s="2"/>
      <c r="G754" s="2" t="s">
        <v>6232</v>
      </c>
      <c r="H754" s="2"/>
      <c r="I754" s="2" t="s">
        <v>6232</v>
      </c>
      <c r="J754" s="2"/>
      <c r="K754" s="2" t="s">
        <v>6232</v>
      </c>
      <c r="L754" s="29">
        <f>1779000</f>
        <v>1779000</v>
      </c>
      <c r="M754" s="2" t="s">
        <v>2570</v>
      </c>
      <c r="N754" s="259">
        <f>1461000</f>
        <v>1461000</v>
      </c>
      <c r="O754" s="2" t="s">
        <v>6544</v>
      </c>
      <c r="P754" s="259">
        <v>1432000</v>
      </c>
      <c r="Q754" s="12" t="s">
        <v>6232</v>
      </c>
      <c r="V754" t="s">
        <v>6232</v>
      </c>
      <c r="W754" t="s">
        <v>6232</v>
      </c>
      <c r="X754" t="s">
        <v>6232</v>
      </c>
    </row>
    <row r="755" spans="1:24" ht="18.399999999999999" customHeight="1">
      <c r="A755" s="11" t="s">
        <v>1524</v>
      </c>
      <c r="B755" s="2" t="s">
        <v>2103</v>
      </c>
      <c r="C755" s="2" t="s">
        <v>2531</v>
      </c>
      <c r="D755" s="2" t="s">
        <v>6141</v>
      </c>
      <c r="E755" s="29">
        <f t="shared" si="0"/>
        <v>1656000</v>
      </c>
      <c r="F755" s="2"/>
      <c r="G755" s="2" t="s">
        <v>6232</v>
      </c>
      <c r="H755" s="2"/>
      <c r="I755" s="2" t="s">
        <v>6232</v>
      </c>
      <c r="J755" s="2"/>
      <c r="K755" s="2" t="s">
        <v>6232</v>
      </c>
      <c r="L755" s="29">
        <f>1994000</f>
        <v>1994000</v>
      </c>
      <c r="M755" s="2" t="s">
        <v>2570</v>
      </c>
      <c r="N755" s="259">
        <f>1690000</f>
        <v>1690000</v>
      </c>
      <c r="O755" s="2" t="s">
        <v>6544</v>
      </c>
      <c r="P755" s="259">
        <v>1656000</v>
      </c>
      <c r="Q755" s="12" t="s">
        <v>6232</v>
      </c>
      <c r="V755" t="s">
        <v>6232</v>
      </c>
      <c r="W755" t="s">
        <v>6232</v>
      </c>
      <c r="X755" t="s">
        <v>6232</v>
      </c>
    </row>
    <row r="756" spans="1:24" ht="18.399999999999999" customHeight="1">
      <c r="A756" s="11" t="s">
        <v>183</v>
      </c>
      <c r="B756" s="2" t="s">
        <v>2103</v>
      </c>
      <c r="C756" s="2" t="s">
        <v>4124</v>
      </c>
      <c r="D756" s="2" t="s">
        <v>6141</v>
      </c>
      <c r="E756" s="29">
        <f t="shared" si="0"/>
        <v>1953000</v>
      </c>
      <c r="F756" s="2"/>
      <c r="G756" s="2" t="s">
        <v>6232</v>
      </c>
      <c r="H756" s="2"/>
      <c r="I756" s="2" t="s">
        <v>6232</v>
      </c>
      <c r="J756" s="2"/>
      <c r="K756" s="2" t="s">
        <v>6232</v>
      </c>
      <c r="L756" s="29">
        <f>2329000</f>
        <v>2329000</v>
      </c>
      <c r="M756" s="2" t="s">
        <v>2570</v>
      </c>
      <c r="N756" s="259">
        <f>1993000</f>
        <v>1993000</v>
      </c>
      <c r="O756" s="2" t="s">
        <v>6544</v>
      </c>
      <c r="P756" s="259">
        <v>1953000</v>
      </c>
      <c r="Q756" s="12" t="s">
        <v>6232</v>
      </c>
      <c r="V756" t="s">
        <v>6232</v>
      </c>
      <c r="W756" t="s">
        <v>6232</v>
      </c>
      <c r="X756" t="s">
        <v>6232</v>
      </c>
    </row>
    <row r="757" spans="1:24" ht="18.399999999999999" customHeight="1">
      <c r="A757" s="11" t="s">
        <v>496</v>
      </c>
      <c r="B757" s="2" t="s">
        <v>2103</v>
      </c>
      <c r="C757" s="2" t="s">
        <v>4184</v>
      </c>
      <c r="D757" s="2" t="s">
        <v>6141</v>
      </c>
      <c r="E757" s="29">
        <f t="shared" si="0"/>
        <v>3365000</v>
      </c>
      <c r="F757" s="2"/>
      <c r="G757" s="2" t="s">
        <v>6232</v>
      </c>
      <c r="H757" s="2"/>
      <c r="I757" s="2" t="s">
        <v>6232</v>
      </c>
      <c r="J757" s="2"/>
      <c r="K757" s="2" t="s">
        <v>6232</v>
      </c>
      <c r="L757" s="29">
        <f>4038000</f>
        <v>4038000</v>
      </c>
      <c r="M757" s="2" t="s">
        <v>2570</v>
      </c>
      <c r="N757" s="259">
        <f>3434000</f>
        <v>3434000</v>
      </c>
      <c r="O757" s="2" t="s">
        <v>6544</v>
      </c>
      <c r="P757" s="259">
        <v>3365000</v>
      </c>
      <c r="Q757" s="12" t="s">
        <v>6232</v>
      </c>
      <c r="V757" t="s">
        <v>6232</v>
      </c>
      <c r="W757" t="s">
        <v>6232</v>
      </c>
      <c r="X757" t="s">
        <v>6232</v>
      </c>
    </row>
    <row r="758" spans="1:24" ht="18.399999999999999" customHeight="1">
      <c r="A758" s="11" t="s">
        <v>1932</v>
      </c>
      <c r="B758" s="2" t="s">
        <v>2103</v>
      </c>
      <c r="C758" s="2" t="s">
        <v>1695</v>
      </c>
      <c r="D758" s="2" t="s">
        <v>6141</v>
      </c>
      <c r="E758" s="29">
        <f t="shared" si="0"/>
        <v>5214000</v>
      </c>
      <c r="F758" s="2"/>
      <c r="G758" s="2" t="s">
        <v>6232</v>
      </c>
      <c r="H758" s="2"/>
      <c r="I758" s="2" t="s">
        <v>6232</v>
      </c>
      <c r="J758" s="2"/>
      <c r="K758" s="2" t="s">
        <v>6232</v>
      </c>
      <c r="L758" s="29">
        <f>6467000</f>
        <v>6467000</v>
      </c>
      <c r="M758" s="2" t="s">
        <v>2570</v>
      </c>
      <c r="N758" s="259">
        <f>5320000</f>
        <v>5320000</v>
      </c>
      <c r="O758" s="2" t="s">
        <v>6544</v>
      </c>
      <c r="P758" s="259">
        <v>5214000</v>
      </c>
      <c r="Q758" s="12" t="s">
        <v>6232</v>
      </c>
      <c r="V758" t="s">
        <v>6232</v>
      </c>
      <c r="W758" t="s">
        <v>6232</v>
      </c>
      <c r="X758" t="s">
        <v>6232</v>
      </c>
    </row>
    <row r="759" spans="1:24" ht="18.399999999999999" customHeight="1">
      <c r="A759" s="11" t="s">
        <v>866</v>
      </c>
      <c r="B759" s="2" t="s">
        <v>2103</v>
      </c>
      <c r="C759" s="2" t="s">
        <v>4869</v>
      </c>
      <c r="D759" s="2" t="s">
        <v>6141</v>
      </c>
      <c r="E759" s="29">
        <f t="shared" si="0"/>
        <v>7069000</v>
      </c>
      <c r="F759" s="2"/>
      <c r="G759" s="2" t="s">
        <v>6232</v>
      </c>
      <c r="H759" s="2"/>
      <c r="I759" s="2" t="s">
        <v>6232</v>
      </c>
      <c r="J759" s="2"/>
      <c r="K759" s="2" t="s">
        <v>6232</v>
      </c>
      <c r="L759" s="29">
        <f>8711000</f>
        <v>8711000</v>
      </c>
      <c r="M759" s="2" t="s">
        <v>2570</v>
      </c>
      <c r="N759" s="259">
        <f>7213000</f>
        <v>7213000</v>
      </c>
      <c r="O759" s="2" t="s">
        <v>6544</v>
      </c>
      <c r="P759" s="259">
        <v>7069000</v>
      </c>
      <c r="Q759" s="12" t="s">
        <v>6232</v>
      </c>
      <c r="V759" t="s">
        <v>6232</v>
      </c>
      <c r="W759" t="s">
        <v>6232</v>
      </c>
      <c r="X759" t="s">
        <v>6232</v>
      </c>
    </row>
    <row r="760" spans="1:24" ht="18.399999999999999" customHeight="1">
      <c r="A760" s="11" t="s">
        <v>2473</v>
      </c>
      <c r="B760" s="2" t="s">
        <v>2103</v>
      </c>
      <c r="C760" s="2" t="s">
        <v>809</v>
      </c>
      <c r="D760" s="2" t="s">
        <v>6141</v>
      </c>
      <c r="E760" s="29">
        <f t="shared" si="0"/>
        <v>7094000</v>
      </c>
      <c r="F760" s="2"/>
      <c r="G760" s="2" t="s">
        <v>6232</v>
      </c>
      <c r="H760" s="2"/>
      <c r="I760" s="2" t="s">
        <v>6232</v>
      </c>
      <c r="J760" s="2"/>
      <c r="K760" s="2" t="s">
        <v>6232</v>
      </c>
      <c r="L760" s="29">
        <f>8796000</f>
        <v>8796000</v>
      </c>
      <c r="M760" s="2" t="s">
        <v>2570</v>
      </c>
      <c r="N760" s="259">
        <f>7239000</f>
        <v>7239000</v>
      </c>
      <c r="O760" s="2" t="s">
        <v>6544</v>
      </c>
      <c r="P760" s="259">
        <v>7094000</v>
      </c>
      <c r="Q760" s="12" t="s">
        <v>6232</v>
      </c>
      <c r="V760" t="s">
        <v>6232</v>
      </c>
      <c r="W760" t="s">
        <v>6232</v>
      </c>
      <c r="X760" t="s">
        <v>6232</v>
      </c>
    </row>
    <row r="761" spans="1:24" ht="18.399999999999999" customHeight="1">
      <c r="A761" s="11" t="s">
        <v>4048</v>
      </c>
      <c r="B761" s="2" t="s">
        <v>2103</v>
      </c>
      <c r="C761" s="2" t="s">
        <v>2695</v>
      </c>
      <c r="D761" s="2" t="s">
        <v>6141</v>
      </c>
      <c r="E761" s="29">
        <f t="shared" si="0"/>
        <v>7309000</v>
      </c>
      <c r="F761" s="2"/>
      <c r="G761" s="2" t="s">
        <v>6232</v>
      </c>
      <c r="H761" s="2"/>
      <c r="I761" s="2" t="s">
        <v>6232</v>
      </c>
      <c r="J761" s="2"/>
      <c r="K761" s="2" t="s">
        <v>6232</v>
      </c>
      <c r="L761" s="29">
        <f>8975000</f>
        <v>8975000</v>
      </c>
      <c r="M761" s="2" t="s">
        <v>2570</v>
      </c>
      <c r="N761" s="259">
        <f>7458000</f>
        <v>7458000</v>
      </c>
      <c r="O761" s="2" t="s">
        <v>6544</v>
      </c>
      <c r="P761" s="259">
        <v>7309000</v>
      </c>
      <c r="Q761" s="12" t="s">
        <v>6232</v>
      </c>
      <c r="V761" t="s">
        <v>6232</v>
      </c>
      <c r="W761" t="s">
        <v>6232</v>
      </c>
      <c r="X761" t="s">
        <v>6232</v>
      </c>
    </row>
    <row r="762" spans="1:24" ht="18.399999999999999" customHeight="1">
      <c r="A762" s="11" t="s">
        <v>5510</v>
      </c>
      <c r="B762" s="2" t="s">
        <v>2103</v>
      </c>
      <c r="C762" s="2" t="s">
        <v>3762</v>
      </c>
      <c r="D762" s="2" t="s">
        <v>6141</v>
      </c>
      <c r="E762" s="29">
        <f t="shared" si="0"/>
        <v>7776000</v>
      </c>
      <c r="F762" s="2"/>
      <c r="G762" s="2" t="s">
        <v>6232</v>
      </c>
      <c r="H762" s="2"/>
      <c r="I762" s="2" t="s">
        <v>6232</v>
      </c>
      <c r="J762" s="2"/>
      <c r="K762" s="2" t="s">
        <v>6232</v>
      </c>
      <c r="L762" s="29">
        <f>9268000</f>
        <v>9268000</v>
      </c>
      <c r="M762" s="2" t="s">
        <v>2570</v>
      </c>
      <c r="N762" s="259">
        <f>7935000</f>
        <v>7935000</v>
      </c>
      <c r="O762" s="2" t="s">
        <v>6544</v>
      </c>
      <c r="P762" s="259">
        <v>7776000</v>
      </c>
      <c r="Q762" s="12" t="s">
        <v>6232</v>
      </c>
      <c r="V762" t="s">
        <v>6232</v>
      </c>
      <c r="W762" t="s">
        <v>6232</v>
      </c>
      <c r="X762" t="s">
        <v>6232</v>
      </c>
    </row>
    <row r="763" spans="1:24" ht="18.399999999999999" customHeight="1">
      <c r="A763" s="11" t="s">
        <v>3495</v>
      </c>
      <c r="B763" s="2" t="s">
        <v>2103</v>
      </c>
      <c r="C763" s="2" t="s">
        <v>512</v>
      </c>
      <c r="D763" s="2" t="s">
        <v>6141</v>
      </c>
      <c r="E763" s="29">
        <f t="shared" si="0"/>
        <v>8170000</v>
      </c>
      <c r="F763" s="2"/>
      <c r="G763" s="2" t="s">
        <v>6232</v>
      </c>
      <c r="H763" s="2"/>
      <c r="I763" s="2" t="s">
        <v>6232</v>
      </c>
      <c r="J763" s="2"/>
      <c r="K763" s="2" t="s">
        <v>6232</v>
      </c>
      <c r="L763" s="29">
        <f>9831000</f>
        <v>9831000</v>
      </c>
      <c r="M763" s="2" t="s">
        <v>2570</v>
      </c>
      <c r="N763" s="259">
        <f>8337000</f>
        <v>8337000</v>
      </c>
      <c r="O763" s="2" t="s">
        <v>6544</v>
      </c>
      <c r="P763" s="259">
        <v>8170000</v>
      </c>
      <c r="Q763" s="12" t="s">
        <v>6232</v>
      </c>
      <c r="V763" t="s">
        <v>6232</v>
      </c>
      <c r="W763" t="s">
        <v>6232</v>
      </c>
      <c r="X763" t="s">
        <v>6232</v>
      </c>
    </row>
    <row r="764" spans="1:24" ht="18.399999999999999" customHeight="1">
      <c r="A764" s="11" t="s">
        <v>5144</v>
      </c>
      <c r="B764" s="2" t="s">
        <v>2103</v>
      </c>
      <c r="C764" s="2" t="s">
        <v>6186</v>
      </c>
      <c r="D764" s="2" t="s">
        <v>6141</v>
      </c>
      <c r="E764" s="29">
        <f t="shared" si="0"/>
        <v>8250000</v>
      </c>
      <c r="F764" s="2"/>
      <c r="G764" s="2" t="s">
        <v>6232</v>
      </c>
      <c r="H764" s="2"/>
      <c r="I764" s="2" t="s">
        <v>6232</v>
      </c>
      <c r="J764" s="2"/>
      <c r="K764" s="2" t="s">
        <v>6232</v>
      </c>
      <c r="L764" s="29">
        <f>10032000</f>
        <v>10032000</v>
      </c>
      <c r="M764" s="2" t="s">
        <v>2570</v>
      </c>
      <c r="N764" s="259">
        <f>8418000</f>
        <v>8418000</v>
      </c>
      <c r="O764" s="2" t="s">
        <v>6544</v>
      </c>
      <c r="P764" s="259">
        <v>8250000</v>
      </c>
      <c r="Q764" s="12" t="s">
        <v>6232</v>
      </c>
      <c r="V764" t="s">
        <v>6232</v>
      </c>
      <c r="W764" t="s">
        <v>6232</v>
      </c>
      <c r="X764" t="s">
        <v>6232</v>
      </c>
    </row>
    <row r="765" spans="1:24" ht="18.399999999999999" customHeight="1">
      <c r="A765" s="11" t="s">
        <v>4847</v>
      </c>
      <c r="B765" s="2" t="s">
        <v>2103</v>
      </c>
      <c r="C765" s="2" t="s">
        <v>6105</v>
      </c>
      <c r="D765" s="2" t="s">
        <v>6141</v>
      </c>
      <c r="E765" s="29">
        <f t="shared" si="0"/>
        <v>10638000</v>
      </c>
      <c r="F765" s="2"/>
      <c r="G765" s="2" t="s">
        <v>6232</v>
      </c>
      <c r="H765" s="2"/>
      <c r="I765" s="2" t="s">
        <v>6232</v>
      </c>
      <c r="J765" s="2"/>
      <c r="K765" s="2" t="s">
        <v>6232</v>
      </c>
      <c r="L765" s="29">
        <f>12935000</f>
        <v>12935000</v>
      </c>
      <c r="M765" s="2" t="s">
        <v>2570</v>
      </c>
      <c r="N765" s="259">
        <f>10855000</f>
        <v>10855000</v>
      </c>
      <c r="O765" s="2" t="s">
        <v>6544</v>
      </c>
      <c r="P765" s="259">
        <v>10638000</v>
      </c>
      <c r="Q765" s="12" t="s">
        <v>6232</v>
      </c>
      <c r="V765" t="s">
        <v>6232</v>
      </c>
      <c r="W765" t="s">
        <v>6232</v>
      </c>
      <c r="X765" t="s">
        <v>6232</v>
      </c>
    </row>
    <row r="766" spans="1:24" ht="18.399999999999999" customHeight="1">
      <c r="A766" s="11" t="s">
        <v>3407</v>
      </c>
      <c r="B766" s="2" t="s">
        <v>2103</v>
      </c>
      <c r="C766" s="2" t="s">
        <v>397</v>
      </c>
      <c r="D766" s="2" t="s">
        <v>6141</v>
      </c>
      <c r="E766" s="29">
        <f t="shared" si="0"/>
        <v>10749000</v>
      </c>
      <c r="F766" s="2"/>
      <c r="G766" s="2" t="s">
        <v>6232</v>
      </c>
      <c r="H766" s="2"/>
      <c r="I766" s="2" t="s">
        <v>6232</v>
      </c>
      <c r="J766" s="2"/>
      <c r="K766" s="2" t="s">
        <v>6232</v>
      </c>
      <c r="L766" s="29">
        <f>13195000</f>
        <v>13195000</v>
      </c>
      <c r="M766" s="2" t="s">
        <v>2570</v>
      </c>
      <c r="N766" s="259">
        <f>10968000</f>
        <v>10968000</v>
      </c>
      <c r="O766" s="2" t="s">
        <v>6544</v>
      </c>
      <c r="P766" s="259">
        <v>10749000</v>
      </c>
      <c r="Q766" s="12" t="s">
        <v>6232</v>
      </c>
      <c r="V766" t="s">
        <v>6232</v>
      </c>
      <c r="W766" t="s">
        <v>6232</v>
      </c>
      <c r="X766" t="s">
        <v>6232</v>
      </c>
    </row>
    <row r="767" spans="1:24" ht="18.399999999999999" customHeight="1">
      <c r="A767" s="11" t="s">
        <v>6211</v>
      </c>
      <c r="B767" s="2" t="s">
        <v>2103</v>
      </c>
      <c r="C767" s="2" t="s">
        <v>3821</v>
      </c>
      <c r="D767" s="2" t="s">
        <v>6141</v>
      </c>
      <c r="E767" s="29">
        <f t="shared" si="0"/>
        <v>11521000</v>
      </c>
      <c r="F767" s="2"/>
      <c r="G767" s="2" t="s">
        <v>6232</v>
      </c>
      <c r="H767" s="2"/>
      <c r="I767" s="2" t="s">
        <v>6232</v>
      </c>
      <c r="J767" s="2"/>
      <c r="K767" s="2" t="s">
        <v>6232</v>
      </c>
      <c r="L767" s="29">
        <f>13727000</f>
        <v>13727000</v>
      </c>
      <c r="M767" s="2" t="s">
        <v>2570</v>
      </c>
      <c r="N767" s="259">
        <f>11756000</f>
        <v>11756000</v>
      </c>
      <c r="O767" s="2" t="s">
        <v>6544</v>
      </c>
      <c r="P767" s="259">
        <v>11521000</v>
      </c>
      <c r="Q767" s="12" t="s">
        <v>6232</v>
      </c>
      <c r="V767" t="s">
        <v>6232</v>
      </c>
      <c r="W767" t="s">
        <v>6232</v>
      </c>
      <c r="X767" t="s">
        <v>6232</v>
      </c>
    </row>
    <row r="768" spans="1:24" ht="18.399999999999999" customHeight="1">
      <c r="A768" s="11" t="s">
        <v>4501</v>
      </c>
      <c r="B768" s="2" t="s">
        <v>2103</v>
      </c>
      <c r="C768" s="2" t="s">
        <v>2812</v>
      </c>
      <c r="D768" s="2" t="s">
        <v>6141</v>
      </c>
      <c r="E768" s="29">
        <f t="shared" si="0"/>
        <v>13989000</v>
      </c>
      <c r="F768" s="2"/>
      <c r="G768" s="2" t="s">
        <v>6232</v>
      </c>
      <c r="H768" s="2"/>
      <c r="I768" s="2" t="s">
        <v>6232</v>
      </c>
      <c r="J768" s="2"/>
      <c r="K768" s="2" t="s">
        <v>6232</v>
      </c>
      <c r="L768" s="29">
        <f>16898000</f>
        <v>16898000</v>
      </c>
      <c r="M768" s="2" t="s">
        <v>2570</v>
      </c>
      <c r="N768" s="259">
        <f>14274000</f>
        <v>14274000</v>
      </c>
      <c r="O768" s="2" t="s">
        <v>6544</v>
      </c>
      <c r="P768" s="259">
        <v>13989000</v>
      </c>
      <c r="Q768" s="12" t="s">
        <v>6232</v>
      </c>
      <c r="V768" t="s">
        <v>6232</v>
      </c>
      <c r="W768" t="s">
        <v>6232</v>
      </c>
      <c r="X768" t="s">
        <v>6232</v>
      </c>
    </row>
    <row r="769" spans="1:24" ht="18.399999999999999" customHeight="1">
      <c r="A769" s="11" t="s">
        <v>3804</v>
      </c>
      <c r="B769" s="2" t="s">
        <v>4645</v>
      </c>
      <c r="C769" s="2" t="s">
        <v>1572</v>
      </c>
      <c r="D769" s="2" t="s">
        <v>6141</v>
      </c>
      <c r="E769" s="29">
        <f t="shared" si="0"/>
        <v>281000</v>
      </c>
      <c r="F769" s="2"/>
      <c r="G769" s="2" t="s">
        <v>6232</v>
      </c>
      <c r="H769" s="2"/>
      <c r="I769" s="2" t="s">
        <v>6232</v>
      </c>
      <c r="J769" s="2"/>
      <c r="K769" s="2" t="s">
        <v>6232</v>
      </c>
      <c r="L769" s="29">
        <f>358000</f>
        <v>358000</v>
      </c>
      <c r="M769" s="2" t="s">
        <v>2570</v>
      </c>
      <c r="N769" s="259">
        <f>287000</f>
        <v>287000</v>
      </c>
      <c r="O769" s="2" t="s">
        <v>6544</v>
      </c>
      <c r="P769" s="259">
        <v>281000</v>
      </c>
      <c r="Q769" s="12" t="s">
        <v>6232</v>
      </c>
      <c r="V769" t="s">
        <v>6232</v>
      </c>
      <c r="W769" t="s">
        <v>6232</v>
      </c>
      <c r="X769" t="s">
        <v>6232</v>
      </c>
    </row>
    <row r="770" spans="1:24" ht="18.399999999999999" customHeight="1">
      <c r="A770" s="11" t="s">
        <v>3480</v>
      </c>
      <c r="B770" s="2" t="s">
        <v>4645</v>
      </c>
      <c r="C770" s="2" t="s">
        <v>2531</v>
      </c>
      <c r="D770" s="2" t="s">
        <v>6141</v>
      </c>
      <c r="E770" s="29">
        <f t="shared" si="0"/>
        <v>298000</v>
      </c>
      <c r="F770" s="2"/>
      <c r="G770" s="2" t="s">
        <v>6232</v>
      </c>
      <c r="H770" s="2"/>
      <c r="I770" s="2" t="s">
        <v>6232</v>
      </c>
      <c r="J770" s="2"/>
      <c r="K770" s="2" t="s">
        <v>6232</v>
      </c>
      <c r="L770" s="29">
        <f>367000</f>
        <v>367000</v>
      </c>
      <c r="M770" s="2" t="s">
        <v>2570</v>
      </c>
      <c r="N770" s="259">
        <f>304000</f>
        <v>304000</v>
      </c>
      <c r="O770" s="2" t="s">
        <v>6544</v>
      </c>
      <c r="P770" s="259">
        <v>298000</v>
      </c>
      <c r="Q770" s="12" t="s">
        <v>6232</v>
      </c>
      <c r="V770" t="s">
        <v>6232</v>
      </c>
      <c r="W770" t="s">
        <v>6232</v>
      </c>
      <c r="X770" t="s">
        <v>6232</v>
      </c>
    </row>
    <row r="771" spans="1:24" ht="18.399999999999999" customHeight="1">
      <c r="A771" s="11" t="s">
        <v>5241</v>
      </c>
      <c r="B771" s="2" t="s">
        <v>4645</v>
      </c>
      <c r="C771" s="2" t="s">
        <v>4124</v>
      </c>
      <c r="D771" s="2" t="s">
        <v>6141</v>
      </c>
      <c r="E771" s="29">
        <f t="shared" si="0"/>
        <v>310000</v>
      </c>
      <c r="F771" s="2"/>
      <c r="G771" s="2" t="s">
        <v>6232</v>
      </c>
      <c r="H771" s="2"/>
      <c r="I771" s="2" t="s">
        <v>6232</v>
      </c>
      <c r="J771" s="2"/>
      <c r="K771" s="2" t="s">
        <v>6232</v>
      </c>
      <c r="L771" s="29">
        <f>374000</f>
        <v>374000</v>
      </c>
      <c r="M771" s="2" t="s">
        <v>2570</v>
      </c>
      <c r="N771" s="259">
        <f>316000</f>
        <v>316000</v>
      </c>
      <c r="O771" s="2" t="s">
        <v>6544</v>
      </c>
      <c r="P771" s="259">
        <v>310000</v>
      </c>
      <c r="Q771" s="12" t="s">
        <v>6232</v>
      </c>
      <c r="V771" t="s">
        <v>6232</v>
      </c>
      <c r="W771" t="s">
        <v>6232</v>
      </c>
      <c r="X771" t="s">
        <v>6232</v>
      </c>
    </row>
    <row r="772" spans="1:24" ht="18.399999999999999" customHeight="1">
      <c r="A772" s="11" t="s">
        <v>4752</v>
      </c>
      <c r="B772" s="2" t="s">
        <v>4645</v>
      </c>
      <c r="C772" s="2" t="s">
        <v>4184</v>
      </c>
      <c r="D772" s="2" t="s">
        <v>6141</v>
      </c>
      <c r="E772" s="29">
        <f t="shared" si="0"/>
        <v>333000</v>
      </c>
      <c r="F772" s="2"/>
      <c r="G772" s="2" t="s">
        <v>6232</v>
      </c>
      <c r="H772" s="2"/>
      <c r="I772" s="2" t="s">
        <v>6232</v>
      </c>
      <c r="J772" s="2"/>
      <c r="K772" s="2" t="s">
        <v>6232</v>
      </c>
      <c r="L772" s="29">
        <f>416000</f>
        <v>416000</v>
      </c>
      <c r="M772" s="2" t="s">
        <v>2570</v>
      </c>
      <c r="N772" s="259">
        <f>340000</f>
        <v>340000</v>
      </c>
      <c r="O772" s="2" t="s">
        <v>6544</v>
      </c>
      <c r="P772" s="259">
        <v>333000</v>
      </c>
      <c r="Q772" s="12" t="s">
        <v>6232</v>
      </c>
      <c r="V772" t="s">
        <v>6232</v>
      </c>
      <c r="W772" t="s">
        <v>6232</v>
      </c>
      <c r="X772" t="s">
        <v>6232</v>
      </c>
    </row>
    <row r="773" spans="1:24" ht="18.399999999999999" customHeight="1">
      <c r="A773" s="11" t="s">
        <v>3103</v>
      </c>
      <c r="B773" s="2" t="s">
        <v>4645</v>
      </c>
      <c r="C773" s="2" t="s">
        <v>1695</v>
      </c>
      <c r="D773" s="2" t="s">
        <v>6141</v>
      </c>
      <c r="E773" s="29">
        <f t="shared" si="0"/>
        <v>337000</v>
      </c>
      <c r="F773" s="2"/>
      <c r="G773" s="2" t="s">
        <v>6232</v>
      </c>
      <c r="H773" s="2"/>
      <c r="I773" s="2" t="s">
        <v>6232</v>
      </c>
      <c r="J773" s="2"/>
      <c r="K773" s="2" t="s">
        <v>6232</v>
      </c>
      <c r="L773" s="29">
        <f>422000</f>
        <v>422000</v>
      </c>
      <c r="M773" s="2" t="s">
        <v>2570</v>
      </c>
      <c r="N773" s="259">
        <f>344000</f>
        <v>344000</v>
      </c>
      <c r="O773" s="2" t="s">
        <v>6544</v>
      </c>
      <c r="P773" s="259">
        <v>337000</v>
      </c>
      <c r="Q773" s="12" t="s">
        <v>6232</v>
      </c>
      <c r="V773" t="s">
        <v>6232</v>
      </c>
      <c r="W773" t="s">
        <v>6232</v>
      </c>
      <c r="X773" t="s">
        <v>6232</v>
      </c>
    </row>
    <row r="774" spans="1:24" ht="18.399999999999999" customHeight="1">
      <c r="A774" s="11" t="s">
        <v>5914</v>
      </c>
      <c r="B774" s="2" t="s">
        <v>4645</v>
      </c>
      <c r="C774" s="2" t="s">
        <v>4869</v>
      </c>
      <c r="D774" s="2" t="s">
        <v>6141</v>
      </c>
      <c r="E774" s="29">
        <f t="shared" si="0"/>
        <v>357000</v>
      </c>
      <c r="F774" s="2"/>
      <c r="G774" s="2" t="s">
        <v>6232</v>
      </c>
      <c r="H774" s="2"/>
      <c r="I774" s="2" t="s">
        <v>6232</v>
      </c>
      <c r="J774" s="2"/>
      <c r="K774" s="2" t="s">
        <v>6232</v>
      </c>
      <c r="L774" s="29">
        <f>448000</f>
        <v>448000</v>
      </c>
      <c r="M774" s="2" t="s">
        <v>2570</v>
      </c>
      <c r="N774" s="259">
        <f>364000</f>
        <v>364000</v>
      </c>
      <c r="O774" s="2" t="s">
        <v>6544</v>
      </c>
      <c r="P774" s="259">
        <v>357000</v>
      </c>
      <c r="Q774" s="12" t="s">
        <v>6232</v>
      </c>
      <c r="V774" t="s">
        <v>6232</v>
      </c>
      <c r="W774" t="s">
        <v>6232</v>
      </c>
      <c r="X774" t="s">
        <v>6232</v>
      </c>
    </row>
    <row r="775" spans="1:24" ht="18.399999999999999" customHeight="1">
      <c r="A775" s="11" t="s">
        <v>4405</v>
      </c>
      <c r="B775" s="2" t="s">
        <v>4645</v>
      </c>
      <c r="C775" s="2" t="s">
        <v>809</v>
      </c>
      <c r="D775" s="2" t="s">
        <v>6141</v>
      </c>
      <c r="E775" s="29">
        <f t="shared" si="0"/>
        <v>427000</v>
      </c>
      <c r="F775" s="2"/>
      <c r="G775" s="2" t="s">
        <v>6232</v>
      </c>
      <c r="H775" s="2"/>
      <c r="I775" s="2" t="s">
        <v>6232</v>
      </c>
      <c r="J775" s="2"/>
      <c r="K775" s="2" t="s">
        <v>6232</v>
      </c>
      <c r="L775" s="29">
        <f>526000</f>
        <v>526000</v>
      </c>
      <c r="M775" s="2" t="s">
        <v>2570</v>
      </c>
      <c r="N775" s="259">
        <f>436000</f>
        <v>436000</v>
      </c>
      <c r="O775" s="2" t="s">
        <v>6544</v>
      </c>
      <c r="P775" s="259">
        <v>427000</v>
      </c>
      <c r="Q775" s="12" t="s">
        <v>6232</v>
      </c>
      <c r="V775" t="s">
        <v>6232</v>
      </c>
      <c r="W775" t="s">
        <v>6232</v>
      </c>
      <c r="X775" t="s">
        <v>6232</v>
      </c>
    </row>
    <row r="776" spans="1:24" ht="18.399999999999999" customHeight="1">
      <c r="A776" s="11" t="s">
        <v>2838</v>
      </c>
      <c r="B776" s="2" t="s">
        <v>4645</v>
      </c>
      <c r="C776" s="2" t="s">
        <v>2695</v>
      </c>
      <c r="D776" s="2" t="s">
        <v>6141</v>
      </c>
      <c r="E776" s="29">
        <f t="shared" si="0"/>
        <v>456000</v>
      </c>
      <c r="F776" s="2"/>
      <c r="G776" s="2" t="s">
        <v>6232</v>
      </c>
      <c r="H776" s="2"/>
      <c r="I776" s="2" t="s">
        <v>6232</v>
      </c>
      <c r="J776" s="2"/>
      <c r="K776" s="2" t="s">
        <v>6232</v>
      </c>
      <c r="L776" s="29">
        <f>578000</f>
        <v>578000</v>
      </c>
      <c r="M776" s="2" t="s">
        <v>2570</v>
      </c>
      <c r="N776" s="259">
        <f>465000</f>
        <v>465000</v>
      </c>
      <c r="O776" s="2" t="s">
        <v>6544</v>
      </c>
      <c r="P776" s="259">
        <v>456000</v>
      </c>
      <c r="Q776" s="12" t="s">
        <v>6232</v>
      </c>
      <c r="V776" t="s">
        <v>6232</v>
      </c>
      <c r="W776" t="s">
        <v>6232</v>
      </c>
      <c r="X776" t="s">
        <v>6232</v>
      </c>
    </row>
    <row r="777" spans="1:24" ht="18.399999999999999" customHeight="1">
      <c r="A777" s="11" t="s">
        <v>1241</v>
      </c>
      <c r="B777" s="2" t="s">
        <v>4645</v>
      </c>
      <c r="C777" s="2" t="s">
        <v>3762</v>
      </c>
      <c r="D777" s="2" t="s">
        <v>6141</v>
      </c>
      <c r="E777" s="29">
        <f t="shared" si="0"/>
        <v>541000</v>
      </c>
      <c r="F777" s="2"/>
      <c r="G777" s="2" t="s">
        <v>6232</v>
      </c>
      <c r="H777" s="2"/>
      <c r="I777" s="2" t="s">
        <v>6232</v>
      </c>
      <c r="J777" s="2"/>
      <c r="K777" s="2" t="s">
        <v>6232</v>
      </c>
      <c r="L777" s="29">
        <f>659000</f>
        <v>659000</v>
      </c>
      <c r="M777" s="2" t="s">
        <v>2570</v>
      </c>
      <c r="N777" s="259">
        <f>552000</f>
        <v>552000</v>
      </c>
      <c r="O777" s="2" t="s">
        <v>6544</v>
      </c>
      <c r="P777" s="259">
        <v>541000</v>
      </c>
      <c r="Q777" s="12" t="s">
        <v>6232</v>
      </c>
      <c r="V777" t="s">
        <v>6232</v>
      </c>
      <c r="W777" t="s">
        <v>6232</v>
      </c>
      <c r="X777" t="s">
        <v>6232</v>
      </c>
    </row>
    <row r="778" spans="1:24" ht="18.399999999999999" customHeight="1">
      <c r="A778" s="11" t="s">
        <v>1546</v>
      </c>
      <c r="B778" s="2" t="s">
        <v>4645</v>
      </c>
      <c r="C778" s="2" t="s">
        <v>512</v>
      </c>
      <c r="D778" s="2" t="s">
        <v>6141</v>
      </c>
      <c r="E778" s="29">
        <f t="shared" si="0"/>
        <v>974000</v>
      </c>
      <c r="F778" s="2"/>
      <c r="G778" s="2" t="s">
        <v>6232</v>
      </c>
      <c r="H778" s="2"/>
      <c r="I778" s="2" t="s">
        <v>6232</v>
      </c>
      <c r="J778" s="2"/>
      <c r="K778" s="2" t="s">
        <v>6232</v>
      </c>
      <c r="L778" s="29">
        <f>1184000</f>
        <v>1184000</v>
      </c>
      <c r="M778" s="2" t="s">
        <v>2570</v>
      </c>
      <c r="N778" s="259">
        <f>994000</f>
        <v>994000</v>
      </c>
      <c r="O778" s="2" t="s">
        <v>6544</v>
      </c>
      <c r="P778" s="259">
        <v>974000</v>
      </c>
      <c r="Q778" s="12" t="s">
        <v>6232</v>
      </c>
      <c r="V778" t="s">
        <v>6232</v>
      </c>
      <c r="W778" t="s">
        <v>6232</v>
      </c>
      <c r="X778" t="s">
        <v>6232</v>
      </c>
    </row>
    <row r="779" spans="1:24" ht="18.399999999999999" customHeight="1">
      <c r="A779" s="11" t="s">
        <v>89</v>
      </c>
      <c r="B779" s="2" t="s">
        <v>4645</v>
      </c>
      <c r="C779" s="2" t="s">
        <v>6186</v>
      </c>
      <c r="D779" s="2" t="s">
        <v>6141</v>
      </c>
      <c r="E779" s="29">
        <f t="shared" si="0"/>
        <v>1220000</v>
      </c>
      <c r="F779" s="2"/>
      <c r="G779" s="2" t="s">
        <v>6232</v>
      </c>
      <c r="H779" s="2"/>
      <c r="I779" s="2" t="s">
        <v>6232</v>
      </c>
      <c r="J779" s="2"/>
      <c r="K779" s="2" t="s">
        <v>6232</v>
      </c>
      <c r="L779" s="29">
        <f>1527000</f>
        <v>1527000</v>
      </c>
      <c r="M779" s="2" t="s">
        <v>2570</v>
      </c>
      <c r="N779" s="259">
        <f>1245000</f>
        <v>1245000</v>
      </c>
      <c r="O779" s="2" t="s">
        <v>6544</v>
      </c>
      <c r="P779" s="259">
        <v>1220000</v>
      </c>
      <c r="Q779" s="12" t="s">
        <v>6232</v>
      </c>
      <c r="V779" t="s">
        <v>6232</v>
      </c>
      <c r="W779" t="s">
        <v>6232</v>
      </c>
      <c r="X779" t="s">
        <v>6232</v>
      </c>
    </row>
    <row r="780" spans="1:24" ht="18.399999999999999" customHeight="1">
      <c r="A780" s="11" t="s">
        <v>595</v>
      </c>
      <c r="B780" s="2" t="s">
        <v>4645</v>
      </c>
      <c r="C780" s="2" t="s">
        <v>6105</v>
      </c>
      <c r="D780" s="2" t="s">
        <v>6141</v>
      </c>
      <c r="E780" s="29">
        <f t="shared" si="0"/>
        <v>1826000</v>
      </c>
      <c r="F780" s="2"/>
      <c r="G780" s="2" t="s">
        <v>6232</v>
      </c>
      <c r="H780" s="2"/>
      <c r="I780" s="2" t="s">
        <v>6232</v>
      </c>
      <c r="J780" s="2"/>
      <c r="K780" s="2" t="s">
        <v>6232</v>
      </c>
      <c r="L780" s="29">
        <f>2236000</f>
        <v>2236000</v>
      </c>
      <c r="M780" s="2" t="s">
        <v>2570</v>
      </c>
      <c r="N780" s="259">
        <f>1863000</f>
        <v>1863000</v>
      </c>
      <c r="O780" s="2" t="s">
        <v>6544</v>
      </c>
      <c r="P780" s="259">
        <v>1826000</v>
      </c>
      <c r="Q780" s="12" t="s">
        <v>6232</v>
      </c>
      <c r="V780" t="s">
        <v>6232</v>
      </c>
      <c r="W780" t="s">
        <v>6232</v>
      </c>
      <c r="X780" t="s">
        <v>6232</v>
      </c>
    </row>
    <row r="781" spans="1:24" ht="18.399999999999999" customHeight="1">
      <c r="A781" s="11" t="s">
        <v>2256</v>
      </c>
      <c r="B781" s="2" t="s">
        <v>4645</v>
      </c>
      <c r="C781" s="2" t="s">
        <v>397</v>
      </c>
      <c r="D781" s="2" t="s">
        <v>6141</v>
      </c>
      <c r="E781" s="29">
        <f t="shared" si="0"/>
        <v>2289000</v>
      </c>
      <c r="F781" s="2"/>
      <c r="G781" s="2" t="s">
        <v>6232</v>
      </c>
      <c r="H781" s="2"/>
      <c r="I781" s="2" t="s">
        <v>6232</v>
      </c>
      <c r="J781" s="2"/>
      <c r="K781" s="2" t="s">
        <v>6232</v>
      </c>
      <c r="L781" s="29">
        <f>2894000</f>
        <v>2894000</v>
      </c>
      <c r="M781" s="2" t="s">
        <v>2570</v>
      </c>
      <c r="N781" s="259">
        <f>2336000</f>
        <v>2336000</v>
      </c>
      <c r="O781" s="2" t="s">
        <v>6544</v>
      </c>
      <c r="P781" s="259">
        <v>2289000</v>
      </c>
      <c r="Q781" s="12" t="s">
        <v>6232</v>
      </c>
      <c r="V781" t="s">
        <v>6232</v>
      </c>
      <c r="W781" t="s">
        <v>6232</v>
      </c>
      <c r="X781" t="s">
        <v>6232</v>
      </c>
    </row>
    <row r="782" spans="1:24" ht="18.399999999999999" customHeight="1">
      <c r="A782" s="11" t="s">
        <v>1118</v>
      </c>
      <c r="B782" s="2" t="s">
        <v>4645</v>
      </c>
      <c r="C782" s="2" t="s">
        <v>3821</v>
      </c>
      <c r="D782" s="2" t="s">
        <v>6141</v>
      </c>
      <c r="E782" s="29">
        <f t="shared" si="0"/>
        <v>2604000</v>
      </c>
      <c r="F782" s="2"/>
      <c r="G782" s="2" t="s">
        <v>6232</v>
      </c>
      <c r="H782" s="2"/>
      <c r="I782" s="2" t="s">
        <v>6232</v>
      </c>
      <c r="J782" s="2"/>
      <c r="K782" s="2" t="s">
        <v>6232</v>
      </c>
      <c r="L782" s="29">
        <f>3096000</f>
        <v>3096000</v>
      </c>
      <c r="M782" s="2" t="s">
        <v>2570</v>
      </c>
      <c r="N782" s="259">
        <f>2657000</f>
        <v>2657000</v>
      </c>
      <c r="O782" s="2" t="s">
        <v>6544</v>
      </c>
      <c r="P782" s="259">
        <v>2604000</v>
      </c>
      <c r="Q782" s="12" t="s">
        <v>6232</v>
      </c>
      <c r="V782" t="s">
        <v>6232</v>
      </c>
      <c r="W782" t="s">
        <v>6232</v>
      </c>
      <c r="X782" t="s">
        <v>6232</v>
      </c>
    </row>
    <row r="783" spans="1:24" ht="18.399999999999999" customHeight="1">
      <c r="A783" s="11" t="s">
        <v>2579</v>
      </c>
      <c r="B783" s="2" t="s">
        <v>4645</v>
      </c>
      <c r="C783" s="2" t="s">
        <v>2812</v>
      </c>
      <c r="D783" s="2" t="s">
        <v>6141</v>
      </c>
      <c r="E783" s="29">
        <f t="shared" si="0"/>
        <v>2792000</v>
      </c>
      <c r="F783" s="2"/>
      <c r="G783" s="2" t="s">
        <v>6232</v>
      </c>
      <c r="H783" s="2"/>
      <c r="I783" s="2" t="s">
        <v>6232</v>
      </c>
      <c r="J783" s="2"/>
      <c r="K783" s="2" t="s">
        <v>6232</v>
      </c>
      <c r="L783" s="29">
        <f>3424000</f>
        <v>3424000</v>
      </c>
      <c r="M783" s="2" t="s">
        <v>2557</v>
      </c>
      <c r="N783" s="259">
        <f>2849000</f>
        <v>2849000</v>
      </c>
      <c r="O783" s="2" t="s">
        <v>6544</v>
      </c>
      <c r="P783" s="259">
        <v>2792000</v>
      </c>
      <c r="Q783" s="12" t="s">
        <v>6232</v>
      </c>
      <c r="V783" t="s">
        <v>6232</v>
      </c>
      <c r="W783" t="s">
        <v>6232</v>
      </c>
      <c r="X783" t="s">
        <v>6232</v>
      </c>
    </row>
    <row r="784" spans="1:24" ht="18.399999999999999" customHeight="1">
      <c r="A784" s="11" t="s">
        <v>973</v>
      </c>
      <c r="B784" s="2" t="s">
        <v>1066</v>
      </c>
      <c r="C784" s="2" t="s">
        <v>1572</v>
      </c>
      <c r="D784" s="2" t="s">
        <v>6141</v>
      </c>
      <c r="E784" s="29">
        <f t="shared" si="0"/>
        <v>688000</v>
      </c>
      <c r="F784" s="2"/>
      <c r="G784" s="2" t="s">
        <v>6232</v>
      </c>
      <c r="H784" s="2"/>
      <c r="I784" s="2" t="s">
        <v>6232</v>
      </c>
      <c r="J784" s="2"/>
      <c r="K784" s="2" t="s">
        <v>6232</v>
      </c>
      <c r="L784" s="29">
        <f>883000</f>
        <v>883000</v>
      </c>
      <c r="M784" s="2" t="s">
        <v>2557</v>
      </c>
      <c r="N784" s="259">
        <f>702000</f>
        <v>702000</v>
      </c>
      <c r="O784" s="2" t="s">
        <v>6544</v>
      </c>
      <c r="P784" s="259">
        <v>688000</v>
      </c>
      <c r="Q784" s="12" t="s">
        <v>6232</v>
      </c>
      <c r="V784" t="s">
        <v>6232</v>
      </c>
      <c r="W784" t="s">
        <v>6232</v>
      </c>
      <c r="X784" t="s">
        <v>6232</v>
      </c>
    </row>
    <row r="785" spans="1:24" ht="18.399999999999999" customHeight="1">
      <c r="A785" s="11" t="s">
        <v>892</v>
      </c>
      <c r="B785" s="2" t="s">
        <v>1066</v>
      </c>
      <c r="C785" s="2" t="s">
        <v>2531</v>
      </c>
      <c r="D785" s="2" t="s">
        <v>6141</v>
      </c>
      <c r="E785" s="29">
        <f t="shared" si="0"/>
        <v>756000</v>
      </c>
      <c r="F785" s="2"/>
      <c r="G785" s="2" t="s">
        <v>6232</v>
      </c>
      <c r="H785" s="2"/>
      <c r="I785" s="2" t="s">
        <v>6232</v>
      </c>
      <c r="J785" s="2"/>
      <c r="K785" s="2" t="s">
        <v>6232</v>
      </c>
      <c r="L785" s="29">
        <f>942000</f>
        <v>942000</v>
      </c>
      <c r="M785" s="2" t="s">
        <v>2557</v>
      </c>
      <c r="N785" s="259">
        <f>771000</f>
        <v>771000</v>
      </c>
      <c r="O785" s="2" t="s">
        <v>6544</v>
      </c>
      <c r="P785" s="259">
        <v>756000</v>
      </c>
      <c r="Q785" s="12" t="s">
        <v>6232</v>
      </c>
      <c r="V785" t="s">
        <v>6232</v>
      </c>
      <c r="W785" t="s">
        <v>6232</v>
      </c>
      <c r="X785" t="s">
        <v>6232</v>
      </c>
    </row>
    <row r="786" spans="1:24" ht="18.399999999999999" customHeight="1">
      <c r="A786" s="11" t="s">
        <v>2637</v>
      </c>
      <c r="B786" s="2" t="s">
        <v>1066</v>
      </c>
      <c r="C786" s="2" t="s">
        <v>4124</v>
      </c>
      <c r="D786" s="2" t="s">
        <v>6141</v>
      </c>
      <c r="E786" s="29">
        <f t="shared" si="0"/>
        <v>996000</v>
      </c>
      <c r="F786" s="2"/>
      <c r="G786" s="2" t="s">
        <v>6232</v>
      </c>
      <c r="H786" s="2"/>
      <c r="I786" s="2" t="s">
        <v>6232</v>
      </c>
      <c r="J786" s="2"/>
      <c r="K786" s="2" t="s">
        <v>6232</v>
      </c>
      <c r="L786" s="29">
        <f>1229000</f>
        <v>1229000</v>
      </c>
      <c r="M786" s="2" t="s">
        <v>2557</v>
      </c>
      <c r="N786" s="259">
        <f>1016000</f>
        <v>1016000</v>
      </c>
      <c r="O786" s="2" t="s">
        <v>6544</v>
      </c>
      <c r="P786" s="259">
        <v>996000</v>
      </c>
      <c r="Q786" s="12" t="s">
        <v>6232</v>
      </c>
      <c r="V786" t="s">
        <v>6232</v>
      </c>
      <c r="W786" t="s">
        <v>6232</v>
      </c>
      <c r="X786" t="s">
        <v>6232</v>
      </c>
    </row>
    <row r="787" spans="1:24" ht="18.399999999999999" customHeight="1">
      <c r="A787" s="11" t="s">
        <v>2721</v>
      </c>
      <c r="B787" s="2" t="s">
        <v>1066</v>
      </c>
      <c r="C787" s="2" t="s">
        <v>4184</v>
      </c>
      <c r="D787" s="2" t="s">
        <v>6141</v>
      </c>
      <c r="E787" s="29">
        <f t="shared" si="0"/>
        <v>1056000</v>
      </c>
      <c r="F787" s="2"/>
      <c r="G787" s="2" t="s">
        <v>6232</v>
      </c>
      <c r="H787" s="2"/>
      <c r="I787" s="2" t="s">
        <v>6232</v>
      </c>
      <c r="J787" s="2"/>
      <c r="K787" s="2" t="s">
        <v>6232</v>
      </c>
      <c r="L787" s="29">
        <f>1314000</f>
        <v>1314000</v>
      </c>
      <c r="M787" s="2" t="s">
        <v>2557</v>
      </c>
      <c r="N787" s="259">
        <f>1078000</f>
        <v>1078000</v>
      </c>
      <c r="O787" s="2" t="s">
        <v>6544</v>
      </c>
      <c r="P787" s="259">
        <v>1056000</v>
      </c>
      <c r="Q787" s="12" t="s">
        <v>6232</v>
      </c>
      <c r="V787" t="s">
        <v>6232</v>
      </c>
      <c r="W787" t="s">
        <v>6232</v>
      </c>
      <c r="X787" t="s">
        <v>6232</v>
      </c>
    </row>
    <row r="788" spans="1:24" ht="18.399999999999999" customHeight="1">
      <c r="A788" s="11" t="s">
        <v>1253</v>
      </c>
      <c r="B788" s="2" t="s">
        <v>1066</v>
      </c>
      <c r="C788" s="2" t="s">
        <v>1695</v>
      </c>
      <c r="D788" s="2" t="s">
        <v>6141</v>
      </c>
      <c r="E788" s="29">
        <f t="shared" si="0"/>
        <v>1070000</v>
      </c>
      <c r="F788" s="2"/>
      <c r="G788" s="2" t="s">
        <v>6232</v>
      </c>
      <c r="H788" s="2"/>
      <c r="I788" s="2" t="s">
        <v>6232</v>
      </c>
      <c r="J788" s="2"/>
      <c r="K788" s="2" t="s">
        <v>6232</v>
      </c>
      <c r="L788" s="29">
        <f>1374000</f>
        <v>1374000</v>
      </c>
      <c r="M788" s="2" t="s">
        <v>2557</v>
      </c>
      <c r="N788" s="259">
        <f>1092000</f>
        <v>1092000</v>
      </c>
      <c r="O788" s="2" t="s">
        <v>6544</v>
      </c>
      <c r="P788" s="259">
        <v>1070000</v>
      </c>
      <c r="Q788" s="12" t="s">
        <v>6232</v>
      </c>
      <c r="V788" t="s">
        <v>6232</v>
      </c>
      <c r="W788" t="s">
        <v>6232</v>
      </c>
      <c r="X788" t="s">
        <v>6232</v>
      </c>
    </row>
    <row r="789" spans="1:24" ht="18.399999999999999" customHeight="1">
      <c r="A789" s="11" t="s">
        <v>1666</v>
      </c>
      <c r="B789" s="2" t="s">
        <v>1066</v>
      </c>
      <c r="C789" s="2" t="s">
        <v>4869</v>
      </c>
      <c r="D789" s="2" t="s">
        <v>6141</v>
      </c>
      <c r="E789" s="29">
        <f t="shared" si="0"/>
        <v>1114000</v>
      </c>
      <c r="F789" s="2"/>
      <c r="G789" s="2" t="s">
        <v>6232</v>
      </c>
      <c r="H789" s="2"/>
      <c r="I789" s="2" t="s">
        <v>6232</v>
      </c>
      <c r="J789" s="2"/>
      <c r="K789" s="2" t="s">
        <v>6232</v>
      </c>
      <c r="L789" s="29">
        <f>1418000</f>
        <v>1418000</v>
      </c>
      <c r="M789" s="2" t="s">
        <v>2557</v>
      </c>
      <c r="N789" s="259">
        <f>1137000</f>
        <v>1137000</v>
      </c>
      <c r="O789" s="2" t="s">
        <v>6544</v>
      </c>
      <c r="P789" s="259">
        <v>1114000</v>
      </c>
      <c r="Q789" s="12" t="s">
        <v>6232</v>
      </c>
      <c r="V789" t="s">
        <v>6232</v>
      </c>
      <c r="W789" t="s">
        <v>6232</v>
      </c>
      <c r="X789" t="s">
        <v>6232</v>
      </c>
    </row>
    <row r="790" spans="1:24" ht="18.399999999999999" customHeight="1">
      <c r="A790" s="11" t="s">
        <v>67</v>
      </c>
      <c r="B790" s="2" t="s">
        <v>1066</v>
      </c>
      <c r="C790" s="2" t="s">
        <v>809</v>
      </c>
      <c r="D790" s="2" t="s">
        <v>6141</v>
      </c>
      <c r="E790" s="29">
        <f t="shared" si="0"/>
        <v>1712000</v>
      </c>
      <c r="F790" s="2"/>
      <c r="G790" s="2" t="s">
        <v>6232</v>
      </c>
      <c r="H790" s="2"/>
      <c r="I790" s="2" t="s">
        <v>6232</v>
      </c>
      <c r="J790" s="2"/>
      <c r="K790" s="2" t="s">
        <v>6232</v>
      </c>
      <c r="L790" s="29">
        <f>2138000</f>
        <v>2138000</v>
      </c>
      <c r="M790" s="2" t="s">
        <v>2557</v>
      </c>
      <c r="N790" s="259">
        <f>1747000</f>
        <v>1747000</v>
      </c>
      <c r="O790" s="2" t="s">
        <v>6544</v>
      </c>
      <c r="P790" s="259">
        <v>1712000</v>
      </c>
      <c r="Q790" s="12" t="s">
        <v>6232</v>
      </c>
      <c r="V790" t="s">
        <v>6232</v>
      </c>
      <c r="W790" t="s">
        <v>6232</v>
      </c>
      <c r="X790" t="s">
        <v>6232</v>
      </c>
    </row>
    <row r="791" spans="1:24" ht="18.399999999999999" customHeight="1">
      <c r="A791" s="11" t="s">
        <v>4729</v>
      </c>
      <c r="B791" s="2" t="s">
        <v>1066</v>
      </c>
      <c r="C791" s="2" t="s">
        <v>2695</v>
      </c>
      <c r="D791" s="2" t="s">
        <v>6141</v>
      </c>
      <c r="E791" s="29">
        <f t="shared" si="0"/>
        <v>1718000</v>
      </c>
      <c r="F791" s="2"/>
      <c r="G791" s="2" t="s">
        <v>6232</v>
      </c>
      <c r="H791" s="2"/>
      <c r="I791" s="2" t="s">
        <v>6232</v>
      </c>
      <c r="J791" s="2"/>
      <c r="K791" s="2" t="s">
        <v>6232</v>
      </c>
      <c r="L791" s="29">
        <f>2195000</f>
        <v>2195000</v>
      </c>
      <c r="M791" s="2" t="s">
        <v>2557</v>
      </c>
      <c r="N791" s="259">
        <f>1753000</f>
        <v>1753000</v>
      </c>
      <c r="O791" s="2" t="s">
        <v>6544</v>
      </c>
      <c r="P791" s="259">
        <v>1718000</v>
      </c>
      <c r="Q791" s="12" t="s">
        <v>6232</v>
      </c>
      <c r="V791" t="s">
        <v>6232</v>
      </c>
      <c r="W791" t="s">
        <v>6232</v>
      </c>
      <c r="X791" t="s">
        <v>6232</v>
      </c>
    </row>
    <row r="792" spans="1:24" ht="18.399999999999999" customHeight="1">
      <c r="A792" s="11" t="s">
        <v>3232</v>
      </c>
      <c r="B792" s="2" t="s">
        <v>1066</v>
      </c>
      <c r="C792" s="2" t="s">
        <v>3762</v>
      </c>
      <c r="D792" s="2" t="s">
        <v>6141</v>
      </c>
      <c r="E792" s="29">
        <f t="shared" si="0"/>
        <v>1892000</v>
      </c>
      <c r="F792" s="2"/>
      <c r="G792" s="2" t="s">
        <v>6232</v>
      </c>
      <c r="H792" s="2"/>
      <c r="I792" s="2" t="s">
        <v>6232</v>
      </c>
      <c r="J792" s="2"/>
      <c r="K792" s="2" t="s">
        <v>6232</v>
      </c>
      <c r="L792" s="29">
        <f>2332000</f>
        <v>2332000</v>
      </c>
      <c r="M792" s="2" t="s">
        <v>2557</v>
      </c>
      <c r="N792" s="259">
        <f>1931000</f>
        <v>1931000</v>
      </c>
      <c r="O792" s="2" t="s">
        <v>6544</v>
      </c>
      <c r="P792" s="259">
        <v>1892000</v>
      </c>
      <c r="Q792" s="12" t="s">
        <v>6232</v>
      </c>
      <c r="V792" t="s">
        <v>6232</v>
      </c>
      <c r="W792" t="s">
        <v>6232</v>
      </c>
      <c r="X792" t="s">
        <v>6232</v>
      </c>
    </row>
    <row r="793" spans="1:24" ht="18.399999999999999" customHeight="1">
      <c r="A793" s="11" t="s">
        <v>5930</v>
      </c>
      <c r="B793" s="2" t="s">
        <v>1066</v>
      </c>
      <c r="C793" s="2" t="s">
        <v>512</v>
      </c>
      <c r="D793" s="2" t="s">
        <v>6141</v>
      </c>
      <c r="E793" s="29">
        <f t="shared" si="0"/>
        <v>2613000</v>
      </c>
      <c r="F793" s="2"/>
      <c r="G793" s="2" t="s">
        <v>6232</v>
      </c>
      <c r="H793" s="2"/>
      <c r="I793" s="2" t="s">
        <v>6232</v>
      </c>
      <c r="J793" s="2"/>
      <c r="K793" s="2" t="s">
        <v>6232</v>
      </c>
      <c r="L793" s="29">
        <f>3218000</f>
        <v>3218000</v>
      </c>
      <c r="M793" s="2" t="s">
        <v>2557</v>
      </c>
      <c r="N793" s="259">
        <f>2666000</f>
        <v>2666000</v>
      </c>
      <c r="O793" s="2" t="s">
        <v>6544</v>
      </c>
      <c r="P793" s="259">
        <v>2613000</v>
      </c>
      <c r="Q793" s="12" t="s">
        <v>6232</v>
      </c>
      <c r="V793" t="s">
        <v>6232</v>
      </c>
      <c r="W793" t="s">
        <v>6232</v>
      </c>
      <c r="X793" t="s">
        <v>6232</v>
      </c>
    </row>
    <row r="794" spans="1:24" ht="18.399999999999999" customHeight="1">
      <c r="A794" s="11" t="s">
        <v>4318</v>
      </c>
      <c r="B794" s="2" t="s">
        <v>1066</v>
      </c>
      <c r="C794" s="2" t="s">
        <v>6186</v>
      </c>
      <c r="D794" s="2" t="s">
        <v>6141</v>
      </c>
      <c r="E794" s="29">
        <f t="shared" si="0"/>
        <v>2649000</v>
      </c>
      <c r="F794" s="2"/>
      <c r="G794" s="2" t="s">
        <v>6232</v>
      </c>
      <c r="H794" s="2"/>
      <c r="I794" s="2" t="s">
        <v>6232</v>
      </c>
      <c r="J794" s="2"/>
      <c r="K794" s="2" t="s">
        <v>6232</v>
      </c>
      <c r="L794" s="29">
        <f>3361000</f>
        <v>3361000</v>
      </c>
      <c r="M794" s="2" t="s">
        <v>2557</v>
      </c>
      <c r="N794" s="259">
        <f>2703000</f>
        <v>2703000</v>
      </c>
      <c r="O794" s="2" t="s">
        <v>6544</v>
      </c>
      <c r="P794" s="259">
        <v>2649000</v>
      </c>
      <c r="Q794" s="12" t="s">
        <v>6232</v>
      </c>
      <c r="V794" t="s">
        <v>6232</v>
      </c>
      <c r="W794" t="s">
        <v>6232</v>
      </c>
      <c r="X794" t="s">
        <v>6232</v>
      </c>
    </row>
    <row r="795" spans="1:24" ht="18.399999999999999" customHeight="1">
      <c r="A795" s="11" t="s">
        <v>4204</v>
      </c>
      <c r="B795" s="2" t="s">
        <v>1066</v>
      </c>
      <c r="C795" s="2" t="s">
        <v>6105</v>
      </c>
      <c r="D795" s="2" t="s">
        <v>6141</v>
      </c>
      <c r="E795" s="29">
        <f t="shared" si="0"/>
        <v>3540000</v>
      </c>
      <c r="F795" s="2"/>
      <c r="G795" s="2" t="s">
        <v>6232</v>
      </c>
      <c r="H795" s="2"/>
      <c r="I795" s="2" t="s">
        <v>6232</v>
      </c>
      <c r="J795" s="2"/>
      <c r="K795" s="2" t="s">
        <v>6232</v>
      </c>
      <c r="L795" s="29">
        <f>4480000</f>
        <v>4480000</v>
      </c>
      <c r="M795" s="2" t="s">
        <v>2557</v>
      </c>
      <c r="N795" s="259">
        <f>3612000</f>
        <v>3612000</v>
      </c>
      <c r="O795" s="2" t="s">
        <v>6544</v>
      </c>
      <c r="P795" s="259">
        <v>3540000</v>
      </c>
      <c r="Q795" s="12" t="s">
        <v>6232</v>
      </c>
      <c r="V795" t="s">
        <v>6232</v>
      </c>
      <c r="W795" t="s">
        <v>6232</v>
      </c>
      <c r="X795" t="s">
        <v>6232</v>
      </c>
    </row>
    <row r="796" spans="1:24" ht="18.399999999999999" customHeight="1">
      <c r="A796" s="11" t="s">
        <v>5649</v>
      </c>
      <c r="B796" s="2" t="s">
        <v>1066</v>
      </c>
      <c r="C796" s="2" t="s">
        <v>397</v>
      </c>
      <c r="D796" s="2" t="s">
        <v>6141</v>
      </c>
      <c r="E796" s="29">
        <f t="shared" si="0"/>
        <v>3603000</v>
      </c>
      <c r="F796" s="2"/>
      <c r="G796" s="2" t="s">
        <v>6232</v>
      </c>
      <c r="H796" s="2"/>
      <c r="I796" s="2" t="s">
        <v>6232</v>
      </c>
      <c r="J796" s="2"/>
      <c r="K796" s="2" t="s">
        <v>6232</v>
      </c>
      <c r="L796" s="29">
        <f>4536000</f>
        <v>4536000</v>
      </c>
      <c r="M796" s="2" t="s">
        <v>2557</v>
      </c>
      <c r="N796" s="259">
        <f>3677000</f>
        <v>3677000</v>
      </c>
      <c r="O796" s="2" t="s">
        <v>6544</v>
      </c>
      <c r="P796" s="259">
        <v>3603000</v>
      </c>
      <c r="Q796" s="12" t="s">
        <v>6232</v>
      </c>
      <c r="V796" t="s">
        <v>6232</v>
      </c>
      <c r="W796" t="s">
        <v>6232</v>
      </c>
      <c r="X796" t="s">
        <v>6232</v>
      </c>
    </row>
    <row r="797" spans="1:24" ht="18.399999999999999" customHeight="1">
      <c r="A797" s="11" t="s">
        <v>3743</v>
      </c>
      <c r="B797" s="2" t="s">
        <v>1066</v>
      </c>
      <c r="C797" s="2" t="s">
        <v>3821</v>
      </c>
      <c r="D797" s="2" t="s">
        <v>6141</v>
      </c>
      <c r="E797" s="29">
        <f t="shared" si="0"/>
        <v>3881000</v>
      </c>
      <c r="F797" s="2"/>
      <c r="G797" s="2" t="s">
        <v>6232</v>
      </c>
      <c r="H797" s="2"/>
      <c r="I797" s="2" t="s">
        <v>6232</v>
      </c>
      <c r="J797" s="2"/>
      <c r="K797" s="2" t="s">
        <v>6232</v>
      </c>
      <c r="L797" s="29">
        <f>4779000</f>
        <v>4779000</v>
      </c>
      <c r="M797" s="2" t="s">
        <v>2557</v>
      </c>
      <c r="N797" s="259">
        <f>3960000</f>
        <v>3960000</v>
      </c>
      <c r="O797" s="2" t="s">
        <v>6544</v>
      </c>
      <c r="P797" s="259">
        <v>3881000</v>
      </c>
      <c r="Q797" s="12" t="s">
        <v>6232</v>
      </c>
      <c r="V797" t="s">
        <v>6232</v>
      </c>
      <c r="W797" t="s">
        <v>6232</v>
      </c>
      <c r="X797" t="s">
        <v>6232</v>
      </c>
    </row>
    <row r="798" spans="1:24" ht="18.399999999999999" customHeight="1" thickBot="1">
      <c r="A798" s="13" t="s">
        <v>5413</v>
      </c>
      <c r="B798" s="14" t="s">
        <v>1066</v>
      </c>
      <c r="C798" s="14" t="s">
        <v>2812</v>
      </c>
      <c r="D798" s="14" t="s">
        <v>6141</v>
      </c>
      <c r="E798" s="30">
        <f t="shared" si="0"/>
        <v>4313000</v>
      </c>
      <c r="F798" s="14"/>
      <c r="G798" s="14" t="s">
        <v>6232</v>
      </c>
      <c r="H798" s="14"/>
      <c r="I798" s="14" t="s">
        <v>6232</v>
      </c>
      <c r="J798" s="14"/>
      <c r="K798" s="14" t="s">
        <v>6232</v>
      </c>
      <c r="L798" s="30">
        <f>5377000</f>
        <v>5377000</v>
      </c>
      <c r="M798" s="14" t="s">
        <v>2557</v>
      </c>
      <c r="N798" s="260">
        <f>4401000</f>
        <v>4401000</v>
      </c>
      <c r="O798" s="14" t="s">
        <v>6544</v>
      </c>
      <c r="P798" s="259">
        <v>4313000</v>
      </c>
      <c r="Q798" s="15" t="s">
        <v>6232</v>
      </c>
      <c r="V798" t="s">
        <v>6232</v>
      </c>
      <c r="W798" t="s">
        <v>6232</v>
      </c>
      <c r="X798" t="s">
        <v>6232</v>
      </c>
    </row>
  </sheetData>
  <mergeCells count="11">
    <mergeCell ref="F2:G2"/>
    <mergeCell ref="A2:A3"/>
    <mergeCell ref="B2:B3"/>
    <mergeCell ref="C2:C3"/>
    <mergeCell ref="D2:D3"/>
    <mergeCell ref="E2:E3"/>
    <mergeCell ref="H2:I2"/>
    <mergeCell ref="J2:K2"/>
    <mergeCell ref="L2:M2"/>
    <mergeCell ref="N2:O2"/>
    <mergeCell ref="P2:Q2"/>
  </mergeCells>
  <phoneticPr fontId="7" type="noConversion"/>
  <pageMargins left="0.31496062992125984" right="0.31496062992125984" top="1" bottom="0.59055118110236215" header="0.5" footer="0.5"/>
  <pageSetup paperSize="9" scale="67" orientation="landscape" r:id="rId1"/>
  <headerFooter alignWithMargins="0">
    <oddHeader>&amp;RPage : &amp;P/&amp;N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11"/>
  <sheetViews>
    <sheetView view="pageBreakPreview" zoomScale="130" zoomScaleNormal="100" zoomScaleSheetLayoutView="130" workbookViewId="0">
      <selection sqref="A1:F1"/>
    </sheetView>
  </sheetViews>
  <sheetFormatPr defaultRowHeight="18.399999999999999" customHeight="1"/>
  <cols>
    <col min="1" max="1" width="25" customWidth="1"/>
    <col min="2" max="2" width="10" customWidth="1"/>
    <col min="3" max="3" width="25" customWidth="1"/>
    <col min="4" max="5" width="30" customWidth="1"/>
  </cols>
  <sheetData>
    <row r="1" spans="1:5" ht="18.399999999999999" customHeight="1">
      <c r="A1" t="s">
        <v>4646</v>
      </c>
    </row>
    <row r="2" spans="1:5" ht="18.399999999999999" customHeight="1">
      <c r="A2" s="16" t="s">
        <v>592</v>
      </c>
      <c r="B2" s="17" t="s">
        <v>4755</v>
      </c>
      <c r="C2" s="17" t="s">
        <v>1083</v>
      </c>
      <c r="D2" s="22" t="s">
        <v>1419</v>
      </c>
      <c r="E2" s="18" t="s">
        <v>161</v>
      </c>
    </row>
    <row r="3" spans="1:5" ht="18.399999999999999" customHeight="1">
      <c r="A3" s="11" t="s">
        <v>4489</v>
      </c>
      <c r="B3" s="2" t="s">
        <v>6102</v>
      </c>
      <c r="C3" s="2">
        <v>1208</v>
      </c>
      <c r="D3" s="23" t="s">
        <v>2198</v>
      </c>
      <c r="E3" s="12" t="s">
        <v>5341</v>
      </c>
    </row>
    <row r="4" spans="1:5" ht="18.399999999999999" customHeight="1">
      <c r="A4" s="11" t="s">
        <v>5841</v>
      </c>
      <c r="B4" s="2" t="s">
        <v>6102</v>
      </c>
      <c r="C4" s="2">
        <v>35.533000000000001</v>
      </c>
      <c r="D4" s="23" t="s">
        <v>2198</v>
      </c>
      <c r="E4" s="12" t="s">
        <v>5341</v>
      </c>
    </row>
    <row r="5" spans="1:5" ht="18.399999999999999" customHeight="1">
      <c r="A5" s="11" t="s">
        <v>185</v>
      </c>
      <c r="B5" s="2" t="s">
        <v>6102</v>
      </c>
      <c r="C5" s="2">
        <v>1.5</v>
      </c>
      <c r="D5" s="23" t="s">
        <v>2198</v>
      </c>
      <c r="E5" s="12" t="s">
        <v>5341</v>
      </c>
    </row>
    <row r="6" spans="1:5" ht="18.399999999999999" customHeight="1">
      <c r="A6" s="11" t="s">
        <v>4815</v>
      </c>
      <c r="B6" s="2" t="s">
        <v>6102</v>
      </c>
      <c r="C6" s="2">
        <v>1.5</v>
      </c>
      <c r="D6" s="23" t="s">
        <v>2198</v>
      </c>
      <c r="E6" s="12" t="s">
        <v>5341</v>
      </c>
    </row>
    <row r="7" spans="1:5" ht="18.399999999999999" customHeight="1">
      <c r="A7" s="11" t="s">
        <v>4686</v>
      </c>
      <c r="B7" s="2" t="s">
        <v>6102</v>
      </c>
      <c r="C7" s="2">
        <v>1.5</v>
      </c>
      <c r="D7" s="23" t="s">
        <v>2198</v>
      </c>
      <c r="E7" s="12" t="s">
        <v>5341</v>
      </c>
    </row>
    <row r="8" spans="1:5" ht="18.399999999999999" customHeight="1">
      <c r="A8" s="11" t="s">
        <v>4919</v>
      </c>
      <c r="B8" s="2" t="s">
        <v>6102</v>
      </c>
      <c r="C8" s="2">
        <v>1.0386</v>
      </c>
      <c r="D8" s="23" t="s">
        <v>2198</v>
      </c>
      <c r="E8" s="12" t="s">
        <v>5341</v>
      </c>
    </row>
    <row r="9" spans="1:5" ht="18.399999999999999" customHeight="1">
      <c r="A9" s="11" t="s">
        <v>2101</v>
      </c>
      <c r="B9" s="2" t="s">
        <v>6102</v>
      </c>
      <c r="C9" s="2">
        <v>1108</v>
      </c>
      <c r="D9" s="23" t="s">
        <v>2198</v>
      </c>
      <c r="E9" s="12" t="s">
        <v>5341</v>
      </c>
    </row>
    <row r="10" spans="1:5" ht="18.399999999999999" customHeight="1">
      <c r="A10" s="11" t="s">
        <v>2658</v>
      </c>
      <c r="B10" s="2" t="s">
        <v>6102</v>
      </c>
      <c r="C10" s="2">
        <v>1.9E-2</v>
      </c>
      <c r="D10" s="23" t="s">
        <v>2198</v>
      </c>
      <c r="E10" s="12" t="s">
        <v>5341</v>
      </c>
    </row>
    <row r="11" spans="1:5" ht="18.399999999999999" customHeight="1">
      <c r="A11" s="13" t="s">
        <v>2544</v>
      </c>
      <c r="B11" s="14" t="s">
        <v>6102</v>
      </c>
      <c r="C11" s="14">
        <v>0.01</v>
      </c>
      <c r="D11" s="24" t="s">
        <v>2198</v>
      </c>
      <c r="E11" s="15" t="s">
        <v>5341</v>
      </c>
    </row>
  </sheetData>
  <phoneticPr fontId="7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50"/>
  <sheetViews>
    <sheetView showFormulas="1" view="pageBreakPreview" topLeftCell="A22" zoomScaleNormal="100" zoomScaleSheetLayoutView="100" workbookViewId="0">
      <selection activeCell="E10" sqref="E10"/>
    </sheetView>
  </sheetViews>
  <sheetFormatPr defaultRowHeight="18.399999999999999" customHeight="1"/>
  <cols>
    <col min="1" max="1" width="15" customWidth="1"/>
    <col min="2" max="2" width="4.33203125" bestFit="1" customWidth="1"/>
    <col min="3" max="3" width="19" bestFit="1" customWidth="1"/>
    <col min="4" max="4" width="21.33203125" bestFit="1" customWidth="1"/>
  </cols>
  <sheetData>
    <row r="1" spans="1:4" ht="18.399999999999999" customHeight="1">
      <c r="A1" t="s">
        <v>5605</v>
      </c>
    </row>
    <row r="2" spans="1:4" ht="18.399999999999999" customHeight="1">
      <c r="A2" s="16" t="s">
        <v>592</v>
      </c>
      <c r="B2" s="17" t="s">
        <v>4755</v>
      </c>
      <c r="C2" s="17" t="s">
        <v>1083</v>
      </c>
      <c r="D2" s="19" t="s">
        <v>1419</v>
      </c>
    </row>
    <row r="3" spans="1:4" ht="18.399999999999999" customHeight="1">
      <c r="A3" s="11" t="s">
        <v>4131</v>
      </c>
      <c r="B3" s="2" t="s">
        <v>2042</v>
      </c>
      <c r="C3" s="2" t="s">
        <v>5852</v>
      </c>
      <c r="D3" s="20" t="s">
        <v>6232</v>
      </c>
    </row>
    <row r="4" spans="1:4" ht="18.399999999999999" customHeight="1">
      <c r="A4" s="11" t="s">
        <v>3865</v>
      </c>
      <c r="B4" s="2" t="s">
        <v>6102</v>
      </c>
      <c r="C4" s="2">
        <v>1180</v>
      </c>
      <c r="D4" s="20" t="s">
        <v>2626</v>
      </c>
    </row>
    <row r="5" spans="1:4" ht="18.399999999999999" customHeight="1">
      <c r="A5" s="11" t="s">
        <v>1286</v>
      </c>
      <c r="B5" s="2" t="s">
        <v>6102</v>
      </c>
      <c r="C5" s="2">
        <v>1180</v>
      </c>
      <c r="D5" s="20" t="s">
        <v>5281</v>
      </c>
    </row>
    <row r="6" spans="1:4" ht="18.399999999999999" customHeight="1">
      <c r="A6" s="11" t="s">
        <v>748</v>
      </c>
      <c r="B6" s="2" t="s">
        <v>6102</v>
      </c>
      <c r="C6" s="2">
        <v>13.2</v>
      </c>
      <c r="D6" s="20" t="s">
        <v>5093</v>
      </c>
    </row>
    <row r="7" spans="1:4" ht="18.399999999999999" customHeight="1">
      <c r="A7" s="11" t="s">
        <v>1594</v>
      </c>
      <c r="B7" s="2" t="s">
        <v>6102</v>
      </c>
      <c r="C7" s="2">
        <v>724.05</v>
      </c>
      <c r="D7" s="20" t="s">
        <v>3709</v>
      </c>
    </row>
    <row r="8" spans="1:4" ht="18.399999999999999" customHeight="1">
      <c r="A8" s="11" t="s">
        <v>2862</v>
      </c>
      <c r="B8" s="2" t="s">
        <v>6102</v>
      </c>
      <c r="C8" s="2">
        <v>1000</v>
      </c>
      <c r="D8" s="20" t="s">
        <v>5499</v>
      </c>
    </row>
    <row r="9" spans="1:4" ht="18.399999999999999" customHeight="1">
      <c r="A9" s="11" t="s">
        <v>1027</v>
      </c>
      <c r="B9" s="2" t="s">
        <v>6102</v>
      </c>
      <c r="C9" s="2">
        <v>1580</v>
      </c>
      <c r="D9" s="20" t="s">
        <v>2680</v>
      </c>
    </row>
    <row r="10" spans="1:4" ht="18.399999999999999" customHeight="1">
      <c r="A10" s="11" t="s">
        <v>4515</v>
      </c>
      <c r="B10" s="2" t="s">
        <v>2042</v>
      </c>
      <c r="C10" s="2" t="s">
        <v>29</v>
      </c>
      <c r="D10" s="20" t="s">
        <v>4665</v>
      </c>
    </row>
    <row r="11" spans="1:4" ht="18.399999999999999" customHeight="1">
      <c r="A11" s="11" t="s">
        <v>25</v>
      </c>
      <c r="B11" s="2" t="s">
        <v>2042</v>
      </c>
      <c r="C11" s="2" t="s">
        <v>29</v>
      </c>
      <c r="D11" s="20" t="s">
        <v>1350</v>
      </c>
    </row>
    <row r="12" spans="1:4" ht="18.399999999999999" customHeight="1">
      <c r="A12" s="11" t="s">
        <v>3668</v>
      </c>
      <c r="B12" s="2" t="s">
        <v>2042</v>
      </c>
      <c r="C12" s="2" t="s">
        <v>3228</v>
      </c>
      <c r="D12" s="20" t="s">
        <v>4471</v>
      </c>
    </row>
    <row r="13" spans="1:4" ht="18.399999999999999" customHeight="1">
      <c r="A13" s="11" t="s">
        <v>261</v>
      </c>
      <c r="B13" s="2" t="s">
        <v>6102</v>
      </c>
      <c r="C13" s="2">
        <v>1.25</v>
      </c>
      <c r="D13" s="20" t="s">
        <v>5075</v>
      </c>
    </row>
    <row r="14" spans="1:4" ht="18.399999999999999" customHeight="1">
      <c r="A14" s="11" t="s">
        <v>3739</v>
      </c>
      <c r="B14" s="2" t="s">
        <v>6102</v>
      </c>
      <c r="C14" s="2">
        <v>1.071</v>
      </c>
      <c r="D14" s="20" t="s">
        <v>2163</v>
      </c>
    </row>
    <row r="15" spans="1:4" ht="18.399999999999999" customHeight="1">
      <c r="A15" s="11" t="s">
        <v>3088</v>
      </c>
      <c r="B15" s="2" t="s">
        <v>2042</v>
      </c>
      <c r="C15" s="2" t="s">
        <v>5406</v>
      </c>
      <c r="D15" s="20" t="s">
        <v>4095</v>
      </c>
    </row>
    <row r="16" spans="1:4" ht="18.399999999999999" customHeight="1">
      <c r="A16" s="11" t="s">
        <v>4117</v>
      </c>
      <c r="B16" s="2" t="s">
        <v>2042</v>
      </c>
      <c r="C16" s="2" t="s">
        <v>1739</v>
      </c>
      <c r="D16" s="20" t="s">
        <v>4267</v>
      </c>
    </row>
    <row r="17" spans="1:4" ht="18.399999999999999" customHeight="1">
      <c r="A17" s="11" t="s">
        <v>1228</v>
      </c>
      <c r="B17" s="2" t="s">
        <v>2042</v>
      </c>
      <c r="C17" s="2" t="s">
        <v>5406</v>
      </c>
      <c r="D17" s="20" t="s">
        <v>1086</v>
      </c>
    </row>
    <row r="18" spans="1:4" ht="18.399999999999999" customHeight="1">
      <c r="A18" s="11" t="s">
        <v>2263</v>
      </c>
      <c r="B18" s="2" t="s">
        <v>2042</v>
      </c>
      <c r="C18" s="5">
        <f t="shared" ref="C18:C23" si="0">25/20 * 16/12 * 1/8</f>
        <v>0.20833333333333334</v>
      </c>
      <c r="D18" s="20" t="s">
        <v>5759</v>
      </c>
    </row>
    <row r="19" spans="1:4" ht="18.399999999999999" customHeight="1">
      <c r="A19" s="11" t="s">
        <v>5642</v>
      </c>
      <c r="B19" s="2" t="s">
        <v>2042</v>
      </c>
      <c r="C19" s="5">
        <f t="shared" si="0"/>
        <v>0.20833333333333334</v>
      </c>
      <c r="D19" s="20" t="s">
        <v>1835</v>
      </c>
    </row>
    <row r="20" spans="1:4" ht="18.399999999999999" customHeight="1">
      <c r="A20" s="11" t="s">
        <v>571</v>
      </c>
      <c r="B20" s="2" t="s">
        <v>2042</v>
      </c>
      <c r="C20" s="5">
        <f t="shared" si="0"/>
        <v>0.20833333333333334</v>
      </c>
      <c r="D20" s="20" t="s">
        <v>4276</v>
      </c>
    </row>
    <row r="21" spans="1:4" ht="18.399999999999999" customHeight="1">
      <c r="A21" s="11" t="s">
        <v>2067</v>
      </c>
      <c r="B21" s="2" t="s">
        <v>2042</v>
      </c>
      <c r="C21" s="5">
        <f t="shared" si="0"/>
        <v>0.20833333333333334</v>
      </c>
      <c r="D21" s="20" t="s">
        <v>2631</v>
      </c>
    </row>
    <row r="22" spans="1:4" ht="18.399999999999999" customHeight="1">
      <c r="A22" s="11" t="s">
        <v>5730</v>
      </c>
      <c r="B22" s="2" t="s">
        <v>2042</v>
      </c>
      <c r="C22" s="5">
        <f t="shared" si="0"/>
        <v>0.20833333333333334</v>
      </c>
      <c r="D22" s="20" t="s">
        <v>4709</v>
      </c>
    </row>
    <row r="23" spans="1:4" ht="18.399999999999999" customHeight="1">
      <c r="A23" s="11" t="s">
        <v>2933</v>
      </c>
      <c r="B23" s="2" t="s">
        <v>2042</v>
      </c>
      <c r="C23" s="5">
        <f t="shared" si="0"/>
        <v>0.20833333333333334</v>
      </c>
      <c r="D23" s="20" t="s">
        <v>442</v>
      </c>
    </row>
    <row r="24" spans="1:4" ht="18.399999999999999" customHeight="1">
      <c r="A24" s="11" t="s">
        <v>4825</v>
      </c>
      <c r="B24" s="2" t="s">
        <v>6102</v>
      </c>
      <c r="C24" s="2">
        <v>1</v>
      </c>
      <c r="D24" s="20" t="s">
        <v>3210</v>
      </c>
    </row>
    <row r="25" spans="1:4" ht="18.399999999999999" customHeight="1">
      <c r="A25" s="11" t="s">
        <v>3001</v>
      </c>
      <c r="B25" s="2" t="s">
        <v>6102</v>
      </c>
      <c r="C25" s="2">
        <v>1.5</v>
      </c>
      <c r="D25" s="20" t="s">
        <v>5735</v>
      </c>
    </row>
    <row r="26" spans="1:4" ht="18.399999999999999" customHeight="1">
      <c r="A26" s="11" t="s">
        <v>5706</v>
      </c>
      <c r="B26" s="2" t="s">
        <v>6102</v>
      </c>
      <c r="C26" s="2">
        <v>1.1599999999999999</v>
      </c>
      <c r="D26" s="20" t="s">
        <v>5937</v>
      </c>
    </row>
    <row r="27" spans="1:4" ht="18.399999999999999" customHeight="1">
      <c r="A27" s="11" t="s">
        <v>6099</v>
      </c>
      <c r="B27" s="2" t="s">
        <v>6102</v>
      </c>
      <c r="C27" s="2">
        <v>1.6</v>
      </c>
      <c r="D27" s="20" t="s">
        <v>1595</v>
      </c>
    </row>
    <row r="28" spans="1:4" ht="18.399999999999999" customHeight="1">
      <c r="A28" s="11" t="s">
        <v>1543</v>
      </c>
      <c r="B28" s="2" t="s">
        <v>6102</v>
      </c>
      <c r="C28" s="2">
        <v>1.6</v>
      </c>
      <c r="D28" s="20" t="s">
        <v>1045</v>
      </c>
    </row>
    <row r="29" spans="1:4" ht="18.399999999999999" customHeight="1">
      <c r="A29" s="11" t="s">
        <v>5217</v>
      </c>
      <c r="B29" s="2" t="s">
        <v>6102</v>
      </c>
      <c r="C29" s="2">
        <v>1.6</v>
      </c>
      <c r="D29" s="20" t="s">
        <v>4100</v>
      </c>
    </row>
    <row r="30" spans="1:4" ht="18.399999999999999" customHeight="1">
      <c r="A30" s="11" t="s">
        <v>2784</v>
      </c>
      <c r="B30" s="2" t="s">
        <v>6102</v>
      </c>
      <c r="C30" s="2">
        <v>1.94</v>
      </c>
      <c r="D30" s="20" t="s">
        <v>4122</v>
      </c>
    </row>
    <row r="31" spans="1:4" ht="18.399999999999999" customHeight="1">
      <c r="A31" s="11" t="s">
        <v>5474</v>
      </c>
      <c r="B31" s="2" t="s">
        <v>6102</v>
      </c>
      <c r="C31" s="2">
        <v>1.94</v>
      </c>
      <c r="D31" s="20" t="s">
        <v>4666</v>
      </c>
    </row>
    <row r="32" spans="1:4" ht="18.399999999999999" customHeight="1">
      <c r="A32" s="11" t="s">
        <v>2120</v>
      </c>
      <c r="B32" s="2" t="s">
        <v>6102</v>
      </c>
      <c r="C32" s="2">
        <v>1.94</v>
      </c>
      <c r="D32" s="20" t="s">
        <v>1058</v>
      </c>
    </row>
    <row r="33" spans="1:4" ht="18.399999999999999" customHeight="1">
      <c r="A33" s="11" t="s">
        <v>1416</v>
      </c>
      <c r="B33" s="2" t="s">
        <v>6102</v>
      </c>
      <c r="C33" s="2">
        <v>1</v>
      </c>
      <c r="D33" s="20" t="s">
        <v>1492</v>
      </c>
    </row>
    <row r="34" spans="1:4" ht="18.399999999999999" customHeight="1">
      <c r="A34" s="11" t="s">
        <v>4201</v>
      </c>
      <c r="B34" s="2" t="s">
        <v>6102</v>
      </c>
      <c r="C34" s="2">
        <v>1</v>
      </c>
      <c r="D34" s="20" t="s">
        <v>2105</v>
      </c>
    </row>
    <row r="35" spans="1:4" ht="18.399999999999999" customHeight="1">
      <c r="A35" s="11" t="s">
        <v>569</v>
      </c>
      <c r="B35" s="2" t="s">
        <v>6102</v>
      </c>
      <c r="C35" s="2">
        <v>1</v>
      </c>
      <c r="D35" s="20" t="s">
        <v>3614</v>
      </c>
    </row>
    <row r="36" spans="1:4" ht="18.399999999999999" customHeight="1">
      <c r="A36" s="11" t="s">
        <v>4220</v>
      </c>
      <c r="B36" s="2" t="s">
        <v>2042</v>
      </c>
      <c r="C36" s="2" t="s">
        <v>1739</v>
      </c>
      <c r="D36" s="20" t="s">
        <v>482</v>
      </c>
    </row>
    <row r="37" spans="1:4" ht="18.399999999999999" customHeight="1">
      <c r="A37" s="11" t="s">
        <v>3191</v>
      </c>
      <c r="B37" s="2" t="s">
        <v>2042</v>
      </c>
      <c r="C37" s="2" t="s">
        <v>1739</v>
      </c>
      <c r="D37" s="20" t="s">
        <v>460</v>
      </c>
    </row>
    <row r="38" spans="1:4" ht="18.399999999999999" customHeight="1">
      <c r="A38" s="11" t="s">
        <v>726</v>
      </c>
      <c r="B38" s="2" t="s">
        <v>2042</v>
      </c>
      <c r="C38" s="2" t="s">
        <v>5406</v>
      </c>
      <c r="D38" s="20" t="s">
        <v>233</v>
      </c>
    </row>
    <row r="39" spans="1:4" ht="18.399999999999999" customHeight="1">
      <c r="A39" s="11" t="s">
        <v>4962</v>
      </c>
      <c r="B39" s="2" t="s">
        <v>6102</v>
      </c>
      <c r="C39" s="2">
        <v>1.1100000000000001</v>
      </c>
      <c r="D39" s="20" t="s">
        <v>5434</v>
      </c>
    </row>
    <row r="40" spans="1:4" ht="18.399999999999999" customHeight="1">
      <c r="A40" s="11" t="s">
        <v>2178</v>
      </c>
      <c r="B40" s="2" t="s">
        <v>6102</v>
      </c>
      <c r="C40" s="2">
        <v>1.1200000000000001</v>
      </c>
      <c r="D40" s="20" t="s">
        <v>1888</v>
      </c>
    </row>
    <row r="41" spans="1:4" ht="18.399999999999999" customHeight="1">
      <c r="A41" s="11" t="s">
        <v>5744</v>
      </c>
      <c r="B41" s="2" t="s">
        <v>2042</v>
      </c>
      <c r="C41" s="2" t="s">
        <v>5898</v>
      </c>
      <c r="D41" s="20" t="s">
        <v>5245</v>
      </c>
    </row>
    <row r="42" spans="1:4" ht="18.399999999999999" customHeight="1">
      <c r="A42" s="11" t="s">
        <v>4796</v>
      </c>
      <c r="B42" s="2" t="s">
        <v>2042</v>
      </c>
      <c r="C42" s="2" t="s">
        <v>1739</v>
      </c>
      <c r="D42" s="20" t="s">
        <v>5418</v>
      </c>
    </row>
    <row r="43" spans="1:4" ht="18.399999999999999" customHeight="1">
      <c r="A43" s="11" t="s">
        <v>2286</v>
      </c>
      <c r="B43" s="2" t="s">
        <v>2042</v>
      </c>
      <c r="C43" s="2" t="s">
        <v>5406</v>
      </c>
      <c r="D43" s="20" t="s">
        <v>3034</v>
      </c>
    </row>
    <row r="44" spans="1:4" ht="18.399999999999999" customHeight="1">
      <c r="A44" s="11" t="s">
        <v>4590</v>
      </c>
      <c r="B44" s="2" t="s">
        <v>2042</v>
      </c>
      <c r="C44" s="2" t="s">
        <v>5406</v>
      </c>
      <c r="D44" s="20" t="s">
        <v>6232</v>
      </c>
    </row>
    <row r="45" spans="1:4" ht="18.399999999999999" customHeight="1">
      <c r="A45" s="11" t="s">
        <v>2445</v>
      </c>
      <c r="B45" s="2" t="s">
        <v>2042</v>
      </c>
      <c r="C45" s="2" t="s">
        <v>6232</v>
      </c>
      <c r="D45" s="20" t="s">
        <v>6232</v>
      </c>
    </row>
    <row r="46" spans="1:4" ht="18.399999999999999" customHeight="1">
      <c r="A46" s="11" t="s">
        <v>1812</v>
      </c>
      <c r="B46" s="2" t="s">
        <v>2042</v>
      </c>
      <c r="C46" s="2" t="s">
        <v>6232</v>
      </c>
      <c r="D46" s="20" t="s">
        <v>6232</v>
      </c>
    </row>
    <row r="47" spans="1:4" ht="18.399999999999999" customHeight="1">
      <c r="A47" s="11" t="s">
        <v>3387</v>
      </c>
      <c r="B47" s="2" t="s">
        <v>6102</v>
      </c>
      <c r="C47" s="2">
        <v>1180</v>
      </c>
      <c r="D47" s="20" t="s">
        <v>1704</v>
      </c>
    </row>
    <row r="48" spans="1:4" ht="18.399999999999999" customHeight="1">
      <c r="A48" s="11" t="s">
        <v>635</v>
      </c>
      <c r="B48" s="2" t="s">
        <v>6102</v>
      </c>
      <c r="C48" s="2">
        <v>1180</v>
      </c>
      <c r="D48" s="20" t="s">
        <v>4111</v>
      </c>
    </row>
    <row r="49" spans="1:4" ht="18.399999999999999" customHeight="1">
      <c r="A49" s="11" t="s">
        <v>928</v>
      </c>
      <c r="B49" s="2" t="s">
        <v>2042</v>
      </c>
      <c r="C49" s="2" t="s">
        <v>3029</v>
      </c>
      <c r="D49" s="20" t="s">
        <v>6232</v>
      </c>
    </row>
    <row r="50" spans="1:4" ht="18.399999999999999" customHeight="1">
      <c r="A50" s="13" t="s">
        <v>764</v>
      </c>
      <c r="B50" s="14" t="s">
        <v>2042</v>
      </c>
      <c r="C50" s="14" t="s">
        <v>5406</v>
      </c>
      <c r="D50" s="21" t="s">
        <v>6232</v>
      </c>
    </row>
  </sheetData>
  <phoneticPr fontId="7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H121"/>
  <sheetViews>
    <sheetView showGridLines="0" view="pageBreakPreview" zoomScale="85" zoomScaleNormal="70" zoomScaleSheetLayoutView="85" workbookViewId="0">
      <selection activeCell="AL2" sqref="AL2:DZ2"/>
    </sheetView>
  </sheetViews>
  <sheetFormatPr defaultRowHeight="16.5"/>
  <cols>
    <col min="1" max="1" width="5.5" style="296" customWidth="1"/>
    <col min="2" max="21" width="2.1640625" style="274" customWidth="1"/>
    <col min="22" max="22" width="2.33203125" style="274" customWidth="1"/>
    <col min="23" max="36" width="2.1640625" style="274" customWidth="1"/>
    <col min="37" max="37" width="2.83203125" style="274" customWidth="1"/>
    <col min="38" max="45" width="2.1640625" style="274" customWidth="1"/>
    <col min="46" max="46" width="2.83203125" style="274" customWidth="1"/>
    <col min="47" max="164" width="2.1640625" style="274" customWidth="1"/>
    <col min="165" max="16384" width="9.33203125" style="274"/>
  </cols>
  <sheetData>
    <row r="1" spans="1:164" s="265" customFormat="1" ht="23.25" customHeight="1">
      <c r="A1" s="263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64"/>
      <c r="CA1" s="264"/>
      <c r="CB1" s="264"/>
      <c r="CC1" s="264"/>
      <c r="CD1" s="264"/>
      <c r="CE1" s="264"/>
      <c r="CF1" s="264"/>
      <c r="CG1" s="264"/>
      <c r="CH1" s="264"/>
      <c r="CI1" s="264"/>
      <c r="CJ1" s="264"/>
      <c r="CK1" s="264"/>
      <c r="CL1" s="264"/>
      <c r="CM1" s="264"/>
      <c r="CN1" s="264"/>
      <c r="CO1" s="264"/>
      <c r="CP1" s="264"/>
      <c r="CQ1" s="264"/>
      <c r="CR1" s="264"/>
      <c r="CS1" s="264"/>
      <c r="CT1" s="264"/>
      <c r="CU1" s="264"/>
      <c r="CV1" s="264"/>
      <c r="CW1" s="264"/>
      <c r="CX1" s="264"/>
      <c r="CY1" s="264"/>
      <c r="CZ1" s="264"/>
      <c r="DA1" s="264"/>
      <c r="DB1" s="264"/>
      <c r="DC1" s="264"/>
      <c r="DD1" s="264"/>
      <c r="DE1" s="264"/>
      <c r="DF1" s="264"/>
      <c r="DG1" s="264"/>
      <c r="DH1" s="264"/>
      <c r="DI1" s="264"/>
      <c r="DJ1" s="264"/>
      <c r="DK1" s="264"/>
      <c r="DL1" s="264"/>
      <c r="DM1" s="264"/>
      <c r="DN1" s="264"/>
      <c r="DO1" s="264"/>
      <c r="DP1" s="264"/>
      <c r="DQ1" s="264"/>
      <c r="DR1" s="264"/>
      <c r="DS1" s="264"/>
      <c r="DT1" s="264"/>
      <c r="DU1" s="264"/>
      <c r="DV1" s="264"/>
      <c r="DW1" s="264"/>
      <c r="DX1" s="264"/>
      <c r="DY1" s="264"/>
      <c r="DZ1" s="264"/>
      <c r="EA1" s="264"/>
      <c r="EB1" s="264"/>
      <c r="EC1" s="264"/>
      <c r="ED1" s="264"/>
      <c r="EE1" s="264"/>
      <c r="EF1" s="264"/>
      <c r="EG1" s="264"/>
      <c r="EH1" s="264"/>
      <c r="EI1" s="264"/>
      <c r="EJ1" s="264"/>
      <c r="EK1" s="264"/>
      <c r="EL1" s="264"/>
      <c r="EM1" s="264"/>
      <c r="EN1" s="264"/>
      <c r="EO1" s="264"/>
      <c r="EP1" s="264"/>
      <c r="EQ1" s="264"/>
      <c r="ER1" s="264"/>
      <c r="ES1" s="264"/>
      <c r="ET1" s="264"/>
      <c r="EU1" s="264"/>
      <c r="EV1" s="264"/>
      <c r="EW1" s="264"/>
      <c r="EX1" s="264"/>
      <c r="EY1" s="264"/>
      <c r="EZ1" s="264"/>
      <c r="FA1" s="264"/>
      <c r="FB1" s="264"/>
      <c r="FC1" s="264"/>
      <c r="FD1" s="264"/>
      <c r="FE1" s="264"/>
      <c r="FF1" s="264"/>
      <c r="FG1" s="264"/>
      <c r="FH1" s="264"/>
    </row>
    <row r="2" spans="1:164" s="268" customFormat="1" ht="62.25" customHeight="1" thickBot="1">
      <c r="A2" s="263"/>
      <c r="B2" s="465" t="s">
        <v>6550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6" t="s">
        <v>6551</v>
      </c>
      <c r="AM2" s="467"/>
      <c r="AN2" s="467"/>
      <c r="AO2" s="467"/>
      <c r="AP2" s="467"/>
      <c r="AQ2" s="467"/>
      <c r="AR2" s="467"/>
      <c r="AS2" s="467"/>
      <c r="AT2" s="467"/>
      <c r="AU2" s="467"/>
      <c r="AV2" s="467"/>
      <c r="AW2" s="467"/>
      <c r="AX2" s="467"/>
      <c r="AY2" s="467"/>
      <c r="AZ2" s="467"/>
      <c r="BA2" s="467"/>
      <c r="BB2" s="467"/>
      <c r="BC2" s="467"/>
      <c r="BD2" s="467"/>
      <c r="BE2" s="467"/>
      <c r="BF2" s="467"/>
      <c r="BG2" s="467"/>
      <c r="BH2" s="467"/>
      <c r="BI2" s="467"/>
      <c r="BJ2" s="467"/>
      <c r="BK2" s="467"/>
      <c r="BL2" s="467"/>
      <c r="BM2" s="467"/>
      <c r="BN2" s="467"/>
      <c r="BO2" s="467"/>
      <c r="BP2" s="467"/>
      <c r="BQ2" s="467"/>
      <c r="BR2" s="467"/>
      <c r="BS2" s="467"/>
      <c r="BT2" s="467"/>
      <c r="BU2" s="467"/>
      <c r="BV2" s="467"/>
      <c r="BW2" s="467"/>
      <c r="BX2" s="467"/>
      <c r="BY2" s="467"/>
      <c r="BZ2" s="467"/>
      <c r="CA2" s="467"/>
      <c r="CB2" s="467"/>
      <c r="CC2" s="467"/>
      <c r="CD2" s="467"/>
      <c r="CE2" s="467"/>
      <c r="CF2" s="467"/>
      <c r="CG2" s="467"/>
      <c r="CH2" s="467"/>
      <c r="CI2" s="467"/>
      <c r="CJ2" s="467"/>
      <c r="CK2" s="467"/>
      <c r="CL2" s="467"/>
      <c r="CM2" s="467"/>
      <c r="CN2" s="467"/>
      <c r="CO2" s="467"/>
      <c r="CP2" s="467"/>
      <c r="CQ2" s="467"/>
      <c r="CR2" s="467"/>
      <c r="CS2" s="467"/>
      <c r="CT2" s="467"/>
      <c r="CU2" s="467"/>
      <c r="CV2" s="467"/>
      <c r="CW2" s="467"/>
      <c r="CX2" s="467"/>
      <c r="CY2" s="467"/>
      <c r="CZ2" s="467"/>
      <c r="DA2" s="467"/>
      <c r="DB2" s="467"/>
      <c r="DC2" s="467"/>
      <c r="DD2" s="467"/>
      <c r="DE2" s="467"/>
      <c r="DF2" s="467"/>
      <c r="DG2" s="467"/>
      <c r="DH2" s="467"/>
      <c r="DI2" s="467"/>
      <c r="DJ2" s="467"/>
      <c r="DK2" s="467"/>
      <c r="DL2" s="467"/>
      <c r="DM2" s="467"/>
      <c r="DN2" s="467"/>
      <c r="DO2" s="467"/>
      <c r="DP2" s="467"/>
      <c r="DQ2" s="467"/>
      <c r="DR2" s="467"/>
      <c r="DS2" s="467"/>
      <c r="DT2" s="467"/>
      <c r="DU2" s="467"/>
      <c r="DV2" s="467"/>
      <c r="DW2" s="467"/>
      <c r="DX2" s="467"/>
      <c r="DY2" s="467"/>
      <c r="DZ2" s="467"/>
      <c r="EA2" s="266"/>
      <c r="EB2" s="266"/>
      <c r="EC2" s="266"/>
      <c r="ED2" s="266"/>
      <c r="EE2" s="266"/>
      <c r="EF2" s="266"/>
      <c r="EG2" s="266"/>
      <c r="EH2" s="266"/>
      <c r="EI2" s="266"/>
      <c r="EJ2" s="266"/>
      <c r="EK2" s="266"/>
      <c r="EL2" s="266"/>
      <c r="EM2" s="266"/>
      <c r="EN2" s="266"/>
      <c r="EO2" s="267"/>
      <c r="EP2" s="267"/>
      <c r="EQ2" s="267"/>
      <c r="ER2" s="267"/>
      <c r="ES2" s="267"/>
      <c r="ET2" s="267"/>
      <c r="EU2" s="267"/>
      <c r="EV2" s="267"/>
      <c r="EW2" s="267"/>
      <c r="EX2" s="267"/>
      <c r="EY2" s="267"/>
      <c r="EZ2" s="267"/>
      <c r="FA2" s="267"/>
      <c r="FB2" s="267"/>
      <c r="FC2" s="267"/>
      <c r="FD2" s="267"/>
      <c r="FE2" s="267"/>
      <c r="FF2" s="267"/>
      <c r="FG2" s="267"/>
      <c r="FH2" s="267"/>
    </row>
    <row r="3" spans="1:164" ht="8.65" customHeight="1" thickTop="1">
      <c r="A3" s="269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2"/>
      <c r="M3" s="273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2"/>
      <c r="AC3" s="468" t="s">
        <v>6335</v>
      </c>
      <c r="AD3" s="469"/>
      <c r="AE3" s="469"/>
      <c r="AF3" s="469"/>
      <c r="AG3" s="469"/>
      <c r="AH3" s="469"/>
      <c r="AI3" s="469"/>
      <c r="AJ3" s="469"/>
      <c r="AK3" s="470"/>
      <c r="AL3" s="469" t="s">
        <v>6336</v>
      </c>
      <c r="AM3" s="469"/>
      <c r="AN3" s="469"/>
      <c r="AO3" s="469"/>
      <c r="AP3" s="469"/>
      <c r="AQ3" s="469"/>
      <c r="AR3" s="469"/>
      <c r="AS3" s="469"/>
      <c r="AT3" s="474"/>
      <c r="AU3" s="270"/>
      <c r="AV3" s="271"/>
      <c r="AW3" s="271"/>
      <c r="AX3" s="271"/>
      <c r="AY3" s="271"/>
      <c r="AZ3" s="271"/>
      <c r="BA3" s="271"/>
      <c r="BB3" s="271"/>
      <c r="BC3" s="271"/>
      <c r="BD3" s="272"/>
      <c r="BE3" s="476" t="s">
        <v>6337</v>
      </c>
      <c r="BF3" s="476"/>
      <c r="BG3" s="476"/>
      <c r="BH3" s="476"/>
      <c r="BI3" s="476"/>
      <c r="BJ3" s="476"/>
      <c r="BK3" s="476"/>
      <c r="BL3" s="476"/>
      <c r="BM3" s="476"/>
      <c r="BN3" s="476"/>
      <c r="BO3" s="476"/>
      <c r="BP3" s="476"/>
      <c r="BQ3" s="476"/>
      <c r="BR3" s="478" t="s">
        <v>6338</v>
      </c>
      <c r="BS3" s="478"/>
      <c r="BT3" s="478"/>
      <c r="BU3" s="478"/>
      <c r="BV3" s="478"/>
      <c r="BW3" s="478"/>
      <c r="BX3" s="479"/>
      <c r="BY3" s="469" t="s">
        <v>6339</v>
      </c>
      <c r="BZ3" s="469"/>
      <c r="CA3" s="469"/>
      <c r="CB3" s="469"/>
      <c r="CC3" s="469"/>
      <c r="CD3" s="469"/>
      <c r="CE3" s="469"/>
      <c r="CF3" s="469"/>
      <c r="CG3" s="469"/>
      <c r="CH3" s="469"/>
      <c r="CI3" s="469"/>
      <c r="CJ3" s="469"/>
      <c r="CK3" s="469"/>
      <c r="CL3" s="469"/>
      <c r="CM3" s="469"/>
      <c r="CN3" s="469"/>
      <c r="CO3" s="469"/>
      <c r="CP3" s="469"/>
      <c r="CQ3" s="469"/>
      <c r="CR3" s="469"/>
      <c r="CS3" s="469"/>
      <c r="CT3" s="469"/>
      <c r="CU3" s="469"/>
      <c r="CV3" s="469"/>
      <c r="CW3" s="469"/>
      <c r="CX3" s="469"/>
      <c r="CY3" s="469"/>
      <c r="CZ3" s="469"/>
      <c r="DA3" s="469"/>
      <c r="DB3" s="469"/>
      <c r="DC3" s="469"/>
      <c r="DD3" s="469"/>
      <c r="DE3" s="469"/>
      <c r="DF3" s="469"/>
      <c r="DG3" s="469"/>
      <c r="DH3" s="469"/>
      <c r="DI3" s="474"/>
      <c r="DJ3" s="482" t="s">
        <v>6340</v>
      </c>
      <c r="DK3" s="469"/>
      <c r="DL3" s="469"/>
      <c r="DM3" s="469"/>
      <c r="DN3" s="469"/>
      <c r="DO3" s="469"/>
      <c r="DP3" s="469"/>
      <c r="DQ3" s="469"/>
      <c r="DR3" s="469"/>
      <c r="DS3" s="469"/>
      <c r="DT3" s="469"/>
      <c r="DU3" s="469"/>
      <c r="DV3" s="469"/>
      <c r="DW3" s="469"/>
      <c r="DX3" s="469"/>
      <c r="DY3" s="469"/>
      <c r="DZ3" s="469"/>
      <c r="EA3" s="469"/>
      <c r="EB3" s="469"/>
      <c r="EC3" s="469"/>
      <c r="ED3" s="469"/>
      <c r="EE3" s="469"/>
      <c r="EF3" s="469"/>
      <c r="EG3" s="469"/>
      <c r="EH3" s="469"/>
      <c r="EI3" s="469"/>
      <c r="EJ3" s="469"/>
      <c r="EK3" s="469"/>
      <c r="EL3" s="469"/>
      <c r="EM3" s="469"/>
      <c r="EN3" s="469"/>
      <c r="EO3" s="469"/>
      <c r="EP3" s="469"/>
      <c r="EQ3" s="469"/>
      <c r="ER3" s="469"/>
      <c r="ES3" s="469"/>
      <c r="ET3" s="469"/>
      <c r="EU3" s="469"/>
      <c r="EV3" s="469"/>
      <c r="EW3" s="469"/>
      <c r="EX3" s="469"/>
      <c r="EY3" s="469"/>
      <c r="EZ3" s="469"/>
      <c r="FA3" s="469"/>
      <c r="FB3" s="469"/>
      <c r="FC3" s="469"/>
      <c r="FD3" s="469"/>
      <c r="FE3" s="469"/>
      <c r="FF3" s="469"/>
      <c r="FG3" s="474"/>
    </row>
    <row r="4" spans="1:164" ht="8.65" customHeight="1">
      <c r="A4" s="269"/>
      <c r="B4" s="275"/>
      <c r="C4" s="276"/>
      <c r="D4" s="276"/>
      <c r="E4" s="276"/>
      <c r="F4" s="276"/>
      <c r="G4" s="276"/>
      <c r="H4" s="276"/>
      <c r="I4" s="276"/>
      <c r="J4" s="276"/>
      <c r="K4" s="276"/>
      <c r="L4" s="277"/>
      <c r="M4" s="278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7"/>
      <c r="AC4" s="471"/>
      <c r="AD4" s="472"/>
      <c r="AE4" s="472"/>
      <c r="AF4" s="472"/>
      <c r="AG4" s="472"/>
      <c r="AH4" s="472"/>
      <c r="AI4" s="472"/>
      <c r="AJ4" s="472"/>
      <c r="AK4" s="473"/>
      <c r="AL4" s="472"/>
      <c r="AM4" s="472"/>
      <c r="AN4" s="472"/>
      <c r="AO4" s="472"/>
      <c r="AP4" s="472"/>
      <c r="AQ4" s="472"/>
      <c r="AR4" s="472"/>
      <c r="AS4" s="472"/>
      <c r="AT4" s="475"/>
      <c r="AU4" s="275"/>
      <c r="AV4" s="276"/>
      <c r="AW4" s="276"/>
      <c r="AX4" s="276"/>
      <c r="AY4" s="276"/>
      <c r="AZ4" s="276"/>
      <c r="BA4" s="276"/>
      <c r="BB4" s="276"/>
      <c r="BC4" s="276"/>
      <c r="BD4" s="277"/>
      <c r="BE4" s="477"/>
      <c r="BF4" s="477"/>
      <c r="BG4" s="477"/>
      <c r="BH4" s="477"/>
      <c r="BI4" s="477"/>
      <c r="BJ4" s="477"/>
      <c r="BK4" s="477"/>
      <c r="BL4" s="477"/>
      <c r="BM4" s="477"/>
      <c r="BN4" s="477"/>
      <c r="BO4" s="477"/>
      <c r="BP4" s="477"/>
      <c r="BQ4" s="477"/>
      <c r="BR4" s="480"/>
      <c r="BS4" s="480"/>
      <c r="BT4" s="480"/>
      <c r="BU4" s="480"/>
      <c r="BV4" s="480"/>
      <c r="BW4" s="480"/>
      <c r="BX4" s="481"/>
      <c r="BY4" s="472"/>
      <c r="BZ4" s="472"/>
      <c r="CA4" s="472"/>
      <c r="CB4" s="472"/>
      <c r="CC4" s="472"/>
      <c r="CD4" s="472"/>
      <c r="CE4" s="472"/>
      <c r="CF4" s="472"/>
      <c r="CG4" s="472"/>
      <c r="CH4" s="472"/>
      <c r="CI4" s="472"/>
      <c r="CJ4" s="472"/>
      <c r="CK4" s="472"/>
      <c r="CL4" s="472"/>
      <c r="CM4" s="472"/>
      <c r="CN4" s="472"/>
      <c r="CO4" s="472"/>
      <c r="CP4" s="472"/>
      <c r="CQ4" s="472"/>
      <c r="CR4" s="472"/>
      <c r="CS4" s="472"/>
      <c r="CT4" s="472"/>
      <c r="CU4" s="472"/>
      <c r="CV4" s="472"/>
      <c r="CW4" s="472"/>
      <c r="CX4" s="472"/>
      <c r="CY4" s="472"/>
      <c r="CZ4" s="472"/>
      <c r="DA4" s="472"/>
      <c r="DB4" s="472"/>
      <c r="DC4" s="472"/>
      <c r="DD4" s="472"/>
      <c r="DE4" s="472"/>
      <c r="DF4" s="472"/>
      <c r="DG4" s="472"/>
      <c r="DH4" s="472"/>
      <c r="DI4" s="475"/>
      <c r="DJ4" s="483"/>
      <c r="DK4" s="472"/>
      <c r="DL4" s="472"/>
      <c r="DM4" s="472"/>
      <c r="DN4" s="472"/>
      <c r="DO4" s="472"/>
      <c r="DP4" s="472"/>
      <c r="DQ4" s="472"/>
      <c r="DR4" s="472"/>
      <c r="DS4" s="472"/>
      <c r="DT4" s="472"/>
      <c r="DU4" s="472"/>
      <c r="DV4" s="472"/>
      <c r="DW4" s="472"/>
      <c r="DX4" s="472"/>
      <c r="DY4" s="472"/>
      <c r="DZ4" s="472"/>
      <c r="EA4" s="472"/>
      <c r="EB4" s="472"/>
      <c r="EC4" s="472"/>
      <c r="ED4" s="472"/>
      <c r="EE4" s="472"/>
      <c r="EF4" s="472"/>
      <c r="EG4" s="472"/>
      <c r="EH4" s="472"/>
      <c r="EI4" s="472"/>
      <c r="EJ4" s="472"/>
      <c r="EK4" s="472"/>
      <c r="EL4" s="472"/>
      <c r="EM4" s="472"/>
      <c r="EN4" s="472"/>
      <c r="EO4" s="472"/>
      <c r="EP4" s="472"/>
      <c r="EQ4" s="472"/>
      <c r="ER4" s="472"/>
      <c r="ES4" s="472"/>
      <c r="ET4" s="472"/>
      <c r="EU4" s="472"/>
      <c r="EV4" s="472"/>
      <c r="EW4" s="472"/>
      <c r="EX4" s="472"/>
      <c r="EY4" s="472"/>
      <c r="EZ4" s="472"/>
      <c r="FA4" s="472"/>
      <c r="FB4" s="472"/>
      <c r="FC4" s="472"/>
      <c r="FD4" s="472"/>
      <c r="FE4" s="472"/>
      <c r="FF4" s="472"/>
      <c r="FG4" s="475"/>
    </row>
    <row r="5" spans="1:164" ht="8.65" customHeight="1">
      <c r="A5" s="269"/>
      <c r="B5" s="275"/>
      <c r="C5" s="276"/>
      <c r="D5" s="276"/>
      <c r="E5" s="276"/>
      <c r="F5" s="276"/>
      <c r="G5" s="276"/>
      <c r="H5" s="276"/>
      <c r="I5" s="276"/>
      <c r="J5" s="276"/>
      <c r="K5" s="276"/>
      <c r="L5" s="277"/>
      <c r="M5" s="278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7"/>
      <c r="AC5" s="471"/>
      <c r="AD5" s="472"/>
      <c r="AE5" s="472"/>
      <c r="AF5" s="472"/>
      <c r="AG5" s="472"/>
      <c r="AH5" s="472"/>
      <c r="AI5" s="472"/>
      <c r="AJ5" s="472"/>
      <c r="AK5" s="473"/>
      <c r="AL5" s="472"/>
      <c r="AM5" s="472"/>
      <c r="AN5" s="472"/>
      <c r="AO5" s="472"/>
      <c r="AP5" s="472"/>
      <c r="AQ5" s="472"/>
      <c r="AR5" s="472"/>
      <c r="AS5" s="472"/>
      <c r="AT5" s="475"/>
      <c r="AU5" s="275"/>
      <c r="AV5" s="276"/>
      <c r="AW5" s="276"/>
      <c r="AX5" s="276"/>
      <c r="AY5" s="276"/>
      <c r="AZ5" s="276"/>
      <c r="BA5" s="276"/>
      <c r="BB5" s="276"/>
      <c r="BC5" s="276"/>
      <c r="BD5" s="277"/>
      <c r="BE5" s="477"/>
      <c r="BF5" s="477"/>
      <c r="BG5" s="477"/>
      <c r="BH5" s="477"/>
      <c r="BI5" s="477"/>
      <c r="BJ5" s="477"/>
      <c r="BK5" s="477"/>
      <c r="BL5" s="477"/>
      <c r="BM5" s="477"/>
      <c r="BN5" s="477"/>
      <c r="BO5" s="477"/>
      <c r="BP5" s="477"/>
      <c r="BQ5" s="477"/>
      <c r="BR5" s="480"/>
      <c r="BS5" s="480"/>
      <c r="BT5" s="480"/>
      <c r="BU5" s="480"/>
      <c r="BV5" s="480"/>
      <c r="BW5" s="480"/>
      <c r="BX5" s="481"/>
      <c r="BY5" s="472"/>
      <c r="BZ5" s="472"/>
      <c r="CA5" s="472"/>
      <c r="CB5" s="472"/>
      <c r="CC5" s="472"/>
      <c r="CD5" s="472"/>
      <c r="CE5" s="472"/>
      <c r="CF5" s="472"/>
      <c r="CG5" s="472"/>
      <c r="CH5" s="472"/>
      <c r="CI5" s="472"/>
      <c r="CJ5" s="472"/>
      <c r="CK5" s="472"/>
      <c r="CL5" s="472"/>
      <c r="CM5" s="472"/>
      <c r="CN5" s="472"/>
      <c r="CO5" s="472"/>
      <c r="CP5" s="472"/>
      <c r="CQ5" s="472"/>
      <c r="CR5" s="472"/>
      <c r="CS5" s="472"/>
      <c r="CT5" s="472"/>
      <c r="CU5" s="472"/>
      <c r="CV5" s="472"/>
      <c r="CW5" s="472"/>
      <c r="CX5" s="472"/>
      <c r="CY5" s="472"/>
      <c r="CZ5" s="472"/>
      <c r="DA5" s="472"/>
      <c r="DB5" s="472"/>
      <c r="DC5" s="472"/>
      <c r="DD5" s="472"/>
      <c r="DE5" s="472"/>
      <c r="DF5" s="472"/>
      <c r="DG5" s="472"/>
      <c r="DH5" s="472"/>
      <c r="DI5" s="475"/>
      <c r="DJ5" s="483"/>
      <c r="DK5" s="472"/>
      <c r="DL5" s="472"/>
      <c r="DM5" s="472"/>
      <c r="DN5" s="472"/>
      <c r="DO5" s="472"/>
      <c r="DP5" s="472"/>
      <c r="DQ5" s="472"/>
      <c r="DR5" s="472"/>
      <c r="DS5" s="472"/>
      <c r="DT5" s="472"/>
      <c r="DU5" s="472"/>
      <c r="DV5" s="472"/>
      <c r="DW5" s="472"/>
      <c r="DX5" s="472"/>
      <c r="DY5" s="472"/>
      <c r="DZ5" s="472"/>
      <c r="EA5" s="472"/>
      <c r="EB5" s="472"/>
      <c r="EC5" s="472"/>
      <c r="ED5" s="472"/>
      <c r="EE5" s="472"/>
      <c r="EF5" s="472"/>
      <c r="EG5" s="472"/>
      <c r="EH5" s="472"/>
      <c r="EI5" s="472"/>
      <c r="EJ5" s="472"/>
      <c r="EK5" s="472"/>
      <c r="EL5" s="472"/>
      <c r="EM5" s="472"/>
      <c r="EN5" s="472"/>
      <c r="EO5" s="472"/>
      <c r="EP5" s="472"/>
      <c r="EQ5" s="472"/>
      <c r="ER5" s="472"/>
      <c r="ES5" s="472"/>
      <c r="ET5" s="472"/>
      <c r="EU5" s="472"/>
      <c r="EV5" s="472"/>
      <c r="EW5" s="472"/>
      <c r="EX5" s="472"/>
      <c r="EY5" s="472"/>
      <c r="EZ5" s="472"/>
      <c r="FA5" s="472"/>
      <c r="FB5" s="472"/>
      <c r="FC5" s="472"/>
      <c r="FD5" s="472"/>
      <c r="FE5" s="472"/>
      <c r="FF5" s="472"/>
      <c r="FG5" s="475"/>
    </row>
    <row r="6" spans="1:164" ht="8.65" customHeight="1">
      <c r="A6" s="269"/>
      <c r="B6" s="275"/>
      <c r="C6" s="276"/>
      <c r="D6" s="276"/>
      <c r="E6" s="276"/>
      <c r="F6" s="276"/>
      <c r="G6" s="276"/>
      <c r="H6" s="276"/>
      <c r="I6" s="276"/>
      <c r="J6" s="276"/>
      <c r="K6" s="276"/>
      <c r="L6" s="277"/>
      <c r="M6" s="278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7"/>
      <c r="AC6" s="471"/>
      <c r="AD6" s="472"/>
      <c r="AE6" s="472"/>
      <c r="AF6" s="472"/>
      <c r="AG6" s="472"/>
      <c r="AH6" s="472"/>
      <c r="AI6" s="472"/>
      <c r="AJ6" s="472"/>
      <c r="AK6" s="473"/>
      <c r="AL6" s="472"/>
      <c r="AM6" s="472"/>
      <c r="AN6" s="472"/>
      <c r="AO6" s="472"/>
      <c r="AP6" s="472"/>
      <c r="AQ6" s="472"/>
      <c r="AR6" s="472"/>
      <c r="AS6" s="472"/>
      <c r="AT6" s="475"/>
      <c r="AU6" s="275"/>
      <c r="AV6" s="276"/>
      <c r="AW6" s="276"/>
      <c r="AX6" s="276"/>
      <c r="AY6" s="276"/>
      <c r="AZ6" s="276"/>
      <c r="BA6" s="276"/>
      <c r="BB6" s="276"/>
      <c r="BC6" s="276"/>
      <c r="BD6" s="277"/>
      <c r="BE6" s="477"/>
      <c r="BF6" s="477"/>
      <c r="BG6" s="477"/>
      <c r="BH6" s="477"/>
      <c r="BI6" s="477"/>
      <c r="BJ6" s="477"/>
      <c r="BK6" s="477"/>
      <c r="BL6" s="477"/>
      <c r="BM6" s="477"/>
      <c r="BN6" s="477"/>
      <c r="BO6" s="477"/>
      <c r="BP6" s="477"/>
      <c r="BQ6" s="477"/>
      <c r="BR6" s="480"/>
      <c r="BS6" s="480"/>
      <c r="BT6" s="480"/>
      <c r="BU6" s="480"/>
      <c r="BV6" s="480"/>
      <c r="BW6" s="480"/>
      <c r="BX6" s="481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2"/>
      <c r="CV6" s="472"/>
      <c r="CW6" s="472"/>
      <c r="CX6" s="472"/>
      <c r="CY6" s="472"/>
      <c r="CZ6" s="472"/>
      <c r="DA6" s="472"/>
      <c r="DB6" s="472"/>
      <c r="DC6" s="472"/>
      <c r="DD6" s="472"/>
      <c r="DE6" s="472"/>
      <c r="DF6" s="472"/>
      <c r="DG6" s="472"/>
      <c r="DH6" s="472"/>
      <c r="DI6" s="475"/>
      <c r="DJ6" s="483"/>
      <c r="DK6" s="472"/>
      <c r="DL6" s="472"/>
      <c r="DM6" s="472"/>
      <c r="DN6" s="472"/>
      <c r="DO6" s="472"/>
      <c r="DP6" s="472"/>
      <c r="DQ6" s="472"/>
      <c r="DR6" s="472"/>
      <c r="DS6" s="472"/>
      <c r="DT6" s="472"/>
      <c r="DU6" s="472"/>
      <c r="DV6" s="472"/>
      <c r="DW6" s="472"/>
      <c r="DX6" s="472"/>
      <c r="DY6" s="472"/>
      <c r="DZ6" s="472"/>
      <c r="EA6" s="472"/>
      <c r="EB6" s="472"/>
      <c r="EC6" s="472"/>
      <c r="ED6" s="472"/>
      <c r="EE6" s="472"/>
      <c r="EF6" s="472"/>
      <c r="EG6" s="472"/>
      <c r="EH6" s="472"/>
      <c r="EI6" s="472"/>
      <c r="EJ6" s="472"/>
      <c r="EK6" s="472"/>
      <c r="EL6" s="472"/>
      <c r="EM6" s="472"/>
      <c r="EN6" s="472"/>
      <c r="EO6" s="472"/>
      <c r="EP6" s="472"/>
      <c r="EQ6" s="472"/>
      <c r="ER6" s="472"/>
      <c r="ES6" s="472"/>
      <c r="ET6" s="472"/>
      <c r="EU6" s="472"/>
      <c r="EV6" s="472"/>
      <c r="EW6" s="472"/>
      <c r="EX6" s="472"/>
      <c r="EY6" s="472"/>
      <c r="EZ6" s="472"/>
      <c r="FA6" s="472"/>
      <c r="FB6" s="472"/>
      <c r="FC6" s="472"/>
      <c r="FD6" s="472"/>
      <c r="FE6" s="472"/>
      <c r="FF6" s="472"/>
      <c r="FG6" s="475"/>
    </row>
    <row r="7" spans="1:164" ht="8.65" customHeight="1">
      <c r="A7" s="269"/>
      <c r="B7" s="501" t="s">
        <v>6341</v>
      </c>
      <c r="C7" s="494"/>
      <c r="D7" s="494"/>
      <c r="E7" s="494"/>
      <c r="F7" s="494"/>
      <c r="G7" s="494"/>
      <c r="H7" s="494"/>
      <c r="I7" s="494"/>
      <c r="J7" s="494"/>
      <c r="K7" s="494"/>
      <c r="L7" s="531"/>
      <c r="M7" s="532" t="s">
        <v>6342</v>
      </c>
      <c r="N7" s="494"/>
      <c r="O7" s="494"/>
      <c r="P7" s="494"/>
      <c r="Q7" s="494"/>
      <c r="R7" s="494"/>
      <c r="S7" s="494"/>
      <c r="T7" s="494"/>
      <c r="U7" s="494"/>
      <c r="V7" s="494"/>
      <c r="W7" s="494"/>
      <c r="X7" s="494"/>
      <c r="Y7" s="494"/>
      <c r="Z7" s="494"/>
      <c r="AA7" s="494"/>
      <c r="AB7" s="531"/>
      <c r="AC7" s="533" t="s">
        <v>6343</v>
      </c>
      <c r="AD7" s="534"/>
      <c r="AE7" s="534"/>
      <c r="AF7" s="534"/>
      <c r="AG7" s="534"/>
      <c r="AH7" s="534"/>
      <c r="AI7" s="534"/>
      <c r="AJ7" s="534"/>
      <c r="AK7" s="535"/>
      <c r="AL7" s="491" t="s">
        <v>6344</v>
      </c>
      <c r="AM7" s="491"/>
      <c r="AN7" s="491"/>
      <c r="AO7" s="491"/>
      <c r="AP7" s="491"/>
      <c r="AQ7" s="491"/>
      <c r="AR7" s="491"/>
      <c r="AS7" s="491"/>
      <c r="AT7" s="492"/>
      <c r="AU7" s="449" t="s">
        <v>6345</v>
      </c>
      <c r="AV7" s="450"/>
      <c r="AW7" s="450"/>
      <c r="AX7" s="450"/>
      <c r="AY7" s="450"/>
      <c r="AZ7" s="450"/>
      <c r="BA7" s="450"/>
      <c r="BB7" s="450"/>
      <c r="BC7" s="450"/>
      <c r="BD7" s="450"/>
      <c r="BE7" s="451" t="s">
        <v>6346</v>
      </c>
      <c r="BF7" s="451"/>
      <c r="BG7" s="451"/>
      <c r="BH7" s="451"/>
      <c r="BI7" s="451"/>
      <c r="BJ7" s="451"/>
      <c r="BK7" s="451"/>
      <c r="BL7" s="451"/>
      <c r="BM7" s="451"/>
      <c r="BN7" s="451"/>
      <c r="BO7" s="451"/>
      <c r="BP7" s="451"/>
      <c r="BQ7" s="451"/>
      <c r="BR7" s="525" t="s">
        <v>6347</v>
      </c>
      <c r="BS7" s="525"/>
      <c r="BT7" s="525"/>
      <c r="BU7" s="525"/>
      <c r="BV7" s="525"/>
      <c r="BW7" s="525"/>
      <c r="BX7" s="526"/>
      <c r="BY7" s="491" t="s">
        <v>6348</v>
      </c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2"/>
      <c r="DJ7" s="499" t="s">
        <v>6349</v>
      </c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500"/>
      <c r="EA7" s="490" t="s">
        <v>6350</v>
      </c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2"/>
    </row>
    <row r="8" spans="1:164" ht="8.65" customHeight="1">
      <c r="A8" s="269"/>
      <c r="B8" s="501"/>
      <c r="C8" s="494"/>
      <c r="D8" s="494"/>
      <c r="E8" s="494"/>
      <c r="F8" s="494"/>
      <c r="G8" s="494"/>
      <c r="H8" s="494"/>
      <c r="I8" s="494"/>
      <c r="J8" s="494"/>
      <c r="K8" s="494"/>
      <c r="L8" s="531"/>
      <c r="M8" s="532"/>
      <c r="N8" s="494"/>
      <c r="O8" s="494"/>
      <c r="P8" s="494"/>
      <c r="Q8" s="494"/>
      <c r="R8" s="494"/>
      <c r="S8" s="494"/>
      <c r="T8" s="494"/>
      <c r="U8" s="494"/>
      <c r="V8" s="494"/>
      <c r="W8" s="494"/>
      <c r="X8" s="494"/>
      <c r="Y8" s="494"/>
      <c r="Z8" s="494"/>
      <c r="AA8" s="494"/>
      <c r="AB8" s="531"/>
      <c r="AC8" s="536"/>
      <c r="AD8" s="537"/>
      <c r="AE8" s="537"/>
      <c r="AF8" s="537"/>
      <c r="AG8" s="537"/>
      <c r="AH8" s="537"/>
      <c r="AI8" s="537"/>
      <c r="AJ8" s="537"/>
      <c r="AK8" s="538"/>
      <c r="AL8" s="497"/>
      <c r="AM8" s="497"/>
      <c r="AN8" s="497"/>
      <c r="AO8" s="497"/>
      <c r="AP8" s="497"/>
      <c r="AQ8" s="497"/>
      <c r="AR8" s="497"/>
      <c r="AS8" s="497"/>
      <c r="AT8" s="498"/>
      <c r="AU8" s="449"/>
      <c r="AV8" s="450"/>
      <c r="AW8" s="450"/>
      <c r="AX8" s="450"/>
      <c r="AY8" s="450"/>
      <c r="AZ8" s="450"/>
      <c r="BA8" s="450"/>
      <c r="BB8" s="450"/>
      <c r="BC8" s="450"/>
      <c r="BD8" s="450"/>
      <c r="BE8" s="452"/>
      <c r="BF8" s="452"/>
      <c r="BG8" s="452"/>
      <c r="BH8" s="452"/>
      <c r="BI8" s="452"/>
      <c r="BJ8" s="452"/>
      <c r="BK8" s="452"/>
      <c r="BL8" s="452"/>
      <c r="BM8" s="452"/>
      <c r="BN8" s="452"/>
      <c r="BO8" s="452"/>
      <c r="BP8" s="452"/>
      <c r="BQ8" s="452"/>
      <c r="BR8" s="527"/>
      <c r="BS8" s="527"/>
      <c r="BT8" s="527"/>
      <c r="BU8" s="527"/>
      <c r="BV8" s="527"/>
      <c r="BW8" s="527"/>
      <c r="BX8" s="528"/>
      <c r="BY8" s="494"/>
      <c r="BZ8" s="494"/>
      <c r="CA8" s="494"/>
      <c r="CB8" s="494"/>
      <c r="CC8" s="494"/>
      <c r="CD8" s="494"/>
      <c r="CE8" s="494"/>
      <c r="CF8" s="494"/>
      <c r="CG8" s="494"/>
      <c r="CH8" s="494"/>
      <c r="CI8" s="494"/>
      <c r="CJ8" s="494"/>
      <c r="CK8" s="494"/>
      <c r="CL8" s="494"/>
      <c r="CM8" s="494"/>
      <c r="CN8" s="494"/>
      <c r="CO8" s="494"/>
      <c r="CP8" s="494"/>
      <c r="CQ8" s="494"/>
      <c r="CR8" s="494"/>
      <c r="CS8" s="494"/>
      <c r="CT8" s="494"/>
      <c r="CU8" s="494"/>
      <c r="CV8" s="494"/>
      <c r="CW8" s="494"/>
      <c r="CX8" s="494"/>
      <c r="CY8" s="494"/>
      <c r="CZ8" s="494"/>
      <c r="DA8" s="494"/>
      <c r="DB8" s="494"/>
      <c r="DC8" s="494"/>
      <c r="DD8" s="494"/>
      <c r="DE8" s="494"/>
      <c r="DF8" s="494"/>
      <c r="DG8" s="494"/>
      <c r="DH8" s="494"/>
      <c r="DI8" s="495"/>
      <c r="DJ8" s="501"/>
      <c r="DK8" s="494"/>
      <c r="DL8" s="494"/>
      <c r="DM8" s="494"/>
      <c r="DN8" s="494"/>
      <c r="DO8" s="494"/>
      <c r="DP8" s="494"/>
      <c r="DQ8" s="494"/>
      <c r="DR8" s="494"/>
      <c r="DS8" s="494"/>
      <c r="DT8" s="494"/>
      <c r="DU8" s="494"/>
      <c r="DV8" s="494"/>
      <c r="DW8" s="494"/>
      <c r="DX8" s="494"/>
      <c r="DY8" s="494"/>
      <c r="DZ8" s="502"/>
      <c r="EA8" s="493"/>
      <c r="EB8" s="494"/>
      <c r="EC8" s="494"/>
      <c r="ED8" s="494"/>
      <c r="EE8" s="494"/>
      <c r="EF8" s="494"/>
      <c r="EG8" s="494"/>
      <c r="EH8" s="494"/>
      <c r="EI8" s="494"/>
      <c r="EJ8" s="494"/>
      <c r="EK8" s="494"/>
      <c r="EL8" s="494"/>
      <c r="EM8" s="494"/>
      <c r="EN8" s="494"/>
      <c r="EO8" s="494"/>
      <c r="EP8" s="494"/>
      <c r="EQ8" s="494"/>
      <c r="ER8" s="494"/>
      <c r="ES8" s="494"/>
      <c r="ET8" s="494"/>
      <c r="EU8" s="494"/>
      <c r="EV8" s="494"/>
      <c r="EW8" s="494"/>
      <c r="EX8" s="494"/>
      <c r="EY8" s="494"/>
      <c r="EZ8" s="494"/>
      <c r="FA8" s="494"/>
      <c r="FB8" s="494"/>
      <c r="FC8" s="494"/>
      <c r="FD8" s="494"/>
      <c r="FE8" s="494"/>
      <c r="FF8" s="494"/>
      <c r="FG8" s="495"/>
    </row>
    <row r="9" spans="1:164" ht="8.65" customHeight="1">
      <c r="A9" s="269"/>
      <c r="B9" s="501" t="s">
        <v>6351</v>
      </c>
      <c r="C9" s="494"/>
      <c r="D9" s="494"/>
      <c r="E9" s="494"/>
      <c r="F9" s="494"/>
      <c r="G9" s="494"/>
      <c r="H9" s="494"/>
      <c r="I9" s="494"/>
      <c r="J9" s="494"/>
      <c r="K9" s="494"/>
      <c r="L9" s="531"/>
      <c r="M9" s="532"/>
      <c r="N9" s="494"/>
      <c r="O9" s="494"/>
      <c r="P9" s="494"/>
      <c r="Q9" s="494"/>
      <c r="R9" s="494"/>
      <c r="S9" s="494"/>
      <c r="T9" s="494"/>
      <c r="U9" s="494"/>
      <c r="V9" s="494"/>
      <c r="W9" s="494"/>
      <c r="X9" s="494"/>
      <c r="Y9" s="494"/>
      <c r="Z9" s="494"/>
      <c r="AA9" s="494"/>
      <c r="AB9" s="531"/>
      <c r="AC9" s="453" t="s">
        <v>6352</v>
      </c>
      <c r="AD9" s="454"/>
      <c r="AE9" s="454"/>
      <c r="AF9" s="454"/>
      <c r="AG9" s="455"/>
      <c r="AH9" s="454" t="s">
        <v>6353</v>
      </c>
      <c r="AI9" s="454"/>
      <c r="AJ9" s="454"/>
      <c r="AK9" s="462"/>
      <c r="AL9" s="453" t="s">
        <v>6352</v>
      </c>
      <c r="AM9" s="454"/>
      <c r="AN9" s="454"/>
      <c r="AO9" s="454"/>
      <c r="AP9" s="455"/>
      <c r="AQ9" s="454" t="s">
        <v>6353</v>
      </c>
      <c r="AR9" s="454"/>
      <c r="AS9" s="454"/>
      <c r="AT9" s="462"/>
      <c r="AU9" s="449" t="s">
        <v>6354</v>
      </c>
      <c r="AV9" s="450"/>
      <c r="AW9" s="450"/>
      <c r="AX9" s="450"/>
      <c r="AY9" s="450"/>
      <c r="AZ9" s="450"/>
      <c r="BA9" s="450"/>
      <c r="BB9" s="450"/>
      <c r="BC9" s="450"/>
      <c r="BD9" s="450"/>
      <c r="BE9" s="453" t="s">
        <v>6355</v>
      </c>
      <c r="BF9" s="454"/>
      <c r="BG9" s="454"/>
      <c r="BH9" s="454"/>
      <c r="BI9" s="454"/>
      <c r="BJ9" s="455"/>
      <c r="BK9" s="454" t="s">
        <v>6356</v>
      </c>
      <c r="BL9" s="454"/>
      <c r="BM9" s="454"/>
      <c r="BN9" s="454"/>
      <c r="BO9" s="454"/>
      <c r="BP9" s="454"/>
      <c r="BQ9" s="462"/>
      <c r="BR9" s="527"/>
      <c r="BS9" s="527"/>
      <c r="BT9" s="527"/>
      <c r="BU9" s="527"/>
      <c r="BV9" s="527"/>
      <c r="BW9" s="527"/>
      <c r="BX9" s="528"/>
      <c r="BY9" s="494"/>
      <c r="BZ9" s="494"/>
      <c r="CA9" s="494"/>
      <c r="CB9" s="494"/>
      <c r="CC9" s="494"/>
      <c r="CD9" s="494"/>
      <c r="CE9" s="494"/>
      <c r="CF9" s="494"/>
      <c r="CG9" s="494"/>
      <c r="CH9" s="494"/>
      <c r="CI9" s="494"/>
      <c r="CJ9" s="494"/>
      <c r="CK9" s="494"/>
      <c r="CL9" s="494"/>
      <c r="CM9" s="494"/>
      <c r="CN9" s="494"/>
      <c r="CO9" s="494"/>
      <c r="CP9" s="494"/>
      <c r="CQ9" s="494"/>
      <c r="CR9" s="494"/>
      <c r="CS9" s="494"/>
      <c r="CT9" s="494"/>
      <c r="CU9" s="494"/>
      <c r="CV9" s="494"/>
      <c r="CW9" s="494"/>
      <c r="CX9" s="494"/>
      <c r="CY9" s="494"/>
      <c r="CZ9" s="494"/>
      <c r="DA9" s="494"/>
      <c r="DB9" s="494"/>
      <c r="DC9" s="494"/>
      <c r="DD9" s="494"/>
      <c r="DE9" s="494"/>
      <c r="DF9" s="494"/>
      <c r="DG9" s="494"/>
      <c r="DH9" s="494"/>
      <c r="DI9" s="495"/>
      <c r="DJ9" s="501"/>
      <c r="DK9" s="494"/>
      <c r="DL9" s="494"/>
      <c r="DM9" s="494"/>
      <c r="DN9" s="494"/>
      <c r="DO9" s="494"/>
      <c r="DP9" s="494"/>
      <c r="DQ9" s="494"/>
      <c r="DR9" s="494"/>
      <c r="DS9" s="494"/>
      <c r="DT9" s="494"/>
      <c r="DU9" s="494"/>
      <c r="DV9" s="494"/>
      <c r="DW9" s="494"/>
      <c r="DX9" s="494"/>
      <c r="DY9" s="494"/>
      <c r="DZ9" s="502"/>
      <c r="EA9" s="493"/>
      <c r="EB9" s="494"/>
      <c r="EC9" s="494"/>
      <c r="ED9" s="494"/>
      <c r="EE9" s="494"/>
      <c r="EF9" s="494"/>
      <c r="EG9" s="494"/>
      <c r="EH9" s="494"/>
      <c r="EI9" s="494"/>
      <c r="EJ9" s="494"/>
      <c r="EK9" s="494"/>
      <c r="EL9" s="494"/>
      <c r="EM9" s="494"/>
      <c r="EN9" s="494"/>
      <c r="EO9" s="494"/>
      <c r="EP9" s="494"/>
      <c r="EQ9" s="494"/>
      <c r="ER9" s="494"/>
      <c r="ES9" s="494"/>
      <c r="ET9" s="494"/>
      <c r="EU9" s="494"/>
      <c r="EV9" s="494"/>
      <c r="EW9" s="494"/>
      <c r="EX9" s="494"/>
      <c r="EY9" s="494"/>
      <c r="EZ9" s="494"/>
      <c r="FA9" s="494"/>
      <c r="FB9" s="494"/>
      <c r="FC9" s="494"/>
      <c r="FD9" s="494"/>
      <c r="FE9" s="494"/>
      <c r="FF9" s="494"/>
      <c r="FG9" s="495"/>
    </row>
    <row r="10" spans="1:164" ht="8.65" customHeight="1">
      <c r="A10" s="269"/>
      <c r="B10" s="501"/>
      <c r="C10" s="494"/>
      <c r="D10" s="494"/>
      <c r="E10" s="494"/>
      <c r="F10" s="494"/>
      <c r="G10" s="494"/>
      <c r="H10" s="494"/>
      <c r="I10" s="494"/>
      <c r="J10" s="494"/>
      <c r="K10" s="494"/>
      <c r="L10" s="531"/>
      <c r="M10" s="532"/>
      <c r="N10" s="494"/>
      <c r="O10" s="494"/>
      <c r="P10" s="494"/>
      <c r="Q10" s="494"/>
      <c r="R10" s="494"/>
      <c r="S10" s="494"/>
      <c r="T10" s="494"/>
      <c r="U10" s="494"/>
      <c r="V10" s="494"/>
      <c r="W10" s="494"/>
      <c r="X10" s="494"/>
      <c r="Y10" s="494"/>
      <c r="Z10" s="494"/>
      <c r="AA10" s="494"/>
      <c r="AB10" s="531"/>
      <c r="AC10" s="456"/>
      <c r="AD10" s="457"/>
      <c r="AE10" s="457"/>
      <c r="AF10" s="457"/>
      <c r="AG10" s="458"/>
      <c r="AH10" s="457"/>
      <c r="AI10" s="457"/>
      <c r="AJ10" s="457"/>
      <c r="AK10" s="463"/>
      <c r="AL10" s="456"/>
      <c r="AM10" s="457"/>
      <c r="AN10" s="457"/>
      <c r="AO10" s="457"/>
      <c r="AP10" s="458"/>
      <c r="AQ10" s="457"/>
      <c r="AR10" s="457"/>
      <c r="AS10" s="457"/>
      <c r="AT10" s="463"/>
      <c r="AU10" s="449"/>
      <c r="AV10" s="450"/>
      <c r="AW10" s="450"/>
      <c r="AX10" s="450"/>
      <c r="AY10" s="450"/>
      <c r="AZ10" s="450"/>
      <c r="BA10" s="450"/>
      <c r="BB10" s="450"/>
      <c r="BC10" s="450"/>
      <c r="BD10" s="450"/>
      <c r="BE10" s="456"/>
      <c r="BF10" s="457"/>
      <c r="BG10" s="457"/>
      <c r="BH10" s="457"/>
      <c r="BI10" s="457"/>
      <c r="BJ10" s="458"/>
      <c r="BK10" s="457"/>
      <c r="BL10" s="457"/>
      <c r="BM10" s="457"/>
      <c r="BN10" s="457"/>
      <c r="BO10" s="457"/>
      <c r="BP10" s="457"/>
      <c r="BQ10" s="463"/>
      <c r="BR10" s="527"/>
      <c r="BS10" s="527"/>
      <c r="BT10" s="527"/>
      <c r="BU10" s="527"/>
      <c r="BV10" s="527"/>
      <c r="BW10" s="527"/>
      <c r="BX10" s="528"/>
      <c r="BY10" s="497"/>
      <c r="BZ10" s="497"/>
      <c r="CA10" s="497"/>
      <c r="CB10" s="497"/>
      <c r="CC10" s="497"/>
      <c r="CD10" s="497"/>
      <c r="CE10" s="497"/>
      <c r="CF10" s="497"/>
      <c r="CG10" s="497"/>
      <c r="CH10" s="497"/>
      <c r="CI10" s="497"/>
      <c r="CJ10" s="497"/>
      <c r="CK10" s="497"/>
      <c r="CL10" s="497"/>
      <c r="CM10" s="497"/>
      <c r="CN10" s="497"/>
      <c r="CO10" s="497"/>
      <c r="CP10" s="497"/>
      <c r="CQ10" s="497"/>
      <c r="CR10" s="497"/>
      <c r="CS10" s="497"/>
      <c r="CT10" s="497"/>
      <c r="CU10" s="497"/>
      <c r="CV10" s="497"/>
      <c r="CW10" s="497"/>
      <c r="CX10" s="497"/>
      <c r="CY10" s="497"/>
      <c r="CZ10" s="497"/>
      <c r="DA10" s="497"/>
      <c r="DB10" s="497"/>
      <c r="DC10" s="497"/>
      <c r="DD10" s="497"/>
      <c r="DE10" s="497"/>
      <c r="DF10" s="497"/>
      <c r="DG10" s="497"/>
      <c r="DH10" s="497"/>
      <c r="DI10" s="498"/>
      <c r="DJ10" s="503"/>
      <c r="DK10" s="497"/>
      <c r="DL10" s="497"/>
      <c r="DM10" s="497"/>
      <c r="DN10" s="497"/>
      <c r="DO10" s="497"/>
      <c r="DP10" s="497"/>
      <c r="DQ10" s="497"/>
      <c r="DR10" s="497"/>
      <c r="DS10" s="497"/>
      <c r="DT10" s="497"/>
      <c r="DU10" s="497"/>
      <c r="DV10" s="497"/>
      <c r="DW10" s="497"/>
      <c r="DX10" s="497"/>
      <c r="DY10" s="497"/>
      <c r="DZ10" s="504"/>
      <c r="EA10" s="496"/>
      <c r="EB10" s="497"/>
      <c r="EC10" s="497"/>
      <c r="ED10" s="497"/>
      <c r="EE10" s="497"/>
      <c r="EF10" s="497"/>
      <c r="EG10" s="497"/>
      <c r="EH10" s="497"/>
      <c r="EI10" s="497"/>
      <c r="EJ10" s="497"/>
      <c r="EK10" s="497"/>
      <c r="EL10" s="497"/>
      <c r="EM10" s="497"/>
      <c r="EN10" s="497"/>
      <c r="EO10" s="497"/>
      <c r="EP10" s="497"/>
      <c r="EQ10" s="497"/>
      <c r="ER10" s="497"/>
      <c r="ES10" s="497"/>
      <c r="ET10" s="497"/>
      <c r="EU10" s="497"/>
      <c r="EV10" s="497"/>
      <c r="EW10" s="497"/>
      <c r="EX10" s="497"/>
      <c r="EY10" s="497"/>
      <c r="EZ10" s="497"/>
      <c r="FA10" s="497"/>
      <c r="FB10" s="497"/>
      <c r="FC10" s="497"/>
      <c r="FD10" s="497"/>
      <c r="FE10" s="497"/>
      <c r="FF10" s="497"/>
      <c r="FG10" s="498"/>
    </row>
    <row r="11" spans="1:164" ht="8.65" customHeight="1">
      <c r="A11" s="269"/>
      <c r="B11" s="279"/>
      <c r="C11" s="280"/>
      <c r="D11" s="280"/>
      <c r="E11" s="280"/>
      <c r="F11" s="280"/>
      <c r="G11" s="280"/>
      <c r="H11" s="280"/>
      <c r="I11" s="280"/>
      <c r="J11" s="280"/>
      <c r="K11" s="280"/>
      <c r="L11" s="281"/>
      <c r="M11" s="282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1"/>
      <c r="AC11" s="456"/>
      <c r="AD11" s="457"/>
      <c r="AE11" s="457"/>
      <c r="AF11" s="457"/>
      <c r="AG11" s="458"/>
      <c r="AH11" s="457"/>
      <c r="AI11" s="457"/>
      <c r="AJ11" s="457"/>
      <c r="AK11" s="463"/>
      <c r="AL11" s="456"/>
      <c r="AM11" s="457"/>
      <c r="AN11" s="457"/>
      <c r="AO11" s="457"/>
      <c r="AP11" s="458"/>
      <c r="AQ11" s="457"/>
      <c r="AR11" s="457"/>
      <c r="AS11" s="457"/>
      <c r="AT11" s="463"/>
      <c r="AU11" s="279"/>
      <c r="AV11" s="280"/>
      <c r="AW11" s="280"/>
      <c r="AX11" s="280"/>
      <c r="AY11" s="280"/>
      <c r="AZ11" s="280"/>
      <c r="BA11" s="280"/>
      <c r="BB11" s="280"/>
      <c r="BC11" s="280"/>
      <c r="BD11" s="281"/>
      <c r="BE11" s="456"/>
      <c r="BF11" s="457"/>
      <c r="BG11" s="457"/>
      <c r="BH11" s="457"/>
      <c r="BI11" s="457"/>
      <c r="BJ11" s="458"/>
      <c r="BK11" s="457"/>
      <c r="BL11" s="457"/>
      <c r="BM11" s="457"/>
      <c r="BN11" s="457"/>
      <c r="BO11" s="457"/>
      <c r="BP11" s="457"/>
      <c r="BQ11" s="463"/>
      <c r="BR11" s="527"/>
      <c r="BS11" s="527"/>
      <c r="BT11" s="527"/>
      <c r="BU11" s="527"/>
      <c r="BV11" s="527"/>
      <c r="BW11" s="527"/>
      <c r="BX11" s="528"/>
      <c r="BY11" s="484" t="s">
        <v>6357</v>
      </c>
      <c r="BZ11" s="485"/>
      <c r="CA11" s="485"/>
      <c r="CB11" s="485"/>
      <c r="CC11" s="485"/>
      <c r="CD11" s="485"/>
      <c r="CE11" s="485"/>
      <c r="CF11" s="485"/>
      <c r="CG11" s="485"/>
      <c r="CH11" s="485"/>
      <c r="CI11" s="485"/>
      <c r="CJ11" s="485"/>
      <c r="CK11" s="485"/>
      <c r="CL11" s="485"/>
      <c r="CM11" s="490" t="s">
        <v>6358</v>
      </c>
      <c r="CN11" s="491"/>
      <c r="CO11" s="491"/>
      <c r="CP11" s="491"/>
      <c r="CQ11" s="491"/>
      <c r="CR11" s="491"/>
      <c r="CS11" s="491"/>
      <c r="CT11" s="491"/>
      <c r="CU11" s="491"/>
      <c r="CV11" s="491"/>
      <c r="CW11" s="491"/>
      <c r="CX11" s="491"/>
      <c r="CY11" s="491"/>
      <c r="CZ11" s="491"/>
      <c r="DA11" s="491"/>
      <c r="DB11" s="491"/>
      <c r="DC11" s="491"/>
      <c r="DD11" s="491"/>
      <c r="DE11" s="491"/>
      <c r="DF11" s="491"/>
      <c r="DG11" s="491"/>
      <c r="DH11" s="491"/>
      <c r="DI11" s="492"/>
      <c r="DJ11" s="499" t="s">
        <v>6359</v>
      </c>
      <c r="DK11" s="491"/>
      <c r="DL11" s="491"/>
      <c r="DM11" s="491"/>
      <c r="DN11" s="491"/>
      <c r="DO11" s="491"/>
      <c r="DP11" s="491"/>
      <c r="DQ11" s="491"/>
      <c r="DR11" s="491"/>
      <c r="DS11" s="491"/>
      <c r="DT11" s="491"/>
      <c r="DU11" s="491"/>
      <c r="DV11" s="491"/>
      <c r="DW11" s="491"/>
      <c r="DX11" s="491"/>
      <c r="DY11" s="491"/>
      <c r="DZ11" s="500"/>
      <c r="EA11" s="490" t="s">
        <v>6360</v>
      </c>
      <c r="EB11" s="491"/>
      <c r="EC11" s="491"/>
      <c r="ED11" s="491"/>
      <c r="EE11" s="491"/>
      <c r="EF11" s="491"/>
      <c r="EG11" s="491"/>
      <c r="EH11" s="491"/>
      <c r="EI11" s="491"/>
      <c r="EJ11" s="491"/>
      <c r="EK11" s="491"/>
      <c r="EL11" s="491"/>
      <c r="EM11" s="491"/>
      <c r="EN11" s="491"/>
      <c r="EO11" s="491"/>
      <c r="EP11" s="491"/>
      <c r="EQ11" s="491"/>
      <c r="ER11" s="491"/>
      <c r="ES11" s="491"/>
      <c r="ET11" s="491"/>
      <c r="EU11" s="491"/>
      <c r="EV11" s="491"/>
      <c r="EW11" s="491"/>
      <c r="EX11" s="491"/>
      <c r="EY11" s="491"/>
      <c r="EZ11" s="491"/>
      <c r="FA11" s="491"/>
      <c r="FB11" s="491"/>
      <c r="FC11" s="491"/>
      <c r="FD11" s="491"/>
      <c r="FE11" s="491"/>
      <c r="FF11" s="491"/>
      <c r="FG11" s="492"/>
    </row>
    <row r="12" spans="1:164" ht="8.65" customHeight="1">
      <c r="A12" s="269"/>
      <c r="B12" s="279"/>
      <c r="C12" s="280"/>
      <c r="D12" s="280"/>
      <c r="E12" s="280"/>
      <c r="F12" s="280"/>
      <c r="G12" s="280"/>
      <c r="H12" s="280"/>
      <c r="I12" s="280"/>
      <c r="J12" s="280"/>
      <c r="K12" s="280"/>
      <c r="L12" s="281"/>
      <c r="M12" s="282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1"/>
      <c r="AC12" s="456"/>
      <c r="AD12" s="457"/>
      <c r="AE12" s="457"/>
      <c r="AF12" s="457"/>
      <c r="AG12" s="458"/>
      <c r="AH12" s="457"/>
      <c r="AI12" s="457"/>
      <c r="AJ12" s="457"/>
      <c r="AK12" s="463"/>
      <c r="AL12" s="456"/>
      <c r="AM12" s="457"/>
      <c r="AN12" s="457"/>
      <c r="AO12" s="457"/>
      <c r="AP12" s="458"/>
      <c r="AQ12" s="457"/>
      <c r="AR12" s="457"/>
      <c r="AS12" s="457"/>
      <c r="AT12" s="463"/>
      <c r="AU12" s="279"/>
      <c r="AV12" s="280"/>
      <c r="AW12" s="280"/>
      <c r="AX12" s="280"/>
      <c r="AY12" s="280"/>
      <c r="AZ12" s="280"/>
      <c r="BA12" s="280"/>
      <c r="BB12" s="280"/>
      <c r="BC12" s="280"/>
      <c r="BD12" s="281"/>
      <c r="BE12" s="456"/>
      <c r="BF12" s="457"/>
      <c r="BG12" s="457"/>
      <c r="BH12" s="457"/>
      <c r="BI12" s="457"/>
      <c r="BJ12" s="458"/>
      <c r="BK12" s="457"/>
      <c r="BL12" s="457"/>
      <c r="BM12" s="457"/>
      <c r="BN12" s="457"/>
      <c r="BO12" s="457"/>
      <c r="BP12" s="457"/>
      <c r="BQ12" s="463"/>
      <c r="BR12" s="527"/>
      <c r="BS12" s="527"/>
      <c r="BT12" s="527"/>
      <c r="BU12" s="527"/>
      <c r="BV12" s="527"/>
      <c r="BW12" s="527"/>
      <c r="BX12" s="528"/>
      <c r="BY12" s="486"/>
      <c r="BZ12" s="487"/>
      <c r="CA12" s="487"/>
      <c r="CB12" s="487"/>
      <c r="CC12" s="487"/>
      <c r="CD12" s="487"/>
      <c r="CE12" s="487"/>
      <c r="CF12" s="487"/>
      <c r="CG12" s="487"/>
      <c r="CH12" s="487"/>
      <c r="CI12" s="487"/>
      <c r="CJ12" s="487"/>
      <c r="CK12" s="487"/>
      <c r="CL12" s="487"/>
      <c r="CM12" s="493"/>
      <c r="CN12" s="494"/>
      <c r="CO12" s="494"/>
      <c r="CP12" s="494"/>
      <c r="CQ12" s="494"/>
      <c r="CR12" s="494"/>
      <c r="CS12" s="494"/>
      <c r="CT12" s="494"/>
      <c r="CU12" s="494"/>
      <c r="CV12" s="494"/>
      <c r="CW12" s="494"/>
      <c r="CX12" s="494"/>
      <c r="CY12" s="494"/>
      <c r="CZ12" s="494"/>
      <c r="DA12" s="494"/>
      <c r="DB12" s="494"/>
      <c r="DC12" s="494"/>
      <c r="DD12" s="494"/>
      <c r="DE12" s="494"/>
      <c r="DF12" s="494"/>
      <c r="DG12" s="494"/>
      <c r="DH12" s="494"/>
      <c r="DI12" s="495"/>
      <c r="DJ12" s="501"/>
      <c r="DK12" s="494"/>
      <c r="DL12" s="494"/>
      <c r="DM12" s="494"/>
      <c r="DN12" s="494"/>
      <c r="DO12" s="494"/>
      <c r="DP12" s="494"/>
      <c r="DQ12" s="494"/>
      <c r="DR12" s="494"/>
      <c r="DS12" s="494"/>
      <c r="DT12" s="494"/>
      <c r="DU12" s="494"/>
      <c r="DV12" s="494"/>
      <c r="DW12" s="494"/>
      <c r="DX12" s="494"/>
      <c r="DY12" s="494"/>
      <c r="DZ12" s="502"/>
      <c r="EA12" s="493"/>
      <c r="EB12" s="494"/>
      <c r="EC12" s="494"/>
      <c r="ED12" s="494"/>
      <c r="EE12" s="494"/>
      <c r="EF12" s="494"/>
      <c r="EG12" s="494"/>
      <c r="EH12" s="494"/>
      <c r="EI12" s="494"/>
      <c r="EJ12" s="494"/>
      <c r="EK12" s="494"/>
      <c r="EL12" s="494"/>
      <c r="EM12" s="494"/>
      <c r="EN12" s="494"/>
      <c r="EO12" s="494"/>
      <c r="EP12" s="494"/>
      <c r="EQ12" s="494"/>
      <c r="ER12" s="494"/>
      <c r="ES12" s="494"/>
      <c r="ET12" s="494"/>
      <c r="EU12" s="494"/>
      <c r="EV12" s="494"/>
      <c r="EW12" s="494"/>
      <c r="EX12" s="494"/>
      <c r="EY12" s="494"/>
      <c r="EZ12" s="494"/>
      <c r="FA12" s="494"/>
      <c r="FB12" s="494"/>
      <c r="FC12" s="494"/>
      <c r="FD12" s="494"/>
      <c r="FE12" s="494"/>
      <c r="FF12" s="494"/>
      <c r="FG12" s="495"/>
    </row>
    <row r="13" spans="1:164" ht="8.65" customHeight="1">
      <c r="A13" s="269"/>
      <c r="B13" s="279"/>
      <c r="C13" s="280"/>
      <c r="D13" s="280"/>
      <c r="E13" s="280"/>
      <c r="F13" s="280"/>
      <c r="G13" s="280"/>
      <c r="H13" s="280"/>
      <c r="I13" s="280"/>
      <c r="J13" s="280"/>
      <c r="K13" s="280"/>
      <c r="L13" s="281"/>
      <c r="M13" s="282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1"/>
      <c r="AC13" s="456"/>
      <c r="AD13" s="457"/>
      <c r="AE13" s="457"/>
      <c r="AF13" s="457"/>
      <c r="AG13" s="458"/>
      <c r="AH13" s="457"/>
      <c r="AI13" s="457"/>
      <c r="AJ13" s="457"/>
      <c r="AK13" s="463"/>
      <c r="AL13" s="456"/>
      <c r="AM13" s="457"/>
      <c r="AN13" s="457"/>
      <c r="AO13" s="457"/>
      <c r="AP13" s="458"/>
      <c r="AQ13" s="457"/>
      <c r="AR13" s="457"/>
      <c r="AS13" s="457"/>
      <c r="AT13" s="463"/>
      <c r="AU13" s="279"/>
      <c r="AV13" s="280"/>
      <c r="AW13" s="280"/>
      <c r="AX13" s="280"/>
      <c r="AY13" s="280"/>
      <c r="AZ13" s="280"/>
      <c r="BA13" s="280"/>
      <c r="BB13" s="280"/>
      <c r="BC13" s="280"/>
      <c r="BD13" s="281"/>
      <c r="BE13" s="456"/>
      <c r="BF13" s="457"/>
      <c r="BG13" s="457"/>
      <c r="BH13" s="457"/>
      <c r="BI13" s="457"/>
      <c r="BJ13" s="458"/>
      <c r="BK13" s="457"/>
      <c r="BL13" s="457"/>
      <c r="BM13" s="457"/>
      <c r="BN13" s="457"/>
      <c r="BO13" s="457"/>
      <c r="BP13" s="457"/>
      <c r="BQ13" s="463"/>
      <c r="BR13" s="527"/>
      <c r="BS13" s="527"/>
      <c r="BT13" s="527"/>
      <c r="BU13" s="527"/>
      <c r="BV13" s="527"/>
      <c r="BW13" s="527"/>
      <c r="BX13" s="528"/>
      <c r="BY13" s="486"/>
      <c r="BZ13" s="487"/>
      <c r="CA13" s="487"/>
      <c r="CB13" s="487"/>
      <c r="CC13" s="487"/>
      <c r="CD13" s="487"/>
      <c r="CE13" s="487"/>
      <c r="CF13" s="487"/>
      <c r="CG13" s="487"/>
      <c r="CH13" s="487"/>
      <c r="CI13" s="487"/>
      <c r="CJ13" s="487"/>
      <c r="CK13" s="487"/>
      <c r="CL13" s="487"/>
      <c r="CM13" s="493"/>
      <c r="CN13" s="494"/>
      <c r="CO13" s="494"/>
      <c r="CP13" s="494"/>
      <c r="CQ13" s="494"/>
      <c r="CR13" s="494"/>
      <c r="CS13" s="494"/>
      <c r="CT13" s="494"/>
      <c r="CU13" s="494"/>
      <c r="CV13" s="494"/>
      <c r="CW13" s="494"/>
      <c r="CX13" s="494"/>
      <c r="CY13" s="494"/>
      <c r="CZ13" s="494"/>
      <c r="DA13" s="494"/>
      <c r="DB13" s="494"/>
      <c r="DC13" s="494"/>
      <c r="DD13" s="494"/>
      <c r="DE13" s="494"/>
      <c r="DF13" s="494"/>
      <c r="DG13" s="494"/>
      <c r="DH13" s="494"/>
      <c r="DI13" s="495"/>
      <c r="DJ13" s="501"/>
      <c r="DK13" s="494"/>
      <c r="DL13" s="494"/>
      <c r="DM13" s="494"/>
      <c r="DN13" s="494"/>
      <c r="DO13" s="494"/>
      <c r="DP13" s="494"/>
      <c r="DQ13" s="494"/>
      <c r="DR13" s="494"/>
      <c r="DS13" s="494"/>
      <c r="DT13" s="494"/>
      <c r="DU13" s="494"/>
      <c r="DV13" s="494"/>
      <c r="DW13" s="494"/>
      <c r="DX13" s="494"/>
      <c r="DY13" s="494"/>
      <c r="DZ13" s="502"/>
      <c r="EA13" s="493" t="s">
        <v>6361</v>
      </c>
      <c r="EB13" s="494"/>
      <c r="EC13" s="494"/>
      <c r="ED13" s="494"/>
      <c r="EE13" s="494"/>
      <c r="EF13" s="494"/>
      <c r="EG13" s="494"/>
      <c r="EH13" s="494"/>
      <c r="EI13" s="494"/>
      <c r="EJ13" s="494"/>
      <c r="EK13" s="494"/>
      <c r="EL13" s="494"/>
      <c r="EM13" s="494"/>
      <c r="EN13" s="494"/>
      <c r="EO13" s="494"/>
      <c r="EP13" s="494"/>
      <c r="EQ13" s="494"/>
      <c r="ER13" s="494"/>
      <c r="ES13" s="494"/>
      <c r="ET13" s="494"/>
      <c r="EU13" s="494"/>
      <c r="EV13" s="494"/>
      <c r="EW13" s="494"/>
      <c r="EX13" s="494"/>
      <c r="EY13" s="494"/>
      <c r="EZ13" s="494"/>
      <c r="FA13" s="494"/>
      <c r="FB13" s="494"/>
      <c r="FC13" s="494"/>
      <c r="FD13" s="494"/>
      <c r="FE13" s="494"/>
      <c r="FF13" s="494"/>
      <c r="FG13" s="495"/>
    </row>
    <row r="14" spans="1:164" ht="8.65" customHeight="1">
      <c r="A14" s="269"/>
      <c r="B14" s="283"/>
      <c r="C14" s="284"/>
      <c r="D14" s="284"/>
      <c r="E14" s="284"/>
      <c r="F14" s="284"/>
      <c r="G14" s="284"/>
      <c r="H14" s="284"/>
      <c r="I14" s="284"/>
      <c r="J14" s="284"/>
      <c r="K14" s="284"/>
      <c r="L14" s="285"/>
      <c r="M14" s="286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5"/>
      <c r="AC14" s="459"/>
      <c r="AD14" s="460"/>
      <c r="AE14" s="460"/>
      <c r="AF14" s="460"/>
      <c r="AG14" s="461"/>
      <c r="AH14" s="460"/>
      <c r="AI14" s="460"/>
      <c r="AJ14" s="460"/>
      <c r="AK14" s="464"/>
      <c r="AL14" s="459"/>
      <c r="AM14" s="460"/>
      <c r="AN14" s="460"/>
      <c r="AO14" s="460"/>
      <c r="AP14" s="461"/>
      <c r="AQ14" s="460"/>
      <c r="AR14" s="460"/>
      <c r="AS14" s="460"/>
      <c r="AT14" s="464"/>
      <c r="AU14" s="283"/>
      <c r="AV14" s="284"/>
      <c r="AW14" s="284"/>
      <c r="AX14" s="284"/>
      <c r="AY14" s="284"/>
      <c r="AZ14" s="284"/>
      <c r="BA14" s="284"/>
      <c r="BB14" s="284"/>
      <c r="BC14" s="284"/>
      <c r="BD14" s="285"/>
      <c r="BE14" s="459"/>
      <c r="BF14" s="460"/>
      <c r="BG14" s="460"/>
      <c r="BH14" s="460"/>
      <c r="BI14" s="460"/>
      <c r="BJ14" s="461"/>
      <c r="BK14" s="460"/>
      <c r="BL14" s="460"/>
      <c r="BM14" s="460"/>
      <c r="BN14" s="460"/>
      <c r="BO14" s="460"/>
      <c r="BP14" s="460"/>
      <c r="BQ14" s="464"/>
      <c r="BR14" s="529"/>
      <c r="BS14" s="529"/>
      <c r="BT14" s="529"/>
      <c r="BU14" s="529"/>
      <c r="BV14" s="529"/>
      <c r="BW14" s="529"/>
      <c r="BX14" s="530"/>
      <c r="BY14" s="488"/>
      <c r="BZ14" s="489"/>
      <c r="CA14" s="489"/>
      <c r="CB14" s="489"/>
      <c r="CC14" s="489"/>
      <c r="CD14" s="489"/>
      <c r="CE14" s="489"/>
      <c r="CF14" s="489"/>
      <c r="CG14" s="489"/>
      <c r="CH14" s="489"/>
      <c r="CI14" s="489"/>
      <c r="CJ14" s="489"/>
      <c r="CK14" s="489"/>
      <c r="CL14" s="489"/>
      <c r="CM14" s="496"/>
      <c r="CN14" s="497"/>
      <c r="CO14" s="497"/>
      <c r="CP14" s="497"/>
      <c r="CQ14" s="497"/>
      <c r="CR14" s="497"/>
      <c r="CS14" s="497"/>
      <c r="CT14" s="497"/>
      <c r="CU14" s="497"/>
      <c r="CV14" s="497"/>
      <c r="CW14" s="497"/>
      <c r="CX14" s="497"/>
      <c r="CY14" s="497"/>
      <c r="CZ14" s="497"/>
      <c r="DA14" s="497"/>
      <c r="DB14" s="497"/>
      <c r="DC14" s="497"/>
      <c r="DD14" s="497"/>
      <c r="DE14" s="497"/>
      <c r="DF14" s="497"/>
      <c r="DG14" s="497"/>
      <c r="DH14" s="497"/>
      <c r="DI14" s="498"/>
      <c r="DJ14" s="503"/>
      <c r="DK14" s="497"/>
      <c r="DL14" s="497"/>
      <c r="DM14" s="497"/>
      <c r="DN14" s="497"/>
      <c r="DO14" s="497"/>
      <c r="DP14" s="497"/>
      <c r="DQ14" s="497"/>
      <c r="DR14" s="497"/>
      <c r="DS14" s="497"/>
      <c r="DT14" s="497"/>
      <c r="DU14" s="497"/>
      <c r="DV14" s="497"/>
      <c r="DW14" s="497"/>
      <c r="DX14" s="497"/>
      <c r="DY14" s="497"/>
      <c r="DZ14" s="504"/>
      <c r="EA14" s="496"/>
      <c r="EB14" s="497"/>
      <c r="EC14" s="497"/>
      <c r="ED14" s="497"/>
      <c r="EE14" s="497"/>
      <c r="EF14" s="497"/>
      <c r="EG14" s="497"/>
      <c r="EH14" s="497"/>
      <c r="EI14" s="497"/>
      <c r="EJ14" s="497"/>
      <c r="EK14" s="497"/>
      <c r="EL14" s="497"/>
      <c r="EM14" s="497"/>
      <c r="EN14" s="497"/>
      <c r="EO14" s="497"/>
      <c r="EP14" s="497"/>
      <c r="EQ14" s="497"/>
      <c r="ER14" s="497"/>
      <c r="ES14" s="497"/>
      <c r="ET14" s="497"/>
      <c r="EU14" s="497"/>
      <c r="EV14" s="497"/>
      <c r="EW14" s="497"/>
      <c r="EX14" s="497"/>
      <c r="EY14" s="497"/>
      <c r="EZ14" s="497"/>
      <c r="FA14" s="497"/>
      <c r="FB14" s="497"/>
      <c r="FC14" s="497"/>
      <c r="FD14" s="497"/>
      <c r="FE14" s="497"/>
      <c r="FF14" s="497"/>
      <c r="FG14" s="498"/>
    </row>
    <row r="15" spans="1:164" ht="8.65" customHeight="1">
      <c r="A15" s="269"/>
      <c r="B15" s="505" t="s">
        <v>6362</v>
      </c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11" t="s">
        <v>6363</v>
      </c>
      <c r="N15" s="506"/>
      <c r="O15" s="506"/>
      <c r="P15" s="506"/>
      <c r="Q15" s="506"/>
      <c r="R15" s="506"/>
      <c r="S15" s="506"/>
      <c r="T15" s="506"/>
      <c r="U15" s="506"/>
      <c r="V15" s="506"/>
      <c r="W15" s="506"/>
      <c r="X15" s="506"/>
      <c r="Y15" s="506"/>
      <c r="Z15" s="506"/>
      <c r="AA15" s="506"/>
      <c r="AB15" s="512"/>
      <c r="AC15" s="515">
        <v>15</v>
      </c>
      <c r="AD15" s="516"/>
      <c r="AE15" s="516"/>
      <c r="AF15" s="516"/>
      <c r="AG15" s="517"/>
      <c r="AH15" s="521">
        <f>AC15</f>
        <v>15</v>
      </c>
      <c r="AI15" s="516"/>
      <c r="AJ15" s="516"/>
      <c r="AK15" s="522"/>
      <c r="AL15" s="515">
        <v>4.5999999999999996</v>
      </c>
      <c r="AM15" s="516"/>
      <c r="AN15" s="516"/>
      <c r="AO15" s="516"/>
      <c r="AP15" s="517"/>
      <c r="AQ15" s="521">
        <f>AL15</f>
        <v>4.5999999999999996</v>
      </c>
      <c r="AR15" s="516"/>
      <c r="AS15" s="516"/>
      <c r="AT15" s="539"/>
      <c r="AU15" s="505" t="s">
        <v>6364</v>
      </c>
      <c r="AV15" s="506"/>
      <c r="AW15" s="506"/>
      <c r="AX15" s="506"/>
      <c r="AY15" s="506"/>
      <c r="AZ15" s="506"/>
      <c r="BA15" s="506"/>
      <c r="BB15" s="506"/>
      <c r="BC15" s="506"/>
      <c r="BD15" s="506"/>
      <c r="BE15" s="567">
        <v>8</v>
      </c>
      <c r="BF15" s="568"/>
      <c r="BG15" s="568"/>
      <c r="BH15" s="568"/>
      <c r="BI15" s="568"/>
      <c r="BJ15" s="568"/>
      <c r="BK15" s="568">
        <v>8</v>
      </c>
      <c r="BL15" s="568"/>
      <c r="BM15" s="568"/>
      <c r="BN15" s="568"/>
      <c r="BO15" s="568"/>
      <c r="BP15" s="568"/>
      <c r="BQ15" s="569"/>
      <c r="BR15" s="570">
        <v>15</v>
      </c>
      <c r="BS15" s="570"/>
      <c r="BT15" s="570"/>
      <c r="BU15" s="570"/>
      <c r="BV15" s="570"/>
      <c r="BW15" s="570"/>
      <c r="BX15" s="571"/>
      <c r="BY15" s="555" t="s">
        <v>6365</v>
      </c>
      <c r="BZ15" s="552"/>
      <c r="CA15" s="552"/>
      <c r="CB15" s="552"/>
      <c r="CC15" s="552"/>
      <c r="CD15" s="552"/>
      <c r="CE15" s="552"/>
      <c r="CF15" s="552"/>
      <c r="CG15" s="552"/>
      <c r="CH15" s="552" t="s">
        <v>6366</v>
      </c>
      <c r="CI15" s="552"/>
      <c r="CJ15" s="552"/>
      <c r="CK15" s="552"/>
      <c r="CL15" s="552"/>
      <c r="CM15" s="543" t="s">
        <v>6367</v>
      </c>
      <c r="CN15" s="544"/>
      <c r="CO15" s="544"/>
      <c r="CP15" s="544"/>
      <c r="CQ15" s="544"/>
      <c r="CR15" s="544"/>
      <c r="CS15" s="544"/>
      <c r="CT15" s="544"/>
      <c r="CU15" s="544"/>
      <c r="CV15" s="544"/>
      <c r="CW15" s="544"/>
      <c r="CX15" s="544"/>
      <c r="CY15" s="544"/>
      <c r="CZ15" s="544"/>
      <c r="DA15" s="544"/>
      <c r="DB15" s="544"/>
      <c r="DC15" s="555"/>
      <c r="DD15" s="543" t="s">
        <v>6366</v>
      </c>
      <c r="DE15" s="544"/>
      <c r="DF15" s="544"/>
      <c r="DG15" s="544"/>
      <c r="DH15" s="544"/>
      <c r="DI15" s="545"/>
      <c r="DJ15" s="558" t="s">
        <v>6368</v>
      </c>
      <c r="DK15" s="559"/>
      <c r="DL15" s="559"/>
      <c r="DM15" s="559"/>
      <c r="DN15" s="559"/>
      <c r="DO15" s="559"/>
      <c r="DP15" s="559"/>
      <c r="DQ15" s="559"/>
      <c r="DR15" s="559"/>
      <c r="DS15" s="559"/>
      <c r="DT15" s="559"/>
      <c r="DU15" s="559"/>
      <c r="DV15" s="559"/>
      <c r="DW15" s="559"/>
      <c r="DX15" s="559"/>
      <c r="DY15" s="559"/>
      <c r="DZ15" s="560"/>
      <c r="EA15" s="543" t="s">
        <v>6365</v>
      </c>
      <c r="EB15" s="544"/>
      <c r="EC15" s="544"/>
      <c r="ED15" s="544"/>
      <c r="EE15" s="544"/>
      <c r="EF15" s="544"/>
      <c r="EG15" s="544"/>
      <c r="EH15" s="544"/>
      <c r="EI15" s="544"/>
      <c r="EJ15" s="544"/>
      <c r="EK15" s="544"/>
      <c r="EL15" s="544"/>
      <c r="EM15" s="544"/>
      <c r="EN15" s="544"/>
      <c r="EO15" s="544"/>
      <c r="EP15" s="544"/>
      <c r="EQ15" s="555"/>
      <c r="ER15" s="543" t="s">
        <v>6366</v>
      </c>
      <c r="ES15" s="544"/>
      <c r="ET15" s="544"/>
      <c r="EU15" s="544"/>
      <c r="EV15" s="544"/>
      <c r="EW15" s="544"/>
      <c r="EX15" s="544"/>
      <c r="EY15" s="555"/>
      <c r="EZ15" s="543" t="s">
        <v>6369</v>
      </c>
      <c r="FA15" s="544"/>
      <c r="FB15" s="544"/>
      <c r="FC15" s="544"/>
      <c r="FD15" s="544"/>
      <c r="FE15" s="544"/>
      <c r="FF15" s="544"/>
      <c r="FG15" s="545"/>
      <c r="FH15" s="287"/>
    </row>
    <row r="16" spans="1:164" ht="8.65" customHeight="1">
      <c r="A16" s="269"/>
      <c r="B16" s="507"/>
      <c r="C16" s="508"/>
      <c r="D16" s="508"/>
      <c r="E16" s="508"/>
      <c r="F16" s="508"/>
      <c r="G16" s="508"/>
      <c r="H16" s="508"/>
      <c r="I16" s="508"/>
      <c r="J16" s="508"/>
      <c r="K16" s="508"/>
      <c r="L16" s="508"/>
      <c r="M16" s="513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4"/>
      <c r="AC16" s="518"/>
      <c r="AD16" s="519"/>
      <c r="AE16" s="519"/>
      <c r="AF16" s="519"/>
      <c r="AG16" s="520"/>
      <c r="AH16" s="523"/>
      <c r="AI16" s="519"/>
      <c r="AJ16" s="519"/>
      <c r="AK16" s="524"/>
      <c r="AL16" s="518"/>
      <c r="AM16" s="519"/>
      <c r="AN16" s="519"/>
      <c r="AO16" s="519"/>
      <c r="AP16" s="520"/>
      <c r="AQ16" s="523"/>
      <c r="AR16" s="519"/>
      <c r="AS16" s="519"/>
      <c r="AT16" s="540"/>
      <c r="AU16" s="507"/>
      <c r="AV16" s="508"/>
      <c r="AW16" s="508"/>
      <c r="AX16" s="508"/>
      <c r="AY16" s="508"/>
      <c r="AZ16" s="508"/>
      <c r="BA16" s="508"/>
      <c r="BB16" s="508"/>
      <c r="BC16" s="508"/>
      <c r="BD16" s="508"/>
      <c r="BE16" s="567"/>
      <c r="BF16" s="568"/>
      <c r="BG16" s="568"/>
      <c r="BH16" s="568"/>
      <c r="BI16" s="568"/>
      <c r="BJ16" s="568"/>
      <c r="BK16" s="568"/>
      <c r="BL16" s="568"/>
      <c r="BM16" s="568"/>
      <c r="BN16" s="568"/>
      <c r="BO16" s="568"/>
      <c r="BP16" s="568"/>
      <c r="BQ16" s="569"/>
      <c r="BR16" s="572"/>
      <c r="BS16" s="572"/>
      <c r="BT16" s="572"/>
      <c r="BU16" s="572"/>
      <c r="BV16" s="572"/>
      <c r="BW16" s="572"/>
      <c r="BX16" s="573"/>
      <c r="BY16" s="556"/>
      <c r="BZ16" s="553"/>
      <c r="CA16" s="553"/>
      <c r="CB16" s="553"/>
      <c r="CC16" s="553"/>
      <c r="CD16" s="553"/>
      <c r="CE16" s="553"/>
      <c r="CF16" s="553"/>
      <c r="CG16" s="553"/>
      <c r="CH16" s="553"/>
      <c r="CI16" s="553"/>
      <c r="CJ16" s="553"/>
      <c r="CK16" s="553"/>
      <c r="CL16" s="553"/>
      <c r="CM16" s="546"/>
      <c r="CN16" s="547"/>
      <c r="CO16" s="547"/>
      <c r="CP16" s="547"/>
      <c r="CQ16" s="547"/>
      <c r="CR16" s="547"/>
      <c r="CS16" s="547"/>
      <c r="CT16" s="547"/>
      <c r="CU16" s="547"/>
      <c r="CV16" s="547"/>
      <c r="CW16" s="547"/>
      <c r="CX16" s="547"/>
      <c r="CY16" s="547"/>
      <c r="CZ16" s="547"/>
      <c r="DA16" s="547"/>
      <c r="DB16" s="547"/>
      <c r="DC16" s="556"/>
      <c r="DD16" s="546"/>
      <c r="DE16" s="547"/>
      <c r="DF16" s="547"/>
      <c r="DG16" s="547"/>
      <c r="DH16" s="547"/>
      <c r="DI16" s="548"/>
      <c r="DJ16" s="561"/>
      <c r="DK16" s="562"/>
      <c r="DL16" s="562"/>
      <c r="DM16" s="562"/>
      <c r="DN16" s="562"/>
      <c r="DO16" s="562"/>
      <c r="DP16" s="562"/>
      <c r="DQ16" s="562"/>
      <c r="DR16" s="562"/>
      <c r="DS16" s="562"/>
      <c r="DT16" s="562"/>
      <c r="DU16" s="562"/>
      <c r="DV16" s="562"/>
      <c r="DW16" s="562"/>
      <c r="DX16" s="562"/>
      <c r="DY16" s="562"/>
      <c r="DZ16" s="563"/>
      <c r="EA16" s="546"/>
      <c r="EB16" s="547"/>
      <c r="EC16" s="547"/>
      <c r="ED16" s="547"/>
      <c r="EE16" s="547"/>
      <c r="EF16" s="547"/>
      <c r="EG16" s="547"/>
      <c r="EH16" s="547"/>
      <c r="EI16" s="547"/>
      <c r="EJ16" s="547"/>
      <c r="EK16" s="547"/>
      <c r="EL16" s="547"/>
      <c r="EM16" s="547"/>
      <c r="EN16" s="547"/>
      <c r="EO16" s="547"/>
      <c r="EP16" s="547"/>
      <c r="EQ16" s="556"/>
      <c r="ER16" s="546"/>
      <c r="ES16" s="547"/>
      <c r="ET16" s="547"/>
      <c r="EU16" s="547"/>
      <c r="EV16" s="547"/>
      <c r="EW16" s="547"/>
      <c r="EX16" s="547"/>
      <c r="EY16" s="556"/>
      <c r="EZ16" s="546"/>
      <c r="FA16" s="547"/>
      <c r="FB16" s="547"/>
      <c r="FC16" s="547"/>
      <c r="FD16" s="547"/>
      <c r="FE16" s="547"/>
      <c r="FF16" s="547"/>
      <c r="FG16" s="548"/>
      <c r="FH16" s="287"/>
    </row>
    <row r="17" spans="1:164" ht="8.65" customHeight="1">
      <c r="A17" s="269"/>
      <c r="B17" s="507"/>
      <c r="C17" s="508"/>
      <c r="D17" s="508"/>
      <c r="E17" s="508"/>
      <c r="F17" s="508"/>
      <c r="G17" s="508"/>
      <c r="H17" s="508"/>
      <c r="I17" s="508"/>
      <c r="J17" s="508"/>
      <c r="K17" s="508"/>
      <c r="L17" s="508"/>
      <c r="M17" s="511" t="s">
        <v>6370</v>
      </c>
      <c r="N17" s="506"/>
      <c r="O17" s="506"/>
      <c r="P17" s="506"/>
      <c r="Q17" s="506"/>
      <c r="R17" s="506"/>
      <c r="S17" s="506"/>
      <c r="T17" s="506"/>
      <c r="U17" s="506"/>
      <c r="V17" s="506"/>
      <c r="W17" s="506"/>
      <c r="X17" s="506"/>
      <c r="Y17" s="506"/>
      <c r="Z17" s="506"/>
      <c r="AA17" s="506"/>
      <c r="AB17" s="512"/>
      <c r="AC17" s="515">
        <v>15.2</v>
      </c>
      <c r="AD17" s="516"/>
      <c r="AE17" s="516"/>
      <c r="AF17" s="516"/>
      <c r="AG17" s="517"/>
      <c r="AH17" s="521">
        <f t="shared" ref="AH17" si="0">AC17</f>
        <v>15.2</v>
      </c>
      <c r="AI17" s="516"/>
      <c r="AJ17" s="516"/>
      <c r="AK17" s="522"/>
      <c r="AL17" s="515">
        <v>4.7</v>
      </c>
      <c r="AM17" s="516"/>
      <c r="AN17" s="516"/>
      <c r="AO17" s="516"/>
      <c r="AP17" s="517"/>
      <c r="AQ17" s="521">
        <f t="shared" ref="AQ17" si="1">AL17</f>
        <v>4.7</v>
      </c>
      <c r="AR17" s="516"/>
      <c r="AS17" s="516"/>
      <c r="AT17" s="539"/>
      <c r="AU17" s="507"/>
      <c r="AV17" s="508"/>
      <c r="AW17" s="508"/>
      <c r="AX17" s="508"/>
      <c r="AY17" s="508"/>
      <c r="AZ17" s="508"/>
      <c r="BA17" s="508"/>
      <c r="BB17" s="508"/>
      <c r="BC17" s="508"/>
      <c r="BD17" s="508"/>
      <c r="BE17" s="567"/>
      <c r="BF17" s="568"/>
      <c r="BG17" s="568"/>
      <c r="BH17" s="568"/>
      <c r="BI17" s="568"/>
      <c r="BJ17" s="568"/>
      <c r="BK17" s="568"/>
      <c r="BL17" s="568"/>
      <c r="BM17" s="568"/>
      <c r="BN17" s="568"/>
      <c r="BO17" s="568"/>
      <c r="BP17" s="568"/>
      <c r="BQ17" s="569"/>
      <c r="BR17" s="572"/>
      <c r="BS17" s="572"/>
      <c r="BT17" s="572"/>
      <c r="BU17" s="572"/>
      <c r="BV17" s="572"/>
      <c r="BW17" s="572"/>
      <c r="BX17" s="573"/>
      <c r="BY17" s="556"/>
      <c r="BZ17" s="553"/>
      <c r="CA17" s="553"/>
      <c r="CB17" s="553"/>
      <c r="CC17" s="553"/>
      <c r="CD17" s="553"/>
      <c r="CE17" s="553"/>
      <c r="CF17" s="553"/>
      <c r="CG17" s="553"/>
      <c r="CH17" s="553"/>
      <c r="CI17" s="553"/>
      <c r="CJ17" s="553"/>
      <c r="CK17" s="553"/>
      <c r="CL17" s="553"/>
      <c r="CM17" s="546"/>
      <c r="CN17" s="547"/>
      <c r="CO17" s="547"/>
      <c r="CP17" s="547"/>
      <c r="CQ17" s="547"/>
      <c r="CR17" s="547"/>
      <c r="CS17" s="547"/>
      <c r="CT17" s="547"/>
      <c r="CU17" s="547"/>
      <c r="CV17" s="547"/>
      <c r="CW17" s="547"/>
      <c r="CX17" s="547"/>
      <c r="CY17" s="547"/>
      <c r="CZ17" s="547"/>
      <c r="DA17" s="547"/>
      <c r="DB17" s="547"/>
      <c r="DC17" s="556"/>
      <c r="DD17" s="546"/>
      <c r="DE17" s="547"/>
      <c r="DF17" s="547"/>
      <c r="DG17" s="547"/>
      <c r="DH17" s="547"/>
      <c r="DI17" s="548"/>
      <c r="DJ17" s="561"/>
      <c r="DK17" s="562"/>
      <c r="DL17" s="562"/>
      <c r="DM17" s="562"/>
      <c r="DN17" s="562"/>
      <c r="DO17" s="562"/>
      <c r="DP17" s="562"/>
      <c r="DQ17" s="562"/>
      <c r="DR17" s="562"/>
      <c r="DS17" s="562"/>
      <c r="DT17" s="562"/>
      <c r="DU17" s="562"/>
      <c r="DV17" s="562"/>
      <c r="DW17" s="562"/>
      <c r="DX17" s="562"/>
      <c r="DY17" s="562"/>
      <c r="DZ17" s="563"/>
      <c r="EA17" s="546"/>
      <c r="EB17" s="547"/>
      <c r="EC17" s="547"/>
      <c r="ED17" s="547"/>
      <c r="EE17" s="547"/>
      <c r="EF17" s="547"/>
      <c r="EG17" s="547"/>
      <c r="EH17" s="547"/>
      <c r="EI17" s="547"/>
      <c r="EJ17" s="547"/>
      <c r="EK17" s="547"/>
      <c r="EL17" s="547"/>
      <c r="EM17" s="547"/>
      <c r="EN17" s="547"/>
      <c r="EO17" s="547"/>
      <c r="EP17" s="547"/>
      <c r="EQ17" s="556"/>
      <c r="ER17" s="546"/>
      <c r="ES17" s="547"/>
      <c r="ET17" s="547"/>
      <c r="EU17" s="547"/>
      <c r="EV17" s="547"/>
      <c r="EW17" s="547"/>
      <c r="EX17" s="547"/>
      <c r="EY17" s="556"/>
      <c r="EZ17" s="546"/>
      <c r="FA17" s="547"/>
      <c r="FB17" s="547"/>
      <c r="FC17" s="547"/>
      <c r="FD17" s="547"/>
      <c r="FE17" s="547"/>
      <c r="FF17" s="547"/>
      <c r="FG17" s="548"/>
      <c r="FH17" s="288"/>
    </row>
    <row r="18" spans="1:164" ht="8.65" customHeight="1">
      <c r="A18" s="269"/>
      <c r="B18" s="507"/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13"/>
      <c r="N18" s="510"/>
      <c r="O18" s="510"/>
      <c r="P18" s="510"/>
      <c r="Q18" s="510"/>
      <c r="R18" s="510"/>
      <c r="S18" s="510"/>
      <c r="T18" s="510"/>
      <c r="U18" s="510"/>
      <c r="V18" s="510"/>
      <c r="W18" s="510"/>
      <c r="X18" s="510"/>
      <c r="Y18" s="510"/>
      <c r="Z18" s="510"/>
      <c r="AA18" s="510"/>
      <c r="AB18" s="514"/>
      <c r="AC18" s="518"/>
      <c r="AD18" s="519"/>
      <c r="AE18" s="519"/>
      <c r="AF18" s="519"/>
      <c r="AG18" s="520"/>
      <c r="AH18" s="523"/>
      <c r="AI18" s="519"/>
      <c r="AJ18" s="519"/>
      <c r="AK18" s="524"/>
      <c r="AL18" s="518"/>
      <c r="AM18" s="519"/>
      <c r="AN18" s="519"/>
      <c r="AO18" s="519"/>
      <c r="AP18" s="520"/>
      <c r="AQ18" s="523"/>
      <c r="AR18" s="519"/>
      <c r="AS18" s="519"/>
      <c r="AT18" s="540"/>
      <c r="AU18" s="507"/>
      <c r="AV18" s="508"/>
      <c r="AW18" s="508"/>
      <c r="AX18" s="508"/>
      <c r="AY18" s="508"/>
      <c r="AZ18" s="508"/>
      <c r="BA18" s="508"/>
      <c r="BB18" s="508"/>
      <c r="BC18" s="508"/>
      <c r="BD18" s="508"/>
      <c r="BE18" s="567"/>
      <c r="BF18" s="568"/>
      <c r="BG18" s="568"/>
      <c r="BH18" s="568"/>
      <c r="BI18" s="568"/>
      <c r="BJ18" s="568"/>
      <c r="BK18" s="568"/>
      <c r="BL18" s="568"/>
      <c r="BM18" s="568"/>
      <c r="BN18" s="568"/>
      <c r="BO18" s="568"/>
      <c r="BP18" s="568"/>
      <c r="BQ18" s="569"/>
      <c r="BR18" s="572"/>
      <c r="BS18" s="572"/>
      <c r="BT18" s="572"/>
      <c r="BU18" s="572"/>
      <c r="BV18" s="572"/>
      <c r="BW18" s="572"/>
      <c r="BX18" s="573"/>
      <c r="BY18" s="557"/>
      <c r="BZ18" s="554"/>
      <c r="CA18" s="554"/>
      <c r="CB18" s="554"/>
      <c r="CC18" s="554"/>
      <c r="CD18" s="554"/>
      <c r="CE18" s="554"/>
      <c r="CF18" s="554"/>
      <c r="CG18" s="554"/>
      <c r="CH18" s="554"/>
      <c r="CI18" s="554"/>
      <c r="CJ18" s="554"/>
      <c r="CK18" s="554"/>
      <c r="CL18" s="554"/>
      <c r="CM18" s="549"/>
      <c r="CN18" s="550"/>
      <c r="CO18" s="550"/>
      <c r="CP18" s="550"/>
      <c r="CQ18" s="550"/>
      <c r="CR18" s="550"/>
      <c r="CS18" s="550"/>
      <c r="CT18" s="550"/>
      <c r="CU18" s="550"/>
      <c r="CV18" s="550"/>
      <c r="CW18" s="550"/>
      <c r="CX18" s="550"/>
      <c r="CY18" s="550"/>
      <c r="CZ18" s="550"/>
      <c r="DA18" s="550"/>
      <c r="DB18" s="550"/>
      <c r="DC18" s="557"/>
      <c r="DD18" s="549"/>
      <c r="DE18" s="550"/>
      <c r="DF18" s="550"/>
      <c r="DG18" s="550"/>
      <c r="DH18" s="550"/>
      <c r="DI18" s="551"/>
      <c r="DJ18" s="564"/>
      <c r="DK18" s="565"/>
      <c r="DL18" s="565"/>
      <c r="DM18" s="565"/>
      <c r="DN18" s="565"/>
      <c r="DO18" s="565"/>
      <c r="DP18" s="565"/>
      <c r="DQ18" s="565"/>
      <c r="DR18" s="565"/>
      <c r="DS18" s="565"/>
      <c r="DT18" s="565"/>
      <c r="DU18" s="565"/>
      <c r="DV18" s="565"/>
      <c r="DW18" s="565"/>
      <c r="DX18" s="565"/>
      <c r="DY18" s="565"/>
      <c r="DZ18" s="566"/>
      <c r="EA18" s="549"/>
      <c r="EB18" s="550"/>
      <c r="EC18" s="550"/>
      <c r="ED18" s="550"/>
      <c r="EE18" s="550"/>
      <c r="EF18" s="550"/>
      <c r="EG18" s="550"/>
      <c r="EH18" s="550"/>
      <c r="EI18" s="550"/>
      <c r="EJ18" s="550"/>
      <c r="EK18" s="550"/>
      <c r="EL18" s="550"/>
      <c r="EM18" s="550"/>
      <c r="EN18" s="550"/>
      <c r="EO18" s="550"/>
      <c r="EP18" s="550"/>
      <c r="EQ18" s="557"/>
      <c r="ER18" s="549"/>
      <c r="ES18" s="550"/>
      <c r="ET18" s="550"/>
      <c r="EU18" s="550"/>
      <c r="EV18" s="550"/>
      <c r="EW18" s="550"/>
      <c r="EX18" s="550"/>
      <c r="EY18" s="557"/>
      <c r="EZ18" s="549"/>
      <c r="FA18" s="550"/>
      <c r="FB18" s="550"/>
      <c r="FC18" s="550"/>
      <c r="FD18" s="550"/>
      <c r="FE18" s="550"/>
      <c r="FF18" s="550"/>
      <c r="FG18" s="551"/>
      <c r="FH18" s="288"/>
    </row>
    <row r="19" spans="1:164" ht="8.65" customHeight="1">
      <c r="A19" s="269"/>
      <c r="B19" s="507"/>
      <c r="C19" s="508"/>
      <c r="D19" s="508"/>
      <c r="E19" s="508"/>
      <c r="F19" s="508"/>
      <c r="G19" s="508"/>
      <c r="H19" s="508"/>
      <c r="I19" s="508"/>
      <c r="J19" s="508"/>
      <c r="K19" s="508"/>
      <c r="L19" s="508"/>
      <c r="M19" s="511" t="s">
        <v>6371</v>
      </c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12"/>
      <c r="AC19" s="515">
        <v>15.4</v>
      </c>
      <c r="AD19" s="516"/>
      <c r="AE19" s="516"/>
      <c r="AF19" s="516"/>
      <c r="AG19" s="517"/>
      <c r="AH19" s="521">
        <f t="shared" ref="AH19" si="2">AC19</f>
        <v>15.4</v>
      </c>
      <c r="AI19" s="516"/>
      <c r="AJ19" s="516"/>
      <c r="AK19" s="522"/>
      <c r="AL19" s="515">
        <v>5</v>
      </c>
      <c r="AM19" s="516"/>
      <c r="AN19" s="516"/>
      <c r="AO19" s="516"/>
      <c r="AP19" s="517"/>
      <c r="AQ19" s="521">
        <f t="shared" ref="AQ19" si="3">AL19</f>
        <v>5</v>
      </c>
      <c r="AR19" s="516"/>
      <c r="AS19" s="516"/>
      <c r="AT19" s="539"/>
      <c r="AU19" s="507"/>
      <c r="AV19" s="508"/>
      <c r="AW19" s="508"/>
      <c r="AX19" s="508"/>
      <c r="AY19" s="508"/>
      <c r="AZ19" s="508"/>
      <c r="BA19" s="508"/>
      <c r="BB19" s="508"/>
      <c r="BC19" s="508"/>
      <c r="BD19" s="508"/>
      <c r="BE19" s="567"/>
      <c r="BF19" s="568"/>
      <c r="BG19" s="568"/>
      <c r="BH19" s="568"/>
      <c r="BI19" s="568"/>
      <c r="BJ19" s="568"/>
      <c r="BK19" s="568"/>
      <c r="BL19" s="568"/>
      <c r="BM19" s="568"/>
      <c r="BN19" s="568"/>
      <c r="BO19" s="568"/>
      <c r="BP19" s="568"/>
      <c r="BQ19" s="569"/>
      <c r="BR19" s="572"/>
      <c r="BS19" s="572"/>
      <c r="BT19" s="572"/>
      <c r="BU19" s="572"/>
      <c r="BV19" s="572"/>
      <c r="BW19" s="572"/>
      <c r="BX19" s="573"/>
      <c r="BY19" s="541" t="s">
        <v>6372</v>
      </c>
      <c r="BZ19" s="542"/>
      <c r="CA19" s="542"/>
      <c r="CB19" s="542"/>
      <c r="CC19" s="542"/>
      <c r="CD19" s="542"/>
      <c r="CE19" s="542"/>
      <c r="CF19" s="542"/>
      <c r="CG19" s="542"/>
      <c r="CH19" s="584">
        <v>7.0000000000000007E-2</v>
      </c>
      <c r="CI19" s="584"/>
      <c r="CJ19" s="584"/>
      <c r="CK19" s="584"/>
      <c r="CL19" s="584"/>
      <c r="CM19" s="542" t="s">
        <v>6373</v>
      </c>
      <c r="CN19" s="542"/>
      <c r="CO19" s="542"/>
      <c r="CP19" s="542"/>
      <c r="CQ19" s="542"/>
      <c r="CR19" s="542"/>
      <c r="CS19" s="542"/>
      <c r="CT19" s="542"/>
      <c r="CU19" s="542"/>
      <c r="CV19" s="542"/>
      <c r="CW19" s="542"/>
      <c r="CX19" s="542"/>
      <c r="CY19" s="542"/>
      <c r="CZ19" s="542"/>
      <c r="DA19" s="542"/>
      <c r="DB19" s="542"/>
      <c r="DC19" s="542"/>
      <c r="DD19" s="584">
        <v>0.68</v>
      </c>
      <c r="DE19" s="584"/>
      <c r="DF19" s="584"/>
      <c r="DG19" s="584"/>
      <c r="DH19" s="584"/>
      <c r="DI19" s="585"/>
      <c r="DJ19" s="586" t="s">
        <v>6374</v>
      </c>
      <c r="DK19" s="587"/>
      <c r="DL19" s="587"/>
      <c r="DM19" s="587"/>
      <c r="DN19" s="587"/>
      <c r="DO19" s="587"/>
      <c r="DP19" s="587"/>
      <c r="DQ19" s="587"/>
      <c r="DR19" s="587"/>
      <c r="DS19" s="587"/>
      <c r="DT19" s="587"/>
      <c r="DU19" s="587"/>
      <c r="DV19" s="587"/>
      <c r="DW19" s="587"/>
      <c r="DX19" s="587"/>
      <c r="DY19" s="587"/>
      <c r="DZ19" s="588"/>
      <c r="EA19" s="582" t="s">
        <v>6372</v>
      </c>
      <c r="EB19" s="582"/>
      <c r="EC19" s="582"/>
      <c r="ED19" s="582"/>
      <c r="EE19" s="582"/>
      <c r="EF19" s="582"/>
      <c r="EG19" s="582"/>
      <c r="EH19" s="582"/>
      <c r="EI19" s="582"/>
      <c r="EJ19" s="582"/>
      <c r="EK19" s="582"/>
      <c r="EL19" s="582"/>
      <c r="EM19" s="582"/>
      <c r="EN19" s="582"/>
      <c r="EO19" s="582"/>
      <c r="EP19" s="582"/>
      <c r="EQ19" s="582"/>
      <c r="ER19" s="583">
        <v>3.11</v>
      </c>
      <c r="ES19" s="583"/>
      <c r="ET19" s="583"/>
      <c r="EU19" s="583"/>
      <c r="EV19" s="583"/>
      <c r="EW19" s="583"/>
      <c r="EX19" s="583"/>
      <c r="EY19" s="583"/>
      <c r="EZ19" s="574"/>
      <c r="FA19" s="574"/>
      <c r="FB19" s="574"/>
      <c r="FC19" s="574"/>
      <c r="FD19" s="574"/>
      <c r="FE19" s="574"/>
      <c r="FF19" s="574"/>
      <c r="FG19" s="575"/>
      <c r="FH19" s="288"/>
    </row>
    <row r="20" spans="1:164" ht="8.65" customHeight="1">
      <c r="A20" s="269"/>
      <c r="B20" s="507"/>
      <c r="C20" s="508"/>
      <c r="D20" s="508"/>
      <c r="E20" s="508"/>
      <c r="F20" s="508"/>
      <c r="G20" s="508"/>
      <c r="H20" s="508"/>
      <c r="I20" s="508"/>
      <c r="J20" s="508"/>
      <c r="K20" s="508"/>
      <c r="L20" s="508"/>
      <c r="M20" s="513"/>
      <c r="N20" s="510"/>
      <c r="O20" s="510"/>
      <c r="P20" s="510"/>
      <c r="Q20" s="510"/>
      <c r="R20" s="510"/>
      <c r="S20" s="510"/>
      <c r="T20" s="510"/>
      <c r="U20" s="510"/>
      <c r="V20" s="510"/>
      <c r="W20" s="510"/>
      <c r="X20" s="510"/>
      <c r="Y20" s="510"/>
      <c r="Z20" s="510"/>
      <c r="AA20" s="510"/>
      <c r="AB20" s="514"/>
      <c r="AC20" s="518"/>
      <c r="AD20" s="519"/>
      <c r="AE20" s="519"/>
      <c r="AF20" s="519"/>
      <c r="AG20" s="520"/>
      <c r="AH20" s="523"/>
      <c r="AI20" s="519"/>
      <c r="AJ20" s="519"/>
      <c r="AK20" s="524"/>
      <c r="AL20" s="518"/>
      <c r="AM20" s="519"/>
      <c r="AN20" s="519"/>
      <c r="AO20" s="519"/>
      <c r="AP20" s="520"/>
      <c r="AQ20" s="523"/>
      <c r="AR20" s="519"/>
      <c r="AS20" s="519"/>
      <c r="AT20" s="540"/>
      <c r="AU20" s="509"/>
      <c r="AV20" s="510"/>
      <c r="AW20" s="510"/>
      <c r="AX20" s="510"/>
      <c r="AY20" s="510"/>
      <c r="AZ20" s="510"/>
      <c r="BA20" s="510"/>
      <c r="BB20" s="510"/>
      <c r="BC20" s="510"/>
      <c r="BD20" s="510"/>
      <c r="BE20" s="567"/>
      <c r="BF20" s="568"/>
      <c r="BG20" s="568"/>
      <c r="BH20" s="568"/>
      <c r="BI20" s="568"/>
      <c r="BJ20" s="568"/>
      <c r="BK20" s="568"/>
      <c r="BL20" s="568"/>
      <c r="BM20" s="568"/>
      <c r="BN20" s="568"/>
      <c r="BO20" s="568"/>
      <c r="BP20" s="568"/>
      <c r="BQ20" s="569"/>
      <c r="BR20" s="572"/>
      <c r="BS20" s="572"/>
      <c r="BT20" s="572"/>
      <c r="BU20" s="572"/>
      <c r="BV20" s="572"/>
      <c r="BW20" s="572"/>
      <c r="BX20" s="573"/>
      <c r="BY20" s="541"/>
      <c r="BZ20" s="542"/>
      <c r="CA20" s="542"/>
      <c r="CB20" s="542"/>
      <c r="CC20" s="542"/>
      <c r="CD20" s="542"/>
      <c r="CE20" s="542"/>
      <c r="CF20" s="542"/>
      <c r="CG20" s="542"/>
      <c r="CH20" s="584"/>
      <c r="CI20" s="584"/>
      <c r="CJ20" s="584"/>
      <c r="CK20" s="584"/>
      <c r="CL20" s="584"/>
      <c r="CM20" s="542"/>
      <c r="CN20" s="542"/>
      <c r="CO20" s="542"/>
      <c r="CP20" s="542"/>
      <c r="CQ20" s="542"/>
      <c r="CR20" s="542"/>
      <c r="CS20" s="542"/>
      <c r="CT20" s="542"/>
      <c r="CU20" s="542"/>
      <c r="CV20" s="542"/>
      <c r="CW20" s="542"/>
      <c r="CX20" s="542"/>
      <c r="CY20" s="542"/>
      <c r="CZ20" s="542"/>
      <c r="DA20" s="542"/>
      <c r="DB20" s="542"/>
      <c r="DC20" s="542"/>
      <c r="DD20" s="584"/>
      <c r="DE20" s="584"/>
      <c r="DF20" s="584"/>
      <c r="DG20" s="584"/>
      <c r="DH20" s="584"/>
      <c r="DI20" s="585"/>
      <c r="DJ20" s="589"/>
      <c r="DK20" s="590"/>
      <c r="DL20" s="590"/>
      <c r="DM20" s="590"/>
      <c r="DN20" s="590"/>
      <c r="DO20" s="590"/>
      <c r="DP20" s="590"/>
      <c r="DQ20" s="590"/>
      <c r="DR20" s="590"/>
      <c r="DS20" s="590"/>
      <c r="DT20" s="590"/>
      <c r="DU20" s="590"/>
      <c r="DV20" s="590"/>
      <c r="DW20" s="590"/>
      <c r="DX20" s="590"/>
      <c r="DY20" s="590"/>
      <c r="DZ20" s="591"/>
      <c r="EA20" s="582"/>
      <c r="EB20" s="582"/>
      <c r="EC20" s="582"/>
      <c r="ED20" s="582"/>
      <c r="EE20" s="582"/>
      <c r="EF20" s="582"/>
      <c r="EG20" s="582"/>
      <c r="EH20" s="582"/>
      <c r="EI20" s="582"/>
      <c r="EJ20" s="582"/>
      <c r="EK20" s="582"/>
      <c r="EL20" s="582"/>
      <c r="EM20" s="582"/>
      <c r="EN20" s="582"/>
      <c r="EO20" s="582"/>
      <c r="EP20" s="582"/>
      <c r="EQ20" s="582"/>
      <c r="ER20" s="583"/>
      <c r="ES20" s="583"/>
      <c r="ET20" s="583"/>
      <c r="EU20" s="583"/>
      <c r="EV20" s="583"/>
      <c r="EW20" s="583"/>
      <c r="EX20" s="583"/>
      <c r="EY20" s="583"/>
      <c r="EZ20" s="574"/>
      <c r="FA20" s="574"/>
      <c r="FB20" s="574"/>
      <c r="FC20" s="574"/>
      <c r="FD20" s="574"/>
      <c r="FE20" s="574"/>
      <c r="FF20" s="574"/>
      <c r="FG20" s="575"/>
      <c r="FH20" s="288"/>
    </row>
    <row r="21" spans="1:164" ht="8.65" customHeight="1">
      <c r="A21" s="269"/>
      <c r="B21" s="507"/>
      <c r="C21" s="508"/>
      <c r="D21" s="508"/>
      <c r="E21" s="508"/>
      <c r="F21" s="508"/>
      <c r="G21" s="508"/>
      <c r="H21" s="508"/>
      <c r="I21" s="508"/>
      <c r="J21" s="508"/>
      <c r="K21" s="508"/>
      <c r="L21" s="508"/>
      <c r="M21" s="511" t="s">
        <v>6375</v>
      </c>
      <c r="N21" s="506"/>
      <c r="O21" s="506"/>
      <c r="P21" s="506"/>
      <c r="Q21" s="506"/>
      <c r="R21" s="506"/>
      <c r="S21" s="506"/>
      <c r="T21" s="506"/>
      <c r="U21" s="506"/>
      <c r="V21" s="506"/>
      <c r="W21" s="506"/>
      <c r="X21" s="506"/>
      <c r="Y21" s="506"/>
      <c r="Z21" s="506"/>
      <c r="AA21" s="506"/>
      <c r="AB21" s="512"/>
      <c r="AC21" s="515">
        <v>16.2</v>
      </c>
      <c r="AD21" s="516"/>
      <c r="AE21" s="516"/>
      <c r="AF21" s="516"/>
      <c r="AG21" s="517"/>
      <c r="AH21" s="521">
        <f t="shared" ref="AH21" si="4">AC21</f>
        <v>16.2</v>
      </c>
      <c r="AI21" s="516"/>
      <c r="AJ21" s="516"/>
      <c r="AK21" s="522"/>
      <c r="AL21" s="515">
        <v>5.5</v>
      </c>
      <c r="AM21" s="516"/>
      <c r="AN21" s="516"/>
      <c r="AO21" s="516"/>
      <c r="AP21" s="517"/>
      <c r="AQ21" s="521">
        <f t="shared" ref="AQ21" si="5">AL21</f>
        <v>5.5</v>
      </c>
      <c r="AR21" s="516"/>
      <c r="AS21" s="516"/>
      <c r="AT21" s="539"/>
      <c r="AU21" s="576" t="s">
        <v>6376</v>
      </c>
      <c r="AV21" s="577"/>
      <c r="AW21" s="577"/>
      <c r="AX21" s="577"/>
      <c r="AY21" s="577"/>
      <c r="AZ21" s="577"/>
      <c r="BA21" s="577"/>
      <c r="BB21" s="577"/>
      <c r="BC21" s="577"/>
      <c r="BD21" s="577"/>
      <c r="BE21" s="567"/>
      <c r="BF21" s="568"/>
      <c r="BG21" s="568"/>
      <c r="BH21" s="568"/>
      <c r="BI21" s="568"/>
      <c r="BJ21" s="568"/>
      <c r="BK21" s="568">
        <v>6.5</v>
      </c>
      <c r="BL21" s="568"/>
      <c r="BM21" s="568"/>
      <c r="BN21" s="568"/>
      <c r="BO21" s="568"/>
      <c r="BP21" s="568"/>
      <c r="BQ21" s="569"/>
      <c r="BR21" s="572"/>
      <c r="BS21" s="572"/>
      <c r="BT21" s="572"/>
      <c r="BU21" s="572"/>
      <c r="BV21" s="572"/>
      <c r="BW21" s="572"/>
      <c r="BX21" s="573"/>
      <c r="BY21" s="541"/>
      <c r="BZ21" s="542"/>
      <c r="CA21" s="542"/>
      <c r="CB21" s="542"/>
      <c r="CC21" s="542"/>
      <c r="CD21" s="542"/>
      <c r="CE21" s="542"/>
      <c r="CF21" s="542"/>
      <c r="CG21" s="542"/>
      <c r="CH21" s="584"/>
      <c r="CI21" s="584"/>
      <c r="CJ21" s="584"/>
      <c r="CK21" s="584"/>
      <c r="CL21" s="584"/>
      <c r="CM21" s="542"/>
      <c r="CN21" s="542"/>
      <c r="CO21" s="542"/>
      <c r="CP21" s="542"/>
      <c r="CQ21" s="542"/>
      <c r="CR21" s="542"/>
      <c r="CS21" s="542"/>
      <c r="CT21" s="542"/>
      <c r="CU21" s="542"/>
      <c r="CV21" s="542"/>
      <c r="CW21" s="542"/>
      <c r="CX21" s="542"/>
      <c r="CY21" s="542"/>
      <c r="CZ21" s="542"/>
      <c r="DA21" s="542"/>
      <c r="DB21" s="542"/>
      <c r="DC21" s="542"/>
      <c r="DD21" s="584"/>
      <c r="DE21" s="584"/>
      <c r="DF21" s="584"/>
      <c r="DG21" s="584"/>
      <c r="DH21" s="584"/>
      <c r="DI21" s="585"/>
      <c r="DJ21" s="589"/>
      <c r="DK21" s="590"/>
      <c r="DL21" s="590"/>
      <c r="DM21" s="590"/>
      <c r="DN21" s="590"/>
      <c r="DO21" s="590"/>
      <c r="DP21" s="590"/>
      <c r="DQ21" s="590"/>
      <c r="DR21" s="590"/>
      <c r="DS21" s="590"/>
      <c r="DT21" s="590"/>
      <c r="DU21" s="590"/>
      <c r="DV21" s="590"/>
      <c r="DW21" s="590"/>
      <c r="DX21" s="590"/>
      <c r="DY21" s="590"/>
      <c r="DZ21" s="591"/>
      <c r="EA21" s="582" t="s">
        <v>6377</v>
      </c>
      <c r="EB21" s="582"/>
      <c r="EC21" s="582"/>
      <c r="ED21" s="582"/>
      <c r="EE21" s="582"/>
      <c r="EF21" s="582"/>
      <c r="EG21" s="582"/>
      <c r="EH21" s="582"/>
      <c r="EI21" s="582"/>
      <c r="EJ21" s="582"/>
      <c r="EK21" s="582"/>
      <c r="EL21" s="582"/>
      <c r="EM21" s="582"/>
      <c r="EN21" s="582"/>
      <c r="EO21" s="582"/>
      <c r="EP21" s="582"/>
      <c r="EQ21" s="582"/>
      <c r="ER21" s="583">
        <v>3.15</v>
      </c>
      <c r="ES21" s="583"/>
      <c r="ET21" s="583"/>
      <c r="EU21" s="583"/>
      <c r="EV21" s="583"/>
      <c r="EW21" s="583"/>
      <c r="EX21" s="583"/>
      <c r="EY21" s="583"/>
      <c r="EZ21" s="574"/>
      <c r="FA21" s="574"/>
      <c r="FB21" s="574"/>
      <c r="FC21" s="574"/>
      <c r="FD21" s="574"/>
      <c r="FE21" s="574"/>
      <c r="FF21" s="574"/>
      <c r="FG21" s="575"/>
      <c r="FH21" s="288"/>
    </row>
    <row r="22" spans="1:164" ht="8.65" customHeight="1">
      <c r="A22" s="269"/>
      <c r="B22" s="509"/>
      <c r="C22" s="510"/>
      <c r="D22" s="510"/>
      <c r="E22" s="510"/>
      <c r="F22" s="510"/>
      <c r="G22" s="510"/>
      <c r="H22" s="510"/>
      <c r="I22" s="510"/>
      <c r="J22" s="510"/>
      <c r="K22" s="510"/>
      <c r="L22" s="510"/>
      <c r="M22" s="513"/>
      <c r="N22" s="510"/>
      <c r="O22" s="510"/>
      <c r="P22" s="510"/>
      <c r="Q22" s="510"/>
      <c r="R22" s="510"/>
      <c r="S22" s="510"/>
      <c r="T22" s="510"/>
      <c r="U22" s="510"/>
      <c r="V22" s="510"/>
      <c r="W22" s="510"/>
      <c r="X22" s="510"/>
      <c r="Y22" s="510"/>
      <c r="Z22" s="510"/>
      <c r="AA22" s="510"/>
      <c r="AB22" s="514"/>
      <c r="AC22" s="518"/>
      <c r="AD22" s="519"/>
      <c r="AE22" s="519"/>
      <c r="AF22" s="519"/>
      <c r="AG22" s="520"/>
      <c r="AH22" s="523"/>
      <c r="AI22" s="519"/>
      <c r="AJ22" s="519"/>
      <c r="AK22" s="524"/>
      <c r="AL22" s="518"/>
      <c r="AM22" s="519"/>
      <c r="AN22" s="519"/>
      <c r="AO22" s="519"/>
      <c r="AP22" s="520"/>
      <c r="AQ22" s="523"/>
      <c r="AR22" s="519"/>
      <c r="AS22" s="519"/>
      <c r="AT22" s="540"/>
      <c r="AU22" s="578"/>
      <c r="AV22" s="579"/>
      <c r="AW22" s="579"/>
      <c r="AX22" s="579"/>
      <c r="AY22" s="579"/>
      <c r="AZ22" s="579"/>
      <c r="BA22" s="579"/>
      <c r="BB22" s="579"/>
      <c r="BC22" s="579"/>
      <c r="BD22" s="579"/>
      <c r="BE22" s="567"/>
      <c r="BF22" s="568"/>
      <c r="BG22" s="568"/>
      <c r="BH22" s="568"/>
      <c r="BI22" s="568"/>
      <c r="BJ22" s="568"/>
      <c r="BK22" s="568"/>
      <c r="BL22" s="568"/>
      <c r="BM22" s="568"/>
      <c r="BN22" s="568"/>
      <c r="BO22" s="568"/>
      <c r="BP22" s="568"/>
      <c r="BQ22" s="569"/>
      <c r="BR22" s="572"/>
      <c r="BS22" s="572"/>
      <c r="BT22" s="572"/>
      <c r="BU22" s="572"/>
      <c r="BV22" s="572"/>
      <c r="BW22" s="572"/>
      <c r="BX22" s="573"/>
      <c r="BY22" s="541"/>
      <c r="BZ22" s="542"/>
      <c r="CA22" s="542"/>
      <c r="CB22" s="542"/>
      <c r="CC22" s="542"/>
      <c r="CD22" s="542"/>
      <c r="CE22" s="542"/>
      <c r="CF22" s="542"/>
      <c r="CG22" s="542"/>
      <c r="CH22" s="584"/>
      <c r="CI22" s="584"/>
      <c r="CJ22" s="584"/>
      <c r="CK22" s="584"/>
      <c r="CL22" s="584"/>
      <c r="CM22" s="542"/>
      <c r="CN22" s="542"/>
      <c r="CO22" s="542"/>
      <c r="CP22" s="542"/>
      <c r="CQ22" s="542"/>
      <c r="CR22" s="542"/>
      <c r="CS22" s="542"/>
      <c r="CT22" s="542"/>
      <c r="CU22" s="542"/>
      <c r="CV22" s="542"/>
      <c r="CW22" s="542"/>
      <c r="CX22" s="542"/>
      <c r="CY22" s="542"/>
      <c r="CZ22" s="542"/>
      <c r="DA22" s="542"/>
      <c r="DB22" s="542"/>
      <c r="DC22" s="542"/>
      <c r="DD22" s="584"/>
      <c r="DE22" s="584"/>
      <c r="DF22" s="584"/>
      <c r="DG22" s="584"/>
      <c r="DH22" s="584"/>
      <c r="DI22" s="585"/>
      <c r="DJ22" s="589"/>
      <c r="DK22" s="590"/>
      <c r="DL22" s="590"/>
      <c r="DM22" s="590"/>
      <c r="DN22" s="590"/>
      <c r="DO22" s="590"/>
      <c r="DP22" s="590"/>
      <c r="DQ22" s="590"/>
      <c r="DR22" s="590"/>
      <c r="DS22" s="590"/>
      <c r="DT22" s="590"/>
      <c r="DU22" s="590"/>
      <c r="DV22" s="590"/>
      <c r="DW22" s="590"/>
      <c r="DX22" s="590"/>
      <c r="DY22" s="590"/>
      <c r="DZ22" s="591"/>
      <c r="EA22" s="582"/>
      <c r="EB22" s="582"/>
      <c r="EC22" s="582"/>
      <c r="ED22" s="582"/>
      <c r="EE22" s="582"/>
      <c r="EF22" s="582"/>
      <c r="EG22" s="582"/>
      <c r="EH22" s="582"/>
      <c r="EI22" s="582"/>
      <c r="EJ22" s="582"/>
      <c r="EK22" s="582"/>
      <c r="EL22" s="582"/>
      <c r="EM22" s="582"/>
      <c r="EN22" s="582"/>
      <c r="EO22" s="582"/>
      <c r="EP22" s="582"/>
      <c r="EQ22" s="582"/>
      <c r="ER22" s="583"/>
      <c r="ES22" s="583"/>
      <c r="ET22" s="583"/>
      <c r="EU22" s="583"/>
      <c r="EV22" s="583"/>
      <c r="EW22" s="583"/>
      <c r="EX22" s="583"/>
      <c r="EY22" s="583"/>
      <c r="EZ22" s="574"/>
      <c r="FA22" s="574"/>
      <c r="FB22" s="574"/>
      <c r="FC22" s="574"/>
      <c r="FD22" s="574"/>
      <c r="FE22" s="574"/>
      <c r="FF22" s="574"/>
      <c r="FG22" s="575"/>
      <c r="FH22" s="288"/>
    </row>
    <row r="23" spans="1:164" ht="8.65" customHeight="1">
      <c r="A23" s="269"/>
      <c r="B23" s="576" t="s">
        <v>6378</v>
      </c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11" t="s">
        <v>6363</v>
      </c>
      <c r="N23" s="506"/>
      <c r="O23" s="506"/>
      <c r="P23" s="506"/>
      <c r="Q23" s="506"/>
      <c r="R23" s="506"/>
      <c r="S23" s="506"/>
      <c r="T23" s="506"/>
      <c r="U23" s="506"/>
      <c r="V23" s="506"/>
      <c r="W23" s="506"/>
      <c r="X23" s="506"/>
      <c r="Y23" s="506"/>
      <c r="Z23" s="506"/>
      <c r="AA23" s="506"/>
      <c r="AB23" s="512"/>
      <c r="AC23" s="515">
        <v>14.7</v>
      </c>
      <c r="AD23" s="516"/>
      <c r="AE23" s="516"/>
      <c r="AF23" s="516"/>
      <c r="AG23" s="517"/>
      <c r="AH23" s="521">
        <f t="shared" ref="AH23" si="6">AC23</f>
        <v>14.7</v>
      </c>
      <c r="AI23" s="516"/>
      <c r="AJ23" s="516"/>
      <c r="AK23" s="522"/>
      <c r="AL23" s="515">
        <v>4.7</v>
      </c>
      <c r="AM23" s="516"/>
      <c r="AN23" s="516"/>
      <c r="AO23" s="516"/>
      <c r="AP23" s="517"/>
      <c r="AQ23" s="521">
        <f t="shared" ref="AQ23" si="7">AL23</f>
        <v>4.7</v>
      </c>
      <c r="AR23" s="516"/>
      <c r="AS23" s="516"/>
      <c r="AT23" s="539"/>
      <c r="AU23" s="578"/>
      <c r="AV23" s="579"/>
      <c r="AW23" s="579"/>
      <c r="AX23" s="579"/>
      <c r="AY23" s="579"/>
      <c r="AZ23" s="579"/>
      <c r="BA23" s="579"/>
      <c r="BB23" s="579"/>
      <c r="BC23" s="579"/>
      <c r="BD23" s="579"/>
      <c r="BE23" s="567"/>
      <c r="BF23" s="568"/>
      <c r="BG23" s="568"/>
      <c r="BH23" s="568"/>
      <c r="BI23" s="568"/>
      <c r="BJ23" s="568"/>
      <c r="BK23" s="568"/>
      <c r="BL23" s="568"/>
      <c r="BM23" s="568"/>
      <c r="BN23" s="568"/>
      <c r="BO23" s="568"/>
      <c r="BP23" s="568"/>
      <c r="BQ23" s="569"/>
      <c r="BR23" s="572"/>
      <c r="BS23" s="572"/>
      <c r="BT23" s="572"/>
      <c r="BU23" s="572"/>
      <c r="BV23" s="572"/>
      <c r="BW23" s="572"/>
      <c r="BX23" s="573"/>
      <c r="BY23" s="541"/>
      <c r="BZ23" s="542"/>
      <c r="CA23" s="542"/>
      <c r="CB23" s="542"/>
      <c r="CC23" s="542"/>
      <c r="CD23" s="542"/>
      <c r="CE23" s="542"/>
      <c r="CF23" s="542"/>
      <c r="CG23" s="542"/>
      <c r="CH23" s="584"/>
      <c r="CI23" s="584"/>
      <c r="CJ23" s="584"/>
      <c r="CK23" s="584"/>
      <c r="CL23" s="584"/>
      <c r="CM23" s="542"/>
      <c r="CN23" s="542"/>
      <c r="CO23" s="542"/>
      <c r="CP23" s="542"/>
      <c r="CQ23" s="542"/>
      <c r="CR23" s="542"/>
      <c r="CS23" s="542"/>
      <c r="CT23" s="542"/>
      <c r="CU23" s="542"/>
      <c r="CV23" s="542"/>
      <c r="CW23" s="542"/>
      <c r="CX23" s="542"/>
      <c r="CY23" s="542"/>
      <c r="CZ23" s="542"/>
      <c r="DA23" s="542"/>
      <c r="DB23" s="542"/>
      <c r="DC23" s="542"/>
      <c r="DD23" s="584"/>
      <c r="DE23" s="584"/>
      <c r="DF23" s="584"/>
      <c r="DG23" s="584"/>
      <c r="DH23" s="584"/>
      <c r="DI23" s="585"/>
      <c r="DJ23" s="589"/>
      <c r="DK23" s="590"/>
      <c r="DL23" s="590"/>
      <c r="DM23" s="590"/>
      <c r="DN23" s="590"/>
      <c r="DO23" s="590"/>
      <c r="DP23" s="590"/>
      <c r="DQ23" s="590"/>
      <c r="DR23" s="590"/>
      <c r="DS23" s="590"/>
      <c r="DT23" s="590"/>
      <c r="DU23" s="590"/>
      <c r="DV23" s="590"/>
      <c r="DW23" s="590"/>
      <c r="DX23" s="590"/>
      <c r="DY23" s="590"/>
      <c r="DZ23" s="591"/>
      <c r="EA23" s="582" t="s">
        <v>6379</v>
      </c>
      <c r="EB23" s="582"/>
      <c r="EC23" s="582"/>
      <c r="ED23" s="582"/>
      <c r="EE23" s="582"/>
      <c r="EF23" s="582"/>
      <c r="EG23" s="582"/>
      <c r="EH23" s="582"/>
      <c r="EI23" s="582"/>
      <c r="EJ23" s="582"/>
      <c r="EK23" s="582"/>
      <c r="EL23" s="582"/>
      <c r="EM23" s="582"/>
      <c r="EN23" s="582"/>
      <c r="EO23" s="582"/>
      <c r="EP23" s="582"/>
      <c r="EQ23" s="582"/>
      <c r="ER23" s="583">
        <v>3.64</v>
      </c>
      <c r="ES23" s="583"/>
      <c r="ET23" s="583"/>
      <c r="EU23" s="583"/>
      <c r="EV23" s="583"/>
      <c r="EW23" s="583"/>
      <c r="EX23" s="583"/>
      <c r="EY23" s="583"/>
      <c r="EZ23" s="574"/>
      <c r="FA23" s="574"/>
      <c r="FB23" s="574"/>
      <c r="FC23" s="574"/>
      <c r="FD23" s="574"/>
      <c r="FE23" s="574"/>
      <c r="FF23" s="574"/>
      <c r="FG23" s="575"/>
      <c r="FH23" s="288"/>
    </row>
    <row r="24" spans="1:164" ht="8.65" customHeight="1">
      <c r="A24" s="269"/>
      <c r="B24" s="578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13"/>
      <c r="N24" s="510"/>
      <c r="O24" s="510"/>
      <c r="P24" s="510"/>
      <c r="Q24" s="510"/>
      <c r="R24" s="510"/>
      <c r="S24" s="510"/>
      <c r="T24" s="510"/>
      <c r="U24" s="510"/>
      <c r="V24" s="510"/>
      <c r="W24" s="510"/>
      <c r="X24" s="510"/>
      <c r="Y24" s="510"/>
      <c r="Z24" s="510"/>
      <c r="AA24" s="510"/>
      <c r="AB24" s="514"/>
      <c r="AC24" s="518"/>
      <c r="AD24" s="519"/>
      <c r="AE24" s="519"/>
      <c r="AF24" s="519"/>
      <c r="AG24" s="520"/>
      <c r="AH24" s="523"/>
      <c r="AI24" s="519"/>
      <c r="AJ24" s="519"/>
      <c r="AK24" s="524"/>
      <c r="AL24" s="518"/>
      <c r="AM24" s="519"/>
      <c r="AN24" s="519"/>
      <c r="AO24" s="519"/>
      <c r="AP24" s="520"/>
      <c r="AQ24" s="523"/>
      <c r="AR24" s="519"/>
      <c r="AS24" s="519"/>
      <c r="AT24" s="540"/>
      <c r="AU24" s="578"/>
      <c r="AV24" s="579"/>
      <c r="AW24" s="579"/>
      <c r="AX24" s="579"/>
      <c r="AY24" s="579"/>
      <c r="AZ24" s="579"/>
      <c r="BA24" s="579"/>
      <c r="BB24" s="579"/>
      <c r="BC24" s="579"/>
      <c r="BD24" s="579"/>
      <c r="BE24" s="567"/>
      <c r="BF24" s="568"/>
      <c r="BG24" s="568"/>
      <c r="BH24" s="568"/>
      <c r="BI24" s="568"/>
      <c r="BJ24" s="568"/>
      <c r="BK24" s="568"/>
      <c r="BL24" s="568"/>
      <c r="BM24" s="568"/>
      <c r="BN24" s="568"/>
      <c r="BO24" s="568"/>
      <c r="BP24" s="568"/>
      <c r="BQ24" s="569"/>
      <c r="BR24" s="572"/>
      <c r="BS24" s="572"/>
      <c r="BT24" s="572"/>
      <c r="BU24" s="572"/>
      <c r="BV24" s="572"/>
      <c r="BW24" s="572"/>
      <c r="BX24" s="573"/>
      <c r="BY24" s="541"/>
      <c r="BZ24" s="542"/>
      <c r="CA24" s="542"/>
      <c r="CB24" s="542"/>
      <c r="CC24" s="542"/>
      <c r="CD24" s="542"/>
      <c r="CE24" s="542"/>
      <c r="CF24" s="542"/>
      <c r="CG24" s="542"/>
      <c r="CH24" s="584"/>
      <c r="CI24" s="584"/>
      <c r="CJ24" s="584"/>
      <c r="CK24" s="584"/>
      <c r="CL24" s="584"/>
      <c r="CM24" s="542"/>
      <c r="CN24" s="542"/>
      <c r="CO24" s="542"/>
      <c r="CP24" s="542"/>
      <c r="CQ24" s="542"/>
      <c r="CR24" s="542"/>
      <c r="CS24" s="542"/>
      <c r="CT24" s="542"/>
      <c r="CU24" s="542"/>
      <c r="CV24" s="542"/>
      <c r="CW24" s="542"/>
      <c r="CX24" s="542"/>
      <c r="CY24" s="542"/>
      <c r="CZ24" s="542"/>
      <c r="DA24" s="542"/>
      <c r="DB24" s="542"/>
      <c r="DC24" s="542"/>
      <c r="DD24" s="584"/>
      <c r="DE24" s="584"/>
      <c r="DF24" s="584"/>
      <c r="DG24" s="584"/>
      <c r="DH24" s="584"/>
      <c r="DI24" s="585"/>
      <c r="DJ24" s="589"/>
      <c r="DK24" s="590"/>
      <c r="DL24" s="590"/>
      <c r="DM24" s="590"/>
      <c r="DN24" s="590"/>
      <c r="DO24" s="590"/>
      <c r="DP24" s="590"/>
      <c r="DQ24" s="590"/>
      <c r="DR24" s="590"/>
      <c r="DS24" s="590"/>
      <c r="DT24" s="590"/>
      <c r="DU24" s="590"/>
      <c r="DV24" s="590"/>
      <c r="DW24" s="590"/>
      <c r="DX24" s="590"/>
      <c r="DY24" s="590"/>
      <c r="DZ24" s="591"/>
      <c r="EA24" s="582"/>
      <c r="EB24" s="582"/>
      <c r="EC24" s="582"/>
      <c r="ED24" s="582"/>
      <c r="EE24" s="582"/>
      <c r="EF24" s="582"/>
      <c r="EG24" s="582"/>
      <c r="EH24" s="582"/>
      <c r="EI24" s="582"/>
      <c r="EJ24" s="582"/>
      <c r="EK24" s="582"/>
      <c r="EL24" s="582"/>
      <c r="EM24" s="582"/>
      <c r="EN24" s="582"/>
      <c r="EO24" s="582"/>
      <c r="EP24" s="582"/>
      <c r="EQ24" s="582"/>
      <c r="ER24" s="583"/>
      <c r="ES24" s="583"/>
      <c r="ET24" s="583"/>
      <c r="EU24" s="583"/>
      <c r="EV24" s="583"/>
      <c r="EW24" s="583"/>
      <c r="EX24" s="583"/>
      <c r="EY24" s="583"/>
      <c r="EZ24" s="574"/>
      <c r="FA24" s="574"/>
      <c r="FB24" s="574"/>
      <c r="FC24" s="574"/>
      <c r="FD24" s="574"/>
      <c r="FE24" s="574"/>
      <c r="FF24" s="574"/>
      <c r="FG24" s="575"/>
      <c r="FH24" s="288"/>
    </row>
    <row r="25" spans="1:164" ht="8.65" customHeight="1">
      <c r="A25" s="269"/>
      <c r="B25" s="578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11" t="s">
        <v>6370</v>
      </c>
      <c r="N25" s="506"/>
      <c r="O25" s="506"/>
      <c r="P25" s="506"/>
      <c r="Q25" s="506"/>
      <c r="R25" s="506"/>
      <c r="S25" s="506"/>
      <c r="T25" s="506"/>
      <c r="U25" s="506"/>
      <c r="V25" s="506"/>
      <c r="W25" s="506"/>
      <c r="X25" s="506"/>
      <c r="Y25" s="506"/>
      <c r="Z25" s="506"/>
      <c r="AA25" s="506"/>
      <c r="AB25" s="512"/>
      <c r="AC25" s="515">
        <v>14.9</v>
      </c>
      <c r="AD25" s="516"/>
      <c r="AE25" s="516"/>
      <c r="AF25" s="516"/>
      <c r="AG25" s="517"/>
      <c r="AH25" s="521">
        <f t="shared" ref="AH25" si="8">AC25</f>
        <v>14.9</v>
      </c>
      <c r="AI25" s="516"/>
      <c r="AJ25" s="516"/>
      <c r="AK25" s="522"/>
      <c r="AL25" s="515">
        <v>4.8</v>
      </c>
      <c r="AM25" s="516"/>
      <c r="AN25" s="516"/>
      <c r="AO25" s="516"/>
      <c r="AP25" s="517"/>
      <c r="AQ25" s="521">
        <f t="shared" ref="AQ25" si="9">AL25</f>
        <v>4.8</v>
      </c>
      <c r="AR25" s="516"/>
      <c r="AS25" s="516"/>
      <c r="AT25" s="539"/>
      <c r="AU25" s="578"/>
      <c r="AV25" s="579"/>
      <c r="AW25" s="579"/>
      <c r="AX25" s="579"/>
      <c r="AY25" s="579"/>
      <c r="AZ25" s="579"/>
      <c r="BA25" s="579"/>
      <c r="BB25" s="579"/>
      <c r="BC25" s="579"/>
      <c r="BD25" s="579"/>
      <c r="BE25" s="567"/>
      <c r="BF25" s="568"/>
      <c r="BG25" s="568"/>
      <c r="BH25" s="568"/>
      <c r="BI25" s="568"/>
      <c r="BJ25" s="568"/>
      <c r="BK25" s="568"/>
      <c r="BL25" s="568"/>
      <c r="BM25" s="568"/>
      <c r="BN25" s="568"/>
      <c r="BO25" s="568"/>
      <c r="BP25" s="568"/>
      <c r="BQ25" s="569"/>
      <c r="BR25" s="572"/>
      <c r="BS25" s="572"/>
      <c r="BT25" s="572"/>
      <c r="BU25" s="572"/>
      <c r="BV25" s="572"/>
      <c r="BW25" s="572"/>
      <c r="BX25" s="573"/>
      <c r="BY25" s="541"/>
      <c r="BZ25" s="542"/>
      <c r="CA25" s="542"/>
      <c r="CB25" s="542"/>
      <c r="CC25" s="542"/>
      <c r="CD25" s="542"/>
      <c r="CE25" s="542"/>
      <c r="CF25" s="542"/>
      <c r="CG25" s="542"/>
      <c r="CH25" s="584"/>
      <c r="CI25" s="584"/>
      <c r="CJ25" s="584"/>
      <c r="CK25" s="584"/>
      <c r="CL25" s="584"/>
      <c r="CM25" s="542"/>
      <c r="CN25" s="542"/>
      <c r="CO25" s="542"/>
      <c r="CP25" s="542"/>
      <c r="CQ25" s="542"/>
      <c r="CR25" s="542"/>
      <c r="CS25" s="542"/>
      <c r="CT25" s="542"/>
      <c r="CU25" s="542"/>
      <c r="CV25" s="542"/>
      <c r="CW25" s="542"/>
      <c r="CX25" s="542"/>
      <c r="CY25" s="542"/>
      <c r="CZ25" s="542"/>
      <c r="DA25" s="542"/>
      <c r="DB25" s="542"/>
      <c r="DC25" s="542"/>
      <c r="DD25" s="584"/>
      <c r="DE25" s="584"/>
      <c r="DF25" s="584"/>
      <c r="DG25" s="584"/>
      <c r="DH25" s="584"/>
      <c r="DI25" s="585"/>
      <c r="DJ25" s="589"/>
      <c r="DK25" s="590"/>
      <c r="DL25" s="590"/>
      <c r="DM25" s="590"/>
      <c r="DN25" s="590"/>
      <c r="DO25" s="590"/>
      <c r="DP25" s="590"/>
      <c r="DQ25" s="590"/>
      <c r="DR25" s="590"/>
      <c r="DS25" s="590"/>
      <c r="DT25" s="590"/>
      <c r="DU25" s="590"/>
      <c r="DV25" s="590"/>
      <c r="DW25" s="590"/>
      <c r="DX25" s="590"/>
      <c r="DY25" s="590"/>
      <c r="DZ25" s="591"/>
      <c r="EA25" s="582" t="s">
        <v>6382</v>
      </c>
      <c r="EB25" s="582"/>
      <c r="EC25" s="582"/>
      <c r="ED25" s="582"/>
      <c r="EE25" s="582"/>
      <c r="EF25" s="582"/>
      <c r="EG25" s="582"/>
      <c r="EH25" s="582"/>
      <c r="EI25" s="582"/>
      <c r="EJ25" s="582"/>
      <c r="EK25" s="582"/>
      <c r="EL25" s="582"/>
      <c r="EM25" s="582"/>
      <c r="EN25" s="582"/>
      <c r="EO25" s="582"/>
      <c r="EP25" s="582"/>
      <c r="EQ25" s="582"/>
      <c r="ER25" s="583">
        <v>2.0699999999999998</v>
      </c>
      <c r="ES25" s="583"/>
      <c r="ET25" s="583"/>
      <c r="EU25" s="583"/>
      <c r="EV25" s="583"/>
      <c r="EW25" s="583"/>
      <c r="EX25" s="583"/>
      <c r="EY25" s="583"/>
      <c r="EZ25" s="574"/>
      <c r="FA25" s="574"/>
      <c r="FB25" s="574"/>
      <c r="FC25" s="574"/>
      <c r="FD25" s="574"/>
      <c r="FE25" s="574"/>
      <c r="FF25" s="574"/>
      <c r="FG25" s="575"/>
      <c r="FH25" s="287"/>
    </row>
    <row r="26" spans="1:164" ht="8.65" customHeight="1">
      <c r="A26" s="269"/>
      <c r="B26" s="578"/>
      <c r="C26" s="579"/>
      <c r="D26" s="579"/>
      <c r="E26" s="579"/>
      <c r="F26" s="579"/>
      <c r="G26" s="579"/>
      <c r="H26" s="579"/>
      <c r="I26" s="579"/>
      <c r="J26" s="579"/>
      <c r="K26" s="579"/>
      <c r="L26" s="579"/>
      <c r="M26" s="513"/>
      <c r="N26" s="510"/>
      <c r="O26" s="510"/>
      <c r="P26" s="510"/>
      <c r="Q26" s="510"/>
      <c r="R26" s="510"/>
      <c r="S26" s="510"/>
      <c r="T26" s="510"/>
      <c r="U26" s="510"/>
      <c r="V26" s="510"/>
      <c r="W26" s="510"/>
      <c r="X26" s="510"/>
      <c r="Y26" s="510"/>
      <c r="Z26" s="510"/>
      <c r="AA26" s="510"/>
      <c r="AB26" s="514"/>
      <c r="AC26" s="518"/>
      <c r="AD26" s="519"/>
      <c r="AE26" s="519"/>
      <c r="AF26" s="519"/>
      <c r="AG26" s="520"/>
      <c r="AH26" s="523"/>
      <c r="AI26" s="519"/>
      <c r="AJ26" s="519"/>
      <c r="AK26" s="524"/>
      <c r="AL26" s="518"/>
      <c r="AM26" s="519"/>
      <c r="AN26" s="519"/>
      <c r="AO26" s="519"/>
      <c r="AP26" s="520"/>
      <c r="AQ26" s="523"/>
      <c r="AR26" s="519"/>
      <c r="AS26" s="519"/>
      <c r="AT26" s="540"/>
      <c r="AU26" s="580"/>
      <c r="AV26" s="581"/>
      <c r="AW26" s="581"/>
      <c r="AX26" s="581"/>
      <c r="AY26" s="581"/>
      <c r="AZ26" s="581"/>
      <c r="BA26" s="581"/>
      <c r="BB26" s="581"/>
      <c r="BC26" s="581"/>
      <c r="BD26" s="581"/>
      <c r="BE26" s="567"/>
      <c r="BF26" s="568"/>
      <c r="BG26" s="568"/>
      <c r="BH26" s="568"/>
      <c r="BI26" s="568"/>
      <c r="BJ26" s="568"/>
      <c r="BK26" s="568"/>
      <c r="BL26" s="568"/>
      <c r="BM26" s="568"/>
      <c r="BN26" s="568"/>
      <c r="BO26" s="568"/>
      <c r="BP26" s="568"/>
      <c r="BQ26" s="569"/>
      <c r="BR26" s="572"/>
      <c r="BS26" s="572"/>
      <c r="BT26" s="572"/>
      <c r="BU26" s="572"/>
      <c r="BV26" s="572"/>
      <c r="BW26" s="572"/>
      <c r="BX26" s="573"/>
      <c r="BY26" s="541"/>
      <c r="BZ26" s="542"/>
      <c r="CA26" s="542"/>
      <c r="CB26" s="542"/>
      <c r="CC26" s="542"/>
      <c r="CD26" s="542"/>
      <c r="CE26" s="542"/>
      <c r="CF26" s="542"/>
      <c r="CG26" s="542"/>
      <c r="CH26" s="584"/>
      <c r="CI26" s="584"/>
      <c r="CJ26" s="584"/>
      <c r="CK26" s="584"/>
      <c r="CL26" s="584"/>
      <c r="CM26" s="542"/>
      <c r="CN26" s="542"/>
      <c r="CO26" s="542"/>
      <c r="CP26" s="542"/>
      <c r="CQ26" s="542"/>
      <c r="CR26" s="542"/>
      <c r="CS26" s="542"/>
      <c r="CT26" s="542"/>
      <c r="CU26" s="542"/>
      <c r="CV26" s="542"/>
      <c r="CW26" s="542"/>
      <c r="CX26" s="542"/>
      <c r="CY26" s="542"/>
      <c r="CZ26" s="542"/>
      <c r="DA26" s="542"/>
      <c r="DB26" s="542"/>
      <c r="DC26" s="542"/>
      <c r="DD26" s="584"/>
      <c r="DE26" s="584"/>
      <c r="DF26" s="584"/>
      <c r="DG26" s="584"/>
      <c r="DH26" s="584"/>
      <c r="DI26" s="585"/>
      <c r="DJ26" s="592"/>
      <c r="DK26" s="593"/>
      <c r="DL26" s="593"/>
      <c r="DM26" s="593"/>
      <c r="DN26" s="593"/>
      <c r="DO26" s="593"/>
      <c r="DP26" s="593"/>
      <c r="DQ26" s="593"/>
      <c r="DR26" s="593"/>
      <c r="DS26" s="593"/>
      <c r="DT26" s="593"/>
      <c r="DU26" s="593"/>
      <c r="DV26" s="593"/>
      <c r="DW26" s="593"/>
      <c r="DX26" s="593"/>
      <c r="DY26" s="593"/>
      <c r="DZ26" s="594"/>
      <c r="EA26" s="582"/>
      <c r="EB26" s="582"/>
      <c r="EC26" s="582"/>
      <c r="ED26" s="582"/>
      <c r="EE26" s="582"/>
      <c r="EF26" s="582"/>
      <c r="EG26" s="582"/>
      <c r="EH26" s="582"/>
      <c r="EI26" s="582"/>
      <c r="EJ26" s="582"/>
      <c r="EK26" s="582"/>
      <c r="EL26" s="582"/>
      <c r="EM26" s="582"/>
      <c r="EN26" s="582"/>
      <c r="EO26" s="582"/>
      <c r="EP26" s="582"/>
      <c r="EQ26" s="582"/>
      <c r="ER26" s="583"/>
      <c r="ES26" s="583"/>
      <c r="ET26" s="583"/>
      <c r="EU26" s="583"/>
      <c r="EV26" s="583"/>
      <c r="EW26" s="583"/>
      <c r="EX26" s="583"/>
      <c r="EY26" s="583"/>
      <c r="EZ26" s="574"/>
      <c r="FA26" s="574"/>
      <c r="FB26" s="574"/>
      <c r="FC26" s="574"/>
      <c r="FD26" s="574"/>
      <c r="FE26" s="574"/>
      <c r="FF26" s="574"/>
      <c r="FG26" s="575"/>
      <c r="FH26" s="287"/>
    </row>
    <row r="27" spans="1:164" ht="8.65" customHeight="1">
      <c r="A27" s="269"/>
      <c r="B27" s="578"/>
      <c r="C27" s="579"/>
      <c r="D27" s="579"/>
      <c r="E27" s="579"/>
      <c r="F27" s="579"/>
      <c r="G27" s="579"/>
      <c r="H27" s="579"/>
      <c r="I27" s="579"/>
      <c r="J27" s="579"/>
      <c r="K27" s="579"/>
      <c r="L27" s="579"/>
      <c r="M27" s="511" t="s">
        <v>6371</v>
      </c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Y27" s="506"/>
      <c r="Z27" s="506"/>
      <c r="AA27" s="506"/>
      <c r="AB27" s="512"/>
      <c r="AC27" s="515">
        <v>15.1</v>
      </c>
      <c r="AD27" s="516"/>
      <c r="AE27" s="516"/>
      <c r="AF27" s="516"/>
      <c r="AG27" s="517"/>
      <c r="AH27" s="521">
        <f t="shared" ref="AH27" si="10">AC27</f>
        <v>15.1</v>
      </c>
      <c r="AI27" s="516"/>
      <c r="AJ27" s="516"/>
      <c r="AK27" s="522"/>
      <c r="AL27" s="515">
        <v>5.0999999999999996</v>
      </c>
      <c r="AM27" s="516"/>
      <c r="AN27" s="516"/>
      <c r="AO27" s="516"/>
      <c r="AP27" s="517"/>
      <c r="AQ27" s="521">
        <f t="shared" ref="AQ27" si="11">AL27</f>
        <v>5.0999999999999996</v>
      </c>
      <c r="AR27" s="516"/>
      <c r="AS27" s="516"/>
      <c r="AT27" s="539"/>
      <c r="AU27" s="576" t="s">
        <v>6383</v>
      </c>
      <c r="AV27" s="577"/>
      <c r="AW27" s="577"/>
      <c r="AX27" s="577"/>
      <c r="AY27" s="577"/>
      <c r="AZ27" s="577"/>
      <c r="BA27" s="577"/>
      <c r="BB27" s="577"/>
      <c r="BC27" s="577"/>
      <c r="BD27" s="577"/>
      <c r="BE27" s="567"/>
      <c r="BF27" s="568"/>
      <c r="BG27" s="568"/>
      <c r="BH27" s="568"/>
      <c r="BI27" s="568"/>
      <c r="BJ27" s="568"/>
      <c r="BK27" s="568">
        <v>5</v>
      </c>
      <c r="BL27" s="568"/>
      <c r="BM27" s="568"/>
      <c r="BN27" s="568"/>
      <c r="BO27" s="568"/>
      <c r="BP27" s="568"/>
      <c r="BQ27" s="569"/>
      <c r="BR27" s="572"/>
      <c r="BS27" s="572"/>
      <c r="BT27" s="572"/>
      <c r="BU27" s="572"/>
      <c r="BV27" s="572"/>
      <c r="BW27" s="572"/>
      <c r="BX27" s="573"/>
      <c r="BY27" s="541"/>
      <c r="BZ27" s="542"/>
      <c r="CA27" s="542"/>
      <c r="CB27" s="542"/>
      <c r="CC27" s="542"/>
      <c r="CD27" s="542"/>
      <c r="CE27" s="542"/>
      <c r="CF27" s="542"/>
      <c r="CG27" s="542"/>
      <c r="CH27" s="584"/>
      <c r="CI27" s="584"/>
      <c r="CJ27" s="584"/>
      <c r="CK27" s="584"/>
      <c r="CL27" s="584"/>
      <c r="CM27" s="620" t="s">
        <v>6381</v>
      </c>
      <c r="CN27" s="620"/>
      <c r="CO27" s="620"/>
      <c r="CP27" s="620"/>
      <c r="CQ27" s="620"/>
      <c r="CR27" s="620"/>
      <c r="CS27" s="620"/>
      <c r="CT27" s="620"/>
      <c r="CU27" s="620"/>
      <c r="CV27" s="620"/>
      <c r="CW27" s="620"/>
      <c r="CX27" s="620"/>
      <c r="CY27" s="620"/>
      <c r="CZ27" s="620"/>
      <c r="DA27" s="620"/>
      <c r="DB27" s="620"/>
      <c r="DC27" s="620"/>
      <c r="DD27" s="604">
        <v>0.32</v>
      </c>
      <c r="DE27" s="604"/>
      <c r="DF27" s="604"/>
      <c r="DG27" s="604"/>
      <c r="DH27" s="604"/>
      <c r="DI27" s="605"/>
      <c r="DJ27" s="595" t="s">
        <v>6384</v>
      </c>
      <c r="DK27" s="596"/>
      <c r="DL27" s="596"/>
      <c r="DM27" s="596"/>
      <c r="DN27" s="596"/>
      <c r="DO27" s="596"/>
      <c r="DP27" s="596"/>
      <c r="DQ27" s="596"/>
      <c r="DR27" s="596"/>
      <c r="DS27" s="596"/>
      <c r="DT27" s="596"/>
      <c r="DU27" s="596"/>
      <c r="DV27" s="596"/>
      <c r="DW27" s="596"/>
      <c r="DX27" s="596"/>
      <c r="DY27" s="596"/>
      <c r="DZ27" s="597"/>
      <c r="EA27" s="582" t="s">
        <v>6372</v>
      </c>
      <c r="EB27" s="582"/>
      <c r="EC27" s="582"/>
      <c r="ED27" s="582"/>
      <c r="EE27" s="582"/>
      <c r="EF27" s="582"/>
      <c r="EG27" s="582"/>
      <c r="EH27" s="582"/>
      <c r="EI27" s="582"/>
      <c r="EJ27" s="582"/>
      <c r="EK27" s="582"/>
      <c r="EL27" s="582"/>
      <c r="EM27" s="582"/>
      <c r="EN27" s="582"/>
      <c r="EO27" s="582"/>
      <c r="EP27" s="582"/>
      <c r="EQ27" s="582"/>
      <c r="ER27" s="606">
        <v>2.2799999999999998</v>
      </c>
      <c r="ES27" s="607"/>
      <c r="ET27" s="607"/>
      <c r="EU27" s="607"/>
      <c r="EV27" s="607"/>
      <c r="EW27" s="607"/>
      <c r="EX27" s="607"/>
      <c r="EY27" s="608"/>
      <c r="EZ27" s="614">
        <v>4325</v>
      </c>
      <c r="FA27" s="615"/>
      <c r="FB27" s="615"/>
      <c r="FC27" s="615"/>
      <c r="FD27" s="615"/>
      <c r="FE27" s="615"/>
      <c r="FF27" s="615"/>
      <c r="FG27" s="616"/>
      <c r="FH27" s="287"/>
    </row>
    <row r="28" spans="1:164" ht="8.65" customHeight="1">
      <c r="A28" s="269"/>
      <c r="B28" s="578"/>
      <c r="C28" s="579"/>
      <c r="D28" s="579"/>
      <c r="E28" s="579"/>
      <c r="F28" s="579"/>
      <c r="G28" s="579"/>
      <c r="H28" s="579"/>
      <c r="I28" s="579"/>
      <c r="J28" s="579"/>
      <c r="K28" s="579"/>
      <c r="L28" s="579"/>
      <c r="M28" s="513"/>
      <c r="N28" s="510"/>
      <c r="O28" s="510"/>
      <c r="P28" s="510"/>
      <c r="Q28" s="510"/>
      <c r="R28" s="510"/>
      <c r="S28" s="510"/>
      <c r="T28" s="510"/>
      <c r="U28" s="510"/>
      <c r="V28" s="510"/>
      <c r="W28" s="510"/>
      <c r="X28" s="510"/>
      <c r="Y28" s="510"/>
      <c r="Z28" s="510"/>
      <c r="AA28" s="510"/>
      <c r="AB28" s="514"/>
      <c r="AC28" s="518"/>
      <c r="AD28" s="519"/>
      <c r="AE28" s="519"/>
      <c r="AF28" s="519"/>
      <c r="AG28" s="520"/>
      <c r="AH28" s="523"/>
      <c r="AI28" s="519"/>
      <c r="AJ28" s="519"/>
      <c r="AK28" s="524"/>
      <c r="AL28" s="518"/>
      <c r="AM28" s="519"/>
      <c r="AN28" s="519"/>
      <c r="AO28" s="519"/>
      <c r="AP28" s="520"/>
      <c r="AQ28" s="523"/>
      <c r="AR28" s="519"/>
      <c r="AS28" s="519"/>
      <c r="AT28" s="540"/>
      <c r="AU28" s="578"/>
      <c r="AV28" s="579"/>
      <c r="AW28" s="579"/>
      <c r="AX28" s="579"/>
      <c r="AY28" s="579"/>
      <c r="AZ28" s="579"/>
      <c r="BA28" s="579"/>
      <c r="BB28" s="579"/>
      <c r="BC28" s="579"/>
      <c r="BD28" s="579"/>
      <c r="BE28" s="567"/>
      <c r="BF28" s="568"/>
      <c r="BG28" s="568"/>
      <c r="BH28" s="568"/>
      <c r="BI28" s="568"/>
      <c r="BJ28" s="568"/>
      <c r="BK28" s="568"/>
      <c r="BL28" s="568"/>
      <c r="BM28" s="568"/>
      <c r="BN28" s="568"/>
      <c r="BO28" s="568"/>
      <c r="BP28" s="568"/>
      <c r="BQ28" s="569"/>
      <c r="BR28" s="572"/>
      <c r="BS28" s="572"/>
      <c r="BT28" s="572"/>
      <c r="BU28" s="572"/>
      <c r="BV28" s="572"/>
      <c r="BW28" s="572"/>
      <c r="BX28" s="573"/>
      <c r="BY28" s="541"/>
      <c r="BZ28" s="542"/>
      <c r="CA28" s="542"/>
      <c r="CB28" s="542"/>
      <c r="CC28" s="542"/>
      <c r="CD28" s="542"/>
      <c r="CE28" s="542"/>
      <c r="CF28" s="542"/>
      <c r="CG28" s="542"/>
      <c r="CH28" s="584"/>
      <c r="CI28" s="584"/>
      <c r="CJ28" s="584"/>
      <c r="CK28" s="584"/>
      <c r="CL28" s="584"/>
      <c r="CM28" s="620"/>
      <c r="CN28" s="620"/>
      <c r="CO28" s="620"/>
      <c r="CP28" s="620"/>
      <c r="CQ28" s="620"/>
      <c r="CR28" s="620"/>
      <c r="CS28" s="620"/>
      <c r="CT28" s="620"/>
      <c r="CU28" s="620"/>
      <c r="CV28" s="620"/>
      <c r="CW28" s="620"/>
      <c r="CX28" s="620"/>
      <c r="CY28" s="620"/>
      <c r="CZ28" s="620"/>
      <c r="DA28" s="620"/>
      <c r="DB28" s="620"/>
      <c r="DC28" s="620"/>
      <c r="DD28" s="604"/>
      <c r="DE28" s="604"/>
      <c r="DF28" s="604"/>
      <c r="DG28" s="604"/>
      <c r="DH28" s="604"/>
      <c r="DI28" s="605"/>
      <c r="DJ28" s="598"/>
      <c r="DK28" s="599"/>
      <c r="DL28" s="599"/>
      <c r="DM28" s="599"/>
      <c r="DN28" s="599"/>
      <c r="DO28" s="599"/>
      <c r="DP28" s="599"/>
      <c r="DQ28" s="599"/>
      <c r="DR28" s="599"/>
      <c r="DS28" s="599"/>
      <c r="DT28" s="599"/>
      <c r="DU28" s="599"/>
      <c r="DV28" s="599"/>
      <c r="DW28" s="599"/>
      <c r="DX28" s="599"/>
      <c r="DY28" s="599"/>
      <c r="DZ28" s="600"/>
      <c r="EA28" s="582"/>
      <c r="EB28" s="582"/>
      <c r="EC28" s="582"/>
      <c r="ED28" s="582"/>
      <c r="EE28" s="582"/>
      <c r="EF28" s="582"/>
      <c r="EG28" s="582"/>
      <c r="EH28" s="582"/>
      <c r="EI28" s="582"/>
      <c r="EJ28" s="582"/>
      <c r="EK28" s="582"/>
      <c r="EL28" s="582"/>
      <c r="EM28" s="582"/>
      <c r="EN28" s="582"/>
      <c r="EO28" s="582"/>
      <c r="EP28" s="582"/>
      <c r="EQ28" s="582"/>
      <c r="ER28" s="609"/>
      <c r="ES28" s="610"/>
      <c r="ET28" s="610"/>
      <c r="EU28" s="610"/>
      <c r="EV28" s="610"/>
      <c r="EW28" s="610"/>
      <c r="EX28" s="610"/>
      <c r="EY28" s="611"/>
      <c r="EZ28" s="617"/>
      <c r="FA28" s="618"/>
      <c r="FB28" s="618"/>
      <c r="FC28" s="618"/>
      <c r="FD28" s="618"/>
      <c r="FE28" s="618"/>
      <c r="FF28" s="618"/>
      <c r="FG28" s="619"/>
      <c r="FH28" s="287"/>
    </row>
    <row r="29" spans="1:164" ht="8.65" customHeight="1">
      <c r="A29" s="269"/>
      <c r="B29" s="578"/>
      <c r="C29" s="579"/>
      <c r="D29" s="579"/>
      <c r="E29" s="579"/>
      <c r="F29" s="579"/>
      <c r="G29" s="579"/>
      <c r="H29" s="579"/>
      <c r="I29" s="579"/>
      <c r="J29" s="579"/>
      <c r="K29" s="579"/>
      <c r="L29" s="579"/>
      <c r="M29" s="511" t="s">
        <v>6375</v>
      </c>
      <c r="N29" s="506"/>
      <c r="O29" s="506"/>
      <c r="P29" s="506"/>
      <c r="Q29" s="506"/>
      <c r="R29" s="506"/>
      <c r="S29" s="506"/>
      <c r="T29" s="506"/>
      <c r="U29" s="506"/>
      <c r="V29" s="506"/>
      <c r="W29" s="506"/>
      <c r="X29" s="506"/>
      <c r="Y29" s="506"/>
      <c r="Z29" s="506"/>
      <c r="AA29" s="506"/>
      <c r="AB29" s="512"/>
      <c r="AC29" s="515">
        <v>16</v>
      </c>
      <c r="AD29" s="516"/>
      <c r="AE29" s="516"/>
      <c r="AF29" s="516"/>
      <c r="AG29" s="517"/>
      <c r="AH29" s="521">
        <f t="shared" ref="AH29" si="12">AC29</f>
        <v>16</v>
      </c>
      <c r="AI29" s="516"/>
      <c r="AJ29" s="516"/>
      <c r="AK29" s="522"/>
      <c r="AL29" s="515">
        <v>5.6</v>
      </c>
      <c r="AM29" s="516"/>
      <c r="AN29" s="516"/>
      <c r="AO29" s="516"/>
      <c r="AP29" s="517"/>
      <c r="AQ29" s="521">
        <f t="shared" ref="AQ29" si="13">AL29</f>
        <v>5.6</v>
      </c>
      <c r="AR29" s="516"/>
      <c r="AS29" s="516"/>
      <c r="AT29" s="539"/>
      <c r="AU29" s="578"/>
      <c r="AV29" s="579"/>
      <c r="AW29" s="579"/>
      <c r="AX29" s="579"/>
      <c r="AY29" s="579"/>
      <c r="AZ29" s="579"/>
      <c r="BA29" s="579"/>
      <c r="BB29" s="579"/>
      <c r="BC29" s="579"/>
      <c r="BD29" s="579"/>
      <c r="BE29" s="567"/>
      <c r="BF29" s="568"/>
      <c r="BG29" s="568"/>
      <c r="BH29" s="568"/>
      <c r="BI29" s="568"/>
      <c r="BJ29" s="568"/>
      <c r="BK29" s="568"/>
      <c r="BL29" s="568"/>
      <c r="BM29" s="568"/>
      <c r="BN29" s="568"/>
      <c r="BO29" s="568"/>
      <c r="BP29" s="568"/>
      <c r="BQ29" s="569"/>
      <c r="BR29" s="572"/>
      <c r="BS29" s="572"/>
      <c r="BT29" s="572"/>
      <c r="BU29" s="572"/>
      <c r="BV29" s="572"/>
      <c r="BW29" s="572"/>
      <c r="BX29" s="573"/>
      <c r="BY29" s="541"/>
      <c r="BZ29" s="542"/>
      <c r="CA29" s="542"/>
      <c r="CB29" s="542"/>
      <c r="CC29" s="542"/>
      <c r="CD29" s="542"/>
      <c r="CE29" s="542"/>
      <c r="CF29" s="542"/>
      <c r="CG29" s="542"/>
      <c r="CH29" s="584"/>
      <c r="CI29" s="584"/>
      <c r="CJ29" s="584"/>
      <c r="CK29" s="584"/>
      <c r="CL29" s="584"/>
      <c r="CM29" s="620"/>
      <c r="CN29" s="620"/>
      <c r="CO29" s="620"/>
      <c r="CP29" s="620"/>
      <c r="CQ29" s="620"/>
      <c r="CR29" s="620"/>
      <c r="CS29" s="620"/>
      <c r="CT29" s="620"/>
      <c r="CU29" s="620"/>
      <c r="CV29" s="620"/>
      <c r="CW29" s="620"/>
      <c r="CX29" s="620"/>
      <c r="CY29" s="620"/>
      <c r="CZ29" s="620"/>
      <c r="DA29" s="620"/>
      <c r="DB29" s="620"/>
      <c r="DC29" s="620"/>
      <c r="DD29" s="604"/>
      <c r="DE29" s="604"/>
      <c r="DF29" s="604"/>
      <c r="DG29" s="604"/>
      <c r="DH29" s="604"/>
      <c r="DI29" s="605"/>
      <c r="DJ29" s="598"/>
      <c r="DK29" s="599"/>
      <c r="DL29" s="599"/>
      <c r="DM29" s="599"/>
      <c r="DN29" s="599"/>
      <c r="DO29" s="599"/>
      <c r="DP29" s="599"/>
      <c r="DQ29" s="599"/>
      <c r="DR29" s="599"/>
      <c r="DS29" s="599"/>
      <c r="DT29" s="599"/>
      <c r="DU29" s="599"/>
      <c r="DV29" s="599"/>
      <c r="DW29" s="599"/>
      <c r="DX29" s="599"/>
      <c r="DY29" s="599"/>
      <c r="DZ29" s="600"/>
      <c r="EA29" s="582" t="s">
        <v>6377</v>
      </c>
      <c r="EB29" s="582"/>
      <c r="EC29" s="582"/>
      <c r="ED29" s="582"/>
      <c r="EE29" s="582"/>
      <c r="EF29" s="582"/>
      <c r="EG29" s="582"/>
      <c r="EH29" s="582"/>
      <c r="EI29" s="582"/>
      <c r="EJ29" s="582"/>
      <c r="EK29" s="582"/>
      <c r="EL29" s="582"/>
      <c r="EM29" s="582"/>
      <c r="EN29" s="582"/>
      <c r="EO29" s="582"/>
      <c r="EP29" s="582"/>
      <c r="EQ29" s="582"/>
      <c r="ER29" s="606">
        <v>2.5299999999999998</v>
      </c>
      <c r="ES29" s="607"/>
      <c r="ET29" s="607"/>
      <c r="EU29" s="607"/>
      <c r="EV29" s="607"/>
      <c r="EW29" s="607"/>
      <c r="EX29" s="607"/>
      <c r="EY29" s="608"/>
      <c r="EZ29" s="614">
        <v>3300</v>
      </c>
      <c r="FA29" s="615"/>
      <c r="FB29" s="615"/>
      <c r="FC29" s="615"/>
      <c r="FD29" s="615"/>
      <c r="FE29" s="615"/>
      <c r="FF29" s="615"/>
      <c r="FG29" s="616"/>
      <c r="FH29" s="287"/>
    </row>
    <row r="30" spans="1:164" ht="8.65" customHeight="1">
      <c r="A30" s="269"/>
      <c r="B30" s="580"/>
      <c r="C30" s="581"/>
      <c r="D30" s="581"/>
      <c r="E30" s="581"/>
      <c r="F30" s="581"/>
      <c r="G30" s="581"/>
      <c r="H30" s="581"/>
      <c r="I30" s="581"/>
      <c r="J30" s="581"/>
      <c r="K30" s="581"/>
      <c r="L30" s="581"/>
      <c r="M30" s="513"/>
      <c r="N30" s="510"/>
      <c r="O30" s="510"/>
      <c r="P30" s="510"/>
      <c r="Q30" s="510"/>
      <c r="R30" s="510"/>
      <c r="S30" s="510"/>
      <c r="T30" s="510"/>
      <c r="U30" s="510"/>
      <c r="V30" s="510"/>
      <c r="W30" s="510"/>
      <c r="X30" s="510"/>
      <c r="Y30" s="510"/>
      <c r="Z30" s="510"/>
      <c r="AA30" s="510"/>
      <c r="AB30" s="514"/>
      <c r="AC30" s="518"/>
      <c r="AD30" s="519"/>
      <c r="AE30" s="519"/>
      <c r="AF30" s="519"/>
      <c r="AG30" s="520"/>
      <c r="AH30" s="523"/>
      <c r="AI30" s="519"/>
      <c r="AJ30" s="519"/>
      <c r="AK30" s="524"/>
      <c r="AL30" s="518"/>
      <c r="AM30" s="519"/>
      <c r="AN30" s="519"/>
      <c r="AO30" s="519"/>
      <c r="AP30" s="520"/>
      <c r="AQ30" s="523"/>
      <c r="AR30" s="519"/>
      <c r="AS30" s="519"/>
      <c r="AT30" s="540"/>
      <c r="AU30" s="578"/>
      <c r="AV30" s="579"/>
      <c r="AW30" s="579"/>
      <c r="AX30" s="579"/>
      <c r="AY30" s="579"/>
      <c r="AZ30" s="579"/>
      <c r="BA30" s="579"/>
      <c r="BB30" s="579"/>
      <c r="BC30" s="579"/>
      <c r="BD30" s="579"/>
      <c r="BE30" s="567"/>
      <c r="BF30" s="568"/>
      <c r="BG30" s="568"/>
      <c r="BH30" s="568"/>
      <c r="BI30" s="568"/>
      <c r="BJ30" s="568"/>
      <c r="BK30" s="568"/>
      <c r="BL30" s="568"/>
      <c r="BM30" s="568"/>
      <c r="BN30" s="568"/>
      <c r="BO30" s="568"/>
      <c r="BP30" s="568"/>
      <c r="BQ30" s="569"/>
      <c r="BR30" s="572"/>
      <c r="BS30" s="572"/>
      <c r="BT30" s="572"/>
      <c r="BU30" s="572"/>
      <c r="BV30" s="572"/>
      <c r="BW30" s="572"/>
      <c r="BX30" s="573"/>
      <c r="BY30" s="541"/>
      <c r="BZ30" s="542"/>
      <c r="CA30" s="542"/>
      <c r="CB30" s="542"/>
      <c r="CC30" s="542"/>
      <c r="CD30" s="542"/>
      <c r="CE30" s="542"/>
      <c r="CF30" s="542"/>
      <c r="CG30" s="542"/>
      <c r="CH30" s="584"/>
      <c r="CI30" s="584"/>
      <c r="CJ30" s="584"/>
      <c r="CK30" s="584"/>
      <c r="CL30" s="584"/>
      <c r="CM30" s="620"/>
      <c r="CN30" s="620"/>
      <c r="CO30" s="620"/>
      <c r="CP30" s="620"/>
      <c r="CQ30" s="620"/>
      <c r="CR30" s="620"/>
      <c r="CS30" s="620"/>
      <c r="CT30" s="620"/>
      <c r="CU30" s="620"/>
      <c r="CV30" s="620"/>
      <c r="CW30" s="620"/>
      <c r="CX30" s="620"/>
      <c r="CY30" s="620"/>
      <c r="CZ30" s="620"/>
      <c r="DA30" s="620"/>
      <c r="DB30" s="620"/>
      <c r="DC30" s="620"/>
      <c r="DD30" s="604"/>
      <c r="DE30" s="604"/>
      <c r="DF30" s="604"/>
      <c r="DG30" s="604"/>
      <c r="DH30" s="604"/>
      <c r="DI30" s="605"/>
      <c r="DJ30" s="598"/>
      <c r="DK30" s="599"/>
      <c r="DL30" s="599"/>
      <c r="DM30" s="599"/>
      <c r="DN30" s="599"/>
      <c r="DO30" s="599"/>
      <c r="DP30" s="599"/>
      <c r="DQ30" s="599"/>
      <c r="DR30" s="599"/>
      <c r="DS30" s="599"/>
      <c r="DT30" s="599"/>
      <c r="DU30" s="599"/>
      <c r="DV30" s="599"/>
      <c r="DW30" s="599"/>
      <c r="DX30" s="599"/>
      <c r="DY30" s="599"/>
      <c r="DZ30" s="600"/>
      <c r="EA30" s="582"/>
      <c r="EB30" s="582"/>
      <c r="EC30" s="582"/>
      <c r="ED30" s="582"/>
      <c r="EE30" s="582"/>
      <c r="EF30" s="582"/>
      <c r="EG30" s="582"/>
      <c r="EH30" s="582"/>
      <c r="EI30" s="582"/>
      <c r="EJ30" s="582"/>
      <c r="EK30" s="582"/>
      <c r="EL30" s="582"/>
      <c r="EM30" s="582"/>
      <c r="EN30" s="582"/>
      <c r="EO30" s="582"/>
      <c r="EP30" s="582"/>
      <c r="EQ30" s="582"/>
      <c r="ER30" s="609"/>
      <c r="ES30" s="610"/>
      <c r="ET30" s="610"/>
      <c r="EU30" s="610"/>
      <c r="EV30" s="610"/>
      <c r="EW30" s="610"/>
      <c r="EX30" s="610"/>
      <c r="EY30" s="611"/>
      <c r="EZ30" s="617"/>
      <c r="FA30" s="618"/>
      <c r="FB30" s="618"/>
      <c r="FC30" s="618"/>
      <c r="FD30" s="618"/>
      <c r="FE30" s="618"/>
      <c r="FF30" s="618"/>
      <c r="FG30" s="619"/>
      <c r="FH30" s="287"/>
    </row>
    <row r="31" spans="1:164" ht="8.65" customHeight="1">
      <c r="A31" s="269"/>
      <c r="B31" s="576" t="s">
        <v>6385</v>
      </c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11" t="s">
        <v>6363</v>
      </c>
      <c r="N31" s="506"/>
      <c r="O31" s="506"/>
      <c r="P31" s="506"/>
      <c r="Q31" s="506"/>
      <c r="R31" s="506"/>
      <c r="S31" s="506"/>
      <c r="T31" s="506"/>
      <c r="U31" s="506"/>
      <c r="V31" s="506"/>
      <c r="W31" s="506"/>
      <c r="X31" s="506"/>
      <c r="Y31" s="506"/>
      <c r="Z31" s="506"/>
      <c r="AA31" s="506"/>
      <c r="AB31" s="512"/>
      <c r="AC31" s="515">
        <v>14.8</v>
      </c>
      <c r="AD31" s="516"/>
      <c r="AE31" s="516"/>
      <c r="AF31" s="516"/>
      <c r="AG31" s="517"/>
      <c r="AH31" s="521">
        <f t="shared" ref="AH31" si="14">AC31</f>
        <v>14.8</v>
      </c>
      <c r="AI31" s="516"/>
      <c r="AJ31" s="516"/>
      <c r="AK31" s="522"/>
      <c r="AL31" s="515">
        <v>5.0999999999999996</v>
      </c>
      <c r="AM31" s="516"/>
      <c r="AN31" s="516"/>
      <c r="AO31" s="516"/>
      <c r="AP31" s="517"/>
      <c r="AQ31" s="521">
        <f t="shared" ref="AQ31" si="15">AL31</f>
        <v>5.0999999999999996</v>
      </c>
      <c r="AR31" s="516"/>
      <c r="AS31" s="516"/>
      <c r="AT31" s="539"/>
      <c r="AU31" s="578"/>
      <c r="AV31" s="579"/>
      <c r="AW31" s="579"/>
      <c r="AX31" s="579"/>
      <c r="AY31" s="579"/>
      <c r="AZ31" s="579"/>
      <c r="BA31" s="579"/>
      <c r="BB31" s="579"/>
      <c r="BC31" s="579"/>
      <c r="BD31" s="579"/>
      <c r="BE31" s="567"/>
      <c r="BF31" s="568"/>
      <c r="BG31" s="568"/>
      <c r="BH31" s="568"/>
      <c r="BI31" s="568"/>
      <c r="BJ31" s="568"/>
      <c r="BK31" s="568"/>
      <c r="BL31" s="568"/>
      <c r="BM31" s="568"/>
      <c r="BN31" s="568"/>
      <c r="BO31" s="568"/>
      <c r="BP31" s="568"/>
      <c r="BQ31" s="569"/>
      <c r="BR31" s="572"/>
      <c r="BS31" s="572"/>
      <c r="BT31" s="572"/>
      <c r="BU31" s="572"/>
      <c r="BV31" s="572"/>
      <c r="BW31" s="572"/>
      <c r="BX31" s="573"/>
      <c r="BY31" s="541"/>
      <c r="BZ31" s="542"/>
      <c r="CA31" s="542"/>
      <c r="CB31" s="542"/>
      <c r="CC31" s="542"/>
      <c r="CD31" s="542"/>
      <c r="CE31" s="542"/>
      <c r="CF31" s="542"/>
      <c r="CG31" s="542"/>
      <c r="CH31" s="584"/>
      <c r="CI31" s="584"/>
      <c r="CJ31" s="584"/>
      <c r="CK31" s="584"/>
      <c r="CL31" s="584"/>
      <c r="CM31" s="620"/>
      <c r="CN31" s="620"/>
      <c r="CO31" s="620"/>
      <c r="CP31" s="620"/>
      <c r="CQ31" s="620"/>
      <c r="CR31" s="620"/>
      <c r="CS31" s="620"/>
      <c r="CT31" s="620"/>
      <c r="CU31" s="620"/>
      <c r="CV31" s="620"/>
      <c r="CW31" s="620"/>
      <c r="CX31" s="620"/>
      <c r="CY31" s="620"/>
      <c r="CZ31" s="620"/>
      <c r="DA31" s="620"/>
      <c r="DB31" s="620"/>
      <c r="DC31" s="620"/>
      <c r="DD31" s="604"/>
      <c r="DE31" s="604"/>
      <c r="DF31" s="604"/>
      <c r="DG31" s="604"/>
      <c r="DH31" s="604"/>
      <c r="DI31" s="605"/>
      <c r="DJ31" s="598"/>
      <c r="DK31" s="599"/>
      <c r="DL31" s="599"/>
      <c r="DM31" s="599"/>
      <c r="DN31" s="599"/>
      <c r="DO31" s="599"/>
      <c r="DP31" s="599"/>
      <c r="DQ31" s="599"/>
      <c r="DR31" s="599"/>
      <c r="DS31" s="599"/>
      <c r="DT31" s="599"/>
      <c r="DU31" s="599"/>
      <c r="DV31" s="599"/>
      <c r="DW31" s="599"/>
      <c r="DX31" s="599"/>
      <c r="DY31" s="599"/>
      <c r="DZ31" s="600"/>
      <c r="EA31" s="582" t="s">
        <v>6379</v>
      </c>
      <c r="EB31" s="582"/>
      <c r="EC31" s="582"/>
      <c r="ED31" s="582"/>
      <c r="EE31" s="582"/>
      <c r="EF31" s="582"/>
      <c r="EG31" s="582"/>
      <c r="EH31" s="582"/>
      <c r="EI31" s="582"/>
      <c r="EJ31" s="582"/>
      <c r="EK31" s="582"/>
      <c r="EL31" s="582"/>
      <c r="EM31" s="582"/>
      <c r="EN31" s="582"/>
      <c r="EO31" s="582"/>
      <c r="EP31" s="582"/>
      <c r="EQ31" s="582"/>
      <c r="ER31" s="583">
        <v>3.05</v>
      </c>
      <c r="ES31" s="583"/>
      <c r="ET31" s="583"/>
      <c r="EU31" s="583"/>
      <c r="EV31" s="583"/>
      <c r="EW31" s="583"/>
      <c r="EX31" s="583"/>
      <c r="EY31" s="583"/>
      <c r="EZ31" s="612">
        <v>2975</v>
      </c>
      <c r="FA31" s="612"/>
      <c r="FB31" s="612"/>
      <c r="FC31" s="612"/>
      <c r="FD31" s="612"/>
      <c r="FE31" s="612"/>
      <c r="FF31" s="612"/>
      <c r="FG31" s="613"/>
      <c r="FH31" s="287"/>
    </row>
    <row r="32" spans="1:164" ht="8.65" customHeight="1">
      <c r="A32" s="269"/>
      <c r="B32" s="578"/>
      <c r="C32" s="579"/>
      <c r="D32" s="579"/>
      <c r="E32" s="579"/>
      <c r="F32" s="579"/>
      <c r="G32" s="579"/>
      <c r="H32" s="579"/>
      <c r="I32" s="579"/>
      <c r="J32" s="579"/>
      <c r="K32" s="579"/>
      <c r="L32" s="579"/>
      <c r="M32" s="513"/>
      <c r="N32" s="510"/>
      <c r="O32" s="510"/>
      <c r="P32" s="510"/>
      <c r="Q32" s="510"/>
      <c r="R32" s="510"/>
      <c r="S32" s="510"/>
      <c r="T32" s="510"/>
      <c r="U32" s="510"/>
      <c r="V32" s="510"/>
      <c r="W32" s="510"/>
      <c r="X32" s="510"/>
      <c r="Y32" s="510"/>
      <c r="Z32" s="510"/>
      <c r="AA32" s="510"/>
      <c r="AB32" s="514"/>
      <c r="AC32" s="518"/>
      <c r="AD32" s="519"/>
      <c r="AE32" s="519"/>
      <c r="AF32" s="519"/>
      <c r="AG32" s="520"/>
      <c r="AH32" s="523"/>
      <c r="AI32" s="519"/>
      <c r="AJ32" s="519"/>
      <c r="AK32" s="524"/>
      <c r="AL32" s="518"/>
      <c r="AM32" s="519"/>
      <c r="AN32" s="519"/>
      <c r="AO32" s="519"/>
      <c r="AP32" s="520"/>
      <c r="AQ32" s="523"/>
      <c r="AR32" s="519"/>
      <c r="AS32" s="519"/>
      <c r="AT32" s="540"/>
      <c r="AU32" s="578"/>
      <c r="AV32" s="579"/>
      <c r="AW32" s="579"/>
      <c r="AX32" s="579"/>
      <c r="AY32" s="579"/>
      <c r="AZ32" s="579"/>
      <c r="BA32" s="579"/>
      <c r="BB32" s="579"/>
      <c r="BC32" s="579"/>
      <c r="BD32" s="579"/>
      <c r="BE32" s="567"/>
      <c r="BF32" s="568"/>
      <c r="BG32" s="568"/>
      <c r="BH32" s="568"/>
      <c r="BI32" s="568"/>
      <c r="BJ32" s="568"/>
      <c r="BK32" s="568"/>
      <c r="BL32" s="568"/>
      <c r="BM32" s="568"/>
      <c r="BN32" s="568"/>
      <c r="BO32" s="568"/>
      <c r="BP32" s="568"/>
      <c r="BQ32" s="569"/>
      <c r="BR32" s="572"/>
      <c r="BS32" s="572"/>
      <c r="BT32" s="572"/>
      <c r="BU32" s="572"/>
      <c r="BV32" s="572"/>
      <c r="BW32" s="572"/>
      <c r="BX32" s="573"/>
      <c r="BY32" s="541"/>
      <c r="BZ32" s="542"/>
      <c r="CA32" s="542"/>
      <c r="CB32" s="542"/>
      <c r="CC32" s="542"/>
      <c r="CD32" s="542"/>
      <c r="CE32" s="542"/>
      <c r="CF32" s="542"/>
      <c r="CG32" s="542"/>
      <c r="CH32" s="584"/>
      <c r="CI32" s="584"/>
      <c r="CJ32" s="584"/>
      <c r="CK32" s="584"/>
      <c r="CL32" s="584"/>
      <c r="CM32" s="620"/>
      <c r="CN32" s="620"/>
      <c r="CO32" s="620"/>
      <c r="CP32" s="620"/>
      <c r="CQ32" s="620"/>
      <c r="CR32" s="620"/>
      <c r="CS32" s="620"/>
      <c r="CT32" s="620"/>
      <c r="CU32" s="620"/>
      <c r="CV32" s="620"/>
      <c r="CW32" s="620"/>
      <c r="CX32" s="620"/>
      <c r="CY32" s="620"/>
      <c r="CZ32" s="620"/>
      <c r="DA32" s="620"/>
      <c r="DB32" s="620"/>
      <c r="DC32" s="620"/>
      <c r="DD32" s="604"/>
      <c r="DE32" s="604"/>
      <c r="DF32" s="604"/>
      <c r="DG32" s="604"/>
      <c r="DH32" s="604"/>
      <c r="DI32" s="605"/>
      <c r="DJ32" s="598"/>
      <c r="DK32" s="599"/>
      <c r="DL32" s="599"/>
      <c r="DM32" s="599"/>
      <c r="DN32" s="599"/>
      <c r="DO32" s="599"/>
      <c r="DP32" s="599"/>
      <c r="DQ32" s="599"/>
      <c r="DR32" s="599"/>
      <c r="DS32" s="599"/>
      <c r="DT32" s="599"/>
      <c r="DU32" s="599"/>
      <c r="DV32" s="599"/>
      <c r="DW32" s="599"/>
      <c r="DX32" s="599"/>
      <c r="DY32" s="599"/>
      <c r="DZ32" s="600"/>
      <c r="EA32" s="582"/>
      <c r="EB32" s="582"/>
      <c r="EC32" s="582"/>
      <c r="ED32" s="582"/>
      <c r="EE32" s="582"/>
      <c r="EF32" s="582"/>
      <c r="EG32" s="582"/>
      <c r="EH32" s="582"/>
      <c r="EI32" s="582"/>
      <c r="EJ32" s="582"/>
      <c r="EK32" s="582"/>
      <c r="EL32" s="582"/>
      <c r="EM32" s="582"/>
      <c r="EN32" s="582"/>
      <c r="EO32" s="582"/>
      <c r="EP32" s="582"/>
      <c r="EQ32" s="582"/>
      <c r="ER32" s="583"/>
      <c r="ES32" s="583"/>
      <c r="ET32" s="583"/>
      <c r="EU32" s="583"/>
      <c r="EV32" s="583"/>
      <c r="EW32" s="583"/>
      <c r="EX32" s="583"/>
      <c r="EY32" s="583"/>
      <c r="EZ32" s="612"/>
      <c r="FA32" s="612"/>
      <c r="FB32" s="612"/>
      <c r="FC32" s="612"/>
      <c r="FD32" s="612"/>
      <c r="FE32" s="612"/>
      <c r="FF32" s="612"/>
      <c r="FG32" s="613"/>
      <c r="FH32" s="287"/>
    </row>
    <row r="33" spans="1:164" ht="8.65" customHeight="1">
      <c r="A33" s="269"/>
      <c r="B33" s="578"/>
      <c r="C33" s="579"/>
      <c r="D33" s="579"/>
      <c r="E33" s="579"/>
      <c r="F33" s="579"/>
      <c r="G33" s="579"/>
      <c r="H33" s="579"/>
      <c r="I33" s="579"/>
      <c r="J33" s="579"/>
      <c r="K33" s="579"/>
      <c r="L33" s="579"/>
      <c r="M33" s="511" t="s">
        <v>6370</v>
      </c>
      <c r="N33" s="506"/>
      <c r="O33" s="506"/>
      <c r="P33" s="506"/>
      <c r="Q33" s="506"/>
      <c r="R33" s="506"/>
      <c r="S33" s="506"/>
      <c r="T33" s="506"/>
      <c r="U33" s="506"/>
      <c r="V33" s="506"/>
      <c r="W33" s="506"/>
      <c r="X33" s="506"/>
      <c r="Y33" s="506"/>
      <c r="Z33" s="506"/>
      <c r="AA33" s="506"/>
      <c r="AB33" s="512"/>
      <c r="AC33" s="515">
        <v>15</v>
      </c>
      <c r="AD33" s="516"/>
      <c r="AE33" s="516"/>
      <c r="AF33" s="516"/>
      <c r="AG33" s="517"/>
      <c r="AH33" s="521">
        <f t="shared" ref="AH33" si="16">AC33</f>
        <v>15</v>
      </c>
      <c r="AI33" s="516"/>
      <c r="AJ33" s="516"/>
      <c r="AK33" s="522"/>
      <c r="AL33" s="515">
        <v>5.2</v>
      </c>
      <c r="AM33" s="516"/>
      <c r="AN33" s="516"/>
      <c r="AO33" s="516"/>
      <c r="AP33" s="517"/>
      <c r="AQ33" s="521">
        <f t="shared" ref="AQ33" si="17">AL33</f>
        <v>5.2</v>
      </c>
      <c r="AR33" s="516"/>
      <c r="AS33" s="516"/>
      <c r="AT33" s="539"/>
      <c r="AU33" s="621" t="s">
        <v>6386</v>
      </c>
      <c r="AV33" s="622"/>
      <c r="AW33" s="622"/>
      <c r="AX33" s="622"/>
      <c r="AY33" s="622"/>
      <c r="AZ33" s="622"/>
      <c r="BA33" s="622"/>
      <c r="BB33" s="622"/>
      <c r="BC33" s="622"/>
      <c r="BD33" s="622"/>
      <c r="BE33" s="567">
        <v>6.5</v>
      </c>
      <c r="BF33" s="568"/>
      <c r="BG33" s="568"/>
      <c r="BH33" s="568"/>
      <c r="BI33" s="568"/>
      <c r="BJ33" s="568"/>
      <c r="BK33" s="568"/>
      <c r="BL33" s="568"/>
      <c r="BM33" s="568"/>
      <c r="BN33" s="568"/>
      <c r="BO33" s="568"/>
      <c r="BP33" s="568"/>
      <c r="BQ33" s="569"/>
      <c r="BR33" s="636">
        <v>12</v>
      </c>
      <c r="BS33" s="636"/>
      <c r="BT33" s="636"/>
      <c r="BU33" s="636"/>
      <c r="BV33" s="636"/>
      <c r="BW33" s="636"/>
      <c r="BX33" s="637"/>
      <c r="BY33" s="541"/>
      <c r="BZ33" s="542"/>
      <c r="CA33" s="542"/>
      <c r="CB33" s="542"/>
      <c r="CC33" s="542"/>
      <c r="CD33" s="542"/>
      <c r="CE33" s="542"/>
      <c r="CF33" s="542"/>
      <c r="CG33" s="542"/>
      <c r="CH33" s="584"/>
      <c r="CI33" s="584"/>
      <c r="CJ33" s="584"/>
      <c r="CK33" s="584"/>
      <c r="CL33" s="584"/>
      <c r="CM33" s="620"/>
      <c r="CN33" s="620"/>
      <c r="CO33" s="620"/>
      <c r="CP33" s="620"/>
      <c r="CQ33" s="620"/>
      <c r="CR33" s="620"/>
      <c r="CS33" s="620"/>
      <c r="CT33" s="620"/>
      <c r="CU33" s="620"/>
      <c r="CV33" s="620"/>
      <c r="CW33" s="620"/>
      <c r="CX33" s="620"/>
      <c r="CY33" s="620"/>
      <c r="CZ33" s="620"/>
      <c r="DA33" s="620"/>
      <c r="DB33" s="620"/>
      <c r="DC33" s="620"/>
      <c r="DD33" s="604"/>
      <c r="DE33" s="604"/>
      <c r="DF33" s="604"/>
      <c r="DG33" s="604"/>
      <c r="DH33" s="604"/>
      <c r="DI33" s="605"/>
      <c r="DJ33" s="598"/>
      <c r="DK33" s="599"/>
      <c r="DL33" s="599"/>
      <c r="DM33" s="599"/>
      <c r="DN33" s="599"/>
      <c r="DO33" s="599"/>
      <c r="DP33" s="599"/>
      <c r="DQ33" s="599"/>
      <c r="DR33" s="599"/>
      <c r="DS33" s="599"/>
      <c r="DT33" s="599"/>
      <c r="DU33" s="599"/>
      <c r="DV33" s="599"/>
      <c r="DW33" s="599"/>
      <c r="DX33" s="599"/>
      <c r="DY33" s="599"/>
      <c r="DZ33" s="600"/>
      <c r="EA33" s="582" t="s">
        <v>6382</v>
      </c>
      <c r="EB33" s="582"/>
      <c r="EC33" s="582"/>
      <c r="ED33" s="582"/>
      <c r="EE33" s="582"/>
      <c r="EF33" s="582"/>
      <c r="EG33" s="582"/>
      <c r="EH33" s="582"/>
      <c r="EI33" s="582"/>
      <c r="EJ33" s="582"/>
      <c r="EK33" s="582"/>
      <c r="EL33" s="582"/>
      <c r="EM33" s="582"/>
      <c r="EN33" s="582"/>
      <c r="EO33" s="582"/>
      <c r="EP33" s="582"/>
      <c r="EQ33" s="582"/>
      <c r="ER33" s="583">
        <v>1.59</v>
      </c>
      <c r="ES33" s="583"/>
      <c r="ET33" s="583"/>
      <c r="EU33" s="583"/>
      <c r="EV33" s="583"/>
      <c r="EW33" s="583"/>
      <c r="EX33" s="583"/>
      <c r="EY33" s="583"/>
      <c r="EZ33" s="612">
        <v>2450</v>
      </c>
      <c r="FA33" s="612"/>
      <c r="FB33" s="612"/>
      <c r="FC33" s="612"/>
      <c r="FD33" s="612"/>
      <c r="FE33" s="612"/>
      <c r="FF33" s="612"/>
      <c r="FG33" s="613"/>
      <c r="FH33" s="287"/>
    </row>
    <row r="34" spans="1:164" ht="8.65" customHeight="1">
      <c r="A34" s="269"/>
      <c r="B34" s="578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13"/>
      <c r="N34" s="510"/>
      <c r="O34" s="510"/>
      <c r="P34" s="510"/>
      <c r="Q34" s="510"/>
      <c r="R34" s="510"/>
      <c r="S34" s="510"/>
      <c r="T34" s="510"/>
      <c r="U34" s="510"/>
      <c r="V34" s="510"/>
      <c r="W34" s="510"/>
      <c r="X34" s="510"/>
      <c r="Y34" s="510"/>
      <c r="Z34" s="510"/>
      <c r="AA34" s="510"/>
      <c r="AB34" s="514"/>
      <c r="AC34" s="518"/>
      <c r="AD34" s="519"/>
      <c r="AE34" s="519"/>
      <c r="AF34" s="519"/>
      <c r="AG34" s="520"/>
      <c r="AH34" s="523"/>
      <c r="AI34" s="519"/>
      <c r="AJ34" s="519"/>
      <c r="AK34" s="524"/>
      <c r="AL34" s="518"/>
      <c r="AM34" s="519"/>
      <c r="AN34" s="519"/>
      <c r="AO34" s="519"/>
      <c r="AP34" s="520"/>
      <c r="AQ34" s="523"/>
      <c r="AR34" s="519"/>
      <c r="AS34" s="519"/>
      <c r="AT34" s="540"/>
      <c r="AU34" s="623"/>
      <c r="AV34" s="624"/>
      <c r="AW34" s="624"/>
      <c r="AX34" s="624"/>
      <c r="AY34" s="624"/>
      <c r="AZ34" s="624"/>
      <c r="BA34" s="624"/>
      <c r="BB34" s="624"/>
      <c r="BC34" s="624"/>
      <c r="BD34" s="624"/>
      <c r="BE34" s="567"/>
      <c r="BF34" s="568"/>
      <c r="BG34" s="568"/>
      <c r="BH34" s="568"/>
      <c r="BI34" s="568"/>
      <c r="BJ34" s="568"/>
      <c r="BK34" s="568"/>
      <c r="BL34" s="568"/>
      <c r="BM34" s="568"/>
      <c r="BN34" s="568"/>
      <c r="BO34" s="568"/>
      <c r="BP34" s="568"/>
      <c r="BQ34" s="569"/>
      <c r="BR34" s="638"/>
      <c r="BS34" s="638"/>
      <c r="BT34" s="638"/>
      <c r="BU34" s="638"/>
      <c r="BV34" s="638"/>
      <c r="BW34" s="638"/>
      <c r="BX34" s="639"/>
      <c r="BY34" s="541"/>
      <c r="BZ34" s="542"/>
      <c r="CA34" s="542"/>
      <c r="CB34" s="542"/>
      <c r="CC34" s="542"/>
      <c r="CD34" s="542"/>
      <c r="CE34" s="542"/>
      <c r="CF34" s="542"/>
      <c r="CG34" s="542"/>
      <c r="CH34" s="584"/>
      <c r="CI34" s="584"/>
      <c r="CJ34" s="584"/>
      <c r="CK34" s="584"/>
      <c r="CL34" s="584"/>
      <c r="CM34" s="620"/>
      <c r="CN34" s="620"/>
      <c r="CO34" s="620"/>
      <c r="CP34" s="620"/>
      <c r="CQ34" s="620"/>
      <c r="CR34" s="620"/>
      <c r="CS34" s="620"/>
      <c r="CT34" s="620"/>
      <c r="CU34" s="620"/>
      <c r="CV34" s="620"/>
      <c r="CW34" s="620"/>
      <c r="CX34" s="620"/>
      <c r="CY34" s="620"/>
      <c r="CZ34" s="620"/>
      <c r="DA34" s="620"/>
      <c r="DB34" s="620"/>
      <c r="DC34" s="620"/>
      <c r="DD34" s="604"/>
      <c r="DE34" s="604"/>
      <c r="DF34" s="604"/>
      <c r="DG34" s="604"/>
      <c r="DH34" s="604"/>
      <c r="DI34" s="605"/>
      <c r="DJ34" s="601"/>
      <c r="DK34" s="602"/>
      <c r="DL34" s="602"/>
      <c r="DM34" s="602"/>
      <c r="DN34" s="602"/>
      <c r="DO34" s="602"/>
      <c r="DP34" s="602"/>
      <c r="DQ34" s="602"/>
      <c r="DR34" s="602"/>
      <c r="DS34" s="602"/>
      <c r="DT34" s="602"/>
      <c r="DU34" s="602"/>
      <c r="DV34" s="602"/>
      <c r="DW34" s="602"/>
      <c r="DX34" s="602"/>
      <c r="DY34" s="602"/>
      <c r="DZ34" s="603"/>
      <c r="EA34" s="582"/>
      <c r="EB34" s="582"/>
      <c r="EC34" s="582"/>
      <c r="ED34" s="582"/>
      <c r="EE34" s="582"/>
      <c r="EF34" s="582"/>
      <c r="EG34" s="582"/>
      <c r="EH34" s="582"/>
      <c r="EI34" s="582"/>
      <c r="EJ34" s="582"/>
      <c r="EK34" s="582"/>
      <c r="EL34" s="582"/>
      <c r="EM34" s="582"/>
      <c r="EN34" s="582"/>
      <c r="EO34" s="582"/>
      <c r="EP34" s="582"/>
      <c r="EQ34" s="582"/>
      <c r="ER34" s="583"/>
      <c r="ES34" s="583"/>
      <c r="ET34" s="583"/>
      <c r="EU34" s="583"/>
      <c r="EV34" s="583"/>
      <c r="EW34" s="583"/>
      <c r="EX34" s="583"/>
      <c r="EY34" s="583"/>
      <c r="EZ34" s="612"/>
      <c r="FA34" s="612"/>
      <c r="FB34" s="612"/>
      <c r="FC34" s="612"/>
      <c r="FD34" s="612"/>
      <c r="FE34" s="612"/>
      <c r="FF34" s="612"/>
      <c r="FG34" s="613"/>
      <c r="FH34" s="287"/>
    </row>
    <row r="35" spans="1:164" ht="8.65" customHeight="1">
      <c r="A35" s="269"/>
      <c r="B35" s="578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11" t="s">
        <v>6371</v>
      </c>
      <c r="N35" s="506"/>
      <c r="O35" s="506"/>
      <c r="P35" s="506"/>
      <c r="Q35" s="506"/>
      <c r="R35" s="506"/>
      <c r="S35" s="506"/>
      <c r="T35" s="506"/>
      <c r="U35" s="506"/>
      <c r="V35" s="506"/>
      <c r="W35" s="506"/>
      <c r="X35" s="506"/>
      <c r="Y35" s="506"/>
      <c r="Z35" s="506"/>
      <c r="AA35" s="506"/>
      <c r="AB35" s="512"/>
      <c r="AC35" s="515">
        <v>15.2</v>
      </c>
      <c r="AD35" s="516"/>
      <c r="AE35" s="516"/>
      <c r="AF35" s="516"/>
      <c r="AG35" s="517"/>
      <c r="AH35" s="521">
        <f t="shared" ref="AH35" si="18">AC35</f>
        <v>15.2</v>
      </c>
      <c r="AI35" s="516"/>
      <c r="AJ35" s="516"/>
      <c r="AK35" s="522"/>
      <c r="AL35" s="515">
        <v>5.5</v>
      </c>
      <c r="AM35" s="516"/>
      <c r="AN35" s="516"/>
      <c r="AO35" s="516"/>
      <c r="AP35" s="517"/>
      <c r="AQ35" s="521">
        <f t="shared" ref="AQ35" si="19">AL35</f>
        <v>5.5</v>
      </c>
      <c r="AR35" s="516"/>
      <c r="AS35" s="516"/>
      <c r="AT35" s="539"/>
      <c r="AU35" s="623"/>
      <c r="AV35" s="624"/>
      <c r="AW35" s="624"/>
      <c r="AX35" s="624"/>
      <c r="AY35" s="624"/>
      <c r="AZ35" s="624"/>
      <c r="BA35" s="624"/>
      <c r="BB35" s="624"/>
      <c r="BC35" s="624"/>
      <c r="BD35" s="624"/>
      <c r="BE35" s="567"/>
      <c r="BF35" s="568"/>
      <c r="BG35" s="568"/>
      <c r="BH35" s="568"/>
      <c r="BI35" s="568"/>
      <c r="BJ35" s="568"/>
      <c r="BK35" s="568"/>
      <c r="BL35" s="568"/>
      <c r="BM35" s="568"/>
      <c r="BN35" s="568"/>
      <c r="BO35" s="568"/>
      <c r="BP35" s="568"/>
      <c r="BQ35" s="569"/>
      <c r="BR35" s="638"/>
      <c r="BS35" s="638"/>
      <c r="BT35" s="638"/>
      <c r="BU35" s="638"/>
      <c r="BV35" s="638"/>
      <c r="BW35" s="638"/>
      <c r="BX35" s="639"/>
      <c r="BY35" s="634" t="s">
        <v>6380</v>
      </c>
      <c r="BZ35" s="635"/>
      <c r="CA35" s="635"/>
      <c r="CB35" s="635"/>
      <c r="CC35" s="635"/>
      <c r="CD35" s="635"/>
      <c r="CE35" s="635"/>
      <c r="CF35" s="635"/>
      <c r="CG35" s="635"/>
      <c r="CH35" s="584">
        <v>0.16</v>
      </c>
      <c r="CI35" s="584"/>
      <c r="CJ35" s="584"/>
      <c r="CK35" s="584"/>
      <c r="CL35" s="584"/>
      <c r="CM35" s="627" t="s">
        <v>6387</v>
      </c>
      <c r="CN35" s="627"/>
      <c r="CO35" s="627"/>
      <c r="CP35" s="627"/>
      <c r="CQ35" s="627"/>
      <c r="CR35" s="627"/>
      <c r="CS35" s="627"/>
      <c r="CT35" s="627"/>
      <c r="CU35" s="627"/>
      <c r="CV35" s="627"/>
      <c r="CW35" s="627"/>
      <c r="CX35" s="627"/>
      <c r="CY35" s="627"/>
      <c r="CZ35" s="627"/>
      <c r="DA35" s="627"/>
      <c r="DB35" s="627"/>
      <c r="DC35" s="627"/>
      <c r="DD35" s="604">
        <v>0.16</v>
      </c>
      <c r="DE35" s="604"/>
      <c r="DF35" s="604"/>
      <c r="DG35" s="604"/>
      <c r="DH35" s="604"/>
      <c r="DI35" s="605"/>
      <c r="DJ35" s="586" t="s">
        <v>6389</v>
      </c>
      <c r="DK35" s="587"/>
      <c r="DL35" s="587"/>
      <c r="DM35" s="587"/>
      <c r="DN35" s="587"/>
      <c r="DO35" s="587"/>
      <c r="DP35" s="588"/>
      <c r="DQ35" s="656" t="s">
        <v>6390</v>
      </c>
      <c r="DR35" s="596"/>
      <c r="DS35" s="596"/>
      <c r="DT35" s="596"/>
      <c r="DU35" s="596"/>
      <c r="DV35" s="596"/>
      <c r="DW35" s="596"/>
      <c r="DX35" s="596"/>
      <c r="DY35" s="596"/>
      <c r="DZ35" s="597"/>
      <c r="EA35" s="582" t="s">
        <v>6372</v>
      </c>
      <c r="EB35" s="582"/>
      <c r="EC35" s="582"/>
      <c r="ED35" s="582"/>
      <c r="EE35" s="582"/>
      <c r="EF35" s="582"/>
      <c r="EG35" s="582"/>
      <c r="EH35" s="582"/>
      <c r="EI35" s="582"/>
      <c r="EJ35" s="582"/>
      <c r="EK35" s="582"/>
      <c r="EL35" s="582"/>
      <c r="EM35" s="582"/>
      <c r="EN35" s="582"/>
      <c r="EO35" s="582"/>
      <c r="EP35" s="582"/>
      <c r="EQ35" s="582"/>
      <c r="ER35" s="583">
        <v>2.37</v>
      </c>
      <c r="ES35" s="583"/>
      <c r="ET35" s="583"/>
      <c r="EU35" s="583"/>
      <c r="EV35" s="583"/>
      <c r="EW35" s="583"/>
      <c r="EX35" s="583"/>
      <c r="EY35" s="583"/>
      <c r="EZ35" s="612"/>
      <c r="FA35" s="612"/>
      <c r="FB35" s="612"/>
      <c r="FC35" s="612"/>
      <c r="FD35" s="612"/>
      <c r="FE35" s="612"/>
      <c r="FF35" s="612"/>
      <c r="FG35" s="613"/>
      <c r="FH35" s="287"/>
    </row>
    <row r="36" spans="1:164" ht="8.65" customHeight="1">
      <c r="A36" s="269"/>
      <c r="B36" s="578"/>
      <c r="C36" s="579"/>
      <c r="D36" s="579"/>
      <c r="E36" s="579"/>
      <c r="F36" s="579"/>
      <c r="G36" s="579"/>
      <c r="H36" s="579"/>
      <c r="I36" s="579"/>
      <c r="J36" s="579"/>
      <c r="K36" s="579"/>
      <c r="L36" s="579"/>
      <c r="M36" s="513"/>
      <c r="N36" s="510"/>
      <c r="O36" s="510"/>
      <c r="P36" s="510"/>
      <c r="Q36" s="510"/>
      <c r="R36" s="510"/>
      <c r="S36" s="510"/>
      <c r="T36" s="510"/>
      <c r="U36" s="510"/>
      <c r="V36" s="510"/>
      <c r="W36" s="510"/>
      <c r="X36" s="510"/>
      <c r="Y36" s="510"/>
      <c r="Z36" s="510"/>
      <c r="AA36" s="510"/>
      <c r="AB36" s="514"/>
      <c r="AC36" s="518"/>
      <c r="AD36" s="519"/>
      <c r="AE36" s="519"/>
      <c r="AF36" s="519"/>
      <c r="AG36" s="520"/>
      <c r="AH36" s="523"/>
      <c r="AI36" s="519"/>
      <c r="AJ36" s="519"/>
      <c r="AK36" s="524"/>
      <c r="AL36" s="518"/>
      <c r="AM36" s="519"/>
      <c r="AN36" s="519"/>
      <c r="AO36" s="519"/>
      <c r="AP36" s="520"/>
      <c r="AQ36" s="523"/>
      <c r="AR36" s="519"/>
      <c r="AS36" s="519"/>
      <c r="AT36" s="540"/>
      <c r="AU36" s="623"/>
      <c r="AV36" s="624"/>
      <c r="AW36" s="624"/>
      <c r="AX36" s="624"/>
      <c r="AY36" s="624"/>
      <c r="AZ36" s="624"/>
      <c r="BA36" s="624"/>
      <c r="BB36" s="624"/>
      <c r="BC36" s="624"/>
      <c r="BD36" s="624"/>
      <c r="BE36" s="567"/>
      <c r="BF36" s="568"/>
      <c r="BG36" s="568"/>
      <c r="BH36" s="568"/>
      <c r="BI36" s="568"/>
      <c r="BJ36" s="568"/>
      <c r="BK36" s="568"/>
      <c r="BL36" s="568"/>
      <c r="BM36" s="568"/>
      <c r="BN36" s="568"/>
      <c r="BO36" s="568"/>
      <c r="BP36" s="568"/>
      <c r="BQ36" s="569"/>
      <c r="BR36" s="638"/>
      <c r="BS36" s="638"/>
      <c r="BT36" s="638"/>
      <c r="BU36" s="638"/>
      <c r="BV36" s="638"/>
      <c r="BW36" s="638"/>
      <c r="BX36" s="639"/>
      <c r="BY36" s="634"/>
      <c r="BZ36" s="635"/>
      <c r="CA36" s="635"/>
      <c r="CB36" s="635"/>
      <c r="CC36" s="635"/>
      <c r="CD36" s="635"/>
      <c r="CE36" s="635"/>
      <c r="CF36" s="635"/>
      <c r="CG36" s="635"/>
      <c r="CH36" s="584"/>
      <c r="CI36" s="584"/>
      <c r="CJ36" s="584"/>
      <c r="CK36" s="584"/>
      <c r="CL36" s="584"/>
      <c r="CM36" s="627"/>
      <c r="CN36" s="627"/>
      <c r="CO36" s="627"/>
      <c r="CP36" s="627"/>
      <c r="CQ36" s="627"/>
      <c r="CR36" s="627"/>
      <c r="CS36" s="627"/>
      <c r="CT36" s="627"/>
      <c r="CU36" s="627"/>
      <c r="CV36" s="627"/>
      <c r="CW36" s="627"/>
      <c r="CX36" s="627"/>
      <c r="CY36" s="627"/>
      <c r="CZ36" s="627"/>
      <c r="DA36" s="627"/>
      <c r="DB36" s="627"/>
      <c r="DC36" s="627"/>
      <c r="DD36" s="604"/>
      <c r="DE36" s="604"/>
      <c r="DF36" s="604"/>
      <c r="DG36" s="604"/>
      <c r="DH36" s="604"/>
      <c r="DI36" s="605"/>
      <c r="DJ36" s="589"/>
      <c r="DK36" s="590"/>
      <c r="DL36" s="590"/>
      <c r="DM36" s="590"/>
      <c r="DN36" s="590"/>
      <c r="DO36" s="590"/>
      <c r="DP36" s="591"/>
      <c r="DQ36" s="657"/>
      <c r="DR36" s="599"/>
      <c r="DS36" s="599"/>
      <c r="DT36" s="599"/>
      <c r="DU36" s="599"/>
      <c r="DV36" s="599"/>
      <c r="DW36" s="599"/>
      <c r="DX36" s="599"/>
      <c r="DY36" s="599"/>
      <c r="DZ36" s="600"/>
      <c r="EA36" s="582"/>
      <c r="EB36" s="582"/>
      <c r="EC36" s="582"/>
      <c r="ED36" s="582"/>
      <c r="EE36" s="582"/>
      <c r="EF36" s="582"/>
      <c r="EG36" s="582"/>
      <c r="EH36" s="582"/>
      <c r="EI36" s="582"/>
      <c r="EJ36" s="582"/>
      <c r="EK36" s="582"/>
      <c r="EL36" s="582"/>
      <c r="EM36" s="582"/>
      <c r="EN36" s="582"/>
      <c r="EO36" s="582"/>
      <c r="EP36" s="582"/>
      <c r="EQ36" s="582"/>
      <c r="ER36" s="583"/>
      <c r="ES36" s="583"/>
      <c r="ET36" s="583"/>
      <c r="EU36" s="583"/>
      <c r="EV36" s="583"/>
      <c r="EW36" s="583"/>
      <c r="EX36" s="583"/>
      <c r="EY36" s="583"/>
      <c r="EZ36" s="612"/>
      <c r="FA36" s="612"/>
      <c r="FB36" s="612"/>
      <c r="FC36" s="612"/>
      <c r="FD36" s="612"/>
      <c r="FE36" s="612"/>
      <c r="FF36" s="612"/>
      <c r="FG36" s="613"/>
      <c r="FH36" s="287"/>
    </row>
    <row r="37" spans="1:164" ht="8.65" customHeight="1">
      <c r="A37" s="269"/>
      <c r="B37" s="578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11" t="s">
        <v>6375</v>
      </c>
      <c r="N37" s="506"/>
      <c r="O37" s="506"/>
      <c r="P37" s="506"/>
      <c r="Q37" s="506"/>
      <c r="R37" s="506"/>
      <c r="S37" s="506"/>
      <c r="T37" s="506"/>
      <c r="U37" s="506"/>
      <c r="V37" s="506"/>
      <c r="W37" s="506"/>
      <c r="X37" s="506"/>
      <c r="Y37" s="506"/>
      <c r="Z37" s="506"/>
      <c r="AA37" s="506"/>
      <c r="AB37" s="512"/>
      <c r="AC37" s="515">
        <v>16</v>
      </c>
      <c r="AD37" s="516"/>
      <c r="AE37" s="516"/>
      <c r="AF37" s="516"/>
      <c r="AG37" s="517"/>
      <c r="AH37" s="521">
        <f t="shared" ref="AH37" si="20">AC37</f>
        <v>16</v>
      </c>
      <c r="AI37" s="516"/>
      <c r="AJ37" s="516"/>
      <c r="AK37" s="522"/>
      <c r="AL37" s="515">
        <v>6.1</v>
      </c>
      <c r="AM37" s="516"/>
      <c r="AN37" s="516"/>
      <c r="AO37" s="516"/>
      <c r="AP37" s="517"/>
      <c r="AQ37" s="521">
        <f t="shared" ref="AQ37" si="21">AL37</f>
        <v>6.1</v>
      </c>
      <c r="AR37" s="516"/>
      <c r="AS37" s="516"/>
      <c r="AT37" s="539"/>
      <c r="AU37" s="623"/>
      <c r="AV37" s="624"/>
      <c r="AW37" s="624"/>
      <c r="AX37" s="624"/>
      <c r="AY37" s="624"/>
      <c r="AZ37" s="624"/>
      <c r="BA37" s="624"/>
      <c r="BB37" s="624"/>
      <c r="BC37" s="624"/>
      <c r="BD37" s="624"/>
      <c r="BE37" s="567"/>
      <c r="BF37" s="568"/>
      <c r="BG37" s="568"/>
      <c r="BH37" s="568"/>
      <c r="BI37" s="568"/>
      <c r="BJ37" s="568"/>
      <c r="BK37" s="568"/>
      <c r="BL37" s="568"/>
      <c r="BM37" s="568"/>
      <c r="BN37" s="568"/>
      <c r="BO37" s="568"/>
      <c r="BP37" s="568"/>
      <c r="BQ37" s="569"/>
      <c r="BR37" s="638"/>
      <c r="BS37" s="638"/>
      <c r="BT37" s="638"/>
      <c r="BU37" s="638"/>
      <c r="BV37" s="638"/>
      <c r="BW37" s="638"/>
      <c r="BX37" s="639"/>
      <c r="BY37" s="634"/>
      <c r="BZ37" s="635"/>
      <c r="CA37" s="635"/>
      <c r="CB37" s="635"/>
      <c r="CC37" s="635"/>
      <c r="CD37" s="635"/>
      <c r="CE37" s="635"/>
      <c r="CF37" s="635"/>
      <c r="CG37" s="635"/>
      <c r="CH37" s="584"/>
      <c r="CI37" s="584"/>
      <c r="CJ37" s="584"/>
      <c r="CK37" s="584"/>
      <c r="CL37" s="584"/>
      <c r="CM37" s="627"/>
      <c r="CN37" s="627"/>
      <c r="CO37" s="627"/>
      <c r="CP37" s="627"/>
      <c r="CQ37" s="627"/>
      <c r="CR37" s="627"/>
      <c r="CS37" s="627"/>
      <c r="CT37" s="627"/>
      <c r="CU37" s="627"/>
      <c r="CV37" s="627"/>
      <c r="CW37" s="627"/>
      <c r="CX37" s="627"/>
      <c r="CY37" s="627"/>
      <c r="CZ37" s="627"/>
      <c r="DA37" s="627"/>
      <c r="DB37" s="627"/>
      <c r="DC37" s="627"/>
      <c r="DD37" s="604"/>
      <c r="DE37" s="604"/>
      <c r="DF37" s="604"/>
      <c r="DG37" s="604"/>
      <c r="DH37" s="604"/>
      <c r="DI37" s="605"/>
      <c r="DJ37" s="589"/>
      <c r="DK37" s="590"/>
      <c r="DL37" s="590"/>
      <c r="DM37" s="590"/>
      <c r="DN37" s="590"/>
      <c r="DO37" s="590"/>
      <c r="DP37" s="591"/>
      <c r="DQ37" s="657"/>
      <c r="DR37" s="599"/>
      <c r="DS37" s="599"/>
      <c r="DT37" s="599"/>
      <c r="DU37" s="599"/>
      <c r="DV37" s="599"/>
      <c r="DW37" s="599"/>
      <c r="DX37" s="599"/>
      <c r="DY37" s="599"/>
      <c r="DZ37" s="600"/>
      <c r="EA37" s="582" t="s">
        <v>6377</v>
      </c>
      <c r="EB37" s="582"/>
      <c r="EC37" s="582"/>
      <c r="ED37" s="582"/>
      <c r="EE37" s="582"/>
      <c r="EF37" s="582"/>
      <c r="EG37" s="582"/>
      <c r="EH37" s="582"/>
      <c r="EI37" s="582"/>
      <c r="EJ37" s="582"/>
      <c r="EK37" s="582"/>
      <c r="EL37" s="582"/>
      <c r="EM37" s="582"/>
      <c r="EN37" s="582"/>
      <c r="EO37" s="582"/>
      <c r="EP37" s="582"/>
      <c r="EQ37" s="582"/>
      <c r="ER37" s="583">
        <v>2.6</v>
      </c>
      <c r="ES37" s="583"/>
      <c r="ET37" s="583"/>
      <c r="EU37" s="583"/>
      <c r="EV37" s="583"/>
      <c r="EW37" s="583"/>
      <c r="EX37" s="583"/>
      <c r="EY37" s="583"/>
      <c r="EZ37" s="612"/>
      <c r="FA37" s="612"/>
      <c r="FB37" s="612"/>
      <c r="FC37" s="612"/>
      <c r="FD37" s="612"/>
      <c r="FE37" s="612"/>
      <c r="FF37" s="612"/>
      <c r="FG37" s="613"/>
      <c r="FH37" s="287"/>
    </row>
    <row r="38" spans="1:164" ht="8.65" customHeight="1">
      <c r="A38" s="269"/>
      <c r="B38" s="580"/>
      <c r="C38" s="581"/>
      <c r="D38" s="581"/>
      <c r="E38" s="581"/>
      <c r="F38" s="581"/>
      <c r="G38" s="581"/>
      <c r="H38" s="581"/>
      <c r="I38" s="581"/>
      <c r="J38" s="581"/>
      <c r="K38" s="581"/>
      <c r="L38" s="581"/>
      <c r="M38" s="513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0"/>
      <c r="AA38" s="510"/>
      <c r="AB38" s="514"/>
      <c r="AC38" s="518"/>
      <c r="AD38" s="519"/>
      <c r="AE38" s="519"/>
      <c r="AF38" s="519"/>
      <c r="AG38" s="520"/>
      <c r="AH38" s="523"/>
      <c r="AI38" s="519"/>
      <c r="AJ38" s="519"/>
      <c r="AK38" s="524"/>
      <c r="AL38" s="518"/>
      <c r="AM38" s="519"/>
      <c r="AN38" s="519"/>
      <c r="AO38" s="519"/>
      <c r="AP38" s="520"/>
      <c r="AQ38" s="523"/>
      <c r="AR38" s="519"/>
      <c r="AS38" s="519"/>
      <c r="AT38" s="540"/>
      <c r="AU38" s="625"/>
      <c r="AV38" s="626"/>
      <c r="AW38" s="626"/>
      <c r="AX38" s="626"/>
      <c r="AY38" s="626"/>
      <c r="AZ38" s="626"/>
      <c r="BA38" s="626"/>
      <c r="BB38" s="626"/>
      <c r="BC38" s="626"/>
      <c r="BD38" s="626"/>
      <c r="BE38" s="567"/>
      <c r="BF38" s="568"/>
      <c r="BG38" s="568"/>
      <c r="BH38" s="568"/>
      <c r="BI38" s="568"/>
      <c r="BJ38" s="568"/>
      <c r="BK38" s="568"/>
      <c r="BL38" s="568"/>
      <c r="BM38" s="568"/>
      <c r="BN38" s="568"/>
      <c r="BO38" s="568"/>
      <c r="BP38" s="568"/>
      <c r="BQ38" s="569"/>
      <c r="BR38" s="638"/>
      <c r="BS38" s="638"/>
      <c r="BT38" s="638"/>
      <c r="BU38" s="638"/>
      <c r="BV38" s="638"/>
      <c r="BW38" s="638"/>
      <c r="BX38" s="639"/>
      <c r="BY38" s="634"/>
      <c r="BZ38" s="635"/>
      <c r="CA38" s="635"/>
      <c r="CB38" s="635"/>
      <c r="CC38" s="635"/>
      <c r="CD38" s="635"/>
      <c r="CE38" s="635"/>
      <c r="CF38" s="635"/>
      <c r="CG38" s="635"/>
      <c r="CH38" s="584"/>
      <c r="CI38" s="584"/>
      <c r="CJ38" s="584"/>
      <c r="CK38" s="584"/>
      <c r="CL38" s="584"/>
      <c r="CM38" s="627"/>
      <c r="CN38" s="627"/>
      <c r="CO38" s="627"/>
      <c r="CP38" s="627"/>
      <c r="CQ38" s="627"/>
      <c r="CR38" s="627"/>
      <c r="CS38" s="627"/>
      <c r="CT38" s="627"/>
      <c r="CU38" s="627"/>
      <c r="CV38" s="627"/>
      <c r="CW38" s="627"/>
      <c r="CX38" s="627"/>
      <c r="CY38" s="627"/>
      <c r="CZ38" s="627"/>
      <c r="DA38" s="627"/>
      <c r="DB38" s="627"/>
      <c r="DC38" s="627"/>
      <c r="DD38" s="604"/>
      <c r="DE38" s="604"/>
      <c r="DF38" s="604"/>
      <c r="DG38" s="604"/>
      <c r="DH38" s="604"/>
      <c r="DI38" s="605"/>
      <c r="DJ38" s="589"/>
      <c r="DK38" s="590"/>
      <c r="DL38" s="590"/>
      <c r="DM38" s="590"/>
      <c r="DN38" s="590"/>
      <c r="DO38" s="590"/>
      <c r="DP38" s="591"/>
      <c r="DQ38" s="657"/>
      <c r="DR38" s="599"/>
      <c r="DS38" s="599"/>
      <c r="DT38" s="599"/>
      <c r="DU38" s="599"/>
      <c r="DV38" s="599"/>
      <c r="DW38" s="599"/>
      <c r="DX38" s="599"/>
      <c r="DY38" s="599"/>
      <c r="DZ38" s="600"/>
      <c r="EA38" s="582"/>
      <c r="EB38" s="582"/>
      <c r="EC38" s="582"/>
      <c r="ED38" s="582"/>
      <c r="EE38" s="582"/>
      <c r="EF38" s="582"/>
      <c r="EG38" s="582"/>
      <c r="EH38" s="582"/>
      <c r="EI38" s="582"/>
      <c r="EJ38" s="582"/>
      <c r="EK38" s="582"/>
      <c r="EL38" s="582"/>
      <c r="EM38" s="582"/>
      <c r="EN38" s="582"/>
      <c r="EO38" s="582"/>
      <c r="EP38" s="582"/>
      <c r="EQ38" s="582"/>
      <c r="ER38" s="583"/>
      <c r="ES38" s="583"/>
      <c r="ET38" s="583"/>
      <c r="EU38" s="583"/>
      <c r="EV38" s="583"/>
      <c r="EW38" s="583"/>
      <c r="EX38" s="583"/>
      <c r="EY38" s="583"/>
      <c r="EZ38" s="612"/>
      <c r="FA38" s="612"/>
      <c r="FB38" s="612"/>
      <c r="FC38" s="612"/>
      <c r="FD38" s="612"/>
      <c r="FE38" s="612"/>
      <c r="FF38" s="612"/>
      <c r="FG38" s="613"/>
      <c r="FH38" s="287"/>
    </row>
    <row r="39" spans="1:164" ht="8.65" customHeight="1">
      <c r="A39" s="269"/>
      <c r="B39" s="576" t="s">
        <v>6392</v>
      </c>
      <c r="C39" s="577"/>
      <c r="D39" s="577"/>
      <c r="E39" s="577"/>
      <c r="F39" s="577"/>
      <c r="G39" s="577"/>
      <c r="H39" s="577"/>
      <c r="I39" s="577"/>
      <c r="J39" s="577"/>
      <c r="K39" s="577"/>
      <c r="L39" s="577"/>
      <c r="M39" s="511" t="s">
        <v>6363</v>
      </c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12"/>
      <c r="AC39" s="515">
        <v>14.3</v>
      </c>
      <c r="AD39" s="516"/>
      <c r="AE39" s="516"/>
      <c r="AF39" s="516"/>
      <c r="AG39" s="517"/>
      <c r="AH39" s="521">
        <f t="shared" ref="AH39" si="22">AC39</f>
        <v>14.3</v>
      </c>
      <c r="AI39" s="516"/>
      <c r="AJ39" s="516"/>
      <c r="AK39" s="522"/>
      <c r="AL39" s="515">
        <v>5.3</v>
      </c>
      <c r="AM39" s="516"/>
      <c r="AN39" s="516"/>
      <c r="AO39" s="516"/>
      <c r="AP39" s="517"/>
      <c r="AQ39" s="521">
        <f t="shared" ref="AQ39" si="23">AL39</f>
        <v>5.3</v>
      </c>
      <c r="AR39" s="516"/>
      <c r="AS39" s="516"/>
      <c r="AT39" s="539"/>
      <c r="AU39" s="621" t="s">
        <v>6388</v>
      </c>
      <c r="AV39" s="622"/>
      <c r="AW39" s="622"/>
      <c r="AX39" s="622"/>
      <c r="AY39" s="622"/>
      <c r="AZ39" s="622"/>
      <c r="BA39" s="622"/>
      <c r="BB39" s="622"/>
      <c r="BC39" s="622"/>
      <c r="BD39" s="622"/>
      <c r="BE39" s="567"/>
      <c r="BF39" s="568"/>
      <c r="BG39" s="568"/>
      <c r="BH39" s="568"/>
      <c r="BI39" s="568"/>
      <c r="BJ39" s="568"/>
      <c r="BK39" s="568">
        <v>4.5</v>
      </c>
      <c r="BL39" s="568"/>
      <c r="BM39" s="568"/>
      <c r="BN39" s="568"/>
      <c r="BO39" s="568"/>
      <c r="BP39" s="568"/>
      <c r="BQ39" s="569"/>
      <c r="BR39" s="638"/>
      <c r="BS39" s="638"/>
      <c r="BT39" s="638"/>
      <c r="BU39" s="638"/>
      <c r="BV39" s="638"/>
      <c r="BW39" s="638"/>
      <c r="BX39" s="639"/>
      <c r="BY39" s="634"/>
      <c r="BZ39" s="635"/>
      <c r="CA39" s="635"/>
      <c r="CB39" s="635"/>
      <c r="CC39" s="635"/>
      <c r="CD39" s="635"/>
      <c r="CE39" s="635"/>
      <c r="CF39" s="635"/>
      <c r="CG39" s="635"/>
      <c r="CH39" s="584"/>
      <c r="CI39" s="584"/>
      <c r="CJ39" s="584"/>
      <c r="CK39" s="584"/>
      <c r="CL39" s="584"/>
      <c r="CM39" s="627"/>
      <c r="CN39" s="627"/>
      <c r="CO39" s="627"/>
      <c r="CP39" s="627"/>
      <c r="CQ39" s="627"/>
      <c r="CR39" s="627"/>
      <c r="CS39" s="627"/>
      <c r="CT39" s="627"/>
      <c r="CU39" s="627"/>
      <c r="CV39" s="627"/>
      <c r="CW39" s="627"/>
      <c r="CX39" s="627"/>
      <c r="CY39" s="627"/>
      <c r="CZ39" s="627"/>
      <c r="DA39" s="627"/>
      <c r="DB39" s="627"/>
      <c r="DC39" s="627"/>
      <c r="DD39" s="604"/>
      <c r="DE39" s="604"/>
      <c r="DF39" s="604"/>
      <c r="DG39" s="604"/>
      <c r="DH39" s="604"/>
      <c r="DI39" s="605"/>
      <c r="DJ39" s="589"/>
      <c r="DK39" s="590"/>
      <c r="DL39" s="590"/>
      <c r="DM39" s="590"/>
      <c r="DN39" s="590"/>
      <c r="DO39" s="590"/>
      <c r="DP39" s="591"/>
      <c r="DQ39" s="657"/>
      <c r="DR39" s="599"/>
      <c r="DS39" s="599"/>
      <c r="DT39" s="599"/>
      <c r="DU39" s="599"/>
      <c r="DV39" s="599"/>
      <c r="DW39" s="599"/>
      <c r="DX39" s="599"/>
      <c r="DY39" s="599"/>
      <c r="DZ39" s="600"/>
      <c r="EA39" s="582" t="s">
        <v>6379</v>
      </c>
      <c r="EB39" s="582"/>
      <c r="EC39" s="582"/>
      <c r="ED39" s="582"/>
      <c r="EE39" s="582"/>
      <c r="EF39" s="582"/>
      <c r="EG39" s="582"/>
      <c r="EH39" s="582"/>
      <c r="EI39" s="582"/>
      <c r="EJ39" s="582"/>
      <c r="EK39" s="582"/>
      <c r="EL39" s="582"/>
      <c r="EM39" s="582"/>
      <c r="EN39" s="582"/>
      <c r="EO39" s="582"/>
      <c r="EP39" s="582"/>
      <c r="EQ39" s="582"/>
      <c r="ER39" s="583">
        <v>3.11</v>
      </c>
      <c r="ES39" s="583"/>
      <c r="ET39" s="583"/>
      <c r="EU39" s="583"/>
      <c r="EV39" s="583"/>
      <c r="EW39" s="583"/>
      <c r="EX39" s="583"/>
      <c r="EY39" s="583"/>
      <c r="EZ39" s="574"/>
      <c r="FA39" s="574"/>
      <c r="FB39" s="574"/>
      <c r="FC39" s="574"/>
      <c r="FD39" s="574"/>
      <c r="FE39" s="574"/>
      <c r="FF39" s="574"/>
      <c r="FG39" s="575"/>
      <c r="FH39" s="287"/>
    </row>
    <row r="40" spans="1:164" ht="8.65" customHeight="1">
      <c r="A40" s="269"/>
      <c r="B40" s="578"/>
      <c r="C40" s="579"/>
      <c r="D40" s="579"/>
      <c r="E40" s="579"/>
      <c r="F40" s="579"/>
      <c r="G40" s="579"/>
      <c r="H40" s="579"/>
      <c r="I40" s="579"/>
      <c r="J40" s="579"/>
      <c r="K40" s="579"/>
      <c r="L40" s="579"/>
      <c r="M40" s="513"/>
      <c r="N40" s="510"/>
      <c r="O40" s="510"/>
      <c r="P40" s="510"/>
      <c r="Q40" s="510"/>
      <c r="R40" s="510"/>
      <c r="S40" s="510"/>
      <c r="T40" s="510"/>
      <c r="U40" s="510"/>
      <c r="V40" s="510"/>
      <c r="W40" s="510"/>
      <c r="X40" s="510"/>
      <c r="Y40" s="510"/>
      <c r="Z40" s="510"/>
      <c r="AA40" s="510"/>
      <c r="AB40" s="514"/>
      <c r="AC40" s="518"/>
      <c r="AD40" s="519"/>
      <c r="AE40" s="519"/>
      <c r="AF40" s="519"/>
      <c r="AG40" s="520"/>
      <c r="AH40" s="523"/>
      <c r="AI40" s="519"/>
      <c r="AJ40" s="519"/>
      <c r="AK40" s="524"/>
      <c r="AL40" s="518"/>
      <c r="AM40" s="519"/>
      <c r="AN40" s="519"/>
      <c r="AO40" s="519"/>
      <c r="AP40" s="520"/>
      <c r="AQ40" s="523"/>
      <c r="AR40" s="519"/>
      <c r="AS40" s="519"/>
      <c r="AT40" s="540"/>
      <c r="AU40" s="623"/>
      <c r="AV40" s="624"/>
      <c r="AW40" s="624"/>
      <c r="AX40" s="624"/>
      <c r="AY40" s="624"/>
      <c r="AZ40" s="624"/>
      <c r="BA40" s="624"/>
      <c r="BB40" s="624"/>
      <c r="BC40" s="624"/>
      <c r="BD40" s="624"/>
      <c r="BE40" s="567"/>
      <c r="BF40" s="568"/>
      <c r="BG40" s="568"/>
      <c r="BH40" s="568"/>
      <c r="BI40" s="568"/>
      <c r="BJ40" s="568"/>
      <c r="BK40" s="568"/>
      <c r="BL40" s="568"/>
      <c r="BM40" s="568"/>
      <c r="BN40" s="568"/>
      <c r="BO40" s="568"/>
      <c r="BP40" s="568"/>
      <c r="BQ40" s="569"/>
      <c r="BR40" s="638"/>
      <c r="BS40" s="638"/>
      <c r="BT40" s="638"/>
      <c r="BU40" s="638"/>
      <c r="BV40" s="638"/>
      <c r="BW40" s="638"/>
      <c r="BX40" s="639"/>
      <c r="BY40" s="634"/>
      <c r="BZ40" s="635"/>
      <c r="CA40" s="635"/>
      <c r="CB40" s="635"/>
      <c r="CC40" s="635"/>
      <c r="CD40" s="635"/>
      <c r="CE40" s="635"/>
      <c r="CF40" s="635"/>
      <c r="CG40" s="635"/>
      <c r="CH40" s="584"/>
      <c r="CI40" s="584"/>
      <c r="CJ40" s="584"/>
      <c r="CK40" s="584"/>
      <c r="CL40" s="584"/>
      <c r="CM40" s="627"/>
      <c r="CN40" s="627"/>
      <c r="CO40" s="627"/>
      <c r="CP40" s="627"/>
      <c r="CQ40" s="627"/>
      <c r="CR40" s="627"/>
      <c r="CS40" s="627"/>
      <c r="CT40" s="627"/>
      <c r="CU40" s="627"/>
      <c r="CV40" s="627"/>
      <c r="CW40" s="627"/>
      <c r="CX40" s="627"/>
      <c r="CY40" s="627"/>
      <c r="CZ40" s="627"/>
      <c r="DA40" s="627"/>
      <c r="DB40" s="627"/>
      <c r="DC40" s="627"/>
      <c r="DD40" s="604"/>
      <c r="DE40" s="604"/>
      <c r="DF40" s="604"/>
      <c r="DG40" s="604"/>
      <c r="DH40" s="604"/>
      <c r="DI40" s="605"/>
      <c r="DJ40" s="589"/>
      <c r="DK40" s="590"/>
      <c r="DL40" s="590"/>
      <c r="DM40" s="590"/>
      <c r="DN40" s="590"/>
      <c r="DO40" s="590"/>
      <c r="DP40" s="591"/>
      <c r="DQ40" s="657"/>
      <c r="DR40" s="599"/>
      <c r="DS40" s="599"/>
      <c r="DT40" s="599"/>
      <c r="DU40" s="599"/>
      <c r="DV40" s="599"/>
      <c r="DW40" s="599"/>
      <c r="DX40" s="599"/>
      <c r="DY40" s="599"/>
      <c r="DZ40" s="600"/>
      <c r="EA40" s="582"/>
      <c r="EB40" s="582"/>
      <c r="EC40" s="582"/>
      <c r="ED40" s="582"/>
      <c r="EE40" s="582"/>
      <c r="EF40" s="582"/>
      <c r="EG40" s="582"/>
      <c r="EH40" s="582"/>
      <c r="EI40" s="582"/>
      <c r="EJ40" s="582"/>
      <c r="EK40" s="582"/>
      <c r="EL40" s="582"/>
      <c r="EM40" s="582"/>
      <c r="EN40" s="582"/>
      <c r="EO40" s="582"/>
      <c r="EP40" s="582"/>
      <c r="EQ40" s="582"/>
      <c r="ER40" s="583"/>
      <c r="ES40" s="583"/>
      <c r="ET40" s="583"/>
      <c r="EU40" s="583"/>
      <c r="EV40" s="583"/>
      <c r="EW40" s="583"/>
      <c r="EX40" s="583"/>
      <c r="EY40" s="583"/>
      <c r="EZ40" s="574"/>
      <c r="FA40" s="574"/>
      <c r="FB40" s="574"/>
      <c r="FC40" s="574"/>
      <c r="FD40" s="574"/>
      <c r="FE40" s="574"/>
      <c r="FF40" s="574"/>
      <c r="FG40" s="575"/>
      <c r="FH40" s="287"/>
    </row>
    <row r="41" spans="1:164" ht="8.65" customHeight="1">
      <c r="A41" s="269"/>
      <c r="B41" s="578"/>
      <c r="C41" s="579"/>
      <c r="D41" s="579"/>
      <c r="E41" s="579"/>
      <c r="F41" s="579"/>
      <c r="G41" s="579"/>
      <c r="H41" s="579"/>
      <c r="I41" s="579"/>
      <c r="J41" s="579"/>
      <c r="K41" s="579"/>
      <c r="L41" s="579"/>
      <c r="M41" s="511" t="s">
        <v>6370</v>
      </c>
      <c r="N41" s="506"/>
      <c r="O41" s="506"/>
      <c r="P41" s="506"/>
      <c r="Q41" s="506"/>
      <c r="R41" s="506"/>
      <c r="S41" s="506"/>
      <c r="T41" s="506"/>
      <c r="U41" s="506"/>
      <c r="V41" s="506"/>
      <c r="W41" s="506"/>
      <c r="X41" s="506"/>
      <c r="Y41" s="506"/>
      <c r="Z41" s="506"/>
      <c r="AA41" s="506"/>
      <c r="AB41" s="512"/>
      <c r="AC41" s="515">
        <v>14.5</v>
      </c>
      <c r="AD41" s="516"/>
      <c r="AE41" s="516"/>
      <c r="AF41" s="516"/>
      <c r="AG41" s="517"/>
      <c r="AH41" s="521">
        <f t="shared" ref="AH41" si="24">AC41</f>
        <v>14.5</v>
      </c>
      <c r="AI41" s="516"/>
      <c r="AJ41" s="516"/>
      <c r="AK41" s="522"/>
      <c r="AL41" s="515">
        <v>5.4</v>
      </c>
      <c r="AM41" s="516"/>
      <c r="AN41" s="516"/>
      <c r="AO41" s="516"/>
      <c r="AP41" s="517"/>
      <c r="AQ41" s="521">
        <f t="shared" ref="AQ41" si="25">AL41</f>
        <v>5.4</v>
      </c>
      <c r="AR41" s="516"/>
      <c r="AS41" s="516"/>
      <c r="AT41" s="539"/>
      <c r="AU41" s="623"/>
      <c r="AV41" s="624"/>
      <c r="AW41" s="624"/>
      <c r="AX41" s="624"/>
      <c r="AY41" s="624"/>
      <c r="AZ41" s="624"/>
      <c r="BA41" s="624"/>
      <c r="BB41" s="624"/>
      <c r="BC41" s="624"/>
      <c r="BD41" s="624"/>
      <c r="BE41" s="567"/>
      <c r="BF41" s="568"/>
      <c r="BG41" s="568"/>
      <c r="BH41" s="568"/>
      <c r="BI41" s="568"/>
      <c r="BJ41" s="568"/>
      <c r="BK41" s="568"/>
      <c r="BL41" s="568"/>
      <c r="BM41" s="568"/>
      <c r="BN41" s="568"/>
      <c r="BO41" s="568"/>
      <c r="BP41" s="568"/>
      <c r="BQ41" s="569"/>
      <c r="BR41" s="638"/>
      <c r="BS41" s="638"/>
      <c r="BT41" s="638"/>
      <c r="BU41" s="638"/>
      <c r="BV41" s="638"/>
      <c r="BW41" s="638"/>
      <c r="BX41" s="639"/>
      <c r="BY41" s="634"/>
      <c r="BZ41" s="635"/>
      <c r="CA41" s="635"/>
      <c r="CB41" s="635"/>
      <c r="CC41" s="635"/>
      <c r="CD41" s="635"/>
      <c r="CE41" s="635"/>
      <c r="CF41" s="635"/>
      <c r="CG41" s="635"/>
      <c r="CH41" s="584"/>
      <c r="CI41" s="584"/>
      <c r="CJ41" s="584"/>
      <c r="CK41" s="584"/>
      <c r="CL41" s="584"/>
      <c r="CM41" s="627"/>
      <c r="CN41" s="627"/>
      <c r="CO41" s="627"/>
      <c r="CP41" s="627"/>
      <c r="CQ41" s="627"/>
      <c r="CR41" s="627"/>
      <c r="CS41" s="627"/>
      <c r="CT41" s="627"/>
      <c r="CU41" s="627"/>
      <c r="CV41" s="627"/>
      <c r="CW41" s="627"/>
      <c r="CX41" s="627"/>
      <c r="CY41" s="627"/>
      <c r="CZ41" s="627"/>
      <c r="DA41" s="627"/>
      <c r="DB41" s="627"/>
      <c r="DC41" s="627"/>
      <c r="DD41" s="604"/>
      <c r="DE41" s="604"/>
      <c r="DF41" s="604"/>
      <c r="DG41" s="604"/>
      <c r="DH41" s="604"/>
      <c r="DI41" s="605"/>
      <c r="DJ41" s="589"/>
      <c r="DK41" s="590"/>
      <c r="DL41" s="590"/>
      <c r="DM41" s="590"/>
      <c r="DN41" s="590"/>
      <c r="DO41" s="590"/>
      <c r="DP41" s="591"/>
      <c r="DQ41" s="657"/>
      <c r="DR41" s="599"/>
      <c r="DS41" s="599"/>
      <c r="DT41" s="599"/>
      <c r="DU41" s="599"/>
      <c r="DV41" s="599"/>
      <c r="DW41" s="599"/>
      <c r="DX41" s="599"/>
      <c r="DY41" s="599"/>
      <c r="DZ41" s="600"/>
      <c r="EA41" s="582" t="s">
        <v>6382</v>
      </c>
      <c r="EB41" s="582"/>
      <c r="EC41" s="582"/>
      <c r="ED41" s="582"/>
      <c r="EE41" s="582"/>
      <c r="EF41" s="582"/>
      <c r="EG41" s="582"/>
      <c r="EH41" s="582"/>
      <c r="EI41" s="582"/>
      <c r="EJ41" s="582"/>
      <c r="EK41" s="582"/>
      <c r="EL41" s="582"/>
      <c r="EM41" s="582"/>
      <c r="EN41" s="582"/>
      <c r="EO41" s="582"/>
      <c r="EP41" s="582"/>
      <c r="EQ41" s="582"/>
      <c r="ER41" s="583">
        <v>1.64</v>
      </c>
      <c r="ES41" s="583"/>
      <c r="ET41" s="583"/>
      <c r="EU41" s="583"/>
      <c r="EV41" s="583"/>
      <c r="EW41" s="583"/>
      <c r="EX41" s="583"/>
      <c r="EY41" s="583"/>
      <c r="EZ41" s="574"/>
      <c r="FA41" s="574"/>
      <c r="FB41" s="574"/>
      <c r="FC41" s="574"/>
      <c r="FD41" s="574"/>
      <c r="FE41" s="574"/>
      <c r="FF41" s="574"/>
      <c r="FG41" s="575"/>
      <c r="FH41" s="287"/>
    </row>
    <row r="42" spans="1:164" ht="8.65" customHeight="1">
      <c r="A42" s="269"/>
      <c r="B42" s="578"/>
      <c r="C42" s="579"/>
      <c r="D42" s="579"/>
      <c r="E42" s="579"/>
      <c r="F42" s="579"/>
      <c r="G42" s="579"/>
      <c r="H42" s="579"/>
      <c r="I42" s="579"/>
      <c r="J42" s="579"/>
      <c r="K42" s="579"/>
      <c r="L42" s="579"/>
      <c r="M42" s="513"/>
      <c r="N42" s="510"/>
      <c r="O42" s="510"/>
      <c r="P42" s="510"/>
      <c r="Q42" s="510"/>
      <c r="R42" s="510"/>
      <c r="S42" s="510"/>
      <c r="T42" s="510"/>
      <c r="U42" s="510"/>
      <c r="V42" s="510"/>
      <c r="W42" s="510"/>
      <c r="X42" s="510"/>
      <c r="Y42" s="510"/>
      <c r="Z42" s="510"/>
      <c r="AA42" s="510"/>
      <c r="AB42" s="514"/>
      <c r="AC42" s="518"/>
      <c r="AD42" s="519"/>
      <c r="AE42" s="519"/>
      <c r="AF42" s="519"/>
      <c r="AG42" s="520"/>
      <c r="AH42" s="523"/>
      <c r="AI42" s="519"/>
      <c r="AJ42" s="519"/>
      <c r="AK42" s="524"/>
      <c r="AL42" s="518"/>
      <c r="AM42" s="519"/>
      <c r="AN42" s="519"/>
      <c r="AO42" s="519"/>
      <c r="AP42" s="520"/>
      <c r="AQ42" s="523"/>
      <c r="AR42" s="519"/>
      <c r="AS42" s="519"/>
      <c r="AT42" s="540"/>
      <c r="AU42" s="623"/>
      <c r="AV42" s="624"/>
      <c r="AW42" s="624"/>
      <c r="AX42" s="624"/>
      <c r="AY42" s="624"/>
      <c r="AZ42" s="624"/>
      <c r="BA42" s="624"/>
      <c r="BB42" s="624"/>
      <c r="BC42" s="624"/>
      <c r="BD42" s="624"/>
      <c r="BE42" s="567"/>
      <c r="BF42" s="568"/>
      <c r="BG42" s="568"/>
      <c r="BH42" s="568"/>
      <c r="BI42" s="568"/>
      <c r="BJ42" s="568"/>
      <c r="BK42" s="568"/>
      <c r="BL42" s="568"/>
      <c r="BM42" s="568"/>
      <c r="BN42" s="568"/>
      <c r="BO42" s="568"/>
      <c r="BP42" s="568"/>
      <c r="BQ42" s="569"/>
      <c r="BR42" s="638"/>
      <c r="BS42" s="638"/>
      <c r="BT42" s="638"/>
      <c r="BU42" s="638"/>
      <c r="BV42" s="638"/>
      <c r="BW42" s="638"/>
      <c r="BX42" s="639"/>
      <c r="BY42" s="634"/>
      <c r="BZ42" s="635"/>
      <c r="CA42" s="635"/>
      <c r="CB42" s="635"/>
      <c r="CC42" s="635"/>
      <c r="CD42" s="635"/>
      <c r="CE42" s="635"/>
      <c r="CF42" s="635"/>
      <c r="CG42" s="635"/>
      <c r="CH42" s="584"/>
      <c r="CI42" s="584"/>
      <c r="CJ42" s="584"/>
      <c r="CK42" s="584"/>
      <c r="CL42" s="584"/>
      <c r="CM42" s="542" t="s">
        <v>6391</v>
      </c>
      <c r="CN42" s="542"/>
      <c r="CO42" s="542"/>
      <c r="CP42" s="542"/>
      <c r="CQ42" s="542"/>
      <c r="CR42" s="542"/>
      <c r="CS42" s="542"/>
      <c r="CT42" s="542"/>
      <c r="CU42" s="542"/>
      <c r="CV42" s="542"/>
      <c r="CW42" s="542"/>
      <c r="CX42" s="542"/>
      <c r="CY42" s="542"/>
      <c r="CZ42" s="542"/>
      <c r="DA42" s="542"/>
      <c r="DB42" s="542"/>
      <c r="DC42" s="542"/>
      <c r="DD42" s="584">
        <v>0.1</v>
      </c>
      <c r="DE42" s="584"/>
      <c r="DF42" s="584"/>
      <c r="DG42" s="584"/>
      <c r="DH42" s="584"/>
      <c r="DI42" s="585"/>
      <c r="DJ42" s="589"/>
      <c r="DK42" s="590"/>
      <c r="DL42" s="590"/>
      <c r="DM42" s="590"/>
      <c r="DN42" s="590"/>
      <c r="DO42" s="590"/>
      <c r="DP42" s="591"/>
      <c r="DQ42" s="657"/>
      <c r="DR42" s="599"/>
      <c r="DS42" s="599"/>
      <c r="DT42" s="599"/>
      <c r="DU42" s="599"/>
      <c r="DV42" s="599"/>
      <c r="DW42" s="599"/>
      <c r="DX42" s="599"/>
      <c r="DY42" s="599"/>
      <c r="DZ42" s="600"/>
      <c r="EA42" s="582"/>
      <c r="EB42" s="582"/>
      <c r="EC42" s="582"/>
      <c r="ED42" s="582"/>
      <c r="EE42" s="582"/>
      <c r="EF42" s="582"/>
      <c r="EG42" s="582"/>
      <c r="EH42" s="582"/>
      <c r="EI42" s="582"/>
      <c r="EJ42" s="582"/>
      <c r="EK42" s="582"/>
      <c r="EL42" s="582"/>
      <c r="EM42" s="582"/>
      <c r="EN42" s="582"/>
      <c r="EO42" s="582"/>
      <c r="EP42" s="582"/>
      <c r="EQ42" s="582"/>
      <c r="ER42" s="583"/>
      <c r="ES42" s="583"/>
      <c r="ET42" s="583"/>
      <c r="EU42" s="583"/>
      <c r="EV42" s="583"/>
      <c r="EW42" s="583"/>
      <c r="EX42" s="583"/>
      <c r="EY42" s="583"/>
      <c r="EZ42" s="574"/>
      <c r="FA42" s="574"/>
      <c r="FB42" s="574"/>
      <c r="FC42" s="574"/>
      <c r="FD42" s="574"/>
      <c r="FE42" s="574"/>
      <c r="FF42" s="574"/>
      <c r="FG42" s="575"/>
      <c r="FH42" s="287"/>
    </row>
    <row r="43" spans="1:164" ht="8.65" customHeight="1">
      <c r="A43" s="269"/>
      <c r="B43" s="578"/>
      <c r="C43" s="579"/>
      <c r="D43" s="579"/>
      <c r="E43" s="579"/>
      <c r="F43" s="579"/>
      <c r="G43" s="579"/>
      <c r="H43" s="579"/>
      <c r="I43" s="579"/>
      <c r="J43" s="579"/>
      <c r="K43" s="579"/>
      <c r="L43" s="579"/>
      <c r="M43" s="511" t="s">
        <v>6371</v>
      </c>
      <c r="N43" s="506"/>
      <c r="O43" s="506"/>
      <c r="P43" s="506"/>
      <c r="Q43" s="506"/>
      <c r="R43" s="506"/>
      <c r="S43" s="506"/>
      <c r="T43" s="506"/>
      <c r="U43" s="506"/>
      <c r="V43" s="506"/>
      <c r="W43" s="506"/>
      <c r="X43" s="506"/>
      <c r="Y43" s="506"/>
      <c r="Z43" s="506"/>
      <c r="AA43" s="506"/>
      <c r="AB43" s="512"/>
      <c r="AC43" s="515">
        <v>14.7</v>
      </c>
      <c r="AD43" s="516"/>
      <c r="AE43" s="516"/>
      <c r="AF43" s="516"/>
      <c r="AG43" s="517"/>
      <c r="AH43" s="521">
        <f t="shared" ref="AH43" si="26">AC43</f>
        <v>14.7</v>
      </c>
      <c r="AI43" s="516"/>
      <c r="AJ43" s="516"/>
      <c r="AK43" s="522"/>
      <c r="AL43" s="515">
        <v>5.7</v>
      </c>
      <c r="AM43" s="516"/>
      <c r="AN43" s="516"/>
      <c r="AO43" s="516"/>
      <c r="AP43" s="517"/>
      <c r="AQ43" s="521">
        <f t="shared" ref="AQ43" si="27">AL43</f>
        <v>5.7</v>
      </c>
      <c r="AR43" s="516"/>
      <c r="AS43" s="516"/>
      <c r="AT43" s="539"/>
      <c r="AU43" s="623"/>
      <c r="AV43" s="624"/>
      <c r="AW43" s="624"/>
      <c r="AX43" s="624"/>
      <c r="AY43" s="624"/>
      <c r="AZ43" s="624"/>
      <c r="BA43" s="624"/>
      <c r="BB43" s="624"/>
      <c r="BC43" s="624"/>
      <c r="BD43" s="624"/>
      <c r="BE43" s="567"/>
      <c r="BF43" s="568"/>
      <c r="BG43" s="568"/>
      <c r="BH43" s="568"/>
      <c r="BI43" s="568"/>
      <c r="BJ43" s="568"/>
      <c r="BK43" s="568"/>
      <c r="BL43" s="568"/>
      <c r="BM43" s="568"/>
      <c r="BN43" s="568"/>
      <c r="BO43" s="568"/>
      <c r="BP43" s="568"/>
      <c r="BQ43" s="569"/>
      <c r="BR43" s="638"/>
      <c r="BS43" s="638"/>
      <c r="BT43" s="638"/>
      <c r="BU43" s="638"/>
      <c r="BV43" s="638"/>
      <c r="BW43" s="638"/>
      <c r="BX43" s="639"/>
      <c r="BY43" s="634"/>
      <c r="BZ43" s="635"/>
      <c r="CA43" s="635"/>
      <c r="CB43" s="635"/>
      <c r="CC43" s="635"/>
      <c r="CD43" s="635"/>
      <c r="CE43" s="635"/>
      <c r="CF43" s="635"/>
      <c r="CG43" s="635"/>
      <c r="CH43" s="584"/>
      <c r="CI43" s="584"/>
      <c r="CJ43" s="584"/>
      <c r="CK43" s="584"/>
      <c r="CL43" s="584"/>
      <c r="CM43" s="542"/>
      <c r="CN43" s="542"/>
      <c r="CO43" s="542"/>
      <c r="CP43" s="542"/>
      <c r="CQ43" s="542"/>
      <c r="CR43" s="542"/>
      <c r="CS43" s="542"/>
      <c r="CT43" s="542"/>
      <c r="CU43" s="542"/>
      <c r="CV43" s="542"/>
      <c r="CW43" s="542"/>
      <c r="CX43" s="542"/>
      <c r="CY43" s="542"/>
      <c r="CZ43" s="542"/>
      <c r="DA43" s="542"/>
      <c r="DB43" s="542"/>
      <c r="DC43" s="542"/>
      <c r="DD43" s="584"/>
      <c r="DE43" s="584"/>
      <c r="DF43" s="584"/>
      <c r="DG43" s="584"/>
      <c r="DH43" s="584"/>
      <c r="DI43" s="585"/>
      <c r="DJ43" s="589"/>
      <c r="DK43" s="590"/>
      <c r="DL43" s="590"/>
      <c r="DM43" s="590"/>
      <c r="DN43" s="590"/>
      <c r="DO43" s="590"/>
      <c r="DP43" s="591"/>
      <c r="DQ43" s="628" t="s">
        <v>6396</v>
      </c>
      <c r="DR43" s="577"/>
      <c r="DS43" s="577"/>
      <c r="DT43" s="577"/>
      <c r="DU43" s="577"/>
      <c r="DV43" s="577"/>
      <c r="DW43" s="577"/>
      <c r="DX43" s="577"/>
      <c r="DY43" s="577"/>
      <c r="DZ43" s="629"/>
      <c r="EA43" s="582" t="s">
        <v>6372</v>
      </c>
      <c r="EB43" s="582"/>
      <c r="EC43" s="582"/>
      <c r="ED43" s="582"/>
      <c r="EE43" s="582"/>
      <c r="EF43" s="582"/>
      <c r="EG43" s="582"/>
      <c r="EH43" s="582"/>
      <c r="EI43" s="582"/>
      <c r="EJ43" s="582"/>
      <c r="EK43" s="582"/>
      <c r="EL43" s="582"/>
      <c r="EM43" s="582"/>
      <c r="EN43" s="582"/>
      <c r="EO43" s="582"/>
      <c r="EP43" s="582"/>
      <c r="EQ43" s="582"/>
      <c r="ER43" s="583">
        <v>2.64</v>
      </c>
      <c r="ES43" s="583"/>
      <c r="ET43" s="583"/>
      <c r="EU43" s="583"/>
      <c r="EV43" s="583"/>
      <c r="EW43" s="583"/>
      <c r="EX43" s="583"/>
      <c r="EY43" s="583"/>
      <c r="EZ43" s="574"/>
      <c r="FA43" s="574"/>
      <c r="FB43" s="574"/>
      <c r="FC43" s="574"/>
      <c r="FD43" s="574"/>
      <c r="FE43" s="574"/>
      <c r="FF43" s="574"/>
      <c r="FG43" s="575"/>
      <c r="FH43" s="287"/>
    </row>
    <row r="44" spans="1:164" ht="8.65" customHeight="1">
      <c r="A44" s="269"/>
      <c r="B44" s="578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13"/>
      <c r="N44" s="510"/>
      <c r="O44" s="51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0"/>
      <c r="AA44" s="510"/>
      <c r="AB44" s="514"/>
      <c r="AC44" s="518"/>
      <c r="AD44" s="519"/>
      <c r="AE44" s="519"/>
      <c r="AF44" s="519"/>
      <c r="AG44" s="520"/>
      <c r="AH44" s="523"/>
      <c r="AI44" s="519"/>
      <c r="AJ44" s="519"/>
      <c r="AK44" s="524"/>
      <c r="AL44" s="518"/>
      <c r="AM44" s="519"/>
      <c r="AN44" s="519"/>
      <c r="AO44" s="519"/>
      <c r="AP44" s="520"/>
      <c r="AQ44" s="523"/>
      <c r="AR44" s="519"/>
      <c r="AS44" s="519"/>
      <c r="AT44" s="540"/>
      <c r="AU44" s="625"/>
      <c r="AV44" s="626"/>
      <c r="AW44" s="626"/>
      <c r="AX44" s="626"/>
      <c r="AY44" s="626"/>
      <c r="AZ44" s="626"/>
      <c r="BA44" s="626"/>
      <c r="BB44" s="626"/>
      <c r="BC44" s="626"/>
      <c r="BD44" s="626"/>
      <c r="BE44" s="567"/>
      <c r="BF44" s="568"/>
      <c r="BG44" s="568"/>
      <c r="BH44" s="568"/>
      <c r="BI44" s="568"/>
      <c r="BJ44" s="568"/>
      <c r="BK44" s="568"/>
      <c r="BL44" s="568"/>
      <c r="BM44" s="568"/>
      <c r="BN44" s="568"/>
      <c r="BO44" s="568"/>
      <c r="BP44" s="568"/>
      <c r="BQ44" s="569"/>
      <c r="BR44" s="640"/>
      <c r="BS44" s="640"/>
      <c r="BT44" s="640"/>
      <c r="BU44" s="640"/>
      <c r="BV44" s="640"/>
      <c r="BW44" s="640"/>
      <c r="BX44" s="641"/>
      <c r="BY44" s="634"/>
      <c r="BZ44" s="635"/>
      <c r="CA44" s="635"/>
      <c r="CB44" s="635"/>
      <c r="CC44" s="635"/>
      <c r="CD44" s="635"/>
      <c r="CE44" s="635"/>
      <c r="CF44" s="635"/>
      <c r="CG44" s="635"/>
      <c r="CH44" s="584"/>
      <c r="CI44" s="584"/>
      <c r="CJ44" s="584"/>
      <c r="CK44" s="584"/>
      <c r="CL44" s="584"/>
      <c r="CM44" s="542"/>
      <c r="CN44" s="542"/>
      <c r="CO44" s="542"/>
      <c r="CP44" s="542"/>
      <c r="CQ44" s="542"/>
      <c r="CR44" s="542"/>
      <c r="CS44" s="542"/>
      <c r="CT44" s="542"/>
      <c r="CU44" s="542"/>
      <c r="CV44" s="542"/>
      <c r="CW44" s="542"/>
      <c r="CX44" s="542"/>
      <c r="CY44" s="542"/>
      <c r="CZ44" s="542"/>
      <c r="DA44" s="542"/>
      <c r="DB44" s="542"/>
      <c r="DC44" s="542"/>
      <c r="DD44" s="584"/>
      <c r="DE44" s="584"/>
      <c r="DF44" s="584"/>
      <c r="DG44" s="584"/>
      <c r="DH44" s="584"/>
      <c r="DI44" s="585"/>
      <c r="DJ44" s="589"/>
      <c r="DK44" s="590"/>
      <c r="DL44" s="590"/>
      <c r="DM44" s="590"/>
      <c r="DN44" s="590"/>
      <c r="DO44" s="590"/>
      <c r="DP44" s="591"/>
      <c r="DQ44" s="630"/>
      <c r="DR44" s="579"/>
      <c r="DS44" s="579"/>
      <c r="DT44" s="579"/>
      <c r="DU44" s="579"/>
      <c r="DV44" s="579"/>
      <c r="DW44" s="579"/>
      <c r="DX44" s="579"/>
      <c r="DY44" s="579"/>
      <c r="DZ44" s="631"/>
      <c r="EA44" s="582"/>
      <c r="EB44" s="582"/>
      <c r="EC44" s="582"/>
      <c r="ED44" s="582"/>
      <c r="EE44" s="582"/>
      <c r="EF44" s="582"/>
      <c r="EG44" s="582"/>
      <c r="EH44" s="582"/>
      <c r="EI44" s="582"/>
      <c r="EJ44" s="582"/>
      <c r="EK44" s="582"/>
      <c r="EL44" s="582"/>
      <c r="EM44" s="582"/>
      <c r="EN44" s="582"/>
      <c r="EO44" s="582"/>
      <c r="EP44" s="582"/>
      <c r="EQ44" s="582"/>
      <c r="ER44" s="583"/>
      <c r="ES44" s="583"/>
      <c r="ET44" s="583"/>
      <c r="EU44" s="583"/>
      <c r="EV44" s="583"/>
      <c r="EW44" s="583"/>
      <c r="EX44" s="583"/>
      <c r="EY44" s="583"/>
      <c r="EZ44" s="574"/>
      <c r="FA44" s="574"/>
      <c r="FB44" s="574"/>
      <c r="FC44" s="574"/>
      <c r="FD44" s="574"/>
      <c r="FE44" s="574"/>
      <c r="FF44" s="574"/>
      <c r="FG44" s="575"/>
      <c r="FH44" s="287"/>
    </row>
    <row r="45" spans="1:164" ht="8.65" customHeight="1">
      <c r="A45" s="269"/>
      <c r="B45" s="578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11" t="s">
        <v>6375</v>
      </c>
      <c r="N45" s="506"/>
      <c r="O45" s="506"/>
      <c r="P45" s="506"/>
      <c r="Q45" s="506"/>
      <c r="R45" s="506"/>
      <c r="S45" s="506"/>
      <c r="T45" s="506"/>
      <c r="U45" s="506"/>
      <c r="V45" s="506"/>
      <c r="W45" s="506"/>
      <c r="X45" s="506"/>
      <c r="Y45" s="506"/>
      <c r="Z45" s="506"/>
      <c r="AA45" s="506"/>
      <c r="AB45" s="512"/>
      <c r="AC45" s="515">
        <v>15.6</v>
      </c>
      <c r="AD45" s="516"/>
      <c r="AE45" s="516"/>
      <c r="AF45" s="516"/>
      <c r="AG45" s="517"/>
      <c r="AH45" s="521">
        <f t="shared" ref="AH45" si="28">AC45</f>
        <v>15.6</v>
      </c>
      <c r="AI45" s="516"/>
      <c r="AJ45" s="516"/>
      <c r="AK45" s="522"/>
      <c r="AL45" s="515">
        <v>6.2</v>
      </c>
      <c r="AM45" s="516"/>
      <c r="AN45" s="516"/>
      <c r="AO45" s="516"/>
      <c r="AP45" s="517"/>
      <c r="AQ45" s="521">
        <f t="shared" ref="AQ45" si="29">AL45</f>
        <v>6.2</v>
      </c>
      <c r="AR45" s="516"/>
      <c r="AS45" s="516"/>
      <c r="AT45" s="539"/>
      <c r="AU45" s="576" t="s">
        <v>6392</v>
      </c>
      <c r="AV45" s="577"/>
      <c r="AW45" s="577"/>
      <c r="AX45" s="577"/>
      <c r="AY45" s="577"/>
      <c r="AZ45" s="577"/>
      <c r="BA45" s="577"/>
      <c r="BB45" s="577"/>
      <c r="BC45" s="577"/>
      <c r="BD45" s="577"/>
      <c r="BE45" s="567">
        <v>5</v>
      </c>
      <c r="BF45" s="568"/>
      <c r="BG45" s="568"/>
      <c r="BH45" s="568"/>
      <c r="BI45" s="568"/>
      <c r="BJ45" s="568"/>
      <c r="BK45" s="568"/>
      <c r="BL45" s="568"/>
      <c r="BM45" s="568"/>
      <c r="BN45" s="568"/>
      <c r="BO45" s="568"/>
      <c r="BP45" s="568"/>
      <c r="BQ45" s="569"/>
      <c r="BR45" s="570">
        <v>10</v>
      </c>
      <c r="BS45" s="570"/>
      <c r="BT45" s="570"/>
      <c r="BU45" s="570"/>
      <c r="BV45" s="570"/>
      <c r="BW45" s="570"/>
      <c r="BX45" s="571"/>
      <c r="BY45" s="634"/>
      <c r="BZ45" s="635"/>
      <c r="CA45" s="635"/>
      <c r="CB45" s="635"/>
      <c r="CC45" s="635"/>
      <c r="CD45" s="635"/>
      <c r="CE45" s="635"/>
      <c r="CF45" s="635"/>
      <c r="CG45" s="635"/>
      <c r="CH45" s="584"/>
      <c r="CI45" s="584"/>
      <c r="CJ45" s="584"/>
      <c r="CK45" s="584"/>
      <c r="CL45" s="584"/>
      <c r="CM45" s="542"/>
      <c r="CN45" s="542"/>
      <c r="CO45" s="542"/>
      <c r="CP45" s="542"/>
      <c r="CQ45" s="542"/>
      <c r="CR45" s="542"/>
      <c r="CS45" s="542"/>
      <c r="CT45" s="542"/>
      <c r="CU45" s="542"/>
      <c r="CV45" s="542"/>
      <c r="CW45" s="542"/>
      <c r="CX45" s="542"/>
      <c r="CY45" s="542"/>
      <c r="CZ45" s="542"/>
      <c r="DA45" s="542"/>
      <c r="DB45" s="542"/>
      <c r="DC45" s="542"/>
      <c r="DD45" s="584"/>
      <c r="DE45" s="584"/>
      <c r="DF45" s="584"/>
      <c r="DG45" s="584"/>
      <c r="DH45" s="584"/>
      <c r="DI45" s="585"/>
      <c r="DJ45" s="589"/>
      <c r="DK45" s="590"/>
      <c r="DL45" s="590"/>
      <c r="DM45" s="590"/>
      <c r="DN45" s="590"/>
      <c r="DO45" s="590"/>
      <c r="DP45" s="591"/>
      <c r="DQ45" s="630"/>
      <c r="DR45" s="579"/>
      <c r="DS45" s="579"/>
      <c r="DT45" s="579"/>
      <c r="DU45" s="579"/>
      <c r="DV45" s="579"/>
      <c r="DW45" s="579"/>
      <c r="DX45" s="579"/>
      <c r="DY45" s="579"/>
      <c r="DZ45" s="631"/>
      <c r="EA45" s="582" t="s">
        <v>6377</v>
      </c>
      <c r="EB45" s="582"/>
      <c r="EC45" s="582"/>
      <c r="ED45" s="582"/>
      <c r="EE45" s="582"/>
      <c r="EF45" s="582"/>
      <c r="EG45" s="582"/>
      <c r="EH45" s="582"/>
      <c r="EI45" s="582"/>
      <c r="EJ45" s="582"/>
      <c r="EK45" s="582"/>
      <c r="EL45" s="582"/>
      <c r="EM45" s="582"/>
      <c r="EN45" s="582"/>
      <c r="EO45" s="582"/>
      <c r="EP45" s="582"/>
      <c r="EQ45" s="582"/>
      <c r="ER45" s="606">
        <v>2.73</v>
      </c>
      <c r="ES45" s="607"/>
      <c r="ET45" s="607"/>
      <c r="EU45" s="607"/>
      <c r="EV45" s="607"/>
      <c r="EW45" s="607"/>
      <c r="EX45" s="607"/>
      <c r="EY45" s="608"/>
      <c r="EZ45" s="574"/>
      <c r="FA45" s="574"/>
      <c r="FB45" s="574"/>
      <c r="FC45" s="574"/>
      <c r="FD45" s="574"/>
      <c r="FE45" s="574"/>
      <c r="FF45" s="574"/>
      <c r="FG45" s="575"/>
      <c r="FH45" s="287"/>
    </row>
    <row r="46" spans="1:164" ht="8.65" customHeight="1">
      <c r="A46" s="269"/>
      <c r="B46" s="580"/>
      <c r="C46" s="581"/>
      <c r="D46" s="581"/>
      <c r="E46" s="581"/>
      <c r="F46" s="581"/>
      <c r="G46" s="581"/>
      <c r="H46" s="581"/>
      <c r="I46" s="581"/>
      <c r="J46" s="581"/>
      <c r="K46" s="581"/>
      <c r="L46" s="581"/>
      <c r="M46" s="513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  <c r="Y46" s="510"/>
      <c r="Z46" s="510"/>
      <c r="AA46" s="510"/>
      <c r="AB46" s="514"/>
      <c r="AC46" s="518"/>
      <c r="AD46" s="519"/>
      <c r="AE46" s="519"/>
      <c r="AF46" s="519"/>
      <c r="AG46" s="520"/>
      <c r="AH46" s="523"/>
      <c r="AI46" s="519"/>
      <c r="AJ46" s="519"/>
      <c r="AK46" s="524"/>
      <c r="AL46" s="518"/>
      <c r="AM46" s="519"/>
      <c r="AN46" s="519"/>
      <c r="AO46" s="519"/>
      <c r="AP46" s="520"/>
      <c r="AQ46" s="523"/>
      <c r="AR46" s="519"/>
      <c r="AS46" s="519"/>
      <c r="AT46" s="540"/>
      <c r="AU46" s="578"/>
      <c r="AV46" s="579"/>
      <c r="AW46" s="579"/>
      <c r="AX46" s="579"/>
      <c r="AY46" s="579"/>
      <c r="AZ46" s="579"/>
      <c r="BA46" s="579"/>
      <c r="BB46" s="579"/>
      <c r="BC46" s="579"/>
      <c r="BD46" s="579"/>
      <c r="BE46" s="567"/>
      <c r="BF46" s="568"/>
      <c r="BG46" s="568"/>
      <c r="BH46" s="568"/>
      <c r="BI46" s="568"/>
      <c r="BJ46" s="568"/>
      <c r="BK46" s="568"/>
      <c r="BL46" s="568"/>
      <c r="BM46" s="568"/>
      <c r="BN46" s="568"/>
      <c r="BO46" s="568"/>
      <c r="BP46" s="568"/>
      <c r="BQ46" s="569"/>
      <c r="BR46" s="572"/>
      <c r="BS46" s="572"/>
      <c r="BT46" s="572"/>
      <c r="BU46" s="572"/>
      <c r="BV46" s="572"/>
      <c r="BW46" s="572"/>
      <c r="BX46" s="573"/>
      <c r="BY46" s="634"/>
      <c r="BZ46" s="635"/>
      <c r="CA46" s="635"/>
      <c r="CB46" s="635"/>
      <c r="CC46" s="635"/>
      <c r="CD46" s="635"/>
      <c r="CE46" s="635"/>
      <c r="CF46" s="635"/>
      <c r="CG46" s="635"/>
      <c r="CH46" s="584"/>
      <c r="CI46" s="584"/>
      <c r="CJ46" s="584"/>
      <c r="CK46" s="584"/>
      <c r="CL46" s="584"/>
      <c r="CM46" s="542"/>
      <c r="CN46" s="542"/>
      <c r="CO46" s="542"/>
      <c r="CP46" s="542"/>
      <c r="CQ46" s="542"/>
      <c r="CR46" s="542"/>
      <c r="CS46" s="542"/>
      <c r="CT46" s="542"/>
      <c r="CU46" s="542"/>
      <c r="CV46" s="542"/>
      <c r="CW46" s="542"/>
      <c r="CX46" s="542"/>
      <c r="CY46" s="542"/>
      <c r="CZ46" s="542"/>
      <c r="DA46" s="542"/>
      <c r="DB46" s="542"/>
      <c r="DC46" s="542"/>
      <c r="DD46" s="584"/>
      <c r="DE46" s="584"/>
      <c r="DF46" s="584"/>
      <c r="DG46" s="584"/>
      <c r="DH46" s="584"/>
      <c r="DI46" s="585"/>
      <c r="DJ46" s="589"/>
      <c r="DK46" s="590"/>
      <c r="DL46" s="590"/>
      <c r="DM46" s="590"/>
      <c r="DN46" s="590"/>
      <c r="DO46" s="590"/>
      <c r="DP46" s="591"/>
      <c r="DQ46" s="630"/>
      <c r="DR46" s="579"/>
      <c r="DS46" s="579"/>
      <c r="DT46" s="579"/>
      <c r="DU46" s="579"/>
      <c r="DV46" s="579"/>
      <c r="DW46" s="579"/>
      <c r="DX46" s="579"/>
      <c r="DY46" s="579"/>
      <c r="DZ46" s="631"/>
      <c r="EA46" s="582"/>
      <c r="EB46" s="582"/>
      <c r="EC46" s="582"/>
      <c r="ED46" s="582"/>
      <c r="EE46" s="582"/>
      <c r="EF46" s="582"/>
      <c r="EG46" s="582"/>
      <c r="EH46" s="582"/>
      <c r="EI46" s="582"/>
      <c r="EJ46" s="582"/>
      <c r="EK46" s="582"/>
      <c r="EL46" s="582"/>
      <c r="EM46" s="582"/>
      <c r="EN46" s="582"/>
      <c r="EO46" s="582"/>
      <c r="EP46" s="582"/>
      <c r="EQ46" s="582"/>
      <c r="ER46" s="644"/>
      <c r="ES46" s="645"/>
      <c r="ET46" s="645"/>
      <c r="EU46" s="645"/>
      <c r="EV46" s="645"/>
      <c r="EW46" s="645"/>
      <c r="EX46" s="645"/>
      <c r="EY46" s="646"/>
      <c r="EZ46" s="574"/>
      <c r="FA46" s="574"/>
      <c r="FB46" s="574"/>
      <c r="FC46" s="574"/>
      <c r="FD46" s="574"/>
      <c r="FE46" s="574"/>
      <c r="FF46" s="574"/>
      <c r="FG46" s="575"/>
      <c r="FH46" s="287"/>
    </row>
    <row r="47" spans="1:164" ht="8.65" customHeight="1">
      <c r="A47" s="269"/>
      <c r="B47" s="505" t="s">
        <v>6394</v>
      </c>
      <c r="C47" s="506"/>
      <c r="D47" s="506"/>
      <c r="E47" s="506"/>
      <c r="F47" s="506"/>
      <c r="G47" s="506"/>
      <c r="H47" s="506"/>
      <c r="I47" s="506"/>
      <c r="J47" s="506"/>
      <c r="K47" s="506"/>
      <c r="L47" s="506"/>
      <c r="M47" s="511" t="s">
        <v>6363</v>
      </c>
      <c r="N47" s="506"/>
      <c r="O47" s="506"/>
      <c r="P47" s="506"/>
      <c r="Q47" s="506"/>
      <c r="R47" s="506"/>
      <c r="S47" s="506"/>
      <c r="T47" s="506"/>
      <c r="U47" s="506"/>
      <c r="V47" s="506"/>
      <c r="W47" s="506"/>
      <c r="X47" s="506"/>
      <c r="Y47" s="506"/>
      <c r="Z47" s="506"/>
      <c r="AA47" s="506"/>
      <c r="AB47" s="512"/>
      <c r="AC47" s="515">
        <v>14.2</v>
      </c>
      <c r="AD47" s="516"/>
      <c r="AE47" s="516"/>
      <c r="AF47" s="516"/>
      <c r="AG47" s="517"/>
      <c r="AH47" s="521">
        <f t="shared" ref="AH47" si="30">AC47</f>
        <v>14.2</v>
      </c>
      <c r="AI47" s="516"/>
      <c r="AJ47" s="516"/>
      <c r="AK47" s="522"/>
      <c r="AL47" s="515">
        <v>5.6</v>
      </c>
      <c r="AM47" s="516"/>
      <c r="AN47" s="516"/>
      <c r="AO47" s="516"/>
      <c r="AP47" s="517"/>
      <c r="AQ47" s="521">
        <f t="shared" ref="AQ47" si="31">AL47</f>
        <v>5.6</v>
      </c>
      <c r="AR47" s="516"/>
      <c r="AS47" s="516"/>
      <c r="AT47" s="539"/>
      <c r="AU47" s="578"/>
      <c r="AV47" s="579"/>
      <c r="AW47" s="579"/>
      <c r="AX47" s="579"/>
      <c r="AY47" s="579"/>
      <c r="AZ47" s="579"/>
      <c r="BA47" s="579"/>
      <c r="BB47" s="579"/>
      <c r="BC47" s="579"/>
      <c r="BD47" s="579"/>
      <c r="BE47" s="567"/>
      <c r="BF47" s="568"/>
      <c r="BG47" s="568"/>
      <c r="BH47" s="568"/>
      <c r="BI47" s="568"/>
      <c r="BJ47" s="568"/>
      <c r="BK47" s="568"/>
      <c r="BL47" s="568"/>
      <c r="BM47" s="568"/>
      <c r="BN47" s="568"/>
      <c r="BO47" s="568"/>
      <c r="BP47" s="568"/>
      <c r="BQ47" s="569"/>
      <c r="BR47" s="572"/>
      <c r="BS47" s="572"/>
      <c r="BT47" s="572"/>
      <c r="BU47" s="572"/>
      <c r="BV47" s="572"/>
      <c r="BW47" s="572"/>
      <c r="BX47" s="573"/>
      <c r="BY47" s="634"/>
      <c r="BZ47" s="635"/>
      <c r="CA47" s="635"/>
      <c r="CB47" s="635"/>
      <c r="CC47" s="635"/>
      <c r="CD47" s="635"/>
      <c r="CE47" s="635"/>
      <c r="CF47" s="635"/>
      <c r="CG47" s="635"/>
      <c r="CH47" s="584"/>
      <c r="CI47" s="584"/>
      <c r="CJ47" s="584"/>
      <c r="CK47" s="584"/>
      <c r="CL47" s="584"/>
      <c r="CM47" s="542"/>
      <c r="CN47" s="542"/>
      <c r="CO47" s="542"/>
      <c r="CP47" s="542"/>
      <c r="CQ47" s="542"/>
      <c r="CR47" s="542"/>
      <c r="CS47" s="542"/>
      <c r="CT47" s="542"/>
      <c r="CU47" s="542"/>
      <c r="CV47" s="542"/>
      <c r="CW47" s="542"/>
      <c r="CX47" s="542"/>
      <c r="CY47" s="542"/>
      <c r="CZ47" s="542"/>
      <c r="DA47" s="542"/>
      <c r="DB47" s="542"/>
      <c r="DC47" s="542"/>
      <c r="DD47" s="584"/>
      <c r="DE47" s="584"/>
      <c r="DF47" s="584"/>
      <c r="DG47" s="584"/>
      <c r="DH47" s="584"/>
      <c r="DI47" s="585"/>
      <c r="DJ47" s="589"/>
      <c r="DK47" s="590"/>
      <c r="DL47" s="590"/>
      <c r="DM47" s="590"/>
      <c r="DN47" s="590"/>
      <c r="DO47" s="590"/>
      <c r="DP47" s="591"/>
      <c r="DQ47" s="630"/>
      <c r="DR47" s="579"/>
      <c r="DS47" s="579"/>
      <c r="DT47" s="579"/>
      <c r="DU47" s="579"/>
      <c r="DV47" s="579"/>
      <c r="DW47" s="579"/>
      <c r="DX47" s="579"/>
      <c r="DY47" s="579"/>
      <c r="DZ47" s="631"/>
      <c r="EA47" s="582" t="s">
        <v>6379</v>
      </c>
      <c r="EB47" s="582"/>
      <c r="EC47" s="582"/>
      <c r="ED47" s="582"/>
      <c r="EE47" s="582"/>
      <c r="EF47" s="582"/>
      <c r="EG47" s="582"/>
      <c r="EH47" s="582"/>
      <c r="EI47" s="582"/>
      <c r="EJ47" s="582"/>
      <c r="EK47" s="582"/>
      <c r="EL47" s="582"/>
      <c r="EM47" s="582"/>
      <c r="EN47" s="582"/>
      <c r="EO47" s="582"/>
      <c r="EP47" s="582"/>
      <c r="EQ47" s="582"/>
      <c r="ER47" s="606">
        <v>3.39</v>
      </c>
      <c r="ES47" s="607"/>
      <c r="ET47" s="607"/>
      <c r="EU47" s="607"/>
      <c r="EV47" s="607"/>
      <c r="EW47" s="607"/>
      <c r="EX47" s="607"/>
      <c r="EY47" s="608"/>
      <c r="EZ47" s="574"/>
      <c r="FA47" s="574"/>
      <c r="FB47" s="574"/>
      <c r="FC47" s="574"/>
      <c r="FD47" s="574"/>
      <c r="FE47" s="574"/>
      <c r="FF47" s="574"/>
      <c r="FG47" s="575"/>
      <c r="FH47" s="287"/>
    </row>
    <row r="48" spans="1:164" ht="8.65" customHeight="1">
      <c r="A48" s="269"/>
      <c r="B48" s="507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13"/>
      <c r="N48" s="510"/>
      <c r="O48" s="51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0"/>
      <c r="AA48" s="510"/>
      <c r="AB48" s="514"/>
      <c r="AC48" s="518"/>
      <c r="AD48" s="519"/>
      <c r="AE48" s="519"/>
      <c r="AF48" s="519"/>
      <c r="AG48" s="520"/>
      <c r="AH48" s="523"/>
      <c r="AI48" s="519"/>
      <c r="AJ48" s="519"/>
      <c r="AK48" s="524"/>
      <c r="AL48" s="518"/>
      <c r="AM48" s="519"/>
      <c r="AN48" s="519"/>
      <c r="AO48" s="519"/>
      <c r="AP48" s="520"/>
      <c r="AQ48" s="523"/>
      <c r="AR48" s="519"/>
      <c r="AS48" s="519"/>
      <c r="AT48" s="540"/>
      <c r="AU48" s="578"/>
      <c r="AV48" s="579"/>
      <c r="AW48" s="579"/>
      <c r="AX48" s="579"/>
      <c r="AY48" s="579"/>
      <c r="AZ48" s="579"/>
      <c r="BA48" s="579"/>
      <c r="BB48" s="579"/>
      <c r="BC48" s="579"/>
      <c r="BD48" s="579"/>
      <c r="BE48" s="567"/>
      <c r="BF48" s="568"/>
      <c r="BG48" s="568"/>
      <c r="BH48" s="568"/>
      <c r="BI48" s="568"/>
      <c r="BJ48" s="568"/>
      <c r="BK48" s="568"/>
      <c r="BL48" s="568"/>
      <c r="BM48" s="568"/>
      <c r="BN48" s="568"/>
      <c r="BO48" s="568"/>
      <c r="BP48" s="568"/>
      <c r="BQ48" s="569"/>
      <c r="BR48" s="572"/>
      <c r="BS48" s="572"/>
      <c r="BT48" s="572"/>
      <c r="BU48" s="572"/>
      <c r="BV48" s="572"/>
      <c r="BW48" s="572"/>
      <c r="BX48" s="573"/>
      <c r="BY48" s="634"/>
      <c r="BZ48" s="635"/>
      <c r="CA48" s="635"/>
      <c r="CB48" s="635"/>
      <c r="CC48" s="635"/>
      <c r="CD48" s="635"/>
      <c r="CE48" s="635"/>
      <c r="CF48" s="635"/>
      <c r="CG48" s="635"/>
      <c r="CH48" s="584"/>
      <c r="CI48" s="584"/>
      <c r="CJ48" s="584"/>
      <c r="CK48" s="584"/>
      <c r="CL48" s="584"/>
      <c r="CM48" s="542"/>
      <c r="CN48" s="542"/>
      <c r="CO48" s="542"/>
      <c r="CP48" s="542"/>
      <c r="CQ48" s="542"/>
      <c r="CR48" s="542"/>
      <c r="CS48" s="542"/>
      <c r="CT48" s="542"/>
      <c r="CU48" s="542"/>
      <c r="CV48" s="542"/>
      <c r="CW48" s="542"/>
      <c r="CX48" s="542"/>
      <c r="CY48" s="542"/>
      <c r="CZ48" s="542"/>
      <c r="DA48" s="542"/>
      <c r="DB48" s="542"/>
      <c r="DC48" s="542"/>
      <c r="DD48" s="584"/>
      <c r="DE48" s="584"/>
      <c r="DF48" s="584"/>
      <c r="DG48" s="584"/>
      <c r="DH48" s="584"/>
      <c r="DI48" s="585"/>
      <c r="DJ48" s="589"/>
      <c r="DK48" s="590"/>
      <c r="DL48" s="590"/>
      <c r="DM48" s="590"/>
      <c r="DN48" s="590"/>
      <c r="DO48" s="590"/>
      <c r="DP48" s="591"/>
      <c r="DQ48" s="630"/>
      <c r="DR48" s="579"/>
      <c r="DS48" s="579"/>
      <c r="DT48" s="579"/>
      <c r="DU48" s="579"/>
      <c r="DV48" s="579"/>
      <c r="DW48" s="579"/>
      <c r="DX48" s="579"/>
      <c r="DY48" s="579"/>
      <c r="DZ48" s="631"/>
      <c r="EA48" s="582"/>
      <c r="EB48" s="582"/>
      <c r="EC48" s="582"/>
      <c r="ED48" s="582"/>
      <c r="EE48" s="582"/>
      <c r="EF48" s="582"/>
      <c r="EG48" s="582"/>
      <c r="EH48" s="582"/>
      <c r="EI48" s="582"/>
      <c r="EJ48" s="582"/>
      <c r="EK48" s="582"/>
      <c r="EL48" s="582"/>
      <c r="EM48" s="582"/>
      <c r="EN48" s="582"/>
      <c r="EO48" s="582"/>
      <c r="EP48" s="582"/>
      <c r="EQ48" s="582"/>
      <c r="ER48" s="609"/>
      <c r="ES48" s="610"/>
      <c r="ET48" s="610"/>
      <c r="EU48" s="610"/>
      <c r="EV48" s="610"/>
      <c r="EW48" s="610"/>
      <c r="EX48" s="610"/>
      <c r="EY48" s="611"/>
      <c r="EZ48" s="574"/>
      <c r="FA48" s="574"/>
      <c r="FB48" s="574"/>
      <c r="FC48" s="574"/>
      <c r="FD48" s="574"/>
      <c r="FE48" s="574"/>
      <c r="FF48" s="574"/>
      <c r="FG48" s="575"/>
      <c r="FH48" s="287"/>
    </row>
    <row r="49" spans="1:164" ht="8.65" customHeight="1">
      <c r="A49" s="269"/>
      <c r="B49" s="507"/>
      <c r="C49" s="508"/>
      <c r="D49" s="508"/>
      <c r="E49" s="508"/>
      <c r="F49" s="508"/>
      <c r="G49" s="508"/>
      <c r="H49" s="508"/>
      <c r="I49" s="508"/>
      <c r="J49" s="508"/>
      <c r="K49" s="508"/>
      <c r="L49" s="508"/>
      <c r="M49" s="511" t="s">
        <v>6370</v>
      </c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12"/>
      <c r="AC49" s="515">
        <v>14.4</v>
      </c>
      <c r="AD49" s="516"/>
      <c r="AE49" s="516"/>
      <c r="AF49" s="516"/>
      <c r="AG49" s="517"/>
      <c r="AH49" s="521">
        <f t="shared" ref="AH49" si="32">AC49</f>
        <v>14.4</v>
      </c>
      <c r="AI49" s="516"/>
      <c r="AJ49" s="516"/>
      <c r="AK49" s="522"/>
      <c r="AL49" s="515">
        <v>5.7</v>
      </c>
      <c r="AM49" s="516"/>
      <c r="AN49" s="516"/>
      <c r="AO49" s="516"/>
      <c r="AP49" s="517"/>
      <c r="AQ49" s="521">
        <f t="shared" ref="AQ49" si="33">AL49</f>
        <v>5.7</v>
      </c>
      <c r="AR49" s="516"/>
      <c r="AS49" s="516"/>
      <c r="AT49" s="539"/>
      <c r="AU49" s="578"/>
      <c r="AV49" s="579"/>
      <c r="AW49" s="579"/>
      <c r="AX49" s="579"/>
      <c r="AY49" s="579"/>
      <c r="AZ49" s="579"/>
      <c r="BA49" s="579"/>
      <c r="BB49" s="579"/>
      <c r="BC49" s="579"/>
      <c r="BD49" s="579"/>
      <c r="BE49" s="567"/>
      <c r="BF49" s="568"/>
      <c r="BG49" s="568"/>
      <c r="BH49" s="568"/>
      <c r="BI49" s="568"/>
      <c r="BJ49" s="568"/>
      <c r="BK49" s="568"/>
      <c r="BL49" s="568"/>
      <c r="BM49" s="568"/>
      <c r="BN49" s="568"/>
      <c r="BO49" s="568"/>
      <c r="BP49" s="568"/>
      <c r="BQ49" s="569"/>
      <c r="BR49" s="572"/>
      <c r="BS49" s="572"/>
      <c r="BT49" s="572"/>
      <c r="BU49" s="572"/>
      <c r="BV49" s="572"/>
      <c r="BW49" s="572"/>
      <c r="BX49" s="573"/>
      <c r="BY49" s="647" t="s">
        <v>6393</v>
      </c>
      <c r="BZ49" s="648"/>
      <c r="CA49" s="648"/>
      <c r="CB49" s="648"/>
      <c r="CC49" s="648"/>
      <c r="CD49" s="648"/>
      <c r="CE49" s="648"/>
      <c r="CF49" s="648"/>
      <c r="CG49" s="648"/>
      <c r="CH49" s="648"/>
      <c r="CI49" s="648"/>
      <c r="CJ49" s="648"/>
      <c r="CK49" s="648"/>
      <c r="CL49" s="648"/>
      <c r="CM49" s="648"/>
      <c r="CN49" s="648"/>
      <c r="CO49" s="648"/>
      <c r="CP49" s="648"/>
      <c r="CQ49" s="648"/>
      <c r="CR49" s="648"/>
      <c r="CS49" s="648"/>
      <c r="CT49" s="648"/>
      <c r="CU49" s="648"/>
      <c r="CV49" s="648"/>
      <c r="CW49" s="648"/>
      <c r="CX49" s="648"/>
      <c r="CY49" s="648"/>
      <c r="CZ49" s="648"/>
      <c r="DA49" s="648"/>
      <c r="DB49" s="648"/>
      <c r="DC49" s="648"/>
      <c r="DD49" s="648"/>
      <c r="DE49" s="648"/>
      <c r="DF49" s="648"/>
      <c r="DG49" s="648"/>
      <c r="DH49" s="648"/>
      <c r="DI49" s="649"/>
      <c r="DJ49" s="589"/>
      <c r="DK49" s="590"/>
      <c r="DL49" s="590"/>
      <c r="DM49" s="590"/>
      <c r="DN49" s="590"/>
      <c r="DO49" s="590"/>
      <c r="DP49" s="591"/>
      <c r="DQ49" s="630"/>
      <c r="DR49" s="579"/>
      <c r="DS49" s="579"/>
      <c r="DT49" s="579"/>
      <c r="DU49" s="579"/>
      <c r="DV49" s="579"/>
      <c r="DW49" s="579"/>
      <c r="DX49" s="579"/>
      <c r="DY49" s="579"/>
      <c r="DZ49" s="631"/>
      <c r="EA49" s="582" t="s">
        <v>6382</v>
      </c>
      <c r="EB49" s="582"/>
      <c r="EC49" s="582"/>
      <c r="ED49" s="582"/>
      <c r="EE49" s="582"/>
      <c r="EF49" s="582"/>
      <c r="EG49" s="582"/>
      <c r="EH49" s="582"/>
      <c r="EI49" s="582"/>
      <c r="EJ49" s="582"/>
      <c r="EK49" s="582"/>
      <c r="EL49" s="582"/>
      <c r="EM49" s="582"/>
      <c r="EN49" s="582"/>
      <c r="EO49" s="582"/>
      <c r="EP49" s="582"/>
      <c r="EQ49" s="582"/>
      <c r="ER49" s="583">
        <v>1.78</v>
      </c>
      <c r="ES49" s="583"/>
      <c r="ET49" s="583"/>
      <c r="EU49" s="583"/>
      <c r="EV49" s="583"/>
      <c r="EW49" s="583"/>
      <c r="EX49" s="583"/>
      <c r="EY49" s="583"/>
      <c r="EZ49" s="574"/>
      <c r="FA49" s="574"/>
      <c r="FB49" s="574"/>
      <c r="FC49" s="574"/>
      <c r="FD49" s="574"/>
      <c r="FE49" s="574"/>
      <c r="FF49" s="574"/>
      <c r="FG49" s="575"/>
      <c r="FH49" s="287"/>
    </row>
    <row r="50" spans="1:164" ht="8.65" customHeight="1">
      <c r="A50" s="269"/>
      <c r="B50" s="507"/>
      <c r="C50" s="508"/>
      <c r="D50" s="508"/>
      <c r="E50" s="508"/>
      <c r="F50" s="508"/>
      <c r="G50" s="508"/>
      <c r="H50" s="508"/>
      <c r="I50" s="508"/>
      <c r="J50" s="508"/>
      <c r="K50" s="508"/>
      <c r="L50" s="508"/>
      <c r="M50" s="513"/>
      <c r="N50" s="510"/>
      <c r="O50" s="510"/>
      <c r="P50" s="510"/>
      <c r="Q50" s="510"/>
      <c r="R50" s="510"/>
      <c r="S50" s="510"/>
      <c r="T50" s="510"/>
      <c r="U50" s="510"/>
      <c r="V50" s="510"/>
      <c r="W50" s="510"/>
      <c r="X50" s="510"/>
      <c r="Y50" s="510"/>
      <c r="Z50" s="510"/>
      <c r="AA50" s="510"/>
      <c r="AB50" s="514"/>
      <c r="AC50" s="518"/>
      <c r="AD50" s="519"/>
      <c r="AE50" s="519"/>
      <c r="AF50" s="519"/>
      <c r="AG50" s="520"/>
      <c r="AH50" s="523"/>
      <c r="AI50" s="519"/>
      <c r="AJ50" s="519"/>
      <c r="AK50" s="524"/>
      <c r="AL50" s="518"/>
      <c r="AM50" s="519"/>
      <c r="AN50" s="519"/>
      <c r="AO50" s="519"/>
      <c r="AP50" s="520"/>
      <c r="AQ50" s="523"/>
      <c r="AR50" s="519"/>
      <c r="AS50" s="519"/>
      <c r="AT50" s="540"/>
      <c r="AU50" s="580"/>
      <c r="AV50" s="581"/>
      <c r="AW50" s="581"/>
      <c r="AX50" s="581"/>
      <c r="AY50" s="581"/>
      <c r="AZ50" s="581"/>
      <c r="BA50" s="581"/>
      <c r="BB50" s="581"/>
      <c r="BC50" s="581"/>
      <c r="BD50" s="581"/>
      <c r="BE50" s="567"/>
      <c r="BF50" s="568"/>
      <c r="BG50" s="568"/>
      <c r="BH50" s="568"/>
      <c r="BI50" s="568"/>
      <c r="BJ50" s="568"/>
      <c r="BK50" s="568"/>
      <c r="BL50" s="568"/>
      <c r="BM50" s="568"/>
      <c r="BN50" s="568"/>
      <c r="BO50" s="568"/>
      <c r="BP50" s="568"/>
      <c r="BQ50" s="569"/>
      <c r="BR50" s="642"/>
      <c r="BS50" s="642"/>
      <c r="BT50" s="642"/>
      <c r="BU50" s="642"/>
      <c r="BV50" s="642"/>
      <c r="BW50" s="642"/>
      <c r="BX50" s="643"/>
      <c r="BY50" s="650"/>
      <c r="BZ50" s="651"/>
      <c r="CA50" s="651"/>
      <c r="CB50" s="651"/>
      <c r="CC50" s="651"/>
      <c r="CD50" s="651"/>
      <c r="CE50" s="651"/>
      <c r="CF50" s="651"/>
      <c r="CG50" s="651"/>
      <c r="CH50" s="651"/>
      <c r="CI50" s="651"/>
      <c r="CJ50" s="651"/>
      <c r="CK50" s="651"/>
      <c r="CL50" s="651"/>
      <c r="CM50" s="651"/>
      <c r="CN50" s="651"/>
      <c r="CO50" s="651"/>
      <c r="CP50" s="651"/>
      <c r="CQ50" s="651"/>
      <c r="CR50" s="651"/>
      <c r="CS50" s="651"/>
      <c r="CT50" s="651"/>
      <c r="CU50" s="651"/>
      <c r="CV50" s="651"/>
      <c r="CW50" s="651"/>
      <c r="CX50" s="651"/>
      <c r="CY50" s="651"/>
      <c r="CZ50" s="651"/>
      <c r="DA50" s="651"/>
      <c r="DB50" s="651"/>
      <c r="DC50" s="651"/>
      <c r="DD50" s="651"/>
      <c r="DE50" s="651"/>
      <c r="DF50" s="651"/>
      <c r="DG50" s="651"/>
      <c r="DH50" s="651"/>
      <c r="DI50" s="652"/>
      <c r="DJ50" s="592"/>
      <c r="DK50" s="593"/>
      <c r="DL50" s="593"/>
      <c r="DM50" s="593"/>
      <c r="DN50" s="593"/>
      <c r="DO50" s="593"/>
      <c r="DP50" s="594"/>
      <c r="DQ50" s="632"/>
      <c r="DR50" s="581"/>
      <c r="DS50" s="581"/>
      <c r="DT50" s="581"/>
      <c r="DU50" s="581"/>
      <c r="DV50" s="581"/>
      <c r="DW50" s="581"/>
      <c r="DX50" s="581"/>
      <c r="DY50" s="581"/>
      <c r="DZ50" s="633"/>
      <c r="EA50" s="582"/>
      <c r="EB50" s="582"/>
      <c r="EC50" s="582"/>
      <c r="ED50" s="582"/>
      <c r="EE50" s="582"/>
      <c r="EF50" s="582"/>
      <c r="EG50" s="582"/>
      <c r="EH50" s="582"/>
      <c r="EI50" s="582"/>
      <c r="EJ50" s="582"/>
      <c r="EK50" s="582"/>
      <c r="EL50" s="582"/>
      <c r="EM50" s="582"/>
      <c r="EN50" s="582"/>
      <c r="EO50" s="582"/>
      <c r="EP50" s="582"/>
      <c r="EQ50" s="582"/>
      <c r="ER50" s="583"/>
      <c r="ES50" s="583"/>
      <c r="ET50" s="583"/>
      <c r="EU50" s="583"/>
      <c r="EV50" s="583"/>
      <c r="EW50" s="583"/>
      <c r="EX50" s="583"/>
      <c r="EY50" s="583"/>
      <c r="EZ50" s="574"/>
      <c r="FA50" s="574"/>
      <c r="FB50" s="574"/>
      <c r="FC50" s="574"/>
      <c r="FD50" s="574"/>
      <c r="FE50" s="574"/>
      <c r="FF50" s="574"/>
      <c r="FG50" s="575"/>
      <c r="FH50" s="287"/>
    </row>
    <row r="51" spans="1:164" ht="8.65" customHeight="1">
      <c r="A51" s="269"/>
      <c r="B51" s="507"/>
      <c r="C51" s="508"/>
      <c r="D51" s="508"/>
      <c r="E51" s="508"/>
      <c r="F51" s="508"/>
      <c r="G51" s="508"/>
      <c r="H51" s="508"/>
      <c r="I51" s="508"/>
      <c r="J51" s="508"/>
      <c r="K51" s="508"/>
      <c r="L51" s="508"/>
      <c r="M51" s="511" t="s">
        <v>6371</v>
      </c>
      <c r="N51" s="506"/>
      <c r="O51" s="506"/>
      <c r="P51" s="506"/>
      <c r="Q51" s="506"/>
      <c r="R51" s="506"/>
      <c r="S51" s="506"/>
      <c r="T51" s="506"/>
      <c r="U51" s="506"/>
      <c r="V51" s="506"/>
      <c r="W51" s="506"/>
      <c r="X51" s="506"/>
      <c r="Y51" s="506"/>
      <c r="Z51" s="506"/>
      <c r="AA51" s="506"/>
      <c r="AB51" s="512"/>
      <c r="AC51" s="515">
        <v>14.6</v>
      </c>
      <c r="AD51" s="516"/>
      <c r="AE51" s="516"/>
      <c r="AF51" s="516"/>
      <c r="AG51" s="517"/>
      <c r="AH51" s="521">
        <f t="shared" ref="AH51" si="34">AC51</f>
        <v>14.6</v>
      </c>
      <c r="AI51" s="516"/>
      <c r="AJ51" s="516"/>
      <c r="AK51" s="522"/>
      <c r="AL51" s="515">
        <v>6</v>
      </c>
      <c r="AM51" s="516"/>
      <c r="AN51" s="516"/>
      <c r="AO51" s="516"/>
      <c r="AP51" s="517"/>
      <c r="AQ51" s="521">
        <f t="shared" ref="AQ51" si="35">AL51</f>
        <v>6</v>
      </c>
      <c r="AR51" s="516"/>
      <c r="AS51" s="516"/>
      <c r="AT51" s="539"/>
      <c r="AU51" s="505" t="s">
        <v>6394</v>
      </c>
      <c r="AV51" s="506"/>
      <c r="AW51" s="506"/>
      <c r="AX51" s="506"/>
      <c r="AY51" s="506"/>
      <c r="AZ51" s="506"/>
      <c r="BA51" s="506"/>
      <c r="BB51" s="506"/>
      <c r="BC51" s="506"/>
      <c r="BD51" s="506"/>
      <c r="BE51" s="567">
        <v>4.5</v>
      </c>
      <c r="BF51" s="568"/>
      <c r="BG51" s="568"/>
      <c r="BH51" s="568"/>
      <c r="BI51" s="568"/>
      <c r="BJ51" s="568"/>
      <c r="BK51" s="568"/>
      <c r="BL51" s="568"/>
      <c r="BM51" s="568"/>
      <c r="BN51" s="568"/>
      <c r="BO51" s="568"/>
      <c r="BP51" s="568"/>
      <c r="BQ51" s="569"/>
      <c r="BR51" s="570">
        <v>9</v>
      </c>
      <c r="BS51" s="570"/>
      <c r="BT51" s="570"/>
      <c r="BU51" s="570"/>
      <c r="BV51" s="570"/>
      <c r="BW51" s="570"/>
      <c r="BX51" s="571"/>
      <c r="BY51" s="701" t="s">
        <v>6395</v>
      </c>
      <c r="BZ51" s="702"/>
      <c r="CA51" s="702"/>
      <c r="CB51" s="702"/>
      <c r="CC51" s="702"/>
      <c r="CD51" s="702"/>
      <c r="CE51" s="702"/>
      <c r="CF51" s="702"/>
      <c r="CG51" s="702"/>
      <c r="CH51" s="702"/>
      <c r="CI51" s="702"/>
      <c r="CJ51" s="702"/>
      <c r="CK51" s="702"/>
      <c r="CL51" s="702"/>
      <c r="CM51" s="702"/>
      <c r="CN51" s="702"/>
      <c r="CO51" s="702"/>
      <c r="CP51" s="702"/>
      <c r="CQ51" s="702"/>
      <c r="CR51" s="702"/>
      <c r="CS51" s="702"/>
      <c r="CT51" s="702"/>
      <c r="CU51" s="702"/>
      <c r="CV51" s="702"/>
      <c r="CW51" s="702"/>
      <c r="CX51" s="702"/>
      <c r="CY51" s="702"/>
      <c r="CZ51" s="702"/>
      <c r="DA51" s="702"/>
      <c r="DB51" s="702"/>
      <c r="DC51" s="702"/>
      <c r="DD51" s="702"/>
      <c r="DE51" s="702"/>
      <c r="DF51" s="702"/>
      <c r="DG51" s="702"/>
      <c r="DH51" s="702"/>
      <c r="DI51" s="703"/>
      <c r="DJ51" s="704" t="s">
        <v>6403</v>
      </c>
      <c r="DK51" s="705"/>
      <c r="DL51" s="705"/>
      <c r="DM51" s="705"/>
      <c r="DN51" s="705"/>
      <c r="DO51" s="705"/>
      <c r="DP51" s="705"/>
      <c r="DQ51" s="705"/>
      <c r="DR51" s="705"/>
      <c r="DS51" s="705"/>
      <c r="DT51" s="705"/>
      <c r="DU51" s="705"/>
      <c r="DV51" s="705"/>
      <c r="DW51" s="705"/>
      <c r="DX51" s="705"/>
      <c r="DY51" s="705"/>
      <c r="DZ51" s="705"/>
      <c r="EA51" s="705"/>
      <c r="EB51" s="705"/>
      <c r="EC51" s="705"/>
      <c r="ED51" s="705"/>
      <c r="EE51" s="705"/>
      <c r="EF51" s="705"/>
      <c r="EG51" s="705"/>
      <c r="EH51" s="705"/>
      <c r="EI51" s="705"/>
      <c r="EJ51" s="705"/>
      <c r="EK51" s="705"/>
      <c r="EL51" s="705"/>
      <c r="EM51" s="705"/>
      <c r="EN51" s="705"/>
      <c r="EO51" s="705"/>
      <c r="EP51" s="705"/>
      <c r="EQ51" s="705"/>
      <c r="ER51" s="705"/>
      <c r="ES51" s="705"/>
      <c r="ET51" s="705"/>
      <c r="EU51" s="705"/>
      <c r="EV51" s="705"/>
      <c r="EW51" s="705"/>
      <c r="EX51" s="705"/>
      <c r="EY51" s="705"/>
      <c r="EZ51" s="705"/>
      <c r="FA51" s="705"/>
      <c r="FB51" s="705"/>
      <c r="FC51" s="705"/>
      <c r="FD51" s="705"/>
      <c r="FE51" s="705"/>
      <c r="FF51" s="705"/>
      <c r="FG51" s="706"/>
      <c r="FH51" s="287"/>
    </row>
    <row r="52" spans="1:164" ht="8.65" customHeight="1">
      <c r="A52" s="269"/>
      <c r="B52" s="507"/>
      <c r="C52" s="508"/>
      <c r="D52" s="508"/>
      <c r="E52" s="508"/>
      <c r="F52" s="508"/>
      <c r="G52" s="508"/>
      <c r="H52" s="508"/>
      <c r="I52" s="508"/>
      <c r="J52" s="508"/>
      <c r="K52" s="508"/>
      <c r="L52" s="508"/>
      <c r="M52" s="513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4"/>
      <c r="AC52" s="518"/>
      <c r="AD52" s="519"/>
      <c r="AE52" s="519"/>
      <c r="AF52" s="519"/>
      <c r="AG52" s="520"/>
      <c r="AH52" s="523"/>
      <c r="AI52" s="519"/>
      <c r="AJ52" s="519"/>
      <c r="AK52" s="524"/>
      <c r="AL52" s="518"/>
      <c r="AM52" s="519"/>
      <c r="AN52" s="519"/>
      <c r="AO52" s="519"/>
      <c r="AP52" s="520"/>
      <c r="AQ52" s="523"/>
      <c r="AR52" s="519"/>
      <c r="AS52" s="519"/>
      <c r="AT52" s="540"/>
      <c r="AU52" s="507"/>
      <c r="AV52" s="508"/>
      <c r="AW52" s="508"/>
      <c r="AX52" s="508"/>
      <c r="AY52" s="508"/>
      <c r="AZ52" s="508"/>
      <c r="BA52" s="508"/>
      <c r="BB52" s="508"/>
      <c r="BC52" s="508"/>
      <c r="BD52" s="508"/>
      <c r="BE52" s="567"/>
      <c r="BF52" s="568"/>
      <c r="BG52" s="568"/>
      <c r="BH52" s="568"/>
      <c r="BI52" s="568"/>
      <c r="BJ52" s="568"/>
      <c r="BK52" s="568"/>
      <c r="BL52" s="568"/>
      <c r="BM52" s="568"/>
      <c r="BN52" s="568"/>
      <c r="BO52" s="568"/>
      <c r="BP52" s="568"/>
      <c r="BQ52" s="569"/>
      <c r="BR52" s="572"/>
      <c r="BS52" s="572"/>
      <c r="BT52" s="572"/>
      <c r="BU52" s="572"/>
      <c r="BV52" s="572"/>
      <c r="BW52" s="572"/>
      <c r="BX52" s="573"/>
      <c r="BY52" s="701"/>
      <c r="BZ52" s="702"/>
      <c r="CA52" s="702"/>
      <c r="CB52" s="702"/>
      <c r="CC52" s="702"/>
      <c r="CD52" s="702"/>
      <c r="CE52" s="702"/>
      <c r="CF52" s="702"/>
      <c r="CG52" s="702"/>
      <c r="CH52" s="702"/>
      <c r="CI52" s="702"/>
      <c r="CJ52" s="702"/>
      <c r="CK52" s="702"/>
      <c r="CL52" s="702"/>
      <c r="CM52" s="702"/>
      <c r="CN52" s="702"/>
      <c r="CO52" s="702"/>
      <c r="CP52" s="702"/>
      <c r="CQ52" s="702"/>
      <c r="CR52" s="702"/>
      <c r="CS52" s="702"/>
      <c r="CT52" s="702"/>
      <c r="CU52" s="702"/>
      <c r="CV52" s="702"/>
      <c r="CW52" s="702"/>
      <c r="CX52" s="702"/>
      <c r="CY52" s="702"/>
      <c r="CZ52" s="702"/>
      <c r="DA52" s="702"/>
      <c r="DB52" s="702"/>
      <c r="DC52" s="702"/>
      <c r="DD52" s="702"/>
      <c r="DE52" s="702"/>
      <c r="DF52" s="702"/>
      <c r="DG52" s="702"/>
      <c r="DH52" s="702"/>
      <c r="DI52" s="703"/>
      <c r="DJ52" s="707"/>
      <c r="DK52" s="708"/>
      <c r="DL52" s="708"/>
      <c r="DM52" s="708"/>
      <c r="DN52" s="708"/>
      <c r="DO52" s="708"/>
      <c r="DP52" s="708"/>
      <c r="DQ52" s="708"/>
      <c r="DR52" s="708"/>
      <c r="DS52" s="708"/>
      <c r="DT52" s="708"/>
      <c r="DU52" s="708"/>
      <c r="DV52" s="708"/>
      <c r="DW52" s="708"/>
      <c r="DX52" s="708"/>
      <c r="DY52" s="708"/>
      <c r="DZ52" s="708"/>
      <c r="EA52" s="708"/>
      <c r="EB52" s="708"/>
      <c r="EC52" s="708"/>
      <c r="ED52" s="708"/>
      <c r="EE52" s="708"/>
      <c r="EF52" s="708"/>
      <c r="EG52" s="708"/>
      <c r="EH52" s="708"/>
      <c r="EI52" s="708"/>
      <c r="EJ52" s="708"/>
      <c r="EK52" s="708"/>
      <c r="EL52" s="708"/>
      <c r="EM52" s="708"/>
      <c r="EN52" s="708"/>
      <c r="EO52" s="708"/>
      <c r="EP52" s="708"/>
      <c r="EQ52" s="708"/>
      <c r="ER52" s="708"/>
      <c r="ES52" s="708"/>
      <c r="ET52" s="708"/>
      <c r="EU52" s="708"/>
      <c r="EV52" s="708"/>
      <c r="EW52" s="708"/>
      <c r="EX52" s="708"/>
      <c r="EY52" s="708"/>
      <c r="EZ52" s="708"/>
      <c r="FA52" s="708"/>
      <c r="FB52" s="708"/>
      <c r="FC52" s="708"/>
      <c r="FD52" s="708"/>
      <c r="FE52" s="708"/>
      <c r="FF52" s="708"/>
      <c r="FG52" s="709"/>
      <c r="FH52" s="287"/>
    </row>
    <row r="53" spans="1:164" ht="8.65" customHeight="1">
      <c r="A53" s="269"/>
      <c r="B53" s="507"/>
      <c r="C53" s="508"/>
      <c r="D53" s="508"/>
      <c r="E53" s="508"/>
      <c r="F53" s="508"/>
      <c r="G53" s="508"/>
      <c r="H53" s="508"/>
      <c r="I53" s="508"/>
      <c r="J53" s="508"/>
      <c r="K53" s="508"/>
      <c r="L53" s="508"/>
      <c r="M53" s="511" t="s">
        <v>6375</v>
      </c>
      <c r="N53" s="506"/>
      <c r="O53" s="506"/>
      <c r="P53" s="506"/>
      <c r="Q53" s="506"/>
      <c r="R53" s="506"/>
      <c r="S53" s="506"/>
      <c r="T53" s="506"/>
      <c r="U53" s="506"/>
      <c r="V53" s="506"/>
      <c r="W53" s="506"/>
      <c r="X53" s="506"/>
      <c r="Y53" s="506"/>
      <c r="Z53" s="506"/>
      <c r="AA53" s="506"/>
      <c r="AB53" s="512"/>
      <c r="AC53" s="515">
        <v>15.5</v>
      </c>
      <c r="AD53" s="516"/>
      <c r="AE53" s="516"/>
      <c r="AF53" s="516"/>
      <c r="AG53" s="517"/>
      <c r="AH53" s="521">
        <f t="shared" ref="AH53" si="36">AC53</f>
        <v>15.5</v>
      </c>
      <c r="AI53" s="516"/>
      <c r="AJ53" s="516"/>
      <c r="AK53" s="522"/>
      <c r="AL53" s="515">
        <v>6.5</v>
      </c>
      <c r="AM53" s="516"/>
      <c r="AN53" s="516"/>
      <c r="AO53" s="516"/>
      <c r="AP53" s="517"/>
      <c r="AQ53" s="521">
        <f t="shared" ref="AQ53" si="37">AL53</f>
        <v>6.5</v>
      </c>
      <c r="AR53" s="516"/>
      <c r="AS53" s="516"/>
      <c r="AT53" s="539"/>
      <c r="AU53" s="507"/>
      <c r="AV53" s="508"/>
      <c r="AW53" s="508"/>
      <c r="AX53" s="508"/>
      <c r="AY53" s="508"/>
      <c r="AZ53" s="508"/>
      <c r="BA53" s="508"/>
      <c r="BB53" s="508"/>
      <c r="BC53" s="508"/>
      <c r="BD53" s="508"/>
      <c r="BE53" s="567"/>
      <c r="BF53" s="568"/>
      <c r="BG53" s="568"/>
      <c r="BH53" s="568"/>
      <c r="BI53" s="568"/>
      <c r="BJ53" s="568"/>
      <c r="BK53" s="568"/>
      <c r="BL53" s="568"/>
      <c r="BM53" s="568"/>
      <c r="BN53" s="568"/>
      <c r="BO53" s="568"/>
      <c r="BP53" s="568"/>
      <c r="BQ53" s="569"/>
      <c r="BR53" s="572"/>
      <c r="BS53" s="572"/>
      <c r="BT53" s="572"/>
      <c r="BU53" s="572"/>
      <c r="BV53" s="572"/>
      <c r="BW53" s="572"/>
      <c r="BX53" s="573"/>
      <c r="BY53" s="653" t="s">
        <v>6397</v>
      </c>
      <c r="BZ53" s="654"/>
      <c r="CA53" s="654"/>
      <c r="CB53" s="654"/>
      <c r="CC53" s="654"/>
      <c r="CD53" s="654"/>
      <c r="CE53" s="654"/>
      <c r="CF53" s="654"/>
      <c r="CG53" s="654"/>
      <c r="CH53" s="654"/>
      <c r="CI53" s="654"/>
      <c r="CJ53" s="654"/>
      <c r="CK53" s="654"/>
      <c r="CL53" s="654"/>
      <c r="CM53" s="654"/>
      <c r="CN53" s="654"/>
      <c r="CO53" s="654"/>
      <c r="CP53" s="654"/>
      <c r="CQ53" s="654"/>
      <c r="CR53" s="654"/>
      <c r="CS53" s="654"/>
      <c r="CT53" s="654"/>
      <c r="CU53" s="654"/>
      <c r="CV53" s="654"/>
      <c r="CW53" s="654"/>
      <c r="CX53" s="654"/>
      <c r="CY53" s="654"/>
      <c r="CZ53" s="654"/>
      <c r="DA53" s="654"/>
      <c r="DB53" s="654"/>
      <c r="DC53" s="654"/>
      <c r="DD53" s="654"/>
      <c r="DE53" s="654"/>
      <c r="DF53" s="654"/>
      <c r="DG53" s="654"/>
      <c r="DH53" s="654"/>
      <c r="DI53" s="655"/>
      <c r="DJ53" s="678" t="s">
        <v>6406</v>
      </c>
      <c r="DK53" s="679"/>
      <c r="DL53" s="679"/>
      <c r="DM53" s="679"/>
      <c r="DN53" s="679"/>
      <c r="DO53" s="679"/>
      <c r="DP53" s="679"/>
      <c r="DQ53" s="679"/>
      <c r="DR53" s="679"/>
      <c r="DS53" s="679"/>
      <c r="DT53" s="679"/>
      <c r="DU53" s="679"/>
      <c r="DV53" s="679"/>
      <c r="DW53" s="679"/>
      <c r="DX53" s="679"/>
      <c r="DY53" s="679"/>
      <c r="DZ53" s="679"/>
      <c r="EA53" s="679"/>
      <c r="EB53" s="679"/>
      <c r="EC53" s="679"/>
      <c r="ED53" s="679"/>
      <c r="EE53" s="679"/>
      <c r="EF53" s="679"/>
      <c r="EG53" s="679"/>
      <c r="EH53" s="679"/>
      <c r="EI53" s="679"/>
      <c r="EJ53" s="679"/>
      <c r="EK53" s="679"/>
      <c r="EL53" s="679"/>
      <c r="EM53" s="679"/>
      <c r="EN53" s="679"/>
      <c r="EO53" s="679"/>
      <c r="EP53" s="679"/>
      <c r="EQ53" s="679"/>
      <c r="ER53" s="679"/>
      <c r="ES53" s="679"/>
      <c r="ET53" s="679"/>
      <c r="EU53" s="679"/>
      <c r="EV53" s="679"/>
      <c r="EW53" s="679"/>
      <c r="EX53" s="679"/>
      <c r="EY53" s="679"/>
      <c r="EZ53" s="679"/>
      <c r="FA53" s="679"/>
      <c r="FB53" s="679"/>
      <c r="FC53" s="679"/>
      <c r="FD53" s="679"/>
      <c r="FE53" s="679"/>
      <c r="FF53" s="679"/>
      <c r="FG53" s="680"/>
      <c r="FH53" s="287"/>
    </row>
    <row r="54" spans="1:164" ht="8.65" customHeight="1">
      <c r="A54" s="269"/>
      <c r="B54" s="509"/>
      <c r="C54" s="510"/>
      <c r="D54" s="510"/>
      <c r="E54" s="510"/>
      <c r="F54" s="510"/>
      <c r="G54" s="510"/>
      <c r="H54" s="510"/>
      <c r="I54" s="510"/>
      <c r="J54" s="510"/>
      <c r="K54" s="510"/>
      <c r="L54" s="510"/>
      <c r="M54" s="513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4"/>
      <c r="AC54" s="518"/>
      <c r="AD54" s="519"/>
      <c r="AE54" s="519"/>
      <c r="AF54" s="519"/>
      <c r="AG54" s="520"/>
      <c r="AH54" s="523"/>
      <c r="AI54" s="519"/>
      <c r="AJ54" s="519"/>
      <c r="AK54" s="524"/>
      <c r="AL54" s="518"/>
      <c r="AM54" s="519"/>
      <c r="AN54" s="519"/>
      <c r="AO54" s="519"/>
      <c r="AP54" s="520"/>
      <c r="AQ54" s="523"/>
      <c r="AR54" s="519"/>
      <c r="AS54" s="519"/>
      <c r="AT54" s="540"/>
      <c r="AU54" s="509"/>
      <c r="AV54" s="510"/>
      <c r="AW54" s="510"/>
      <c r="AX54" s="510"/>
      <c r="AY54" s="510"/>
      <c r="AZ54" s="510"/>
      <c r="BA54" s="510"/>
      <c r="BB54" s="510"/>
      <c r="BC54" s="510"/>
      <c r="BD54" s="510"/>
      <c r="BE54" s="567"/>
      <c r="BF54" s="568"/>
      <c r="BG54" s="568"/>
      <c r="BH54" s="568"/>
      <c r="BI54" s="568"/>
      <c r="BJ54" s="568"/>
      <c r="BK54" s="568"/>
      <c r="BL54" s="568"/>
      <c r="BM54" s="568"/>
      <c r="BN54" s="568"/>
      <c r="BO54" s="568"/>
      <c r="BP54" s="568"/>
      <c r="BQ54" s="569"/>
      <c r="BR54" s="642"/>
      <c r="BS54" s="642"/>
      <c r="BT54" s="642"/>
      <c r="BU54" s="642"/>
      <c r="BV54" s="642"/>
      <c r="BW54" s="642"/>
      <c r="BX54" s="643"/>
      <c r="BY54" s="653"/>
      <c r="BZ54" s="654"/>
      <c r="CA54" s="654"/>
      <c r="CB54" s="654"/>
      <c r="CC54" s="654"/>
      <c r="CD54" s="654"/>
      <c r="CE54" s="654"/>
      <c r="CF54" s="654"/>
      <c r="CG54" s="654"/>
      <c r="CH54" s="654"/>
      <c r="CI54" s="654"/>
      <c r="CJ54" s="654"/>
      <c r="CK54" s="654"/>
      <c r="CL54" s="654"/>
      <c r="CM54" s="654"/>
      <c r="CN54" s="654"/>
      <c r="CO54" s="654"/>
      <c r="CP54" s="654"/>
      <c r="CQ54" s="654"/>
      <c r="CR54" s="654"/>
      <c r="CS54" s="654"/>
      <c r="CT54" s="654"/>
      <c r="CU54" s="654"/>
      <c r="CV54" s="654"/>
      <c r="CW54" s="654"/>
      <c r="CX54" s="654"/>
      <c r="CY54" s="654"/>
      <c r="CZ54" s="654"/>
      <c r="DA54" s="654"/>
      <c r="DB54" s="654"/>
      <c r="DC54" s="654"/>
      <c r="DD54" s="654"/>
      <c r="DE54" s="654"/>
      <c r="DF54" s="654"/>
      <c r="DG54" s="654"/>
      <c r="DH54" s="654"/>
      <c r="DI54" s="655"/>
      <c r="DJ54" s="681"/>
      <c r="DK54" s="682"/>
      <c r="DL54" s="682"/>
      <c r="DM54" s="682"/>
      <c r="DN54" s="682"/>
      <c r="DO54" s="682"/>
      <c r="DP54" s="682"/>
      <c r="DQ54" s="682"/>
      <c r="DR54" s="682"/>
      <c r="DS54" s="682"/>
      <c r="DT54" s="682"/>
      <c r="DU54" s="682"/>
      <c r="DV54" s="682"/>
      <c r="DW54" s="682"/>
      <c r="DX54" s="682"/>
      <c r="DY54" s="682"/>
      <c r="DZ54" s="682"/>
      <c r="EA54" s="682"/>
      <c r="EB54" s="682"/>
      <c r="EC54" s="682"/>
      <c r="ED54" s="682"/>
      <c r="EE54" s="682"/>
      <c r="EF54" s="682"/>
      <c r="EG54" s="682"/>
      <c r="EH54" s="682"/>
      <c r="EI54" s="682"/>
      <c r="EJ54" s="682"/>
      <c r="EK54" s="682"/>
      <c r="EL54" s="682"/>
      <c r="EM54" s="682"/>
      <c r="EN54" s="682"/>
      <c r="EO54" s="682"/>
      <c r="EP54" s="682"/>
      <c r="EQ54" s="682"/>
      <c r="ER54" s="682"/>
      <c r="ES54" s="682"/>
      <c r="ET54" s="682"/>
      <c r="EU54" s="682"/>
      <c r="EV54" s="682"/>
      <c r="EW54" s="682"/>
      <c r="EX54" s="682"/>
      <c r="EY54" s="682"/>
      <c r="EZ54" s="682"/>
      <c r="FA54" s="682"/>
      <c r="FB54" s="682"/>
      <c r="FC54" s="682"/>
      <c r="FD54" s="682"/>
      <c r="FE54" s="682"/>
      <c r="FF54" s="682"/>
      <c r="FG54" s="683"/>
      <c r="FH54" s="287"/>
    </row>
    <row r="55" spans="1:164" ht="8.65" customHeight="1">
      <c r="A55" s="269"/>
      <c r="B55" s="684" t="s">
        <v>6407</v>
      </c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5"/>
      <c r="P55" s="685"/>
      <c r="Q55" s="685"/>
      <c r="R55" s="685"/>
      <c r="S55" s="685"/>
      <c r="T55" s="685"/>
      <c r="U55" s="685"/>
      <c r="V55" s="685"/>
      <c r="W55" s="685"/>
      <c r="X55" s="685"/>
      <c r="Y55" s="685"/>
      <c r="Z55" s="685"/>
      <c r="AA55" s="685"/>
      <c r="AB55" s="685"/>
      <c r="AC55" s="685"/>
      <c r="AD55" s="685"/>
      <c r="AE55" s="685"/>
      <c r="AF55" s="685"/>
      <c r="AG55" s="685"/>
      <c r="AH55" s="685"/>
      <c r="AI55" s="685"/>
      <c r="AJ55" s="685"/>
      <c r="AK55" s="685"/>
      <c r="AL55" s="685"/>
      <c r="AM55" s="685"/>
      <c r="AN55" s="685"/>
      <c r="AO55" s="685"/>
      <c r="AP55" s="685"/>
      <c r="AQ55" s="685"/>
      <c r="AR55" s="685"/>
      <c r="AS55" s="685"/>
      <c r="AT55" s="685"/>
      <c r="AU55" s="289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  <c r="BF55" s="289"/>
      <c r="BG55" s="289"/>
      <c r="BH55" s="289"/>
      <c r="BI55" s="289"/>
      <c r="BJ55" s="289"/>
      <c r="BK55" s="289"/>
      <c r="BL55" s="289"/>
      <c r="BM55" s="289"/>
      <c r="BN55" s="289"/>
      <c r="BO55" s="289"/>
      <c r="BP55" s="289"/>
      <c r="BQ55" s="289"/>
      <c r="BR55" s="289"/>
      <c r="BS55" s="289"/>
      <c r="BT55" s="289"/>
      <c r="BU55" s="289"/>
      <c r="BV55" s="289"/>
      <c r="BW55" s="289"/>
      <c r="BX55" s="289"/>
      <c r="BY55" s="289"/>
      <c r="BZ55" s="289"/>
      <c r="CA55" s="289"/>
      <c r="CB55" s="289"/>
      <c r="CC55" s="289"/>
      <c r="CD55" s="289"/>
      <c r="CE55" s="289"/>
      <c r="CF55" s="289"/>
      <c r="CG55" s="289"/>
      <c r="CH55" s="289"/>
      <c r="CI55" s="289"/>
      <c r="CJ55" s="289"/>
      <c r="CK55" s="289"/>
      <c r="CL55" s="289"/>
      <c r="CM55" s="289"/>
      <c r="CN55" s="289"/>
      <c r="CO55" s="289"/>
      <c r="CP55" s="289"/>
      <c r="CQ55" s="289"/>
      <c r="CR55" s="289"/>
      <c r="CS55" s="289"/>
      <c r="CT55" s="289"/>
      <c r="CU55" s="289"/>
      <c r="CV55" s="289"/>
      <c r="CW55" s="289"/>
      <c r="CX55" s="289"/>
      <c r="CY55" s="289"/>
      <c r="CZ55" s="289"/>
      <c r="DA55" s="289"/>
      <c r="DB55" s="289"/>
      <c r="DC55" s="289"/>
      <c r="DD55" s="289"/>
      <c r="DE55" s="289"/>
      <c r="DF55" s="289"/>
      <c r="DG55" s="289"/>
      <c r="DH55" s="289"/>
      <c r="DI55" s="290"/>
      <c r="DJ55" s="681"/>
      <c r="DK55" s="682"/>
      <c r="DL55" s="682"/>
      <c r="DM55" s="682"/>
      <c r="DN55" s="682"/>
      <c r="DO55" s="682"/>
      <c r="DP55" s="682"/>
      <c r="DQ55" s="682"/>
      <c r="DR55" s="682"/>
      <c r="DS55" s="682"/>
      <c r="DT55" s="682"/>
      <c r="DU55" s="682"/>
      <c r="DV55" s="682"/>
      <c r="DW55" s="682"/>
      <c r="DX55" s="682"/>
      <c r="DY55" s="682"/>
      <c r="DZ55" s="682"/>
      <c r="EA55" s="682"/>
      <c r="EB55" s="682"/>
      <c r="EC55" s="682"/>
      <c r="ED55" s="682"/>
      <c r="EE55" s="682"/>
      <c r="EF55" s="682"/>
      <c r="EG55" s="682"/>
      <c r="EH55" s="682"/>
      <c r="EI55" s="682"/>
      <c r="EJ55" s="682"/>
      <c r="EK55" s="682"/>
      <c r="EL55" s="682"/>
      <c r="EM55" s="682"/>
      <c r="EN55" s="682"/>
      <c r="EO55" s="682"/>
      <c r="EP55" s="682"/>
      <c r="EQ55" s="682"/>
      <c r="ER55" s="682"/>
      <c r="ES55" s="682"/>
      <c r="ET55" s="682"/>
      <c r="EU55" s="682"/>
      <c r="EV55" s="682"/>
      <c r="EW55" s="682"/>
      <c r="EX55" s="682"/>
      <c r="EY55" s="682"/>
      <c r="EZ55" s="682"/>
      <c r="FA55" s="682"/>
      <c r="FB55" s="682"/>
      <c r="FC55" s="682"/>
      <c r="FD55" s="682"/>
      <c r="FE55" s="682"/>
      <c r="FF55" s="682"/>
      <c r="FG55" s="683"/>
      <c r="FH55" s="287"/>
    </row>
    <row r="56" spans="1:164" ht="8.65" customHeight="1">
      <c r="A56" s="269"/>
      <c r="B56" s="686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7"/>
      <c r="P56" s="687"/>
      <c r="Q56" s="687"/>
      <c r="R56" s="687"/>
      <c r="S56" s="687"/>
      <c r="T56" s="687"/>
      <c r="U56" s="687"/>
      <c r="V56" s="687"/>
      <c r="W56" s="687"/>
      <c r="X56" s="687"/>
      <c r="Y56" s="687"/>
      <c r="Z56" s="687"/>
      <c r="AA56" s="687"/>
      <c r="AB56" s="687"/>
      <c r="AC56" s="687"/>
      <c r="AD56" s="687"/>
      <c r="AE56" s="687"/>
      <c r="AF56" s="687"/>
      <c r="AG56" s="687"/>
      <c r="AH56" s="687"/>
      <c r="AI56" s="687"/>
      <c r="AJ56" s="687"/>
      <c r="AK56" s="687"/>
      <c r="AL56" s="687"/>
      <c r="AM56" s="687"/>
      <c r="AN56" s="687"/>
      <c r="AO56" s="687"/>
      <c r="AP56" s="687"/>
      <c r="AQ56" s="687"/>
      <c r="AR56" s="687"/>
      <c r="AS56" s="687"/>
      <c r="AT56" s="687"/>
      <c r="AU56" s="291"/>
      <c r="AV56" s="291"/>
      <c r="AW56" s="291"/>
      <c r="AX56" s="291"/>
      <c r="AY56" s="291"/>
      <c r="AZ56" s="291"/>
      <c r="BA56" s="291"/>
      <c r="BB56" s="291"/>
      <c r="BC56" s="291"/>
      <c r="BD56" s="291"/>
      <c r="BE56" s="291"/>
      <c r="BF56" s="291"/>
      <c r="BG56" s="291"/>
      <c r="BH56" s="291"/>
      <c r="BI56" s="291"/>
      <c r="BJ56" s="291"/>
      <c r="BK56" s="291"/>
      <c r="BL56" s="291"/>
      <c r="BM56" s="291"/>
      <c r="BN56" s="291"/>
      <c r="BO56" s="291"/>
      <c r="BP56" s="291"/>
      <c r="BQ56" s="291"/>
      <c r="BR56" s="291"/>
      <c r="BS56" s="291"/>
      <c r="BT56" s="291"/>
      <c r="BU56" s="291"/>
      <c r="BV56" s="291"/>
      <c r="BW56" s="291"/>
      <c r="BX56" s="291"/>
      <c r="BY56" s="291"/>
      <c r="BZ56" s="291"/>
      <c r="CA56" s="291"/>
      <c r="CB56" s="291"/>
      <c r="CC56" s="291"/>
      <c r="CD56" s="291"/>
      <c r="CE56" s="291"/>
      <c r="CF56" s="291"/>
      <c r="CG56" s="291"/>
      <c r="CH56" s="291"/>
      <c r="CI56" s="291"/>
      <c r="CJ56" s="291"/>
      <c r="CK56" s="291"/>
      <c r="CL56" s="291"/>
      <c r="CM56" s="291"/>
      <c r="CN56" s="291"/>
      <c r="CO56" s="291"/>
      <c r="CP56" s="291"/>
      <c r="CQ56" s="291"/>
      <c r="CR56" s="291"/>
      <c r="CS56" s="291"/>
      <c r="CT56" s="291"/>
      <c r="CU56" s="291"/>
      <c r="CV56" s="291"/>
      <c r="CW56" s="291"/>
      <c r="CX56" s="291"/>
      <c r="CY56" s="291"/>
      <c r="CZ56" s="291"/>
      <c r="DA56" s="291"/>
      <c r="DB56" s="291"/>
      <c r="DC56" s="291"/>
      <c r="DD56" s="291"/>
      <c r="DE56" s="291"/>
      <c r="DF56" s="291"/>
      <c r="DG56" s="291"/>
      <c r="DH56" s="291"/>
      <c r="DI56" s="292"/>
      <c r="DJ56" s="681" t="s">
        <v>6409</v>
      </c>
      <c r="DK56" s="682"/>
      <c r="DL56" s="682"/>
      <c r="DM56" s="682"/>
      <c r="DN56" s="682"/>
      <c r="DO56" s="682"/>
      <c r="DP56" s="682"/>
      <c r="DQ56" s="682"/>
      <c r="DR56" s="682"/>
      <c r="DS56" s="682"/>
      <c r="DT56" s="682"/>
      <c r="DU56" s="682"/>
      <c r="DV56" s="682"/>
      <c r="DW56" s="682"/>
      <c r="DX56" s="682"/>
      <c r="DY56" s="682"/>
      <c r="DZ56" s="682"/>
      <c r="EA56" s="682"/>
      <c r="EB56" s="682"/>
      <c r="EC56" s="682"/>
      <c r="ED56" s="682"/>
      <c r="EE56" s="682"/>
      <c r="EF56" s="682"/>
      <c r="EG56" s="682"/>
      <c r="EH56" s="682"/>
      <c r="EI56" s="682"/>
      <c r="EJ56" s="682"/>
      <c r="EK56" s="682"/>
      <c r="EL56" s="682"/>
      <c r="EM56" s="682"/>
      <c r="EN56" s="682"/>
      <c r="EO56" s="682"/>
      <c r="EP56" s="682"/>
      <c r="EQ56" s="682"/>
      <c r="ER56" s="682"/>
      <c r="ES56" s="682"/>
      <c r="ET56" s="682"/>
      <c r="EU56" s="682"/>
      <c r="EV56" s="682"/>
      <c r="EW56" s="682"/>
      <c r="EX56" s="682"/>
      <c r="EY56" s="682"/>
      <c r="EZ56" s="682"/>
      <c r="FA56" s="682"/>
      <c r="FB56" s="682"/>
      <c r="FC56" s="682"/>
      <c r="FD56" s="682"/>
      <c r="FE56" s="682"/>
      <c r="FF56" s="682"/>
      <c r="FG56" s="683"/>
      <c r="FH56" s="287"/>
    </row>
    <row r="57" spans="1:164" ht="8.65" customHeight="1">
      <c r="A57" s="269"/>
      <c r="B57" s="688" t="s">
        <v>6410</v>
      </c>
      <c r="C57" s="689"/>
      <c r="D57" s="689"/>
      <c r="E57" s="689"/>
      <c r="F57" s="689"/>
      <c r="G57" s="689"/>
      <c r="H57" s="689"/>
      <c r="I57" s="689"/>
      <c r="J57" s="689"/>
      <c r="K57" s="689"/>
      <c r="L57" s="689"/>
      <c r="M57" s="689"/>
      <c r="N57" s="689"/>
      <c r="O57" s="689"/>
      <c r="P57" s="689"/>
      <c r="Q57" s="689"/>
      <c r="R57" s="689"/>
      <c r="S57" s="689"/>
      <c r="T57" s="689"/>
      <c r="U57" s="689"/>
      <c r="V57" s="689"/>
      <c r="W57" s="689"/>
      <c r="X57" s="689"/>
      <c r="Y57" s="689"/>
      <c r="Z57" s="689"/>
      <c r="AA57" s="689"/>
      <c r="AB57" s="689"/>
      <c r="AC57" s="689"/>
      <c r="AD57" s="689"/>
      <c r="AE57" s="689"/>
      <c r="AF57" s="689"/>
      <c r="AG57" s="689"/>
      <c r="AH57" s="689"/>
      <c r="AI57" s="689"/>
      <c r="AJ57" s="689"/>
      <c r="AK57" s="689"/>
      <c r="AL57" s="689"/>
      <c r="AM57" s="689"/>
      <c r="AN57" s="689"/>
      <c r="AO57" s="689"/>
      <c r="AP57" s="689"/>
      <c r="AQ57" s="689"/>
      <c r="AR57" s="689"/>
      <c r="AS57" s="689"/>
      <c r="AT57" s="689"/>
      <c r="AU57" s="689"/>
      <c r="AV57" s="689"/>
      <c r="AW57" s="689"/>
      <c r="AX57" s="689"/>
      <c r="AY57" s="689"/>
      <c r="AZ57" s="689"/>
      <c r="BA57" s="689"/>
      <c r="BB57" s="689"/>
      <c r="BC57" s="689"/>
      <c r="BD57" s="689"/>
      <c r="BE57" s="689"/>
      <c r="BF57" s="689"/>
      <c r="BG57" s="689"/>
      <c r="BH57" s="689"/>
      <c r="BI57" s="689"/>
      <c r="BJ57" s="689"/>
      <c r="BK57" s="689"/>
      <c r="BL57" s="689"/>
      <c r="BM57" s="689"/>
      <c r="BN57" s="689"/>
      <c r="BO57" s="689"/>
      <c r="BP57" s="689"/>
      <c r="BQ57" s="689"/>
      <c r="BR57" s="689"/>
      <c r="BS57" s="689"/>
      <c r="BT57" s="689"/>
      <c r="BU57" s="689"/>
      <c r="BV57" s="689"/>
      <c r="BW57" s="689"/>
      <c r="BX57" s="689"/>
      <c r="BY57" s="689"/>
      <c r="BZ57" s="689"/>
      <c r="CA57" s="689"/>
      <c r="CB57" s="689"/>
      <c r="CC57" s="689"/>
      <c r="CD57" s="689"/>
      <c r="CE57" s="689"/>
      <c r="CF57" s="689"/>
      <c r="CG57" s="689"/>
      <c r="CH57" s="689"/>
      <c r="CI57" s="689"/>
      <c r="CJ57" s="689"/>
      <c r="CK57" s="689"/>
      <c r="CL57" s="689"/>
      <c r="CM57" s="689"/>
      <c r="CN57" s="689"/>
      <c r="CO57" s="689"/>
      <c r="CP57" s="689"/>
      <c r="CQ57" s="689"/>
      <c r="CR57" s="689"/>
      <c r="CS57" s="689"/>
      <c r="CT57" s="689"/>
      <c r="CU57" s="689"/>
      <c r="CV57" s="689"/>
      <c r="CW57" s="689"/>
      <c r="CX57" s="689"/>
      <c r="CY57" s="689"/>
      <c r="CZ57" s="689"/>
      <c r="DA57" s="689"/>
      <c r="DB57" s="689"/>
      <c r="DC57" s="689"/>
      <c r="DD57" s="689"/>
      <c r="DE57" s="689"/>
      <c r="DF57" s="689"/>
      <c r="DG57" s="689"/>
      <c r="DH57" s="689"/>
      <c r="DI57" s="690"/>
      <c r="DJ57" s="681"/>
      <c r="DK57" s="682"/>
      <c r="DL57" s="682"/>
      <c r="DM57" s="682"/>
      <c r="DN57" s="682"/>
      <c r="DO57" s="682"/>
      <c r="DP57" s="682"/>
      <c r="DQ57" s="682"/>
      <c r="DR57" s="682"/>
      <c r="DS57" s="682"/>
      <c r="DT57" s="682"/>
      <c r="DU57" s="682"/>
      <c r="DV57" s="682"/>
      <c r="DW57" s="682"/>
      <c r="DX57" s="682"/>
      <c r="DY57" s="682"/>
      <c r="DZ57" s="682"/>
      <c r="EA57" s="682"/>
      <c r="EB57" s="682"/>
      <c r="EC57" s="682"/>
      <c r="ED57" s="682"/>
      <c r="EE57" s="682"/>
      <c r="EF57" s="682"/>
      <c r="EG57" s="682"/>
      <c r="EH57" s="682"/>
      <c r="EI57" s="682"/>
      <c r="EJ57" s="682"/>
      <c r="EK57" s="682"/>
      <c r="EL57" s="682"/>
      <c r="EM57" s="682"/>
      <c r="EN57" s="682"/>
      <c r="EO57" s="682"/>
      <c r="EP57" s="682"/>
      <c r="EQ57" s="682"/>
      <c r="ER57" s="682"/>
      <c r="ES57" s="682"/>
      <c r="ET57" s="682"/>
      <c r="EU57" s="682"/>
      <c r="EV57" s="682"/>
      <c r="EW57" s="682"/>
      <c r="EX57" s="682"/>
      <c r="EY57" s="682"/>
      <c r="EZ57" s="682"/>
      <c r="FA57" s="682"/>
      <c r="FB57" s="682"/>
      <c r="FC57" s="682"/>
      <c r="FD57" s="682"/>
      <c r="FE57" s="682"/>
      <c r="FF57" s="682"/>
      <c r="FG57" s="683"/>
      <c r="FH57" s="287"/>
    </row>
    <row r="58" spans="1:164" ht="8.65" customHeight="1" thickBot="1">
      <c r="A58" s="269"/>
      <c r="B58" s="691"/>
      <c r="C58" s="692"/>
      <c r="D58" s="692"/>
      <c r="E58" s="692"/>
      <c r="F58" s="692"/>
      <c r="G58" s="692"/>
      <c r="H58" s="692"/>
      <c r="I58" s="692"/>
      <c r="J58" s="692"/>
      <c r="K58" s="692"/>
      <c r="L58" s="692"/>
      <c r="M58" s="692"/>
      <c r="N58" s="692"/>
      <c r="O58" s="692"/>
      <c r="P58" s="692"/>
      <c r="Q58" s="692"/>
      <c r="R58" s="692"/>
      <c r="S58" s="692"/>
      <c r="T58" s="692"/>
      <c r="U58" s="692"/>
      <c r="V58" s="692"/>
      <c r="W58" s="692"/>
      <c r="X58" s="692"/>
      <c r="Y58" s="692"/>
      <c r="Z58" s="692"/>
      <c r="AA58" s="692"/>
      <c r="AB58" s="692"/>
      <c r="AC58" s="692"/>
      <c r="AD58" s="692"/>
      <c r="AE58" s="692"/>
      <c r="AF58" s="692"/>
      <c r="AG58" s="692"/>
      <c r="AH58" s="692"/>
      <c r="AI58" s="692"/>
      <c r="AJ58" s="692"/>
      <c r="AK58" s="692"/>
      <c r="AL58" s="692"/>
      <c r="AM58" s="692"/>
      <c r="AN58" s="692"/>
      <c r="AO58" s="692"/>
      <c r="AP58" s="692"/>
      <c r="AQ58" s="692"/>
      <c r="AR58" s="692"/>
      <c r="AS58" s="692"/>
      <c r="AT58" s="692"/>
      <c r="AU58" s="692"/>
      <c r="AV58" s="692"/>
      <c r="AW58" s="692"/>
      <c r="AX58" s="692"/>
      <c r="AY58" s="692"/>
      <c r="AZ58" s="692"/>
      <c r="BA58" s="692"/>
      <c r="BB58" s="692"/>
      <c r="BC58" s="692"/>
      <c r="BD58" s="692"/>
      <c r="BE58" s="692"/>
      <c r="BF58" s="692"/>
      <c r="BG58" s="692"/>
      <c r="BH58" s="692"/>
      <c r="BI58" s="692"/>
      <c r="BJ58" s="692"/>
      <c r="BK58" s="692"/>
      <c r="BL58" s="692"/>
      <c r="BM58" s="692"/>
      <c r="BN58" s="692"/>
      <c r="BO58" s="692"/>
      <c r="BP58" s="692"/>
      <c r="BQ58" s="692"/>
      <c r="BR58" s="692"/>
      <c r="BS58" s="692"/>
      <c r="BT58" s="692"/>
      <c r="BU58" s="692"/>
      <c r="BV58" s="692"/>
      <c r="BW58" s="692"/>
      <c r="BX58" s="692"/>
      <c r="BY58" s="692"/>
      <c r="BZ58" s="692"/>
      <c r="CA58" s="692"/>
      <c r="CB58" s="692"/>
      <c r="CC58" s="692"/>
      <c r="CD58" s="692"/>
      <c r="CE58" s="692"/>
      <c r="CF58" s="692"/>
      <c r="CG58" s="692"/>
      <c r="CH58" s="692"/>
      <c r="CI58" s="692"/>
      <c r="CJ58" s="692"/>
      <c r="CK58" s="692"/>
      <c r="CL58" s="692"/>
      <c r="CM58" s="692"/>
      <c r="CN58" s="692"/>
      <c r="CO58" s="692"/>
      <c r="CP58" s="692"/>
      <c r="CQ58" s="692"/>
      <c r="CR58" s="692"/>
      <c r="CS58" s="692"/>
      <c r="CT58" s="692"/>
      <c r="CU58" s="692"/>
      <c r="CV58" s="692"/>
      <c r="CW58" s="692"/>
      <c r="CX58" s="692"/>
      <c r="CY58" s="692"/>
      <c r="CZ58" s="692"/>
      <c r="DA58" s="692"/>
      <c r="DB58" s="692"/>
      <c r="DC58" s="692"/>
      <c r="DD58" s="692"/>
      <c r="DE58" s="692"/>
      <c r="DF58" s="692"/>
      <c r="DG58" s="692"/>
      <c r="DH58" s="692"/>
      <c r="DI58" s="693"/>
      <c r="DJ58" s="681"/>
      <c r="DK58" s="682"/>
      <c r="DL58" s="682"/>
      <c r="DM58" s="682"/>
      <c r="DN58" s="682"/>
      <c r="DO58" s="682"/>
      <c r="DP58" s="682"/>
      <c r="DQ58" s="682"/>
      <c r="DR58" s="682"/>
      <c r="DS58" s="682"/>
      <c r="DT58" s="682"/>
      <c r="DU58" s="682"/>
      <c r="DV58" s="682"/>
      <c r="DW58" s="682"/>
      <c r="DX58" s="682"/>
      <c r="DY58" s="682"/>
      <c r="DZ58" s="682"/>
      <c r="EA58" s="682"/>
      <c r="EB58" s="682"/>
      <c r="EC58" s="682"/>
      <c r="ED58" s="682"/>
      <c r="EE58" s="682"/>
      <c r="EF58" s="682"/>
      <c r="EG58" s="682"/>
      <c r="EH58" s="682"/>
      <c r="EI58" s="682"/>
      <c r="EJ58" s="682"/>
      <c r="EK58" s="682"/>
      <c r="EL58" s="682"/>
      <c r="EM58" s="682"/>
      <c r="EN58" s="682"/>
      <c r="EO58" s="682"/>
      <c r="EP58" s="682"/>
      <c r="EQ58" s="682"/>
      <c r="ER58" s="682"/>
      <c r="ES58" s="682"/>
      <c r="ET58" s="682"/>
      <c r="EU58" s="682"/>
      <c r="EV58" s="682"/>
      <c r="EW58" s="682"/>
      <c r="EX58" s="682"/>
      <c r="EY58" s="682"/>
      <c r="EZ58" s="682"/>
      <c r="FA58" s="682"/>
      <c r="FB58" s="682"/>
      <c r="FC58" s="682"/>
      <c r="FD58" s="682"/>
      <c r="FE58" s="682"/>
      <c r="FF58" s="682"/>
      <c r="FG58" s="683"/>
      <c r="FH58" s="287"/>
    </row>
    <row r="59" spans="1:164" ht="8.65" customHeight="1" thickTop="1">
      <c r="A59" s="269"/>
      <c r="B59" s="482" t="s">
        <v>6412</v>
      </c>
      <c r="C59" s="469"/>
      <c r="D59" s="469"/>
      <c r="E59" s="469"/>
      <c r="F59" s="469"/>
      <c r="G59" s="469"/>
      <c r="H59" s="469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69"/>
      <c r="AB59" s="469"/>
      <c r="AC59" s="469"/>
      <c r="AD59" s="469"/>
      <c r="AE59" s="469"/>
      <c r="AF59" s="469"/>
      <c r="AG59" s="469"/>
      <c r="AH59" s="469"/>
      <c r="AI59" s="469"/>
      <c r="AJ59" s="469"/>
      <c r="AK59" s="469"/>
      <c r="AL59" s="469"/>
      <c r="AM59" s="469"/>
      <c r="AN59" s="469"/>
      <c r="AO59" s="469"/>
      <c r="AP59" s="469"/>
      <c r="AQ59" s="469"/>
      <c r="AR59" s="469"/>
      <c r="AS59" s="469"/>
      <c r="AT59" s="469"/>
      <c r="AU59" s="482" t="s">
        <v>6398</v>
      </c>
      <c r="AV59" s="469"/>
      <c r="AW59" s="469"/>
      <c r="AX59" s="469"/>
      <c r="AY59" s="469"/>
      <c r="AZ59" s="469"/>
      <c r="BA59" s="469"/>
      <c r="BB59" s="469"/>
      <c r="BC59" s="696" t="s">
        <v>6399</v>
      </c>
      <c r="BD59" s="469"/>
      <c r="BE59" s="469"/>
      <c r="BF59" s="469"/>
      <c r="BG59" s="469"/>
      <c r="BH59" s="469"/>
      <c r="BI59" s="469"/>
      <c r="BJ59" s="469"/>
      <c r="BK59" s="469"/>
      <c r="BL59" s="469"/>
      <c r="BM59" s="469"/>
      <c r="BN59" s="469"/>
      <c r="BO59" s="469"/>
      <c r="BP59" s="469"/>
      <c r="BQ59" s="696" t="s">
        <v>6400</v>
      </c>
      <c r="BR59" s="469"/>
      <c r="BS59" s="469"/>
      <c r="BT59" s="469"/>
      <c r="BU59" s="469"/>
      <c r="BV59" s="469"/>
      <c r="BW59" s="469"/>
      <c r="BX59" s="474"/>
      <c r="BY59" s="469" t="s">
        <v>6401</v>
      </c>
      <c r="BZ59" s="469"/>
      <c r="CA59" s="469"/>
      <c r="CB59" s="469"/>
      <c r="CC59" s="469"/>
      <c r="CD59" s="469"/>
      <c r="CE59" s="469"/>
      <c r="CF59" s="469"/>
      <c r="CG59" s="469"/>
      <c r="CH59" s="469"/>
      <c r="CI59" s="469"/>
      <c r="CJ59" s="469"/>
      <c r="CK59" s="469"/>
      <c r="CL59" s="469"/>
      <c r="CM59" s="469"/>
      <c r="CN59" s="469"/>
      <c r="CO59" s="469"/>
      <c r="CP59" s="469"/>
      <c r="CQ59" s="469"/>
      <c r="CR59" s="469"/>
      <c r="CS59" s="469"/>
      <c r="CT59" s="469"/>
      <c r="CU59" s="469"/>
      <c r="CV59" s="469"/>
      <c r="CW59" s="469"/>
      <c r="CX59" s="469"/>
      <c r="CY59" s="469"/>
      <c r="CZ59" s="469"/>
      <c r="DA59" s="469"/>
      <c r="DB59" s="469"/>
      <c r="DC59" s="469"/>
      <c r="DD59" s="469"/>
      <c r="DE59" s="469"/>
      <c r="DF59" s="469"/>
      <c r="DG59" s="469"/>
      <c r="DH59" s="469"/>
      <c r="DI59" s="474"/>
      <c r="DJ59" s="681" t="s">
        <v>6415</v>
      </c>
      <c r="DK59" s="682"/>
      <c r="DL59" s="682"/>
      <c r="DM59" s="682"/>
      <c r="DN59" s="682"/>
      <c r="DO59" s="682"/>
      <c r="DP59" s="682"/>
      <c r="DQ59" s="682"/>
      <c r="DR59" s="682"/>
      <c r="DS59" s="682"/>
      <c r="DT59" s="682"/>
      <c r="DU59" s="682"/>
      <c r="DV59" s="682"/>
      <c r="DW59" s="682"/>
      <c r="DX59" s="682"/>
      <c r="DY59" s="682"/>
      <c r="DZ59" s="682"/>
      <c r="EA59" s="682"/>
      <c r="EB59" s="682"/>
      <c r="EC59" s="682"/>
      <c r="ED59" s="682"/>
      <c r="EE59" s="682"/>
      <c r="EF59" s="682"/>
      <c r="EG59" s="682"/>
      <c r="EH59" s="682"/>
      <c r="EI59" s="682"/>
      <c r="EJ59" s="682"/>
      <c r="EK59" s="682"/>
      <c r="EL59" s="682"/>
      <c r="EM59" s="682"/>
      <c r="EN59" s="682"/>
      <c r="EO59" s="682"/>
      <c r="EP59" s="682"/>
      <c r="EQ59" s="682"/>
      <c r="ER59" s="682"/>
      <c r="ES59" s="682"/>
      <c r="ET59" s="682"/>
      <c r="EU59" s="682"/>
      <c r="EV59" s="682"/>
      <c r="EW59" s="682"/>
      <c r="EX59" s="682"/>
      <c r="EY59" s="682"/>
      <c r="EZ59" s="682"/>
      <c r="FA59" s="682"/>
      <c r="FB59" s="682"/>
      <c r="FC59" s="682"/>
      <c r="FD59" s="682"/>
      <c r="FE59" s="682"/>
      <c r="FF59" s="682"/>
      <c r="FG59" s="683"/>
      <c r="FH59" s="287"/>
    </row>
    <row r="60" spans="1:164" ht="8.65" customHeight="1">
      <c r="A60" s="269"/>
      <c r="B60" s="483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2"/>
      <c r="U60" s="472"/>
      <c r="V60" s="472"/>
      <c r="W60" s="472"/>
      <c r="X60" s="472"/>
      <c r="Y60" s="472"/>
      <c r="Z60" s="472"/>
      <c r="AA60" s="472"/>
      <c r="AB60" s="472"/>
      <c r="AC60" s="472"/>
      <c r="AD60" s="472"/>
      <c r="AE60" s="472"/>
      <c r="AF60" s="472"/>
      <c r="AG60" s="472"/>
      <c r="AH60" s="472"/>
      <c r="AI60" s="472"/>
      <c r="AJ60" s="472"/>
      <c r="AK60" s="472"/>
      <c r="AL60" s="472"/>
      <c r="AM60" s="472"/>
      <c r="AN60" s="472"/>
      <c r="AO60" s="472"/>
      <c r="AP60" s="472"/>
      <c r="AQ60" s="472"/>
      <c r="AR60" s="472"/>
      <c r="AS60" s="472"/>
      <c r="AT60" s="472"/>
      <c r="AU60" s="483"/>
      <c r="AV60" s="472"/>
      <c r="AW60" s="472"/>
      <c r="AX60" s="472"/>
      <c r="AY60" s="472"/>
      <c r="AZ60" s="472"/>
      <c r="BA60" s="472"/>
      <c r="BB60" s="472"/>
      <c r="BC60" s="697"/>
      <c r="BD60" s="472"/>
      <c r="BE60" s="472"/>
      <c r="BF60" s="472"/>
      <c r="BG60" s="472"/>
      <c r="BH60" s="472"/>
      <c r="BI60" s="472"/>
      <c r="BJ60" s="472"/>
      <c r="BK60" s="472"/>
      <c r="BL60" s="472"/>
      <c r="BM60" s="472"/>
      <c r="BN60" s="472"/>
      <c r="BO60" s="472"/>
      <c r="BP60" s="472"/>
      <c r="BQ60" s="697"/>
      <c r="BR60" s="472"/>
      <c r="BS60" s="472"/>
      <c r="BT60" s="472"/>
      <c r="BU60" s="472"/>
      <c r="BV60" s="472"/>
      <c r="BW60" s="472"/>
      <c r="BX60" s="475"/>
      <c r="BY60" s="700"/>
      <c r="BZ60" s="700"/>
      <c r="CA60" s="700"/>
      <c r="CB60" s="700"/>
      <c r="CC60" s="700"/>
      <c r="CD60" s="700"/>
      <c r="CE60" s="700"/>
      <c r="CF60" s="700"/>
      <c r="CG60" s="700"/>
      <c r="CH60" s="700"/>
      <c r="CI60" s="700"/>
      <c r="CJ60" s="700"/>
      <c r="CK60" s="700"/>
      <c r="CL60" s="700"/>
      <c r="CM60" s="700"/>
      <c r="CN60" s="700"/>
      <c r="CO60" s="700"/>
      <c r="CP60" s="700"/>
      <c r="CQ60" s="700"/>
      <c r="CR60" s="700"/>
      <c r="CS60" s="700"/>
      <c r="CT60" s="700"/>
      <c r="CU60" s="700"/>
      <c r="CV60" s="700"/>
      <c r="CW60" s="700"/>
      <c r="CX60" s="700"/>
      <c r="CY60" s="700"/>
      <c r="CZ60" s="700"/>
      <c r="DA60" s="700"/>
      <c r="DB60" s="700"/>
      <c r="DC60" s="700"/>
      <c r="DD60" s="700"/>
      <c r="DE60" s="700"/>
      <c r="DF60" s="700"/>
      <c r="DG60" s="700"/>
      <c r="DH60" s="700"/>
      <c r="DI60" s="475"/>
      <c r="DJ60" s="681"/>
      <c r="DK60" s="682"/>
      <c r="DL60" s="682"/>
      <c r="DM60" s="682"/>
      <c r="DN60" s="682"/>
      <c r="DO60" s="682"/>
      <c r="DP60" s="682"/>
      <c r="DQ60" s="682"/>
      <c r="DR60" s="682"/>
      <c r="DS60" s="682"/>
      <c r="DT60" s="682"/>
      <c r="DU60" s="682"/>
      <c r="DV60" s="682"/>
      <c r="DW60" s="682"/>
      <c r="DX60" s="682"/>
      <c r="DY60" s="682"/>
      <c r="DZ60" s="682"/>
      <c r="EA60" s="682"/>
      <c r="EB60" s="682"/>
      <c r="EC60" s="682"/>
      <c r="ED60" s="682"/>
      <c r="EE60" s="682"/>
      <c r="EF60" s="682"/>
      <c r="EG60" s="682"/>
      <c r="EH60" s="682"/>
      <c r="EI60" s="682"/>
      <c r="EJ60" s="682"/>
      <c r="EK60" s="682"/>
      <c r="EL60" s="682"/>
      <c r="EM60" s="682"/>
      <c r="EN60" s="682"/>
      <c r="EO60" s="682"/>
      <c r="EP60" s="682"/>
      <c r="EQ60" s="682"/>
      <c r="ER60" s="682"/>
      <c r="ES60" s="682"/>
      <c r="ET60" s="682"/>
      <c r="EU60" s="682"/>
      <c r="EV60" s="682"/>
      <c r="EW60" s="682"/>
      <c r="EX60" s="682"/>
      <c r="EY60" s="682"/>
      <c r="EZ60" s="682"/>
      <c r="FA60" s="682"/>
      <c r="FB60" s="682"/>
      <c r="FC60" s="682"/>
      <c r="FD60" s="682"/>
      <c r="FE60" s="682"/>
      <c r="FF60" s="682"/>
      <c r="FG60" s="683"/>
      <c r="FH60" s="287"/>
    </row>
    <row r="61" spans="1:164" ht="8.65" customHeight="1">
      <c r="A61" s="269"/>
      <c r="B61" s="483"/>
      <c r="C61" s="472"/>
      <c r="D61" s="472"/>
      <c r="E61" s="472"/>
      <c r="F61" s="472"/>
      <c r="G61" s="472"/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2"/>
      <c r="U61" s="472"/>
      <c r="V61" s="472"/>
      <c r="W61" s="472"/>
      <c r="X61" s="472"/>
      <c r="Y61" s="472"/>
      <c r="Z61" s="472"/>
      <c r="AA61" s="472"/>
      <c r="AB61" s="472"/>
      <c r="AC61" s="472"/>
      <c r="AD61" s="472"/>
      <c r="AE61" s="472"/>
      <c r="AF61" s="472"/>
      <c r="AG61" s="472"/>
      <c r="AH61" s="472"/>
      <c r="AI61" s="472"/>
      <c r="AJ61" s="472"/>
      <c r="AK61" s="472"/>
      <c r="AL61" s="472"/>
      <c r="AM61" s="472"/>
      <c r="AN61" s="472"/>
      <c r="AO61" s="472"/>
      <c r="AP61" s="472"/>
      <c r="AQ61" s="472"/>
      <c r="AR61" s="472"/>
      <c r="AS61" s="472"/>
      <c r="AT61" s="472"/>
      <c r="AU61" s="483"/>
      <c r="AV61" s="472"/>
      <c r="AW61" s="472"/>
      <c r="AX61" s="472"/>
      <c r="AY61" s="472"/>
      <c r="AZ61" s="472"/>
      <c r="BA61" s="472"/>
      <c r="BB61" s="472"/>
      <c r="BC61" s="697"/>
      <c r="BD61" s="472"/>
      <c r="BE61" s="472"/>
      <c r="BF61" s="472"/>
      <c r="BG61" s="472"/>
      <c r="BH61" s="472"/>
      <c r="BI61" s="472"/>
      <c r="BJ61" s="472"/>
      <c r="BK61" s="472"/>
      <c r="BL61" s="472"/>
      <c r="BM61" s="472"/>
      <c r="BN61" s="472"/>
      <c r="BO61" s="472"/>
      <c r="BP61" s="472"/>
      <c r="BQ61" s="697"/>
      <c r="BR61" s="472"/>
      <c r="BS61" s="472"/>
      <c r="BT61" s="472"/>
      <c r="BU61" s="472"/>
      <c r="BV61" s="472"/>
      <c r="BW61" s="472"/>
      <c r="BX61" s="475"/>
      <c r="BY61" s="700"/>
      <c r="BZ61" s="700"/>
      <c r="CA61" s="700"/>
      <c r="CB61" s="700"/>
      <c r="CC61" s="700"/>
      <c r="CD61" s="700"/>
      <c r="CE61" s="700"/>
      <c r="CF61" s="700"/>
      <c r="CG61" s="700"/>
      <c r="CH61" s="700"/>
      <c r="CI61" s="700"/>
      <c r="CJ61" s="700"/>
      <c r="CK61" s="700"/>
      <c r="CL61" s="700"/>
      <c r="CM61" s="700"/>
      <c r="CN61" s="700"/>
      <c r="CO61" s="700"/>
      <c r="CP61" s="700"/>
      <c r="CQ61" s="700"/>
      <c r="CR61" s="700"/>
      <c r="CS61" s="700"/>
      <c r="CT61" s="700"/>
      <c r="CU61" s="700"/>
      <c r="CV61" s="700"/>
      <c r="CW61" s="700"/>
      <c r="CX61" s="700"/>
      <c r="CY61" s="700"/>
      <c r="CZ61" s="700"/>
      <c r="DA61" s="700"/>
      <c r="DB61" s="700"/>
      <c r="DC61" s="700"/>
      <c r="DD61" s="700"/>
      <c r="DE61" s="700"/>
      <c r="DF61" s="700"/>
      <c r="DG61" s="700"/>
      <c r="DH61" s="700"/>
      <c r="DI61" s="475"/>
      <c r="DJ61" s="681"/>
      <c r="DK61" s="682"/>
      <c r="DL61" s="682"/>
      <c r="DM61" s="682"/>
      <c r="DN61" s="682"/>
      <c r="DO61" s="682"/>
      <c r="DP61" s="682"/>
      <c r="DQ61" s="682"/>
      <c r="DR61" s="682"/>
      <c r="DS61" s="682"/>
      <c r="DT61" s="682"/>
      <c r="DU61" s="682"/>
      <c r="DV61" s="682"/>
      <c r="DW61" s="682"/>
      <c r="DX61" s="682"/>
      <c r="DY61" s="682"/>
      <c r="DZ61" s="682"/>
      <c r="EA61" s="682"/>
      <c r="EB61" s="682"/>
      <c r="EC61" s="682"/>
      <c r="ED61" s="682"/>
      <c r="EE61" s="682"/>
      <c r="EF61" s="682"/>
      <c r="EG61" s="682"/>
      <c r="EH61" s="682"/>
      <c r="EI61" s="682"/>
      <c r="EJ61" s="682"/>
      <c r="EK61" s="682"/>
      <c r="EL61" s="682"/>
      <c r="EM61" s="682"/>
      <c r="EN61" s="682"/>
      <c r="EO61" s="682"/>
      <c r="EP61" s="682"/>
      <c r="EQ61" s="682"/>
      <c r="ER61" s="682"/>
      <c r="ES61" s="682"/>
      <c r="ET61" s="682"/>
      <c r="EU61" s="682"/>
      <c r="EV61" s="682"/>
      <c r="EW61" s="682"/>
      <c r="EX61" s="682"/>
      <c r="EY61" s="682"/>
      <c r="EZ61" s="682"/>
      <c r="FA61" s="682"/>
      <c r="FB61" s="682"/>
      <c r="FC61" s="682"/>
      <c r="FD61" s="682"/>
      <c r="FE61" s="682"/>
      <c r="FF61" s="682"/>
      <c r="FG61" s="683"/>
      <c r="FH61" s="287"/>
    </row>
    <row r="62" spans="1:164" ht="8.65" customHeight="1">
      <c r="A62" s="269"/>
      <c r="B62" s="694"/>
      <c r="C62" s="695"/>
      <c r="D62" s="695"/>
      <c r="E62" s="695"/>
      <c r="F62" s="695"/>
      <c r="G62" s="695"/>
      <c r="H62" s="695"/>
      <c r="I62" s="695"/>
      <c r="J62" s="695"/>
      <c r="K62" s="695"/>
      <c r="L62" s="695"/>
      <c r="M62" s="695"/>
      <c r="N62" s="695"/>
      <c r="O62" s="695"/>
      <c r="P62" s="695"/>
      <c r="Q62" s="695"/>
      <c r="R62" s="695"/>
      <c r="S62" s="695"/>
      <c r="T62" s="695"/>
      <c r="U62" s="695"/>
      <c r="V62" s="695"/>
      <c r="W62" s="695"/>
      <c r="X62" s="695"/>
      <c r="Y62" s="695"/>
      <c r="Z62" s="695"/>
      <c r="AA62" s="695"/>
      <c r="AB62" s="695"/>
      <c r="AC62" s="695"/>
      <c r="AD62" s="695"/>
      <c r="AE62" s="695"/>
      <c r="AF62" s="695"/>
      <c r="AG62" s="695"/>
      <c r="AH62" s="695"/>
      <c r="AI62" s="695"/>
      <c r="AJ62" s="695"/>
      <c r="AK62" s="695"/>
      <c r="AL62" s="695"/>
      <c r="AM62" s="695"/>
      <c r="AN62" s="695"/>
      <c r="AO62" s="695"/>
      <c r="AP62" s="695"/>
      <c r="AQ62" s="695"/>
      <c r="AR62" s="695"/>
      <c r="AS62" s="695"/>
      <c r="AT62" s="695"/>
      <c r="AU62" s="694"/>
      <c r="AV62" s="695"/>
      <c r="AW62" s="695"/>
      <c r="AX62" s="695"/>
      <c r="AY62" s="695"/>
      <c r="AZ62" s="695"/>
      <c r="BA62" s="695"/>
      <c r="BB62" s="695"/>
      <c r="BC62" s="697"/>
      <c r="BD62" s="472"/>
      <c r="BE62" s="472"/>
      <c r="BF62" s="472"/>
      <c r="BG62" s="472"/>
      <c r="BH62" s="472"/>
      <c r="BI62" s="472"/>
      <c r="BJ62" s="472"/>
      <c r="BK62" s="472"/>
      <c r="BL62" s="472"/>
      <c r="BM62" s="472"/>
      <c r="BN62" s="472"/>
      <c r="BO62" s="472"/>
      <c r="BP62" s="472"/>
      <c r="BQ62" s="698"/>
      <c r="BR62" s="695"/>
      <c r="BS62" s="695"/>
      <c r="BT62" s="695"/>
      <c r="BU62" s="695"/>
      <c r="BV62" s="695"/>
      <c r="BW62" s="695"/>
      <c r="BX62" s="699"/>
      <c r="BY62" s="695"/>
      <c r="BZ62" s="695"/>
      <c r="CA62" s="695"/>
      <c r="CB62" s="695"/>
      <c r="CC62" s="695"/>
      <c r="CD62" s="695"/>
      <c r="CE62" s="695"/>
      <c r="CF62" s="695"/>
      <c r="CG62" s="695"/>
      <c r="CH62" s="695"/>
      <c r="CI62" s="695"/>
      <c r="CJ62" s="695"/>
      <c r="CK62" s="695"/>
      <c r="CL62" s="695"/>
      <c r="CM62" s="695"/>
      <c r="CN62" s="695"/>
      <c r="CO62" s="695"/>
      <c r="CP62" s="695"/>
      <c r="CQ62" s="695"/>
      <c r="CR62" s="695"/>
      <c r="CS62" s="695"/>
      <c r="CT62" s="695"/>
      <c r="CU62" s="695"/>
      <c r="CV62" s="695"/>
      <c r="CW62" s="695"/>
      <c r="CX62" s="695"/>
      <c r="CY62" s="695"/>
      <c r="CZ62" s="695"/>
      <c r="DA62" s="695"/>
      <c r="DB62" s="695"/>
      <c r="DC62" s="695"/>
      <c r="DD62" s="695"/>
      <c r="DE62" s="695"/>
      <c r="DF62" s="695"/>
      <c r="DG62" s="695"/>
      <c r="DH62" s="695"/>
      <c r="DI62" s="699"/>
      <c r="DJ62" s="658" t="s">
        <v>6416</v>
      </c>
      <c r="DK62" s="659"/>
      <c r="DL62" s="659"/>
      <c r="DM62" s="659"/>
      <c r="DN62" s="659"/>
      <c r="DO62" s="659"/>
      <c r="DP62" s="659"/>
      <c r="DQ62" s="659"/>
      <c r="DR62" s="659"/>
      <c r="DS62" s="659"/>
      <c r="DT62" s="659"/>
      <c r="DU62" s="659"/>
      <c r="DV62" s="659"/>
      <c r="DW62" s="659"/>
      <c r="DX62" s="659"/>
      <c r="DY62" s="659"/>
      <c r="DZ62" s="659"/>
      <c r="EA62" s="659"/>
      <c r="EB62" s="659"/>
      <c r="EC62" s="659"/>
      <c r="ED62" s="659"/>
      <c r="EE62" s="659"/>
      <c r="EF62" s="659"/>
      <c r="EG62" s="659"/>
      <c r="EH62" s="659"/>
      <c r="EI62" s="659"/>
      <c r="EJ62" s="659"/>
      <c r="EK62" s="659"/>
      <c r="EL62" s="659"/>
      <c r="EM62" s="659"/>
      <c r="EN62" s="659"/>
      <c r="EO62" s="659"/>
      <c r="EP62" s="659"/>
      <c r="EQ62" s="659"/>
      <c r="ER62" s="659"/>
      <c r="ES62" s="659"/>
      <c r="ET62" s="659"/>
      <c r="EU62" s="659"/>
      <c r="EV62" s="659"/>
      <c r="EW62" s="659"/>
      <c r="EX62" s="659"/>
      <c r="EY62" s="659"/>
      <c r="EZ62" s="659"/>
      <c r="FA62" s="659"/>
      <c r="FB62" s="659"/>
      <c r="FC62" s="659"/>
      <c r="FD62" s="659"/>
      <c r="FE62" s="659"/>
      <c r="FF62" s="659"/>
      <c r="FG62" s="660"/>
      <c r="FH62" s="287"/>
    </row>
    <row r="63" spans="1:164" ht="8.65" customHeight="1">
      <c r="A63" s="269"/>
      <c r="B63" s="661" t="s">
        <v>6417</v>
      </c>
      <c r="C63" s="662"/>
      <c r="D63" s="662"/>
      <c r="E63" s="662"/>
      <c r="F63" s="662"/>
      <c r="G63" s="662"/>
      <c r="H63" s="662"/>
      <c r="I63" s="662"/>
      <c r="J63" s="662"/>
      <c r="K63" s="662"/>
      <c r="L63" s="662"/>
      <c r="M63" s="662"/>
      <c r="N63" s="662"/>
      <c r="O63" s="662"/>
      <c r="P63" s="662"/>
      <c r="Q63" s="662"/>
      <c r="R63" s="662"/>
      <c r="S63" s="662"/>
      <c r="T63" s="662"/>
      <c r="U63" s="662"/>
      <c r="V63" s="662"/>
      <c r="W63" s="662"/>
      <c r="X63" s="662"/>
      <c r="Y63" s="662"/>
      <c r="Z63" s="662"/>
      <c r="AA63" s="662"/>
      <c r="AB63" s="662"/>
      <c r="AC63" s="662"/>
      <c r="AD63" s="662"/>
      <c r="AE63" s="662"/>
      <c r="AF63" s="662"/>
      <c r="AG63" s="662"/>
      <c r="AH63" s="662"/>
      <c r="AI63" s="662"/>
      <c r="AJ63" s="662"/>
      <c r="AK63" s="662"/>
      <c r="AL63" s="662"/>
      <c r="AM63" s="662"/>
      <c r="AN63" s="662"/>
      <c r="AO63" s="662"/>
      <c r="AP63" s="662"/>
      <c r="AQ63" s="662"/>
      <c r="AR63" s="662"/>
      <c r="AS63" s="662"/>
      <c r="AT63" s="663"/>
      <c r="AU63" s="664" t="s">
        <v>6552</v>
      </c>
      <c r="AV63" s="665"/>
      <c r="AW63" s="665"/>
      <c r="AX63" s="665"/>
      <c r="AY63" s="665"/>
      <c r="AZ63" s="665"/>
      <c r="BA63" s="665"/>
      <c r="BB63" s="665"/>
      <c r="BC63" s="668" t="s">
        <v>6553</v>
      </c>
      <c r="BD63" s="665"/>
      <c r="BE63" s="665"/>
      <c r="BF63" s="665"/>
      <c r="BG63" s="665"/>
      <c r="BH63" s="665"/>
      <c r="BI63" s="665"/>
      <c r="BJ63" s="665"/>
      <c r="BK63" s="665"/>
      <c r="BL63" s="665"/>
      <c r="BM63" s="665"/>
      <c r="BN63" s="665"/>
      <c r="BO63" s="665"/>
      <c r="BP63" s="665"/>
      <c r="BQ63" s="670" t="s">
        <v>6554</v>
      </c>
      <c r="BR63" s="671"/>
      <c r="BS63" s="671"/>
      <c r="BT63" s="671"/>
      <c r="BU63" s="671"/>
      <c r="BV63" s="671"/>
      <c r="BW63" s="671"/>
      <c r="BX63" s="672"/>
      <c r="BY63" s="674" t="s">
        <v>6402</v>
      </c>
      <c r="BZ63" s="674"/>
      <c r="CA63" s="674"/>
      <c r="CB63" s="674"/>
      <c r="CC63" s="674"/>
      <c r="CD63" s="674"/>
      <c r="CE63" s="674"/>
      <c r="CF63" s="674"/>
      <c r="CG63" s="674"/>
      <c r="CH63" s="674"/>
      <c r="CI63" s="674"/>
      <c r="CJ63" s="674"/>
      <c r="CK63" s="674"/>
      <c r="CL63" s="674"/>
      <c r="CM63" s="674"/>
      <c r="CN63" s="674"/>
      <c r="CO63" s="674"/>
      <c r="CP63" s="674"/>
      <c r="CQ63" s="674"/>
      <c r="CR63" s="674"/>
      <c r="CS63" s="674"/>
      <c r="CT63" s="674"/>
      <c r="CU63" s="674"/>
      <c r="CV63" s="674"/>
      <c r="CW63" s="674"/>
      <c r="CX63" s="674"/>
      <c r="CY63" s="674"/>
      <c r="CZ63" s="674"/>
      <c r="DA63" s="674"/>
      <c r="DB63" s="674"/>
      <c r="DC63" s="674"/>
      <c r="DD63" s="674"/>
      <c r="DE63" s="674"/>
      <c r="DF63" s="674"/>
      <c r="DG63" s="674"/>
      <c r="DH63" s="674"/>
      <c r="DI63" s="675"/>
      <c r="DJ63" s="658"/>
      <c r="DK63" s="659"/>
      <c r="DL63" s="659"/>
      <c r="DM63" s="659"/>
      <c r="DN63" s="659"/>
      <c r="DO63" s="659"/>
      <c r="DP63" s="659"/>
      <c r="DQ63" s="659"/>
      <c r="DR63" s="659"/>
      <c r="DS63" s="659"/>
      <c r="DT63" s="659"/>
      <c r="DU63" s="659"/>
      <c r="DV63" s="659"/>
      <c r="DW63" s="659"/>
      <c r="DX63" s="659"/>
      <c r="DY63" s="659"/>
      <c r="DZ63" s="659"/>
      <c r="EA63" s="659"/>
      <c r="EB63" s="659"/>
      <c r="EC63" s="659"/>
      <c r="ED63" s="659"/>
      <c r="EE63" s="659"/>
      <c r="EF63" s="659"/>
      <c r="EG63" s="659"/>
      <c r="EH63" s="659"/>
      <c r="EI63" s="659"/>
      <c r="EJ63" s="659"/>
      <c r="EK63" s="659"/>
      <c r="EL63" s="659"/>
      <c r="EM63" s="659"/>
      <c r="EN63" s="659"/>
      <c r="EO63" s="659"/>
      <c r="EP63" s="659"/>
      <c r="EQ63" s="659"/>
      <c r="ER63" s="659"/>
      <c r="ES63" s="659"/>
      <c r="ET63" s="659"/>
      <c r="EU63" s="659"/>
      <c r="EV63" s="659"/>
      <c r="EW63" s="659"/>
      <c r="EX63" s="659"/>
      <c r="EY63" s="659"/>
      <c r="EZ63" s="659"/>
      <c r="FA63" s="659"/>
      <c r="FB63" s="659"/>
      <c r="FC63" s="659"/>
      <c r="FD63" s="659"/>
      <c r="FE63" s="659"/>
      <c r="FF63" s="659"/>
      <c r="FG63" s="660"/>
      <c r="FH63" s="287"/>
    </row>
    <row r="64" spans="1:164" ht="8.65" customHeight="1">
      <c r="A64" s="269"/>
      <c r="B64" s="661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62"/>
      <c r="AB64" s="662"/>
      <c r="AC64" s="662"/>
      <c r="AD64" s="662"/>
      <c r="AE64" s="662"/>
      <c r="AF64" s="662"/>
      <c r="AG64" s="662"/>
      <c r="AH64" s="662"/>
      <c r="AI64" s="662"/>
      <c r="AJ64" s="662"/>
      <c r="AK64" s="662"/>
      <c r="AL64" s="662"/>
      <c r="AM64" s="662"/>
      <c r="AN64" s="662"/>
      <c r="AO64" s="662"/>
      <c r="AP64" s="662"/>
      <c r="AQ64" s="662"/>
      <c r="AR64" s="662"/>
      <c r="AS64" s="662"/>
      <c r="AT64" s="663"/>
      <c r="AU64" s="666"/>
      <c r="AV64" s="667"/>
      <c r="AW64" s="667"/>
      <c r="AX64" s="667"/>
      <c r="AY64" s="667"/>
      <c r="AZ64" s="667"/>
      <c r="BA64" s="667"/>
      <c r="BB64" s="667"/>
      <c r="BC64" s="669"/>
      <c r="BD64" s="667"/>
      <c r="BE64" s="667"/>
      <c r="BF64" s="667"/>
      <c r="BG64" s="667"/>
      <c r="BH64" s="667"/>
      <c r="BI64" s="667"/>
      <c r="BJ64" s="667"/>
      <c r="BK64" s="667"/>
      <c r="BL64" s="667"/>
      <c r="BM64" s="667"/>
      <c r="BN64" s="667"/>
      <c r="BO64" s="667"/>
      <c r="BP64" s="667"/>
      <c r="BQ64" s="669"/>
      <c r="BR64" s="667"/>
      <c r="BS64" s="667"/>
      <c r="BT64" s="667"/>
      <c r="BU64" s="667"/>
      <c r="BV64" s="667"/>
      <c r="BW64" s="667"/>
      <c r="BX64" s="673"/>
      <c r="BY64" s="676"/>
      <c r="BZ64" s="676"/>
      <c r="CA64" s="676"/>
      <c r="CB64" s="676"/>
      <c r="CC64" s="676"/>
      <c r="CD64" s="676"/>
      <c r="CE64" s="676"/>
      <c r="CF64" s="676"/>
      <c r="CG64" s="676"/>
      <c r="CH64" s="676"/>
      <c r="CI64" s="676"/>
      <c r="CJ64" s="676"/>
      <c r="CK64" s="676"/>
      <c r="CL64" s="676"/>
      <c r="CM64" s="676"/>
      <c r="CN64" s="676"/>
      <c r="CO64" s="676"/>
      <c r="CP64" s="676"/>
      <c r="CQ64" s="676"/>
      <c r="CR64" s="676"/>
      <c r="CS64" s="676"/>
      <c r="CT64" s="676"/>
      <c r="CU64" s="676"/>
      <c r="CV64" s="676"/>
      <c r="CW64" s="676"/>
      <c r="CX64" s="676"/>
      <c r="CY64" s="676"/>
      <c r="CZ64" s="676"/>
      <c r="DA64" s="676"/>
      <c r="DB64" s="676"/>
      <c r="DC64" s="676"/>
      <c r="DD64" s="676"/>
      <c r="DE64" s="676"/>
      <c r="DF64" s="676"/>
      <c r="DG64" s="676"/>
      <c r="DH64" s="676"/>
      <c r="DI64" s="677"/>
      <c r="DJ64" s="658"/>
      <c r="DK64" s="659"/>
      <c r="DL64" s="659"/>
      <c r="DM64" s="659"/>
      <c r="DN64" s="659"/>
      <c r="DO64" s="659"/>
      <c r="DP64" s="659"/>
      <c r="DQ64" s="659"/>
      <c r="DR64" s="659"/>
      <c r="DS64" s="659"/>
      <c r="DT64" s="659"/>
      <c r="DU64" s="659"/>
      <c r="DV64" s="659"/>
      <c r="DW64" s="659"/>
      <c r="DX64" s="659"/>
      <c r="DY64" s="659"/>
      <c r="DZ64" s="659"/>
      <c r="EA64" s="659"/>
      <c r="EB64" s="659"/>
      <c r="EC64" s="659"/>
      <c r="ED64" s="659"/>
      <c r="EE64" s="659"/>
      <c r="EF64" s="659"/>
      <c r="EG64" s="659"/>
      <c r="EH64" s="659"/>
      <c r="EI64" s="659"/>
      <c r="EJ64" s="659"/>
      <c r="EK64" s="659"/>
      <c r="EL64" s="659"/>
      <c r="EM64" s="659"/>
      <c r="EN64" s="659"/>
      <c r="EO64" s="659"/>
      <c r="EP64" s="659"/>
      <c r="EQ64" s="659"/>
      <c r="ER64" s="659"/>
      <c r="ES64" s="659"/>
      <c r="ET64" s="659"/>
      <c r="EU64" s="659"/>
      <c r="EV64" s="659"/>
      <c r="EW64" s="659"/>
      <c r="EX64" s="659"/>
      <c r="EY64" s="659"/>
      <c r="EZ64" s="659"/>
      <c r="FA64" s="659"/>
      <c r="FB64" s="659"/>
      <c r="FC64" s="659"/>
      <c r="FD64" s="659"/>
      <c r="FE64" s="659"/>
      <c r="FF64" s="659"/>
      <c r="FG64" s="660"/>
      <c r="FH64" s="287"/>
    </row>
    <row r="65" spans="1:164" ht="8.65" customHeight="1">
      <c r="A65" s="269"/>
      <c r="B65" s="661" t="s">
        <v>6418</v>
      </c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2"/>
      <c r="AB65" s="662"/>
      <c r="AC65" s="662"/>
      <c r="AD65" s="662"/>
      <c r="AE65" s="662"/>
      <c r="AF65" s="662"/>
      <c r="AG65" s="662"/>
      <c r="AH65" s="710" t="s">
        <v>6366</v>
      </c>
      <c r="AI65" s="710"/>
      <c r="AJ65" s="710"/>
      <c r="AK65" s="710"/>
      <c r="AL65" s="710"/>
      <c r="AM65" s="710"/>
      <c r="AN65" s="710"/>
      <c r="AO65" s="710"/>
      <c r="AP65" s="710"/>
      <c r="AQ65" s="710"/>
      <c r="AR65" s="710"/>
      <c r="AS65" s="710"/>
      <c r="AT65" s="711"/>
      <c r="AU65" s="712" t="s">
        <v>6404</v>
      </c>
      <c r="AV65" s="713"/>
      <c r="AW65" s="713"/>
      <c r="AX65" s="713"/>
      <c r="AY65" s="713"/>
      <c r="AZ65" s="713"/>
      <c r="BA65" s="713"/>
      <c r="BB65" s="713"/>
      <c r="BC65" s="713"/>
      <c r="BD65" s="713"/>
      <c r="BE65" s="713"/>
      <c r="BF65" s="713"/>
      <c r="BG65" s="713"/>
      <c r="BH65" s="713"/>
      <c r="BI65" s="713"/>
      <c r="BJ65" s="713"/>
      <c r="BK65" s="713"/>
      <c r="BL65" s="713"/>
      <c r="BM65" s="713"/>
      <c r="BN65" s="713"/>
      <c r="BO65" s="713"/>
      <c r="BP65" s="713"/>
      <c r="BQ65" s="713"/>
      <c r="BR65" s="713"/>
      <c r="BS65" s="713"/>
      <c r="BT65" s="713"/>
      <c r="BU65" s="713"/>
      <c r="BV65" s="713"/>
      <c r="BW65" s="713"/>
      <c r="BX65" s="714"/>
      <c r="BY65" s="718" t="s">
        <v>6405</v>
      </c>
      <c r="BZ65" s="719"/>
      <c r="CA65" s="719"/>
      <c r="CB65" s="719"/>
      <c r="CC65" s="719"/>
      <c r="CD65" s="719"/>
      <c r="CE65" s="719"/>
      <c r="CF65" s="719"/>
      <c r="CG65" s="719"/>
      <c r="CH65" s="719"/>
      <c r="CI65" s="719"/>
      <c r="CJ65" s="719"/>
      <c r="CK65" s="719"/>
      <c r="CL65" s="719"/>
      <c r="CM65" s="719"/>
      <c r="CN65" s="719"/>
      <c r="CO65" s="719"/>
      <c r="CP65" s="719"/>
      <c r="CQ65" s="719"/>
      <c r="CR65" s="719"/>
      <c r="CS65" s="719"/>
      <c r="CT65" s="719"/>
      <c r="CU65" s="719"/>
      <c r="CV65" s="719"/>
      <c r="CW65" s="719"/>
      <c r="CX65" s="719"/>
      <c r="CY65" s="719"/>
      <c r="CZ65" s="719"/>
      <c r="DA65" s="719"/>
      <c r="DB65" s="719"/>
      <c r="DC65" s="719"/>
      <c r="DD65" s="719"/>
      <c r="DE65" s="719"/>
      <c r="DF65" s="719"/>
      <c r="DG65" s="719"/>
      <c r="DH65" s="719"/>
      <c r="DI65" s="720"/>
      <c r="DJ65" s="724" t="s">
        <v>6420</v>
      </c>
      <c r="DK65" s="725"/>
      <c r="DL65" s="725"/>
      <c r="DM65" s="725"/>
      <c r="DN65" s="725"/>
      <c r="DO65" s="725"/>
      <c r="DP65" s="725"/>
      <c r="DQ65" s="725"/>
      <c r="DR65" s="725"/>
      <c r="DS65" s="725"/>
      <c r="DT65" s="725"/>
      <c r="DU65" s="725"/>
      <c r="DV65" s="725"/>
      <c r="DW65" s="725"/>
      <c r="DX65" s="725"/>
      <c r="DY65" s="725"/>
      <c r="DZ65" s="725"/>
      <c r="EA65" s="725"/>
      <c r="EB65" s="725"/>
      <c r="EC65" s="725"/>
      <c r="ED65" s="725"/>
      <c r="EE65" s="725"/>
      <c r="EF65" s="725"/>
      <c r="EG65" s="725"/>
      <c r="EH65" s="725"/>
      <c r="EI65" s="725"/>
      <c r="EJ65" s="725"/>
      <c r="EK65" s="725"/>
      <c r="EL65" s="725"/>
      <c r="EM65" s="725"/>
      <c r="EN65" s="725"/>
      <c r="EO65" s="725"/>
      <c r="EP65" s="725"/>
      <c r="EQ65" s="725"/>
      <c r="ER65" s="725"/>
      <c r="ES65" s="725"/>
      <c r="ET65" s="725"/>
      <c r="EU65" s="725"/>
      <c r="EV65" s="725"/>
      <c r="EW65" s="725"/>
      <c r="EX65" s="725"/>
      <c r="EY65" s="725"/>
      <c r="EZ65" s="725"/>
      <c r="FA65" s="725"/>
      <c r="FB65" s="725"/>
      <c r="FC65" s="725"/>
      <c r="FD65" s="725"/>
      <c r="FE65" s="725"/>
      <c r="FF65" s="725"/>
      <c r="FG65" s="726"/>
      <c r="FH65" s="287"/>
    </row>
    <row r="66" spans="1:164" ht="8.65" customHeight="1">
      <c r="A66" s="269"/>
      <c r="B66" s="661"/>
      <c r="C66" s="662"/>
      <c r="D66" s="662"/>
      <c r="E66" s="662"/>
      <c r="F66" s="662"/>
      <c r="G66" s="662"/>
      <c r="H66" s="662"/>
      <c r="I66" s="662"/>
      <c r="J66" s="662"/>
      <c r="K66" s="662"/>
      <c r="L66" s="662"/>
      <c r="M66" s="662"/>
      <c r="N66" s="662"/>
      <c r="O66" s="662"/>
      <c r="P66" s="662"/>
      <c r="Q66" s="662"/>
      <c r="R66" s="662"/>
      <c r="S66" s="662"/>
      <c r="T66" s="662"/>
      <c r="U66" s="662"/>
      <c r="V66" s="662"/>
      <c r="W66" s="662"/>
      <c r="X66" s="662"/>
      <c r="Y66" s="662"/>
      <c r="Z66" s="662"/>
      <c r="AA66" s="662"/>
      <c r="AB66" s="662"/>
      <c r="AC66" s="662"/>
      <c r="AD66" s="662"/>
      <c r="AE66" s="662"/>
      <c r="AF66" s="662"/>
      <c r="AG66" s="662"/>
      <c r="AH66" s="710"/>
      <c r="AI66" s="710"/>
      <c r="AJ66" s="710"/>
      <c r="AK66" s="710"/>
      <c r="AL66" s="710"/>
      <c r="AM66" s="710"/>
      <c r="AN66" s="710"/>
      <c r="AO66" s="710"/>
      <c r="AP66" s="710"/>
      <c r="AQ66" s="710"/>
      <c r="AR66" s="710"/>
      <c r="AS66" s="710"/>
      <c r="AT66" s="711"/>
      <c r="AU66" s="715"/>
      <c r="AV66" s="716"/>
      <c r="AW66" s="716"/>
      <c r="AX66" s="716"/>
      <c r="AY66" s="716"/>
      <c r="AZ66" s="716"/>
      <c r="BA66" s="716"/>
      <c r="BB66" s="716"/>
      <c r="BC66" s="716"/>
      <c r="BD66" s="716"/>
      <c r="BE66" s="716"/>
      <c r="BF66" s="716"/>
      <c r="BG66" s="716"/>
      <c r="BH66" s="716"/>
      <c r="BI66" s="716"/>
      <c r="BJ66" s="716"/>
      <c r="BK66" s="716"/>
      <c r="BL66" s="716"/>
      <c r="BM66" s="716"/>
      <c r="BN66" s="716"/>
      <c r="BO66" s="716"/>
      <c r="BP66" s="716"/>
      <c r="BQ66" s="716"/>
      <c r="BR66" s="716"/>
      <c r="BS66" s="716"/>
      <c r="BT66" s="716"/>
      <c r="BU66" s="716"/>
      <c r="BV66" s="716"/>
      <c r="BW66" s="716"/>
      <c r="BX66" s="717"/>
      <c r="BY66" s="718"/>
      <c r="BZ66" s="719"/>
      <c r="CA66" s="719"/>
      <c r="CB66" s="719"/>
      <c r="CC66" s="719"/>
      <c r="CD66" s="719"/>
      <c r="CE66" s="719"/>
      <c r="CF66" s="719"/>
      <c r="CG66" s="719"/>
      <c r="CH66" s="719"/>
      <c r="CI66" s="719"/>
      <c r="CJ66" s="719"/>
      <c r="CK66" s="719"/>
      <c r="CL66" s="719"/>
      <c r="CM66" s="719"/>
      <c r="CN66" s="719"/>
      <c r="CO66" s="719"/>
      <c r="CP66" s="719"/>
      <c r="CQ66" s="719"/>
      <c r="CR66" s="719"/>
      <c r="CS66" s="719"/>
      <c r="CT66" s="719"/>
      <c r="CU66" s="719"/>
      <c r="CV66" s="719"/>
      <c r="CW66" s="719"/>
      <c r="CX66" s="719"/>
      <c r="CY66" s="719"/>
      <c r="CZ66" s="719"/>
      <c r="DA66" s="719"/>
      <c r="DB66" s="719"/>
      <c r="DC66" s="719"/>
      <c r="DD66" s="719"/>
      <c r="DE66" s="719"/>
      <c r="DF66" s="719"/>
      <c r="DG66" s="719"/>
      <c r="DH66" s="719"/>
      <c r="DI66" s="720"/>
      <c r="DJ66" s="727"/>
      <c r="DK66" s="728"/>
      <c r="DL66" s="728"/>
      <c r="DM66" s="728"/>
      <c r="DN66" s="728"/>
      <c r="DO66" s="728"/>
      <c r="DP66" s="728"/>
      <c r="DQ66" s="728"/>
      <c r="DR66" s="728"/>
      <c r="DS66" s="728"/>
      <c r="DT66" s="728"/>
      <c r="DU66" s="728"/>
      <c r="DV66" s="728"/>
      <c r="DW66" s="728"/>
      <c r="DX66" s="728"/>
      <c r="DY66" s="728"/>
      <c r="DZ66" s="728"/>
      <c r="EA66" s="728"/>
      <c r="EB66" s="728"/>
      <c r="EC66" s="728"/>
      <c r="ED66" s="728"/>
      <c r="EE66" s="728"/>
      <c r="EF66" s="728"/>
      <c r="EG66" s="728"/>
      <c r="EH66" s="728"/>
      <c r="EI66" s="728"/>
      <c r="EJ66" s="728"/>
      <c r="EK66" s="728"/>
      <c r="EL66" s="728"/>
      <c r="EM66" s="728"/>
      <c r="EN66" s="728"/>
      <c r="EO66" s="728"/>
      <c r="EP66" s="728"/>
      <c r="EQ66" s="728"/>
      <c r="ER66" s="728"/>
      <c r="ES66" s="728"/>
      <c r="ET66" s="728"/>
      <c r="EU66" s="728"/>
      <c r="EV66" s="728"/>
      <c r="EW66" s="728"/>
      <c r="EX66" s="728"/>
      <c r="EY66" s="728"/>
      <c r="EZ66" s="728"/>
      <c r="FA66" s="728"/>
      <c r="FB66" s="728"/>
      <c r="FC66" s="728"/>
      <c r="FD66" s="728"/>
      <c r="FE66" s="728"/>
      <c r="FF66" s="728"/>
      <c r="FG66" s="729"/>
      <c r="FH66" s="287"/>
    </row>
    <row r="67" spans="1:164" ht="8.65" customHeight="1">
      <c r="A67" s="269"/>
      <c r="B67" s="730" t="s">
        <v>6421</v>
      </c>
      <c r="C67" s="731"/>
      <c r="D67" s="731"/>
      <c r="E67" s="731"/>
      <c r="F67" s="731"/>
      <c r="G67" s="731"/>
      <c r="H67" s="731"/>
      <c r="I67" s="731"/>
      <c r="J67" s="731"/>
      <c r="K67" s="731"/>
      <c r="L67" s="731"/>
      <c r="M67" s="731"/>
      <c r="N67" s="731"/>
      <c r="O67" s="731"/>
      <c r="P67" s="731"/>
      <c r="Q67" s="731"/>
      <c r="R67" s="731"/>
      <c r="S67" s="731"/>
      <c r="T67" s="731"/>
      <c r="U67" s="731"/>
      <c r="V67" s="731"/>
      <c r="W67" s="731"/>
      <c r="X67" s="731"/>
      <c r="Y67" s="731"/>
      <c r="Z67" s="731"/>
      <c r="AA67" s="731"/>
      <c r="AB67" s="731"/>
      <c r="AC67" s="731"/>
      <c r="AD67" s="731"/>
      <c r="AE67" s="731"/>
      <c r="AF67" s="731"/>
      <c r="AG67" s="731"/>
      <c r="AH67" s="710">
        <v>1.57</v>
      </c>
      <c r="AI67" s="710"/>
      <c r="AJ67" s="710"/>
      <c r="AK67" s="710"/>
      <c r="AL67" s="710"/>
      <c r="AM67" s="710"/>
      <c r="AN67" s="710"/>
      <c r="AO67" s="710"/>
      <c r="AP67" s="710"/>
      <c r="AQ67" s="710"/>
      <c r="AR67" s="710"/>
      <c r="AS67" s="710"/>
      <c r="AT67" s="711"/>
      <c r="AU67" s="732" t="s">
        <v>6408</v>
      </c>
      <c r="AV67" s="733"/>
      <c r="AW67" s="733"/>
      <c r="AX67" s="733"/>
      <c r="AY67" s="733"/>
      <c r="AZ67" s="733"/>
      <c r="BA67" s="733"/>
      <c r="BB67" s="733"/>
      <c r="BC67" s="733"/>
      <c r="BD67" s="733"/>
      <c r="BE67" s="733"/>
      <c r="BF67" s="733"/>
      <c r="BG67" s="733"/>
      <c r="BH67" s="733"/>
      <c r="BI67" s="733"/>
      <c r="BJ67" s="733"/>
      <c r="BK67" s="733"/>
      <c r="BL67" s="733"/>
      <c r="BM67" s="733"/>
      <c r="BN67" s="733"/>
      <c r="BO67" s="733"/>
      <c r="BP67" s="733"/>
      <c r="BQ67" s="733"/>
      <c r="BR67" s="733"/>
      <c r="BS67" s="733"/>
      <c r="BT67" s="733"/>
      <c r="BU67" s="733"/>
      <c r="BV67" s="733"/>
      <c r="BW67" s="733"/>
      <c r="BX67" s="734"/>
      <c r="BY67" s="718"/>
      <c r="BZ67" s="719"/>
      <c r="CA67" s="719"/>
      <c r="CB67" s="719"/>
      <c r="CC67" s="719"/>
      <c r="CD67" s="719"/>
      <c r="CE67" s="719"/>
      <c r="CF67" s="719"/>
      <c r="CG67" s="719"/>
      <c r="CH67" s="719"/>
      <c r="CI67" s="719"/>
      <c r="CJ67" s="719"/>
      <c r="CK67" s="719"/>
      <c r="CL67" s="719"/>
      <c r="CM67" s="719"/>
      <c r="CN67" s="719"/>
      <c r="CO67" s="719"/>
      <c r="CP67" s="719"/>
      <c r="CQ67" s="719"/>
      <c r="CR67" s="719"/>
      <c r="CS67" s="719"/>
      <c r="CT67" s="719"/>
      <c r="CU67" s="719"/>
      <c r="CV67" s="719"/>
      <c r="CW67" s="719"/>
      <c r="CX67" s="719"/>
      <c r="CY67" s="719"/>
      <c r="CZ67" s="719"/>
      <c r="DA67" s="719"/>
      <c r="DB67" s="719"/>
      <c r="DC67" s="719"/>
      <c r="DD67" s="719"/>
      <c r="DE67" s="719"/>
      <c r="DF67" s="719"/>
      <c r="DG67" s="719"/>
      <c r="DH67" s="719"/>
      <c r="DI67" s="720"/>
      <c r="DJ67" s="727"/>
      <c r="DK67" s="728"/>
      <c r="DL67" s="728"/>
      <c r="DM67" s="728"/>
      <c r="DN67" s="728"/>
      <c r="DO67" s="728"/>
      <c r="DP67" s="728"/>
      <c r="DQ67" s="728"/>
      <c r="DR67" s="728"/>
      <c r="DS67" s="728"/>
      <c r="DT67" s="728"/>
      <c r="DU67" s="728"/>
      <c r="DV67" s="728"/>
      <c r="DW67" s="728"/>
      <c r="DX67" s="728"/>
      <c r="DY67" s="728"/>
      <c r="DZ67" s="728"/>
      <c r="EA67" s="728"/>
      <c r="EB67" s="728"/>
      <c r="EC67" s="728"/>
      <c r="ED67" s="728"/>
      <c r="EE67" s="728"/>
      <c r="EF67" s="728"/>
      <c r="EG67" s="728"/>
      <c r="EH67" s="728"/>
      <c r="EI67" s="728"/>
      <c r="EJ67" s="728"/>
      <c r="EK67" s="728"/>
      <c r="EL67" s="728"/>
      <c r="EM67" s="728"/>
      <c r="EN67" s="728"/>
      <c r="EO67" s="728"/>
      <c r="EP67" s="728"/>
      <c r="EQ67" s="728"/>
      <c r="ER67" s="728"/>
      <c r="ES67" s="728"/>
      <c r="ET67" s="728"/>
      <c r="EU67" s="728"/>
      <c r="EV67" s="728"/>
      <c r="EW67" s="728"/>
      <c r="EX67" s="728"/>
      <c r="EY67" s="728"/>
      <c r="EZ67" s="728"/>
      <c r="FA67" s="728"/>
      <c r="FB67" s="728"/>
      <c r="FC67" s="728"/>
      <c r="FD67" s="728"/>
      <c r="FE67" s="728"/>
      <c r="FF67" s="728"/>
      <c r="FG67" s="729"/>
      <c r="FH67" s="287"/>
    </row>
    <row r="68" spans="1:164" ht="8.65" customHeight="1">
      <c r="A68" s="269"/>
      <c r="B68" s="730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1"/>
      <c r="P68" s="731"/>
      <c r="Q68" s="731"/>
      <c r="R68" s="731"/>
      <c r="S68" s="731"/>
      <c r="T68" s="731"/>
      <c r="U68" s="731"/>
      <c r="V68" s="731"/>
      <c r="W68" s="731"/>
      <c r="X68" s="731"/>
      <c r="Y68" s="731"/>
      <c r="Z68" s="731"/>
      <c r="AA68" s="731"/>
      <c r="AB68" s="731"/>
      <c r="AC68" s="731"/>
      <c r="AD68" s="731"/>
      <c r="AE68" s="731"/>
      <c r="AF68" s="731"/>
      <c r="AG68" s="731"/>
      <c r="AH68" s="710"/>
      <c r="AI68" s="710"/>
      <c r="AJ68" s="710"/>
      <c r="AK68" s="710"/>
      <c r="AL68" s="710"/>
      <c r="AM68" s="710"/>
      <c r="AN68" s="710"/>
      <c r="AO68" s="710"/>
      <c r="AP68" s="710"/>
      <c r="AQ68" s="710"/>
      <c r="AR68" s="710"/>
      <c r="AS68" s="710"/>
      <c r="AT68" s="711"/>
      <c r="AU68" s="735"/>
      <c r="AV68" s="736"/>
      <c r="AW68" s="736"/>
      <c r="AX68" s="736"/>
      <c r="AY68" s="736"/>
      <c r="AZ68" s="736"/>
      <c r="BA68" s="736"/>
      <c r="BB68" s="736"/>
      <c r="BC68" s="736"/>
      <c r="BD68" s="736"/>
      <c r="BE68" s="736"/>
      <c r="BF68" s="736"/>
      <c r="BG68" s="736"/>
      <c r="BH68" s="736"/>
      <c r="BI68" s="736"/>
      <c r="BJ68" s="736"/>
      <c r="BK68" s="736"/>
      <c r="BL68" s="736"/>
      <c r="BM68" s="736"/>
      <c r="BN68" s="736"/>
      <c r="BO68" s="736"/>
      <c r="BP68" s="736"/>
      <c r="BQ68" s="736"/>
      <c r="BR68" s="736"/>
      <c r="BS68" s="736"/>
      <c r="BT68" s="736"/>
      <c r="BU68" s="736"/>
      <c r="BV68" s="736"/>
      <c r="BW68" s="736"/>
      <c r="BX68" s="737"/>
      <c r="BY68" s="721"/>
      <c r="BZ68" s="722"/>
      <c r="CA68" s="722"/>
      <c r="CB68" s="722"/>
      <c r="CC68" s="722"/>
      <c r="CD68" s="722"/>
      <c r="CE68" s="722"/>
      <c r="CF68" s="722"/>
      <c r="CG68" s="722"/>
      <c r="CH68" s="722"/>
      <c r="CI68" s="722"/>
      <c r="CJ68" s="722"/>
      <c r="CK68" s="722"/>
      <c r="CL68" s="722"/>
      <c r="CM68" s="722"/>
      <c r="CN68" s="722"/>
      <c r="CO68" s="722"/>
      <c r="CP68" s="722"/>
      <c r="CQ68" s="722"/>
      <c r="CR68" s="722"/>
      <c r="CS68" s="722"/>
      <c r="CT68" s="722"/>
      <c r="CU68" s="722"/>
      <c r="CV68" s="722"/>
      <c r="CW68" s="722"/>
      <c r="CX68" s="722"/>
      <c r="CY68" s="722"/>
      <c r="CZ68" s="722"/>
      <c r="DA68" s="722"/>
      <c r="DB68" s="722"/>
      <c r="DC68" s="722"/>
      <c r="DD68" s="722"/>
      <c r="DE68" s="722"/>
      <c r="DF68" s="722"/>
      <c r="DG68" s="722"/>
      <c r="DH68" s="722"/>
      <c r="DI68" s="723"/>
      <c r="DJ68" s="738" t="s">
        <v>6424</v>
      </c>
      <c r="DK68" s="739"/>
      <c r="DL68" s="739"/>
      <c r="DM68" s="739"/>
      <c r="DN68" s="739"/>
      <c r="DO68" s="739"/>
      <c r="DP68" s="739"/>
      <c r="DQ68" s="739"/>
      <c r="DR68" s="739"/>
      <c r="DS68" s="739"/>
      <c r="DT68" s="739"/>
      <c r="DU68" s="739"/>
      <c r="DV68" s="739"/>
      <c r="DW68" s="739"/>
      <c r="DX68" s="739"/>
      <c r="DY68" s="739"/>
      <c r="DZ68" s="739"/>
      <c r="EA68" s="739"/>
      <c r="EB68" s="739"/>
      <c r="EC68" s="739"/>
      <c r="ED68" s="739"/>
      <c r="EE68" s="739"/>
      <c r="EF68" s="739"/>
      <c r="EG68" s="739"/>
      <c r="EH68" s="739"/>
      <c r="EI68" s="739"/>
      <c r="EJ68" s="739"/>
      <c r="EK68" s="739"/>
      <c r="EL68" s="739"/>
      <c r="EM68" s="739"/>
      <c r="EN68" s="739"/>
      <c r="EO68" s="739"/>
      <c r="EP68" s="739"/>
      <c r="EQ68" s="739"/>
      <c r="ER68" s="739"/>
      <c r="ES68" s="739"/>
      <c r="ET68" s="739"/>
      <c r="EU68" s="739"/>
      <c r="EV68" s="739"/>
      <c r="EW68" s="739"/>
      <c r="EX68" s="739"/>
      <c r="EY68" s="739"/>
      <c r="EZ68" s="739"/>
      <c r="FA68" s="739"/>
      <c r="FB68" s="739"/>
      <c r="FC68" s="739"/>
      <c r="FD68" s="739"/>
      <c r="FE68" s="739"/>
      <c r="FF68" s="739"/>
      <c r="FG68" s="740"/>
      <c r="FH68" s="287"/>
    </row>
    <row r="69" spans="1:164" ht="8.65" customHeight="1">
      <c r="A69" s="269"/>
      <c r="B69" s="741" t="s">
        <v>6425</v>
      </c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2"/>
      <c r="P69" s="742"/>
      <c r="Q69" s="742"/>
      <c r="R69" s="742"/>
      <c r="S69" s="742"/>
      <c r="T69" s="742"/>
      <c r="U69" s="742"/>
      <c r="V69" s="742"/>
      <c r="W69" s="742"/>
      <c r="X69" s="742"/>
      <c r="Y69" s="742"/>
      <c r="Z69" s="742"/>
      <c r="AA69" s="742"/>
      <c r="AB69" s="742"/>
      <c r="AC69" s="742"/>
      <c r="AD69" s="742"/>
      <c r="AE69" s="742"/>
      <c r="AF69" s="742"/>
      <c r="AG69" s="742"/>
      <c r="AH69" s="746" t="s">
        <v>6426</v>
      </c>
      <c r="AI69" s="710"/>
      <c r="AJ69" s="710"/>
      <c r="AK69" s="710"/>
      <c r="AL69" s="710"/>
      <c r="AM69" s="710"/>
      <c r="AN69" s="710"/>
      <c r="AO69" s="710"/>
      <c r="AP69" s="710"/>
      <c r="AQ69" s="710"/>
      <c r="AR69" s="710"/>
      <c r="AS69" s="710"/>
      <c r="AT69" s="711"/>
      <c r="AU69" s="747" t="s">
        <v>6411</v>
      </c>
      <c r="AV69" s="748"/>
      <c r="AW69" s="748"/>
      <c r="AX69" s="748"/>
      <c r="AY69" s="748"/>
      <c r="AZ69" s="748"/>
      <c r="BA69" s="748"/>
      <c r="BB69" s="748"/>
      <c r="BC69" s="748"/>
      <c r="BD69" s="748"/>
      <c r="BE69" s="748"/>
      <c r="BF69" s="748"/>
      <c r="BG69" s="748"/>
      <c r="BH69" s="748"/>
      <c r="BI69" s="748"/>
      <c r="BJ69" s="748"/>
      <c r="BK69" s="748"/>
      <c r="BL69" s="748"/>
      <c r="BM69" s="748"/>
      <c r="BN69" s="748"/>
      <c r="BO69" s="748"/>
      <c r="BP69" s="748"/>
      <c r="BQ69" s="748"/>
      <c r="BR69" s="748"/>
      <c r="BS69" s="748"/>
      <c r="BT69" s="748"/>
      <c r="BU69" s="748"/>
      <c r="BV69" s="748"/>
      <c r="BW69" s="748"/>
      <c r="BX69" s="749"/>
      <c r="BY69" s="753" t="s">
        <v>6411</v>
      </c>
      <c r="BZ69" s="753"/>
      <c r="CA69" s="753"/>
      <c r="CB69" s="753"/>
      <c r="CC69" s="753"/>
      <c r="CD69" s="753"/>
      <c r="CE69" s="753"/>
      <c r="CF69" s="753"/>
      <c r="CG69" s="753"/>
      <c r="CH69" s="753"/>
      <c r="CI69" s="753"/>
      <c r="CJ69" s="753"/>
      <c r="CK69" s="753"/>
      <c r="CL69" s="753"/>
      <c r="CM69" s="753"/>
      <c r="CN69" s="753"/>
      <c r="CO69" s="753"/>
      <c r="CP69" s="753"/>
      <c r="CQ69" s="753"/>
      <c r="CR69" s="753"/>
      <c r="CS69" s="753"/>
      <c r="CT69" s="753"/>
      <c r="CU69" s="753"/>
      <c r="CV69" s="753"/>
      <c r="CW69" s="753"/>
      <c r="CX69" s="753"/>
      <c r="CY69" s="753"/>
      <c r="CZ69" s="753"/>
      <c r="DA69" s="753"/>
      <c r="DB69" s="753"/>
      <c r="DC69" s="753"/>
      <c r="DD69" s="753"/>
      <c r="DE69" s="753"/>
      <c r="DF69" s="753"/>
      <c r="DG69" s="753"/>
      <c r="DH69" s="753"/>
      <c r="DI69" s="754"/>
      <c r="DJ69" s="738"/>
      <c r="DK69" s="739"/>
      <c r="DL69" s="739"/>
      <c r="DM69" s="739"/>
      <c r="DN69" s="739"/>
      <c r="DO69" s="739"/>
      <c r="DP69" s="739"/>
      <c r="DQ69" s="739"/>
      <c r="DR69" s="739"/>
      <c r="DS69" s="739"/>
      <c r="DT69" s="739"/>
      <c r="DU69" s="739"/>
      <c r="DV69" s="739"/>
      <c r="DW69" s="739"/>
      <c r="DX69" s="739"/>
      <c r="DY69" s="739"/>
      <c r="DZ69" s="739"/>
      <c r="EA69" s="739"/>
      <c r="EB69" s="739"/>
      <c r="EC69" s="739"/>
      <c r="ED69" s="739"/>
      <c r="EE69" s="739"/>
      <c r="EF69" s="739"/>
      <c r="EG69" s="739"/>
      <c r="EH69" s="739"/>
      <c r="EI69" s="739"/>
      <c r="EJ69" s="739"/>
      <c r="EK69" s="739"/>
      <c r="EL69" s="739"/>
      <c r="EM69" s="739"/>
      <c r="EN69" s="739"/>
      <c r="EO69" s="739"/>
      <c r="EP69" s="739"/>
      <c r="EQ69" s="739"/>
      <c r="ER69" s="739"/>
      <c r="ES69" s="739"/>
      <c r="ET69" s="739"/>
      <c r="EU69" s="739"/>
      <c r="EV69" s="739"/>
      <c r="EW69" s="739"/>
      <c r="EX69" s="739"/>
      <c r="EY69" s="739"/>
      <c r="EZ69" s="739"/>
      <c r="FA69" s="739"/>
      <c r="FB69" s="739"/>
      <c r="FC69" s="739"/>
      <c r="FD69" s="739"/>
      <c r="FE69" s="739"/>
      <c r="FF69" s="739"/>
      <c r="FG69" s="740"/>
      <c r="FH69" s="287"/>
    </row>
    <row r="70" spans="1:164" ht="8.65" customHeight="1" thickBot="1">
      <c r="A70" s="269"/>
      <c r="B70" s="741"/>
      <c r="C70" s="742"/>
      <c r="D70" s="742"/>
      <c r="E70" s="742"/>
      <c r="F70" s="742"/>
      <c r="G70" s="742"/>
      <c r="H70" s="742"/>
      <c r="I70" s="742"/>
      <c r="J70" s="742"/>
      <c r="K70" s="742"/>
      <c r="L70" s="742"/>
      <c r="M70" s="742"/>
      <c r="N70" s="742"/>
      <c r="O70" s="742"/>
      <c r="P70" s="742"/>
      <c r="Q70" s="742"/>
      <c r="R70" s="742"/>
      <c r="S70" s="742"/>
      <c r="T70" s="742"/>
      <c r="U70" s="742"/>
      <c r="V70" s="742"/>
      <c r="W70" s="742"/>
      <c r="X70" s="742"/>
      <c r="Y70" s="742"/>
      <c r="Z70" s="742"/>
      <c r="AA70" s="742"/>
      <c r="AB70" s="742"/>
      <c r="AC70" s="742"/>
      <c r="AD70" s="742"/>
      <c r="AE70" s="742"/>
      <c r="AF70" s="742"/>
      <c r="AG70" s="742"/>
      <c r="AH70" s="710"/>
      <c r="AI70" s="710"/>
      <c r="AJ70" s="710"/>
      <c r="AK70" s="710"/>
      <c r="AL70" s="710"/>
      <c r="AM70" s="710"/>
      <c r="AN70" s="710"/>
      <c r="AO70" s="710"/>
      <c r="AP70" s="710"/>
      <c r="AQ70" s="710"/>
      <c r="AR70" s="710"/>
      <c r="AS70" s="710"/>
      <c r="AT70" s="711"/>
      <c r="AU70" s="750"/>
      <c r="AV70" s="751"/>
      <c r="AW70" s="751"/>
      <c r="AX70" s="751"/>
      <c r="AY70" s="751"/>
      <c r="AZ70" s="751"/>
      <c r="BA70" s="751"/>
      <c r="BB70" s="751"/>
      <c r="BC70" s="751"/>
      <c r="BD70" s="751"/>
      <c r="BE70" s="751"/>
      <c r="BF70" s="751"/>
      <c r="BG70" s="751"/>
      <c r="BH70" s="751"/>
      <c r="BI70" s="751"/>
      <c r="BJ70" s="751"/>
      <c r="BK70" s="751"/>
      <c r="BL70" s="751"/>
      <c r="BM70" s="751"/>
      <c r="BN70" s="751"/>
      <c r="BO70" s="751"/>
      <c r="BP70" s="751"/>
      <c r="BQ70" s="751"/>
      <c r="BR70" s="751"/>
      <c r="BS70" s="751"/>
      <c r="BT70" s="751"/>
      <c r="BU70" s="751"/>
      <c r="BV70" s="751"/>
      <c r="BW70" s="751"/>
      <c r="BX70" s="752"/>
      <c r="BY70" s="755"/>
      <c r="BZ70" s="755"/>
      <c r="CA70" s="755"/>
      <c r="CB70" s="755"/>
      <c r="CC70" s="755"/>
      <c r="CD70" s="755"/>
      <c r="CE70" s="755"/>
      <c r="CF70" s="755"/>
      <c r="CG70" s="755"/>
      <c r="CH70" s="755"/>
      <c r="CI70" s="755"/>
      <c r="CJ70" s="755"/>
      <c r="CK70" s="755"/>
      <c r="CL70" s="755"/>
      <c r="CM70" s="755"/>
      <c r="CN70" s="755"/>
      <c r="CO70" s="755"/>
      <c r="CP70" s="755"/>
      <c r="CQ70" s="755"/>
      <c r="CR70" s="755"/>
      <c r="CS70" s="755"/>
      <c r="CT70" s="755"/>
      <c r="CU70" s="755"/>
      <c r="CV70" s="755"/>
      <c r="CW70" s="755"/>
      <c r="CX70" s="755"/>
      <c r="CY70" s="755"/>
      <c r="CZ70" s="755"/>
      <c r="DA70" s="755"/>
      <c r="DB70" s="755"/>
      <c r="DC70" s="755"/>
      <c r="DD70" s="755"/>
      <c r="DE70" s="755"/>
      <c r="DF70" s="755"/>
      <c r="DG70" s="755"/>
      <c r="DH70" s="755"/>
      <c r="DI70" s="756"/>
      <c r="DJ70" s="738"/>
      <c r="DK70" s="739"/>
      <c r="DL70" s="739"/>
      <c r="DM70" s="739"/>
      <c r="DN70" s="739"/>
      <c r="DO70" s="739"/>
      <c r="DP70" s="739"/>
      <c r="DQ70" s="739"/>
      <c r="DR70" s="739"/>
      <c r="DS70" s="739"/>
      <c r="DT70" s="739"/>
      <c r="DU70" s="739"/>
      <c r="DV70" s="739"/>
      <c r="DW70" s="739"/>
      <c r="DX70" s="739"/>
      <c r="DY70" s="739"/>
      <c r="DZ70" s="739"/>
      <c r="EA70" s="739"/>
      <c r="EB70" s="739"/>
      <c r="EC70" s="739"/>
      <c r="ED70" s="739"/>
      <c r="EE70" s="739"/>
      <c r="EF70" s="739"/>
      <c r="EG70" s="739"/>
      <c r="EH70" s="739"/>
      <c r="EI70" s="739"/>
      <c r="EJ70" s="739"/>
      <c r="EK70" s="739"/>
      <c r="EL70" s="739"/>
      <c r="EM70" s="739"/>
      <c r="EN70" s="739"/>
      <c r="EO70" s="739"/>
      <c r="EP70" s="739"/>
      <c r="EQ70" s="739"/>
      <c r="ER70" s="739"/>
      <c r="ES70" s="739"/>
      <c r="ET70" s="739"/>
      <c r="EU70" s="739"/>
      <c r="EV70" s="739"/>
      <c r="EW70" s="739"/>
      <c r="EX70" s="739"/>
      <c r="EY70" s="739"/>
      <c r="EZ70" s="739"/>
      <c r="FA70" s="739"/>
      <c r="FB70" s="739"/>
      <c r="FC70" s="739"/>
      <c r="FD70" s="739"/>
      <c r="FE70" s="739"/>
      <c r="FF70" s="739"/>
      <c r="FG70" s="740"/>
      <c r="FH70" s="287"/>
    </row>
    <row r="71" spans="1:164" ht="8.65" customHeight="1" thickTop="1">
      <c r="A71" s="269"/>
      <c r="B71" s="741" t="s">
        <v>6428</v>
      </c>
      <c r="C71" s="742"/>
      <c r="D71" s="742"/>
      <c r="E71" s="742"/>
      <c r="F71" s="742"/>
      <c r="G71" s="742"/>
      <c r="H71" s="742"/>
      <c r="I71" s="742"/>
      <c r="J71" s="742"/>
      <c r="K71" s="742"/>
      <c r="L71" s="742"/>
      <c r="M71" s="742"/>
      <c r="N71" s="742"/>
      <c r="O71" s="742"/>
      <c r="P71" s="742"/>
      <c r="Q71" s="742"/>
      <c r="R71" s="742"/>
      <c r="S71" s="742"/>
      <c r="T71" s="742"/>
      <c r="U71" s="742"/>
      <c r="V71" s="742"/>
      <c r="W71" s="742"/>
      <c r="X71" s="742"/>
      <c r="Y71" s="742"/>
      <c r="Z71" s="742"/>
      <c r="AA71" s="742"/>
      <c r="AB71" s="742"/>
      <c r="AC71" s="742"/>
      <c r="AD71" s="742"/>
      <c r="AE71" s="742"/>
      <c r="AF71" s="742"/>
      <c r="AG71" s="742"/>
      <c r="AH71" s="710">
        <v>1.1299999999999999</v>
      </c>
      <c r="AI71" s="710"/>
      <c r="AJ71" s="710"/>
      <c r="AK71" s="710"/>
      <c r="AL71" s="710"/>
      <c r="AM71" s="710"/>
      <c r="AN71" s="710"/>
      <c r="AO71" s="710"/>
      <c r="AP71" s="710"/>
      <c r="AQ71" s="710"/>
      <c r="AR71" s="710"/>
      <c r="AS71" s="710"/>
      <c r="AT71" s="711"/>
      <c r="AU71" s="757" t="s">
        <v>6413</v>
      </c>
      <c r="AV71" s="758"/>
      <c r="AW71" s="758"/>
      <c r="AX71" s="758"/>
      <c r="AY71" s="758"/>
      <c r="AZ71" s="758"/>
      <c r="BA71" s="758"/>
      <c r="BB71" s="758"/>
      <c r="BC71" s="758"/>
      <c r="BD71" s="758"/>
      <c r="BE71" s="758"/>
      <c r="BF71" s="758"/>
      <c r="BG71" s="758"/>
      <c r="BH71" s="758"/>
      <c r="BI71" s="758"/>
      <c r="BJ71" s="758"/>
      <c r="BK71" s="758"/>
      <c r="BL71" s="758"/>
      <c r="BM71" s="758"/>
      <c r="BN71" s="758"/>
      <c r="BO71" s="758"/>
      <c r="BP71" s="758"/>
      <c r="BQ71" s="758"/>
      <c r="BR71" s="758"/>
      <c r="BS71" s="758"/>
      <c r="BT71" s="758"/>
      <c r="BU71" s="758"/>
      <c r="BV71" s="758"/>
      <c r="BW71" s="758"/>
      <c r="BX71" s="759"/>
      <c r="BY71" s="757" t="s">
        <v>6414</v>
      </c>
      <c r="BZ71" s="758"/>
      <c r="CA71" s="758"/>
      <c r="CB71" s="758"/>
      <c r="CC71" s="758"/>
      <c r="CD71" s="758"/>
      <c r="CE71" s="758"/>
      <c r="CF71" s="758"/>
      <c r="CG71" s="758"/>
      <c r="CH71" s="758"/>
      <c r="CI71" s="758"/>
      <c r="CJ71" s="758"/>
      <c r="CK71" s="758"/>
      <c r="CL71" s="758"/>
      <c r="CM71" s="758"/>
      <c r="CN71" s="758"/>
      <c r="CO71" s="758"/>
      <c r="CP71" s="758"/>
      <c r="CQ71" s="758"/>
      <c r="CR71" s="758"/>
      <c r="CS71" s="758"/>
      <c r="CT71" s="758"/>
      <c r="CU71" s="758"/>
      <c r="CV71" s="758"/>
      <c r="CW71" s="758"/>
      <c r="CX71" s="758"/>
      <c r="CY71" s="758"/>
      <c r="CZ71" s="758"/>
      <c r="DA71" s="758"/>
      <c r="DB71" s="758"/>
      <c r="DC71" s="758"/>
      <c r="DD71" s="758"/>
      <c r="DE71" s="758"/>
      <c r="DF71" s="758"/>
      <c r="DG71" s="758"/>
      <c r="DH71" s="758"/>
      <c r="DI71" s="759"/>
      <c r="DJ71" s="658" t="s">
        <v>6430</v>
      </c>
      <c r="DK71" s="682"/>
      <c r="DL71" s="682"/>
      <c r="DM71" s="682"/>
      <c r="DN71" s="682"/>
      <c r="DO71" s="682"/>
      <c r="DP71" s="682"/>
      <c r="DQ71" s="682"/>
      <c r="DR71" s="682"/>
      <c r="DS71" s="682"/>
      <c r="DT71" s="682"/>
      <c r="DU71" s="682"/>
      <c r="DV71" s="682"/>
      <c r="DW71" s="682"/>
      <c r="DX71" s="682"/>
      <c r="DY71" s="682"/>
      <c r="DZ71" s="682"/>
      <c r="EA71" s="682"/>
      <c r="EB71" s="682"/>
      <c r="EC71" s="682"/>
      <c r="ED71" s="682"/>
      <c r="EE71" s="682"/>
      <c r="EF71" s="682"/>
      <c r="EG71" s="682"/>
      <c r="EH71" s="682"/>
      <c r="EI71" s="682"/>
      <c r="EJ71" s="682"/>
      <c r="EK71" s="682"/>
      <c r="EL71" s="682"/>
      <c r="EM71" s="682"/>
      <c r="EN71" s="682"/>
      <c r="EO71" s="682"/>
      <c r="EP71" s="682"/>
      <c r="EQ71" s="682"/>
      <c r="ER71" s="682"/>
      <c r="ES71" s="682"/>
      <c r="ET71" s="682"/>
      <c r="EU71" s="682"/>
      <c r="EV71" s="682"/>
      <c r="EW71" s="682"/>
      <c r="EX71" s="682"/>
      <c r="EY71" s="682"/>
      <c r="EZ71" s="682"/>
      <c r="FA71" s="682"/>
      <c r="FB71" s="682"/>
      <c r="FC71" s="682"/>
      <c r="FD71" s="682"/>
      <c r="FE71" s="682"/>
      <c r="FF71" s="682"/>
      <c r="FG71" s="683"/>
      <c r="FH71" s="287"/>
    </row>
    <row r="72" spans="1:164" ht="8.65" customHeight="1">
      <c r="A72" s="269"/>
      <c r="B72" s="741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2"/>
      <c r="Q72" s="742"/>
      <c r="R72" s="742"/>
      <c r="S72" s="742"/>
      <c r="T72" s="742"/>
      <c r="U72" s="742"/>
      <c r="V72" s="742"/>
      <c r="W72" s="742"/>
      <c r="X72" s="742"/>
      <c r="Y72" s="742"/>
      <c r="Z72" s="742"/>
      <c r="AA72" s="742"/>
      <c r="AB72" s="742"/>
      <c r="AC72" s="742"/>
      <c r="AD72" s="742"/>
      <c r="AE72" s="742"/>
      <c r="AF72" s="742"/>
      <c r="AG72" s="742"/>
      <c r="AH72" s="710"/>
      <c r="AI72" s="710"/>
      <c r="AJ72" s="710"/>
      <c r="AK72" s="710"/>
      <c r="AL72" s="710"/>
      <c r="AM72" s="710"/>
      <c r="AN72" s="710"/>
      <c r="AO72" s="710"/>
      <c r="AP72" s="710"/>
      <c r="AQ72" s="710"/>
      <c r="AR72" s="710"/>
      <c r="AS72" s="710"/>
      <c r="AT72" s="711"/>
      <c r="AU72" s="760"/>
      <c r="AV72" s="761"/>
      <c r="AW72" s="761"/>
      <c r="AX72" s="761"/>
      <c r="AY72" s="761"/>
      <c r="AZ72" s="761"/>
      <c r="BA72" s="761"/>
      <c r="BB72" s="761"/>
      <c r="BC72" s="761"/>
      <c r="BD72" s="761"/>
      <c r="BE72" s="761"/>
      <c r="BF72" s="761"/>
      <c r="BG72" s="761"/>
      <c r="BH72" s="761"/>
      <c r="BI72" s="761"/>
      <c r="BJ72" s="761"/>
      <c r="BK72" s="761"/>
      <c r="BL72" s="761"/>
      <c r="BM72" s="761"/>
      <c r="BN72" s="761"/>
      <c r="BO72" s="761"/>
      <c r="BP72" s="761"/>
      <c r="BQ72" s="761"/>
      <c r="BR72" s="761"/>
      <c r="BS72" s="761"/>
      <c r="BT72" s="761"/>
      <c r="BU72" s="761"/>
      <c r="BV72" s="761"/>
      <c r="BW72" s="761"/>
      <c r="BX72" s="762"/>
      <c r="BY72" s="760"/>
      <c r="BZ72" s="761"/>
      <c r="CA72" s="761"/>
      <c r="CB72" s="761"/>
      <c r="CC72" s="761"/>
      <c r="CD72" s="761"/>
      <c r="CE72" s="761"/>
      <c r="CF72" s="761"/>
      <c r="CG72" s="761"/>
      <c r="CH72" s="761"/>
      <c r="CI72" s="761"/>
      <c r="CJ72" s="761"/>
      <c r="CK72" s="761"/>
      <c r="CL72" s="761"/>
      <c r="CM72" s="761"/>
      <c r="CN72" s="761"/>
      <c r="CO72" s="761"/>
      <c r="CP72" s="761"/>
      <c r="CQ72" s="761"/>
      <c r="CR72" s="761"/>
      <c r="CS72" s="761"/>
      <c r="CT72" s="761"/>
      <c r="CU72" s="761"/>
      <c r="CV72" s="761"/>
      <c r="CW72" s="761"/>
      <c r="CX72" s="761"/>
      <c r="CY72" s="761"/>
      <c r="CZ72" s="761"/>
      <c r="DA72" s="761"/>
      <c r="DB72" s="761"/>
      <c r="DC72" s="761"/>
      <c r="DD72" s="761"/>
      <c r="DE72" s="761"/>
      <c r="DF72" s="761"/>
      <c r="DG72" s="761"/>
      <c r="DH72" s="761"/>
      <c r="DI72" s="762"/>
      <c r="DJ72" s="681"/>
      <c r="DK72" s="682"/>
      <c r="DL72" s="682"/>
      <c r="DM72" s="682"/>
      <c r="DN72" s="682"/>
      <c r="DO72" s="682"/>
      <c r="DP72" s="682"/>
      <c r="DQ72" s="682"/>
      <c r="DR72" s="682"/>
      <c r="DS72" s="682"/>
      <c r="DT72" s="682"/>
      <c r="DU72" s="682"/>
      <c r="DV72" s="682"/>
      <c r="DW72" s="682"/>
      <c r="DX72" s="682"/>
      <c r="DY72" s="682"/>
      <c r="DZ72" s="682"/>
      <c r="EA72" s="682"/>
      <c r="EB72" s="682"/>
      <c r="EC72" s="682"/>
      <c r="ED72" s="682"/>
      <c r="EE72" s="682"/>
      <c r="EF72" s="682"/>
      <c r="EG72" s="682"/>
      <c r="EH72" s="682"/>
      <c r="EI72" s="682"/>
      <c r="EJ72" s="682"/>
      <c r="EK72" s="682"/>
      <c r="EL72" s="682"/>
      <c r="EM72" s="682"/>
      <c r="EN72" s="682"/>
      <c r="EO72" s="682"/>
      <c r="EP72" s="682"/>
      <c r="EQ72" s="682"/>
      <c r="ER72" s="682"/>
      <c r="ES72" s="682"/>
      <c r="ET72" s="682"/>
      <c r="EU72" s="682"/>
      <c r="EV72" s="682"/>
      <c r="EW72" s="682"/>
      <c r="EX72" s="682"/>
      <c r="EY72" s="682"/>
      <c r="EZ72" s="682"/>
      <c r="FA72" s="682"/>
      <c r="FB72" s="682"/>
      <c r="FC72" s="682"/>
      <c r="FD72" s="682"/>
      <c r="FE72" s="682"/>
      <c r="FF72" s="682"/>
      <c r="FG72" s="683"/>
      <c r="FH72" s="287"/>
    </row>
    <row r="73" spans="1:164" ht="8.65" customHeight="1">
      <c r="A73" s="269"/>
      <c r="B73" s="741" t="s">
        <v>6432</v>
      </c>
      <c r="C73" s="742"/>
      <c r="D73" s="742"/>
      <c r="E73" s="742"/>
      <c r="F73" s="742"/>
      <c r="G73" s="742"/>
      <c r="H73" s="742"/>
      <c r="I73" s="742"/>
      <c r="J73" s="742"/>
      <c r="K73" s="742"/>
      <c r="L73" s="742"/>
      <c r="M73" s="742"/>
      <c r="N73" s="742"/>
      <c r="O73" s="742"/>
      <c r="P73" s="742"/>
      <c r="Q73" s="742"/>
      <c r="R73" s="742"/>
      <c r="S73" s="742"/>
      <c r="T73" s="742"/>
      <c r="U73" s="742"/>
      <c r="V73" s="742"/>
      <c r="W73" s="742"/>
      <c r="X73" s="742"/>
      <c r="Y73" s="742"/>
      <c r="Z73" s="742"/>
      <c r="AA73" s="742"/>
      <c r="AB73" s="742"/>
      <c r="AC73" s="742"/>
      <c r="AD73" s="742"/>
      <c r="AE73" s="742"/>
      <c r="AF73" s="742"/>
      <c r="AG73" s="742"/>
      <c r="AH73" s="710">
        <v>1.06</v>
      </c>
      <c r="AI73" s="710"/>
      <c r="AJ73" s="710"/>
      <c r="AK73" s="710"/>
      <c r="AL73" s="710"/>
      <c r="AM73" s="710"/>
      <c r="AN73" s="710"/>
      <c r="AO73" s="710"/>
      <c r="AP73" s="710"/>
      <c r="AQ73" s="710"/>
      <c r="AR73" s="710"/>
      <c r="AS73" s="710"/>
      <c r="AT73" s="711"/>
      <c r="AU73" s="760"/>
      <c r="AV73" s="761"/>
      <c r="AW73" s="761"/>
      <c r="AX73" s="761"/>
      <c r="AY73" s="761"/>
      <c r="AZ73" s="761"/>
      <c r="BA73" s="761"/>
      <c r="BB73" s="761"/>
      <c r="BC73" s="761"/>
      <c r="BD73" s="761"/>
      <c r="BE73" s="761"/>
      <c r="BF73" s="761"/>
      <c r="BG73" s="761"/>
      <c r="BH73" s="761"/>
      <c r="BI73" s="761"/>
      <c r="BJ73" s="761"/>
      <c r="BK73" s="761"/>
      <c r="BL73" s="761"/>
      <c r="BM73" s="761"/>
      <c r="BN73" s="761"/>
      <c r="BO73" s="761"/>
      <c r="BP73" s="761"/>
      <c r="BQ73" s="761"/>
      <c r="BR73" s="761"/>
      <c r="BS73" s="761"/>
      <c r="BT73" s="761"/>
      <c r="BU73" s="761"/>
      <c r="BV73" s="761"/>
      <c r="BW73" s="761"/>
      <c r="BX73" s="762"/>
      <c r="BY73" s="760"/>
      <c r="BZ73" s="761"/>
      <c r="CA73" s="761"/>
      <c r="CB73" s="761"/>
      <c r="CC73" s="761"/>
      <c r="CD73" s="761"/>
      <c r="CE73" s="761"/>
      <c r="CF73" s="761"/>
      <c r="CG73" s="761"/>
      <c r="CH73" s="761"/>
      <c r="CI73" s="761"/>
      <c r="CJ73" s="761"/>
      <c r="CK73" s="761"/>
      <c r="CL73" s="761"/>
      <c r="CM73" s="761"/>
      <c r="CN73" s="761"/>
      <c r="CO73" s="761"/>
      <c r="CP73" s="761"/>
      <c r="CQ73" s="761"/>
      <c r="CR73" s="761"/>
      <c r="CS73" s="761"/>
      <c r="CT73" s="761"/>
      <c r="CU73" s="761"/>
      <c r="CV73" s="761"/>
      <c r="CW73" s="761"/>
      <c r="CX73" s="761"/>
      <c r="CY73" s="761"/>
      <c r="CZ73" s="761"/>
      <c r="DA73" s="761"/>
      <c r="DB73" s="761"/>
      <c r="DC73" s="761"/>
      <c r="DD73" s="761"/>
      <c r="DE73" s="761"/>
      <c r="DF73" s="761"/>
      <c r="DG73" s="761"/>
      <c r="DH73" s="761"/>
      <c r="DI73" s="762"/>
      <c r="DJ73" s="681"/>
      <c r="DK73" s="682"/>
      <c r="DL73" s="682"/>
      <c r="DM73" s="682"/>
      <c r="DN73" s="682"/>
      <c r="DO73" s="682"/>
      <c r="DP73" s="682"/>
      <c r="DQ73" s="682"/>
      <c r="DR73" s="682"/>
      <c r="DS73" s="682"/>
      <c r="DT73" s="682"/>
      <c r="DU73" s="682"/>
      <c r="DV73" s="682"/>
      <c r="DW73" s="682"/>
      <c r="DX73" s="682"/>
      <c r="DY73" s="682"/>
      <c r="DZ73" s="682"/>
      <c r="EA73" s="682"/>
      <c r="EB73" s="682"/>
      <c r="EC73" s="682"/>
      <c r="ED73" s="682"/>
      <c r="EE73" s="682"/>
      <c r="EF73" s="682"/>
      <c r="EG73" s="682"/>
      <c r="EH73" s="682"/>
      <c r="EI73" s="682"/>
      <c r="EJ73" s="682"/>
      <c r="EK73" s="682"/>
      <c r="EL73" s="682"/>
      <c r="EM73" s="682"/>
      <c r="EN73" s="682"/>
      <c r="EO73" s="682"/>
      <c r="EP73" s="682"/>
      <c r="EQ73" s="682"/>
      <c r="ER73" s="682"/>
      <c r="ES73" s="682"/>
      <c r="ET73" s="682"/>
      <c r="EU73" s="682"/>
      <c r="EV73" s="682"/>
      <c r="EW73" s="682"/>
      <c r="EX73" s="682"/>
      <c r="EY73" s="682"/>
      <c r="EZ73" s="682"/>
      <c r="FA73" s="682"/>
      <c r="FB73" s="682"/>
      <c r="FC73" s="682"/>
      <c r="FD73" s="682"/>
      <c r="FE73" s="682"/>
      <c r="FF73" s="682"/>
      <c r="FG73" s="683"/>
      <c r="FH73" s="287"/>
    </row>
    <row r="74" spans="1:164" ht="8.65" customHeight="1">
      <c r="A74" s="269"/>
      <c r="B74" s="741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2"/>
      <c r="Q74" s="742"/>
      <c r="R74" s="742"/>
      <c r="S74" s="742"/>
      <c r="T74" s="742"/>
      <c r="U74" s="742"/>
      <c r="V74" s="742"/>
      <c r="W74" s="742"/>
      <c r="X74" s="742"/>
      <c r="Y74" s="742"/>
      <c r="Z74" s="742"/>
      <c r="AA74" s="742"/>
      <c r="AB74" s="742"/>
      <c r="AC74" s="742"/>
      <c r="AD74" s="742"/>
      <c r="AE74" s="742"/>
      <c r="AF74" s="742"/>
      <c r="AG74" s="742"/>
      <c r="AH74" s="710"/>
      <c r="AI74" s="710"/>
      <c r="AJ74" s="710"/>
      <c r="AK74" s="710"/>
      <c r="AL74" s="710"/>
      <c r="AM74" s="710"/>
      <c r="AN74" s="710"/>
      <c r="AO74" s="710"/>
      <c r="AP74" s="710"/>
      <c r="AQ74" s="710"/>
      <c r="AR74" s="710"/>
      <c r="AS74" s="710"/>
      <c r="AT74" s="711"/>
      <c r="AU74" s="760"/>
      <c r="AV74" s="761"/>
      <c r="AW74" s="761"/>
      <c r="AX74" s="761"/>
      <c r="AY74" s="761"/>
      <c r="AZ74" s="761"/>
      <c r="BA74" s="761"/>
      <c r="BB74" s="761"/>
      <c r="BC74" s="761"/>
      <c r="BD74" s="761"/>
      <c r="BE74" s="761"/>
      <c r="BF74" s="761"/>
      <c r="BG74" s="761"/>
      <c r="BH74" s="761"/>
      <c r="BI74" s="761"/>
      <c r="BJ74" s="761"/>
      <c r="BK74" s="761"/>
      <c r="BL74" s="761"/>
      <c r="BM74" s="761"/>
      <c r="BN74" s="761"/>
      <c r="BO74" s="761"/>
      <c r="BP74" s="761"/>
      <c r="BQ74" s="761"/>
      <c r="BR74" s="761"/>
      <c r="BS74" s="761"/>
      <c r="BT74" s="761"/>
      <c r="BU74" s="761"/>
      <c r="BV74" s="761"/>
      <c r="BW74" s="761"/>
      <c r="BX74" s="762"/>
      <c r="BY74" s="760"/>
      <c r="BZ74" s="761"/>
      <c r="CA74" s="761"/>
      <c r="CB74" s="761"/>
      <c r="CC74" s="761"/>
      <c r="CD74" s="761"/>
      <c r="CE74" s="761"/>
      <c r="CF74" s="761"/>
      <c r="CG74" s="761"/>
      <c r="CH74" s="761"/>
      <c r="CI74" s="761"/>
      <c r="CJ74" s="761"/>
      <c r="CK74" s="761"/>
      <c r="CL74" s="761"/>
      <c r="CM74" s="761"/>
      <c r="CN74" s="761"/>
      <c r="CO74" s="761"/>
      <c r="CP74" s="761"/>
      <c r="CQ74" s="761"/>
      <c r="CR74" s="761"/>
      <c r="CS74" s="761"/>
      <c r="CT74" s="761"/>
      <c r="CU74" s="761"/>
      <c r="CV74" s="761"/>
      <c r="CW74" s="761"/>
      <c r="CX74" s="761"/>
      <c r="CY74" s="761"/>
      <c r="CZ74" s="761"/>
      <c r="DA74" s="761"/>
      <c r="DB74" s="761"/>
      <c r="DC74" s="761"/>
      <c r="DD74" s="761"/>
      <c r="DE74" s="761"/>
      <c r="DF74" s="761"/>
      <c r="DG74" s="761"/>
      <c r="DH74" s="761"/>
      <c r="DI74" s="762"/>
      <c r="DJ74" s="738" t="s">
        <v>6435</v>
      </c>
      <c r="DK74" s="739"/>
      <c r="DL74" s="739"/>
      <c r="DM74" s="739"/>
      <c r="DN74" s="739"/>
      <c r="DO74" s="739"/>
      <c r="DP74" s="739"/>
      <c r="DQ74" s="739"/>
      <c r="DR74" s="739"/>
      <c r="DS74" s="739"/>
      <c r="DT74" s="739"/>
      <c r="DU74" s="739"/>
      <c r="DV74" s="739"/>
      <c r="DW74" s="739"/>
      <c r="DX74" s="739"/>
      <c r="DY74" s="739"/>
      <c r="DZ74" s="739"/>
      <c r="EA74" s="739"/>
      <c r="EB74" s="739"/>
      <c r="EC74" s="739"/>
      <c r="ED74" s="739"/>
      <c r="EE74" s="739"/>
      <c r="EF74" s="739"/>
      <c r="EG74" s="739"/>
      <c r="EH74" s="739"/>
      <c r="EI74" s="739"/>
      <c r="EJ74" s="739"/>
      <c r="EK74" s="739"/>
      <c r="EL74" s="739"/>
      <c r="EM74" s="739"/>
      <c r="EN74" s="739"/>
      <c r="EO74" s="739"/>
      <c r="EP74" s="739"/>
      <c r="EQ74" s="739"/>
      <c r="ER74" s="739"/>
      <c r="ES74" s="739"/>
      <c r="ET74" s="739"/>
      <c r="EU74" s="739"/>
      <c r="EV74" s="739"/>
      <c r="EW74" s="739"/>
      <c r="EX74" s="739"/>
      <c r="EY74" s="739"/>
      <c r="EZ74" s="739"/>
      <c r="FA74" s="739"/>
      <c r="FB74" s="739"/>
      <c r="FC74" s="739"/>
      <c r="FD74" s="739"/>
      <c r="FE74" s="739"/>
      <c r="FF74" s="739"/>
      <c r="FG74" s="740"/>
      <c r="FH74" s="287"/>
    </row>
    <row r="75" spans="1:164" ht="8.65" customHeight="1">
      <c r="A75" s="269"/>
      <c r="B75" s="741" t="s">
        <v>6436</v>
      </c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2"/>
      <c r="P75" s="742"/>
      <c r="Q75" s="742"/>
      <c r="R75" s="742"/>
      <c r="S75" s="742"/>
      <c r="T75" s="742"/>
      <c r="U75" s="742"/>
      <c r="V75" s="742"/>
      <c r="W75" s="742"/>
      <c r="X75" s="742"/>
      <c r="Y75" s="742"/>
      <c r="Z75" s="742"/>
      <c r="AA75" s="742"/>
      <c r="AB75" s="742"/>
      <c r="AC75" s="742"/>
      <c r="AD75" s="742"/>
      <c r="AE75" s="742"/>
      <c r="AF75" s="742"/>
      <c r="AG75" s="742"/>
      <c r="AH75" s="710">
        <v>1.03</v>
      </c>
      <c r="AI75" s="710"/>
      <c r="AJ75" s="710"/>
      <c r="AK75" s="710"/>
      <c r="AL75" s="710"/>
      <c r="AM75" s="710"/>
      <c r="AN75" s="710"/>
      <c r="AO75" s="710"/>
      <c r="AP75" s="710"/>
      <c r="AQ75" s="710"/>
      <c r="AR75" s="710"/>
      <c r="AS75" s="710"/>
      <c r="AT75" s="711"/>
      <c r="AU75" s="743" t="s">
        <v>6348</v>
      </c>
      <c r="AV75" s="744"/>
      <c r="AW75" s="744"/>
      <c r="AX75" s="744"/>
      <c r="AY75" s="744"/>
      <c r="AZ75" s="744"/>
      <c r="BA75" s="744"/>
      <c r="BB75" s="744"/>
      <c r="BC75" s="744"/>
      <c r="BD75" s="744"/>
      <c r="BE75" s="744"/>
      <c r="BF75" s="744"/>
      <c r="BG75" s="744"/>
      <c r="BH75" s="744"/>
      <c r="BI75" s="744"/>
      <c r="BJ75" s="744"/>
      <c r="BK75" s="744"/>
      <c r="BL75" s="744"/>
      <c r="BM75" s="744"/>
      <c r="BN75" s="744"/>
      <c r="BO75" s="744"/>
      <c r="BP75" s="744"/>
      <c r="BQ75" s="744"/>
      <c r="BR75" s="744"/>
      <c r="BS75" s="744"/>
      <c r="BT75" s="744"/>
      <c r="BU75" s="744"/>
      <c r="BV75" s="744"/>
      <c r="BW75" s="744"/>
      <c r="BX75" s="745"/>
      <c r="BY75" s="743" t="s">
        <v>6348</v>
      </c>
      <c r="BZ75" s="744"/>
      <c r="CA75" s="744"/>
      <c r="CB75" s="744"/>
      <c r="CC75" s="744"/>
      <c r="CD75" s="744"/>
      <c r="CE75" s="744"/>
      <c r="CF75" s="744"/>
      <c r="CG75" s="744"/>
      <c r="CH75" s="744"/>
      <c r="CI75" s="744"/>
      <c r="CJ75" s="744"/>
      <c r="CK75" s="744"/>
      <c r="CL75" s="744"/>
      <c r="CM75" s="744"/>
      <c r="CN75" s="744"/>
      <c r="CO75" s="744"/>
      <c r="CP75" s="744"/>
      <c r="CQ75" s="744"/>
      <c r="CR75" s="744"/>
      <c r="CS75" s="744"/>
      <c r="CT75" s="744"/>
      <c r="CU75" s="744"/>
      <c r="CV75" s="744"/>
      <c r="CW75" s="744"/>
      <c r="CX75" s="744"/>
      <c r="CY75" s="744"/>
      <c r="CZ75" s="744"/>
      <c r="DA75" s="744"/>
      <c r="DB75" s="744"/>
      <c r="DC75" s="744"/>
      <c r="DD75" s="744"/>
      <c r="DE75" s="744"/>
      <c r="DF75" s="744"/>
      <c r="DG75" s="744"/>
      <c r="DH75" s="744"/>
      <c r="DI75" s="745"/>
      <c r="DJ75" s="738"/>
      <c r="DK75" s="739"/>
      <c r="DL75" s="739"/>
      <c r="DM75" s="739"/>
      <c r="DN75" s="739"/>
      <c r="DO75" s="739"/>
      <c r="DP75" s="739"/>
      <c r="DQ75" s="739"/>
      <c r="DR75" s="739"/>
      <c r="DS75" s="739"/>
      <c r="DT75" s="739"/>
      <c r="DU75" s="739"/>
      <c r="DV75" s="739"/>
      <c r="DW75" s="739"/>
      <c r="DX75" s="739"/>
      <c r="DY75" s="739"/>
      <c r="DZ75" s="739"/>
      <c r="EA75" s="739"/>
      <c r="EB75" s="739"/>
      <c r="EC75" s="739"/>
      <c r="ED75" s="739"/>
      <c r="EE75" s="739"/>
      <c r="EF75" s="739"/>
      <c r="EG75" s="739"/>
      <c r="EH75" s="739"/>
      <c r="EI75" s="739"/>
      <c r="EJ75" s="739"/>
      <c r="EK75" s="739"/>
      <c r="EL75" s="739"/>
      <c r="EM75" s="739"/>
      <c r="EN75" s="739"/>
      <c r="EO75" s="739"/>
      <c r="EP75" s="739"/>
      <c r="EQ75" s="739"/>
      <c r="ER75" s="739"/>
      <c r="ES75" s="739"/>
      <c r="ET75" s="739"/>
      <c r="EU75" s="739"/>
      <c r="EV75" s="739"/>
      <c r="EW75" s="739"/>
      <c r="EX75" s="739"/>
      <c r="EY75" s="739"/>
      <c r="EZ75" s="739"/>
      <c r="FA75" s="739"/>
      <c r="FB75" s="739"/>
      <c r="FC75" s="739"/>
      <c r="FD75" s="739"/>
      <c r="FE75" s="739"/>
      <c r="FF75" s="739"/>
      <c r="FG75" s="740"/>
      <c r="FH75" s="287"/>
    </row>
    <row r="76" spans="1:164" ht="8.65" customHeight="1">
      <c r="A76" s="269"/>
      <c r="B76" s="741"/>
      <c r="C76" s="742"/>
      <c r="D76" s="742"/>
      <c r="E76" s="742"/>
      <c r="F76" s="742"/>
      <c r="G76" s="742"/>
      <c r="H76" s="742"/>
      <c r="I76" s="742"/>
      <c r="J76" s="742"/>
      <c r="K76" s="742"/>
      <c r="L76" s="742"/>
      <c r="M76" s="742"/>
      <c r="N76" s="742"/>
      <c r="O76" s="742"/>
      <c r="P76" s="742"/>
      <c r="Q76" s="742"/>
      <c r="R76" s="742"/>
      <c r="S76" s="742"/>
      <c r="T76" s="742"/>
      <c r="U76" s="742"/>
      <c r="V76" s="742"/>
      <c r="W76" s="742"/>
      <c r="X76" s="742"/>
      <c r="Y76" s="742"/>
      <c r="Z76" s="742"/>
      <c r="AA76" s="742"/>
      <c r="AB76" s="742"/>
      <c r="AC76" s="742"/>
      <c r="AD76" s="742"/>
      <c r="AE76" s="742"/>
      <c r="AF76" s="742"/>
      <c r="AG76" s="742"/>
      <c r="AH76" s="710"/>
      <c r="AI76" s="710"/>
      <c r="AJ76" s="710"/>
      <c r="AK76" s="710"/>
      <c r="AL76" s="710"/>
      <c r="AM76" s="710"/>
      <c r="AN76" s="710"/>
      <c r="AO76" s="710"/>
      <c r="AP76" s="710"/>
      <c r="AQ76" s="710"/>
      <c r="AR76" s="710"/>
      <c r="AS76" s="710"/>
      <c r="AT76" s="711"/>
      <c r="AU76" s="743"/>
      <c r="AV76" s="744"/>
      <c r="AW76" s="744"/>
      <c r="AX76" s="744"/>
      <c r="AY76" s="744"/>
      <c r="AZ76" s="744"/>
      <c r="BA76" s="744"/>
      <c r="BB76" s="744"/>
      <c r="BC76" s="744"/>
      <c r="BD76" s="744"/>
      <c r="BE76" s="744"/>
      <c r="BF76" s="744"/>
      <c r="BG76" s="744"/>
      <c r="BH76" s="744"/>
      <c r="BI76" s="744"/>
      <c r="BJ76" s="744"/>
      <c r="BK76" s="744"/>
      <c r="BL76" s="744"/>
      <c r="BM76" s="744"/>
      <c r="BN76" s="744"/>
      <c r="BO76" s="744"/>
      <c r="BP76" s="744"/>
      <c r="BQ76" s="744"/>
      <c r="BR76" s="744"/>
      <c r="BS76" s="744"/>
      <c r="BT76" s="744"/>
      <c r="BU76" s="744"/>
      <c r="BV76" s="744"/>
      <c r="BW76" s="744"/>
      <c r="BX76" s="745"/>
      <c r="BY76" s="743"/>
      <c r="BZ76" s="744"/>
      <c r="CA76" s="744"/>
      <c r="CB76" s="744"/>
      <c r="CC76" s="744"/>
      <c r="CD76" s="744"/>
      <c r="CE76" s="744"/>
      <c r="CF76" s="744"/>
      <c r="CG76" s="744"/>
      <c r="CH76" s="744"/>
      <c r="CI76" s="744"/>
      <c r="CJ76" s="744"/>
      <c r="CK76" s="744"/>
      <c r="CL76" s="744"/>
      <c r="CM76" s="744"/>
      <c r="CN76" s="744"/>
      <c r="CO76" s="744"/>
      <c r="CP76" s="744"/>
      <c r="CQ76" s="744"/>
      <c r="CR76" s="744"/>
      <c r="CS76" s="744"/>
      <c r="CT76" s="744"/>
      <c r="CU76" s="744"/>
      <c r="CV76" s="744"/>
      <c r="CW76" s="744"/>
      <c r="CX76" s="744"/>
      <c r="CY76" s="744"/>
      <c r="CZ76" s="744"/>
      <c r="DA76" s="744"/>
      <c r="DB76" s="744"/>
      <c r="DC76" s="744"/>
      <c r="DD76" s="744"/>
      <c r="DE76" s="744"/>
      <c r="DF76" s="744"/>
      <c r="DG76" s="744"/>
      <c r="DH76" s="744"/>
      <c r="DI76" s="745"/>
      <c r="DJ76" s="738"/>
      <c r="DK76" s="739"/>
      <c r="DL76" s="739"/>
      <c r="DM76" s="739"/>
      <c r="DN76" s="739"/>
      <c r="DO76" s="739"/>
      <c r="DP76" s="739"/>
      <c r="DQ76" s="739"/>
      <c r="DR76" s="739"/>
      <c r="DS76" s="739"/>
      <c r="DT76" s="739"/>
      <c r="DU76" s="739"/>
      <c r="DV76" s="739"/>
      <c r="DW76" s="739"/>
      <c r="DX76" s="739"/>
      <c r="DY76" s="739"/>
      <c r="DZ76" s="739"/>
      <c r="EA76" s="739"/>
      <c r="EB76" s="739"/>
      <c r="EC76" s="739"/>
      <c r="ED76" s="739"/>
      <c r="EE76" s="739"/>
      <c r="EF76" s="739"/>
      <c r="EG76" s="739"/>
      <c r="EH76" s="739"/>
      <c r="EI76" s="739"/>
      <c r="EJ76" s="739"/>
      <c r="EK76" s="739"/>
      <c r="EL76" s="739"/>
      <c r="EM76" s="739"/>
      <c r="EN76" s="739"/>
      <c r="EO76" s="739"/>
      <c r="EP76" s="739"/>
      <c r="EQ76" s="739"/>
      <c r="ER76" s="739"/>
      <c r="ES76" s="739"/>
      <c r="ET76" s="739"/>
      <c r="EU76" s="739"/>
      <c r="EV76" s="739"/>
      <c r="EW76" s="739"/>
      <c r="EX76" s="739"/>
      <c r="EY76" s="739"/>
      <c r="EZ76" s="739"/>
      <c r="FA76" s="739"/>
      <c r="FB76" s="739"/>
      <c r="FC76" s="739"/>
      <c r="FD76" s="739"/>
      <c r="FE76" s="739"/>
      <c r="FF76" s="739"/>
      <c r="FG76" s="740"/>
      <c r="FH76" s="287"/>
    </row>
    <row r="77" spans="1:164" ht="8.65" customHeight="1">
      <c r="A77" s="269"/>
      <c r="B77" s="741" t="s">
        <v>6438</v>
      </c>
      <c r="C77" s="742"/>
      <c r="D77" s="742"/>
      <c r="E77" s="742"/>
      <c r="F77" s="742"/>
      <c r="G77" s="742"/>
      <c r="H77" s="742"/>
      <c r="I77" s="742"/>
      <c r="J77" s="742"/>
      <c r="K77" s="742"/>
      <c r="L77" s="742"/>
      <c r="M77" s="742"/>
      <c r="N77" s="742"/>
      <c r="O77" s="742"/>
      <c r="P77" s="742"/>
      <c r="Q77" s="742"/>
      <c r="R77" s="742"/>
      <c r="S77" s="742"/>
      <c r="T77" s="742"/>
      <c r="U77" s="742"/>
      <c r="V77" s="742"/>
      <c r="W77" s="742"/>
      <c r="X77" s="742"/>
      <c r="Y77" s="742"/>
      <c r="Z77" s="742"/>
      <c r="AA77" s="742"/>
      <c r="AB77" s="742"/>
      <c r="AC77" s="742"/>
      <c r="AD77" s="742"/>
      <c r="AE77" s="742"/>
      <c r="AF77" s="742"/>
      <c r="AG77" s="742"/>
      <c r="AH77" s="710">
        <v>1.02</v>
      </c>
      <c r="AI77" s="710"/>
      <c r="AJ77" s="710"/>
      <c r="AK77" s="710"/>
      <c r="AL77" s="710"/>
      <c r="AM77" s="710"/>
      <c r="AN77" s="710"/>
      <c r="AO77" s="710"/>
      <c r="AP77" s="710"/>
      <c r="AQ77" s="710"/>
      <c r="AR77" s="710"/>
      <c r="AS77" s="710"/>
      <c r="AT77" s="711"/>
      <c r="AU77" s="743" t="s">
        <v>6367</v>
      </c>
      <c r="AV77" s="744"/>
      <c r="AW77" s="744"/>
      <c r="AX77" s="744"/>
      <c r="AY77" s="744"/>
      <c r="AZ77" s="744"/>
      <c r="BA77" s="744"/>
      <c r="BB77" s="744"/>
      <c r="BC77" s="744"/>
      <c r="BD77" s="744"/>
      <c r="BE77" s="744"/>
      <c r="BF77" s="744"/>
      <c r="BG77" s="744"/>
      <c r="BH77" s="744"/>
      <c r="BI77" s="744"/>
      <c r="BJ77" s="744"/>
      <c r="BK77" s="744"/>
      <c r="BL77" s="744"/>
      <c r="BM77" s="744"/>
      <c r="BN77" s="744"/>
      <c r="BO77" s="744"/>
      <c r="BP77" s="744"/>
      <c r="BQ77" s="744"/>
      <c r="BR77" s="744"/>
      <c r="BS77" s="744"/>
      <c r="BT77" s="710" t="s">
        <v>6366</v>
      </c>
      <c r="BU77" s="710"/>
      <c r="BV77" s="710"/>
      <c r="BW77" s="710"/>
      <c r="BX77" s="769"/>
      <c r="BY77" s="743" t="s">
        <v>6419</v>
      </c>
      <c r="BZ77" s="744"/>
      <c r="CA77" s="744"/>
      <c r="CB77" s="744"/>
      <c r="CC77" s="744"/>
      <c r="CD77" s="744"/>
      <c r="CE77" s="744"/>
      <c r="CF77" s="744"/>
      <c r="CG77" s="744"/>
      <c r="CH77" s="744"/>
      <c r="CI77" s="744"/>
      <c r="CJ77" s="744"/>
      <c r="CK77" s="744"/>
      <c r="CL77" s="744"/>
      <c r="CM77" s="744"/>
      <c r="CN77" s="744"/>
      <c r="CO77" s="744"/>
      <c r="CP77" s="744"/>
      <c r="CQ77" s="744"/>
      <c r="CR77" s="744"/>
      <c r="CS77" s="744"/>
      <c r="CT77" s="744"/>
      <c r="CU77" s="744"/>
      <c r="CV77" s="744"/>
      <c r="CW77" s="744"/>
      <c r="CX77" s="744"/>
      <c r="CY77" s="744"/>
      <c r="CZ77" s="744"/>
      <c r="DA77" s="744"/>
      <c r="DB77" s="744" t="s">
        <v>6366</v>
      </c>
      <c r="DC77" s="744"/>
      <c r="DD77" s="744"/>
      <c r="DE77" s="744"/>
      <c r="DF77" s="744"/>
      <c r="DG77" s="744"/>
      <c r="DH77" s="744"/>
      <c r="DI77" s="745"/>
      <c r="DJ77" s="763" t="s">
        <v>6440</v>
      </c>
      <c r="DK77" s="764"/>
      <c r="DL77" s="764"/>
      <c r="DM77" s="764"/>
      <c r="DN77" s="764"/>
      <c r="DO77" s="764"/>
      <c r="DP77" s="764"/>
      <c r="DQ77" s="764"/>
      <c r="DR77" s="764"/>
      <c r="DS77" s="764"/>
      <c r="DT77" s="764"/>
      <c r="DU77" s="764"/>
      <c r="DV77" s="764"/>
      <c r="DW77" s="764"/>
      <c r="DX77" s="764"/>
      <c r="DY77" s="764"/>
      <c r="DZ77" s="764"/>
      <c r="EA77" s="764"/>
      <c r="EB77" s="764"/>
      <c r="EC77" s="764"/>
      <c r="ED77" s="764"/>
      <c r="EE77" s="764"/>
      <c r="EF77" s="764"/>
      <c r="EG77" s="764"/>
      <c r="EH77" s="764"/>
      <c r="EI77" s="764"/>
      <c r="EJ77" s="764"/>
      <c r="EK77" s="764"/>
      <c r="EL77" s="764"/>
      <c r="EM77" s="764"/>
      <c r="EN77" s="764"/>
      <c r="EO77" s="764"/>
      <c r="EP77" s="764"/>
      <c r="EQ77" s="764"/>
      <c r="ER77" s="764"/>
      <c r="ES77" s="764"/>
      <c r="ET77" s="764"/>
      <c r="EU77" s="764"/>
      <c r="EV77" s="764"/>
      <c r="EW77" s="764"/>
      <c r="EX77" s="764"/>
      <c r="EY77" s="764"/>
      <c r="EZ77" s="764"/>
      <c r="FA77" s="764"/>
      <c r="FB77" s="764"/>
      <c r="FC77" s="764"/>
      <c r="FD77" s="764"/>
      <c r="FE77" s="764"/>
      <c r="FF77" s="764"/>
      <c r="FG77" s="765"/>
      <c r="FH77" s="287"/>
    </row>
    <row r="78" spans="1:164" ht="8.65" customHeight="1">
      <c r="A78" s="269"/>
      <c r="B78" s="741"/>
      <c r="C78" s="742"/>
      <c r="D78" s="742"/>
      <c r="E78" s="742"/>
      <c r="F78" s="742"/>
      <c r="G78" s="742"/>
      <c r="H78" s="742"/>
      <c r="I78" s="742"/>
      <c r="J78" s="742"/>
      <c r="K78" s="742"/>
      <c r="L78" s="742"/>
      <c r="M78" s="742"/>
      <c r="N78" s="742"/>
      <c r="O78" s="742"/>
      <c r="P78" s="742"/>
      <c r="Q78" s="742"/>
      <c r="R78" s="742"/>
      <c r="S78" s="742"/>
      <c r="T78" s="742"/>
      <c r="U78" s="742"/>
      <c r="V78" s="742"/>
      <c r="W78" s="742"/>
      <c r="X78" s="742"/>
      <c r="Y78" s="742"/>
      <c r="Z78" s="742"/>
      <c r="AA78" s="742"/>
      <c r="AB78" s="742"/>
      <c r="AC78" s="742"/>
      <c r="AD78" s="742"/>
      <c r="AE78" s="742"/>
      <c r="AF78" s="742"/>
      <c r="AG78" s="742"/>
      <c r="AH78" s="710"/>
      <c r="AI78" s="710"/>
      <c r="AJ78" s="710"/>
      <c r="AK78" s="710"/>
      <c r="AL78" s="710"/>
      <c r="AM78" s="710"/>
      <c r="AN78" s="710"/>
      <c r="AO78" s="710"/>
      <c r="AP78" s="710"/>
      <c r="AQ78" s="710"/>
      <c r="AR78" s="710"/>
      <c r="AS78" s="710"/>
      <c r="AT78" s="711"/>
      <c r="AU78" s="743"/>
      <c r="AV78" s="744"/>
      <c r="AW78" s="744"/>
      <c r="AX78" s="744"/>
      <c r="AY78" s="744"/>
      <c r="AZ78" s="744"/>
      <c r="BA78" s="744"/>
      <c r="BB78" s="744"/>
      <c r="BC78" s="744"/>
      <c r="BD78" s="744"/>
      <c r="BE78" s="744"/>
      <c r="BF78" s="744"/>
      <c r="BG78" s="744"/>
      <c r="BH78" s="744"/>
      <c r="BI78" s="744"/>
      <c r="BJ78" s="744"/>
      <c r="BK78" s="744"/>
      <c r="BL78" s="744"/>
      <c r="BM78" s="744"/>
      <c r="BN78" s="744"/>
      <c r="BO78" s="744"/>
      <c r="BP78" s="744"/>
      <c r="BQ78" s="744"/>
      <c r="BR78" s="744"/>
      <c r="BS78" s="744"/>
      <c r="BT78" s="710"/>
      <c r="BU78" s="710"/>
      <c r="BV78" s="710"/>
      <c r="BW78" s="710"/>
      <c r="BX78" s="769"/>
      <c r="BY78" s="743"/>
      <c r="BZ78" s="744"/>
      <c r="CA78" s="744"/>
      <c r="CB78" s="744"/>
      <c r="CC78" s="744"/>
      <c r="CD78" s="744"/>
      <c r="CE78" s="744"/>
      <c r="CF78" s="744"/>
      <c r="CG78" s="744"/>
      <c r="CH78" s="744"/>
      <c r="CI78" s="744"/>
      <c r="CJ78" s="744"/>
      <c r="CK78" s="744"/>
      <c r="CL78" s="744"/>
      <c r="CM78" s="744"/>
      <c r="CN78" s="744"/>
      <c r="CO78" s="744"/>
      <c r="CP78" s="744"/>
      <c r="CQ78" s="744"/>
      <c r="CR78" s="744"/>
      <c r="CS78" s="744"/>
      <c r="CT78" s="744"/>
      <c r="CU78" s="744"/>
      <c r="CV78" s="744"/>
      <c r="CW78" s="744"/>
      <c r="CX78" s="744"/>
      <c r="CY78" s="744"/>
      <c r="CZ78" s="744"/>
      <c r="DA78" s="744"/>
      <c r="DB78" s="744"/>
      <c r="DC78" s="744"/>
      <c r="DD78" s="744"/>
      <c r="DE78" s="744"/>
      <c r="DF78" s="744"/>
      <c r="DG78" s="744"/>
      <c r="DH78" s="744"/>
      <c r="DI78" s="745"/>
      <c r="DJ78" s="766"/>
      <c r="DK78" s="764"/>
      <c r="DL78" s="764"/>
      <c r="DM78" s="764"/>
      <c r="DN78" s="764"/>
      <c r="DO78" s="764"/>
      <c r="DP78" s="764"/>
      <c r="DQ78" s="764"/>
      <c r="DR78" s="764"/>
      <c r="DS78" s="764"/>
      <c r="DT78" s="764"/>
      <c r="DU78" s="764"/>
      <c r="DV78" s="764"/>
      <c r="DW78" s="764"/>
      <c r="DX78" s="764"/>
      <c r="DY78" s="764"/>
      <c r="DZ78" s="764"/>
      <c r="EA78" s="764"/>
      <c r="EB78" s="764"/>
      <c r="EC78" s="764"/>
      <c r="ED78" s="764"/>
      <c r="EE78" s="764"/>
      <c r="EF78" s="764"/>
      <c r="EG78" s="764"/>
      <c r="EH78" s="764"/>
      <c r="EI78" s="764"/>
      <c r="EJ78" s="764"/>
      <c r="EK78" s="764"/>
      <c r="EL78" s="764"/>
      <c r="EM78" s="764"/>
      <c r="EN78" s="764"/>
      <c r="EO78" s="764"/>
      <c r="EP78" s="764"/>
      <c r="EQ78" s="764"/>
      <c r="ER78" s="764"/>
      <c r="ES78" s="764"/>
      <c r="ET78" s="764"/>
      <c r="EU78" s="764"/>
      <c r="EV78" s="764"/>
      <c r="EW78" s="764"/>
      <c r="EX78" s="764"/>
      <c r="EY78" s="764"/>
      <c r="EZ78" s="764"/>
      <c r="FA78" s="764"/>
      <c r="FB78" s="764"/>
      <c r="FC78" s="764"/>
      <c r="FD78" s="764"/>
      <c r="FE78" s="764"/>
      <c r="FF78" s="764"/>
      <c r="FG78" s="765"/>
      <c r="FH78" s="287"/>
    </row>
    <row r="79" spans="1:164" ht="8.65" customHeight="1">
      <c r="A79" s="269"/>
      <c r="B79" s="741" t="s">
        <v>6442</v>
      </c>
      <c r="C79" s="742"/>
      <c r="D79" s="742"/>
      <c r="E79" s="742"/>
      <c r="F79" s="742"/>
      <c r="G79" s="742"/>
      <c r="H79" s="742"/>
      <c r="I79" s="742"/>
      <c r="J79" s="742"/>
      <c r="K79" s="742"/>
      <c r="L79" s="742"/>
      <c r="M79" s="742"/>
      <c r="N79" s="742"/>
      <c r="O79" s="742"/>
      <c r="P79" s="742"/>
      <c r="Q79" s="742"/>
      <c r="R79" s="742"/>
      <c r="S79" s="742"/>
      <c r="T79" s="742"/>
      <c r="U79" s="742"/>
      <c r="V79" s="742"/>
      <c r="W79" s="742"/>
      <c r="X79" s="742"/>
      <c r="Y79" s="742"/>
      <c r="Z79" s="742"/>
      <c r="AA79" s="742"/>
      <c r="AB79" s="742"/>
      <c r="AC79" s="742"/>
      <c r="AD79" s="742"/>
      <c r="AE79" s="742"/>
      <c r="AF79" s="742"/>
      <c r="AG79" s="742"/>
      <c r="AH79" s="710">
        <v>1.01</v>
      </c>
      <c r="AI79" s="710"/>
      <c r="AJ79" s="710"/>
      <c r="AK79" s="710"/>
      <c r="AL79" s="710"/>
      <c r="AM79" s="710"/>
      <c r="AN79" s="710"/>
      <c r="AO79" s="710"/>
      <c r="AP79" s="710"/>
      <c r="AQ79" s="710"/>
      <c r="AR79" s="710"/>
      <c r="AS79" s="710"/>
      <c r="AT79" s="711"/>
      <c r="AU79" s="743"/>
      <c r="AV79" s="744"/>
      <c r="AW79" s="744"/>
      <c r="AX79" s="744"/>
      <c r="AY79" s="744"/>
      <c r="AZ79" s="744"/>
      <c r="BA79" s="744"/>
      <c r="BB79" s="744"/>
      <c r="BC79" s="744"/>
      <c r="BD79" s="744"/>
      <c r="BE79" s="744"/>
      <c r="BF79" s="744"/>
      <c r="BG79" s="744"/>
      <c r="BH79" s="744"/>
      <c r="BI79" s="744"/>
      <c r="BJ79" s="744"/>
      <c r="BK79" s="744"/>
      <c r="BL79" s="744"/>
      <c r="BM79" s="744"/>
      <c r="BN79" s="744"/>
      <c r="BO79" s="744"/>
      <c r="BP79" s="744"/>
      <c r="BQ79" s="744"/>
      <c r="BR79" s="744"/>
      <c r="BS79" s="744"/>
      <c r="BT79" s="710"/>
      <c r="BU79" s="710"/>
      <c r="BV79" s="710"/>
      <c r="BW79" s="710"/>
      <c r="BX79" s="769"/>
      <c r="BY79" s="743"/>
      <c r="BZ79" s="744"/>
      <c r="CA79" s="744"/>
      <c r="CB79" s="744"/>
      <c r="CC79" s="744"/>
      <c r="CD79" s="744"/>
      <c r="CE79" s="744"/>
      <c r="CF79" s="744"/>
      <c r="CG79" s="744"/>
      <c r="CH79" s="744"/>
      <c r="CI79" s="744"/>
      <c r="CJ79" s="744"/>
      <c r="CK79" s="744"/>
      <c r="CL79" s="744"/>
      <c r="CM79" s="744"/>
      <c r="CN79" s="744"/>
      <c r="CO79" s="744"/>
      <c r="CP79" s="744"/>
      <c r="CQ79" s="744"/>
      <c r="CR79" s="744"/>
      <c r="CS79" s="744"/>
      <c r="CT79" s="744"/>
      <c r="CU79" s="744"/>
      <c r="CV79" s="744"/>
      <c r="CW79" s="744"/>
      <c r="CX79" s="744"/>
      <c r="CY79" s="744"/>
      <c r="CZ79" s="744"/>
      <c r="DA79" s="744"/>
      <c r="DB79" s="744"/>
      <c r="DC79" s="744"/>
      <c r="DD79" s="744"/>
      <c r="DE79" s="744"/>
      <c r="DF79" s="744"/>
      <c r="DG79" s="744"/>
      <c r="DH79" s="744"/>
      <c r="DI79" s="745"/>
      <c r="DJ79" s="766"/>
      <c r="DK79" s="764"/>
      <c r="DL79" s="764"/>
      <c r="DM79" s="764"/>
      <c r="DN79" s="764"/>
      <c r="DO79" s="764"/>
      <c r="DP79" s="764"/>
      <c r="DQ79" s="764"/>
      <c r="DR79" s="764"/>
      <c r="DS79" s="764"/>
      <c r="DT79" s="764"/>
      <c r="DU79" s="764"/>
      <c r="DV79" s="764"/>
      <c r="DW79" s="764"/>
      <c r="DX79" s="764"/>
      <c r="DY79" s="764"/>
      <c r="DZ79" s="764"/>
      <c r="EA79" s="764"/>
      <c r="EB79" s="764"/>
      <c r="EC79" s="764"/>
      <c r="ED79" s="764"/>
      <c r="EE79" s="764"/>
      <c r="EF79" s="764"/>
      <c r="EG79" s="764"/>
      <c r="EH79" s="764"/>
      <c r="EI79" s="764"/>
      <c r="EJ79" s="764"/>
      <c r="EK79" s="764"/>
      <c r="EL79" s="764"/>
      <c r="EM79" s="764"/>
      <c r="EN79" s="764"/>
      <c r="EO79" s="764"/>
      <c r="EP79" s="764"/>
      <c r="EQ79" s="764"/>
      <c r="ER79" s="764"/>
      <c r="ES79" s="764"/>
      <c r="ET79" s="764"/>
      <c r="EU79" s="764"/>
      <c r="EV79" s="764"/>
      <c r="EW79" s="764"/>
      <c r="EX79" s="764"/>
      <c r="EY79" s="764"/>
      <c r="EZ79" s="764"/>
      <c r="FA79" s="764"/>
      <c r="FB79" s="764"/>
      <c r="FC79" s="764"/>
      <c r="FD79" s="764"/>
      <c r="FE79" s="764"/>
      <c r="FF79" s="764"/>
      <c r="FG79" s="765"/>
      <c r="FH79" s="287"/>
    </row>
    <row r="80" spans="1:164" ht="8.65" customHeight="1">
      <c r="A80" s="269"/>
      <c r="B80" s="741"/>
      <c r="C80" s="742"/>
      <c r="D80" s="742"/>
      <c r="E80" s="742"/>
      <c r="F80" s="742"/>
      <c r="G80" s="742"/>
      <c r="H80" s="742"/>
      <c r="I80" s="742"/>
      <c r="J80" s="742"/>
      <c r="K80" s="742"/>
      <c r="L80" s="742"/>
      <c r="M80" s="742"/>
      <c r="N80" s="742"/>
      <c r="O80" s="742"/>
      <c r="P80" s="742"/>
      <c r="Q80" s="742"/>
      <c r="R80" s="742"/>
      <c r="S80" s="742"/>
      <c r="T80" s="742"/>
      <c r="U80" s="742"/>
      <c r="V80" s="742"/>
      <c r="W80" s="742"/>
      <c r="X80" s="742"/>
      <c r="Y80" s="742"/>
      <c r="Z80" s="742"/>
      <c r="AA80" s="742"/>
      <c r="AB80" s="742"/>
      <c r="AC80" s="742"/>
      <c r="AD80" s="742"/>
      <c r="AE80" s="742"/>
      <c r="AF80" s="742"/>
      <c r="AG80" s="742"/>
      <c r="AH80" s="710"/>
      <c r="AI80" s="710"/>
      <c r="AJ80" s="710"/>
      <c r="AK80" s="710"/>
      <c r="AL80" s="710"/>
      <c r="AM80" s="710"/>
      <c r="AN80" s="710"/>
      <c r="AO80" s="710"/>
      <c r="AP80" s="710"/>
      <c r="AQ80" s="710"/>
      <c r="AR80" s="710"/>
      <c r="AS80" s="710"/>
      <c r="AT80" s="711"/>
      <c r="AU80" s="767" t="s">
        <v>6422</v>
      </c>
      <c r="AV80" s="768"/>
      <c r="AW80" s="768"/>
      <c r="AX80" s="768"/>
      <c r="AY80" s="768"/>
      <c r="AZ80" s="768"/>
      <c r="BA80" s="768"/>
      <c r="BB80" s="768"/>
      <c r="BC80" s="768"/>
      <c r="BD80" s="768"/>
      <c r="BE80" s="768"/>
      <c r="BF80" s="768"/>
      <c r="BG80" s="768"/>
      <c r="BH80" s="768"/>
      <c r="BI80" s="768"/>
      <c r="BJ80" s="768"/>
      <c r="BK80" s="768"/>
      <c r="BL80" s="768"/>
      <c r="BM80" s="768"/>
      <c r="BN80" s="768"/>
      <c r="BO80" s="768"/>
      <c r="BP80" s="768"/>
      <c r="BQ80" s="768"/>
      <c r="BR80" s="768"/>
      <c r="BS80" s="768"/>
      <c r="BT80" s="710">
        <v>0.9</v>
      </c>
      <c r="BU80" s="710"/>
      <c r="BV80" s="710"/>
      <c r="BW80" s="710"/>
      <c r="BX80" s="769"/>
      <c r="BY80" s="770" t="s">
        <v>6423</v>
      </c>
      <c r="BZ80" s="627"/>
      <c r="CA80" s="627"/>
      <c r="CB80" s="627"/>
      <c r="CC80" s="627"/>
      <c r="CD80" s="627"/>
      <c r="CE80" s="627"/>
      <c r="CF80" s="627"/>
      <c r="CG80" s="627"/>
      <c r="CH80" s="627"/>
      <c r="CI80" s="627"/>
      <c r="CJ80" s="627"/>
      <c r="CK80" s="627"/>
      <c r="CL80" s="627"/>
      <c r="CM80" s="627"/>
      <c r="CN80" s="627"/>
      <c r="CO80" s="627"/>
      <c r="CP80" s="627"/>
      <c r="CQ80" s="627"/>
      <c r="CR80" s="627"/>
      <c r="CS80" s="627"/>
      <c r="CT80" s="627"/>
      <c r="CU80" s="627"/>
      <c r="CV80" s="627"/>
      <c r="CW80" s="627"/>
      <c r="CX80" s="627"/>
      <c r="CY80" s="627"/>
      <c r="CZ80" s="627"/>
      <c r="DA80" s="627"/>
      <c r="DB80" s="771">
        <v>8.1000000000000003E-2</v>
      </c>
      <c r="DC80" s="771"/>
      <c r="DD80" s="771"/>
      <c r="DE80" s="771"/>
      <c r="DF80" s="771"/>
      <c r="DG80" s="771"/>
      <c r="DH80" s="771"/>
      <c r="DI80" s="772"/>
      <c r="DJ80" s="738" t="s">
        <v>6445</v>
      </c>
      <c r="DK80" s="739"/>
      <c r="DL80" s="739"/>
      <c r="DM80" s="739"/>
      <c r="DN80" s="739"/>
      <c r="DO80" s="739"/>
      <c r="DP80" s="739"/>
      <c r="DQ80" s="739"/>
      <c r="DR80" s="739"/>
      <c r="DS80" s="739"/>
      <c r="DT80" s="739"/>
      <c r="DU80" s="739"/>
      <c r="DV80" s="739"/>
      <c r="DW80" s="739"/>
      <c r="DX80" s="739"/>
      <c r="DY80" s="739"/>
      <c r="DZ80" s="739"/>
      <c r="EA80" s="739"/>
      <c r="EB80" s="739"/>
      <c r="EC80" s="739"/>
      <c r="ED80" s="739"/>
      <c r="EE80" s="739"/>
      <c r="EF80" s="739"/>
      <c r="EG80" s="739"/>
      <c r="EH80" s="739"/>
      <c r="EI80" s="739"/>
      <c r="EJ80" s="739"/>
      <c r="EK80" s="739"/>
      <c r="EL80" s="739"/>
      <c r="EM80" s="739"/>
      <c r="EN80" s="739"/>
      <c r="EO80" s="739"/>
      <c r="EP80" s="739"/>
      <c r="EQ80" s="739"/>
      <c r="ER80" s="739"/>
      <c r="ES80" s="739"/>
      <c r="ET80" s="739"/>
      <c r="EU80" s="739"/>
      <c r="EV80" s="739"/>
      <c r="EW80" s="739"/>
      <c r="EX80" s="739"/>
      <c r="EY80" s="739"/>
      <c r="EZ80" s="739"/>
      <c r="FA80" s="739"/>
      <c r="FB80" s="739"/>
      <c r="FC80" s="739"/>
      <c r="FD80" s="739"/>
      <c r="FE80" s="739"/>
      <c r="FF80" s="739"/>
      <c r="FG80" s="740"/>
      <c r="FH80" s="287"/>
    </row>
    <row r="81" spans="1:164" ht="8.65" customHeight="1">
      <c r="A81" s="269"/>
      <c r="B81" s="741" t="s">
        <v>6446</v>
      </c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2"/>
      <c r="P81" s="742"/>
      <c r="Q81" s="742"/>
      <c r="R81" s="742"/>
      <c r="S81" s="742"/>
      <c r="T81" s="742"/>
      <c r="U81" s="742"/>
      <c r="V81" s="742"/>
      <c r="W81" s="742"/>
      <c r="X81" s="742"/>
      <c r="Y81" s="742"/>
      <c r="Z81" s="742"/>
      <c r="AA81" s="742"/>
      <c r="AB81" s="742"/>
      <c r="AC81" s="742"/>
      <c r="AD81" s="742"/>
      <c r="AE81" s="742"/>
      <c r="AF81" s="742"/>
      <c r="AG81" s="742"/>
      <c r="AH81" s="710" t="e">
        <v>#REF!</v>
      </c>
      <c r="AI81" s="710"/>
      <c r="AJ81" s="710"/>
      <c r="AK81" s="710"/>
      <c r="AL81" s="710"/>
      <c r="AM81" s="710"/>
      <c r="AN81" s="710"/>
      <c r="AO81" s="710"/>
      <c r="AP81" s="710"/>
      <c r="AQ81" s="710"/>
      <c r="AR81" s="710"/>
      <c r="AS81" s="710"/>
      <c r="AT81" s="711"/>
      <c r="AU81" s="767"/>
      <c r="AV81" s="768"/>
      <c r="AW81" s="768"/>
      <c r="AX81" s="768"/>
      <c r="AY81" s="768"/>
      <c r="AZ81" s="768"/>
      <c r="BA81" s="768"/>
      <c r="BB81" s="768"/>
      <c r="BC81" s="768"/>
      <c r="BD81" s="768"/>
      <c r="BE81" s="768"/>
      <c r="BF81" s="768"/>
      <c r="BG81" s="768"/>
      <c r="BH81" s="768"/>
      <c r="BI81" s="768"/>
      <c r="BJ81" s="768"/>
      <c r="BK81" s="768"/>
      <c r="BL81" s="768"/>
      <c r="BM81" s="768"/>
      <c r="BN81" s="768"/>
      <c r="BO81" s="768"/>
      <c r="BP81" s="768"/>
      <c r="BQ81" s="768"/>
      <c r="BR81" s="768"/>
      <c r="BS81" s="768"/>
      <c r="BT81" s="710"/>
      <c r="BU81" s="710"/>
      <c r="BV81" s="710"/>
      <c r="BW81" s="710"/>
      <c r="BX81" s="769"/>
      <c r="BY81" s="770"/>
      <c r="BZ81" s="627"/>
      <c r="CA81" s="627"/>
      <c r="CB81" s="627"/>
      <c r="CC81" s="627"/>
      <c r="CD81" s="627"/>
      <c r="CE81" s="627"/>
      <c r="CF81" s="627"/>
      <c r="CG81" s="627"/>
      <c r="CH81" s="627"/>
      <c r="CI81" s="627"/>
      <c r="CJ81" s="627"/>
      <c r="CK81" s="627"/>
      <c r="CL81" s="627"/>
      <c r="CM81" s="627"/>
      <c r="CN81" s="627"/>
      <c r="CO81" s="627"/>
      <c r="CP81" s="627"/>
      <c r="CQ81" s="627"/>
      <c r="CR81" s="627"/>
      <c r="CS81" s="627"/>
      <c r="CT81" s="627"/>
      <c r="CU81" s="627"/>
      <c r="CV81" s="627"/>
      <c r="CW81" s="627"/>
      <c r="CX81" s="627"/>
      <c r="CY81" s="627"/>
      <c r="CZ81" s="627"/>
      <c r="DA81" s="627"/>
      <c r="DB81" s="771"/>
      <c r="DC81" s="771"/>
      <c r="DD81" s="771"/>
      <c r="DE81" s="771"/>
      <c r="DF81" s="771"/>
      <c r="DG81" s="771"/>
      <c r="DH81" s="771"/>
      <c r="DI81" s="772"/>
      <c r="DJ81" s="738"/>
      <c r="DK81" s="739"/>
      <c r="DL81" s="739"/>
      <c r="DM81" s="739"/>
      <c r="DN81" s="739"/>
      <c r="DO81" s="739"/>
      <c r="DP81" s="739"/>
      <c r="DQ81" s="739"/>
      <c r="DR81" s="739"/>
      <c r="DS81" s="739"/>
      <c r="DT81" s="739"/>
      <c r="DU81" s="739"/>
      <c r="DV81" s="739"/>
      <c r="DW81" s="739"/>
      <c r="DX81" s="739"/>
      <c r="DY81" s="739"/>
      <c r="DZ81" s="739"/>
      <c r="EA81" s="739"/>
      <c r="EB81" s="739"/>
      <c r="EC81" s="739"/>
      <c r="ED81" s="739"/>
      <c r="EE81" s="739"/>
      <c r="EF81" s="739"/>
      <c r="EG81" s="739"/>
      <c r="EH81" s="739"/>
      <c r="EI81" s="739"/>
      <c r="EJ81" s="739"/>
      <c r="EK81" s="739"/>
      <c r="EL81" s="739"/>
      <c r="EM81" s="739"/>
      <c r="EN81" s="739"/>
      <c r="EO81" s="739"/>
      <c r="EP81" s="739"/>
      <c r="EQ81" s="739"/>
      <c r="ER81" s="739"/>
      <c r="ES81" s="739"/>
      <c r="ET81" s="739"/>
      <c r="EU81" s="739"/>
      <c r="EV81" s="739"/>
      <c r="EW81" s="739"/>
      <c r="EX81" s="739"/>
      <c r="EY81" s="739"/>
      <c r="EZ81" s="739"/>
      <c r="FA81" s="739"/>
      <c r="FB81" s="739"/>
      <c r="FC81" s="739"/>
      <c r="FD81" s="739"/>
      <c r="FE81" s="739"/>
      <c r="FF81" s="739"/>
      <c r="FG81" s="740"/>
      <c r="FH81" s="287"/>
    </row>
    <row r="82" spans="1:164" ht="8.65" customHeight="1">
      <c r="A82" s="269"/>
      <c r="B82" s="741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2"/>
      <c r="P82" s="742"/>
      <c r="Q82" s="742"/>
      <c r="R82" s="742"/>
      <c r="S82" s="742"/>
      <c r="T82" s="742"/>
      <c r="U82" s="742"/>
      <c r="V82" s="742"/>
      <c r="W82" s="742"/>
      <c r="X82" s="742"/>
      <c r="Y82" s="742"/>
      <c r="Z82" s="742"/>
      <c r="AA82" s="742"/>
      <c r="AB82" s="742"/>
      <c r="AC82" s="742"/>
      <c r="AD82" s="742"/>
      <c r="AE82" s="742"/>
      <c r="AF82" s="742"/>
      <c r="AG82" s="742"/>
      <c r="AH82" s="710"/>
      <c r="AI82" s="710"/>
      <c r="AJ82" s="710"/>
      <c r="AK82" s="710"/>
      <c r="AL82" s="710"/>
      <c r="AM82" s="710"/>
      <c r="AN82" s="710"/>
      <c r="AO82" s="710"/>
      <c r="AP82" s="710"/>
      <c r="AQ82" s="710"/>
      <c r="AR82" s="710"/>
      <c r="AS82" s="710"/>
      <c r="AT82" s="711"/>
      <c r="AU82" s="767" t="s">
        <v>6427</v>
      </c>
      <c r="AV82" s="768"/>
      <c r="AW82" s="768"/>
      <c r="AX82" s="768"/>
      <c r="AY82" s="768"/>
      <c r="AZ82" s="768"/>
      <c r="BA82" s="768"/>
      <c r="BB82" s="768"/>
      <c r="BC82" s="768"/>
      <c r="BD82" s="768"/>
      <c r="BE82" s="768"/>
      <c r="BF82" s="768"/>
      <c r="BG82" s="768"/>
      <c r="BH82" s="768"/>
      <c r="BI82" s="768"/>
      <c r="BJ82" s="768"/>
      <c r="BK82" s="768"/>
      <c r="BL82" s="768"/>
      <c r="BM82" s="768"/>
      <c r="BN82" s="768"/>
      <c r="BO82" s="768"/>
      <c r="BP82" s="768"/>
      <c r="BQ82" s="768"/>
      <c r="BR82" s="768"/>
      <c r="BS82" s="768"/>
      <c r="BT82" s="710">
        <v>0.4</v>
      </c>
      <c r="BU82" s="710"/>
      <c r="BV82" s="710"/>
      <c r="BW82" s="710"/>
      <c r="BX82" s="769"/>
      <c r="BY82" s="770"/>
      <c r="BZ82" s="627"/>
      <c r="CA82" s="627"/>
      <c r="CB82" s="627"/>
      <c r="CC82" s="627"/>
      <c r="CD82" s="627"/>
      <c r="CE82" s="627"/>
      <c r="CF82" s="627"/>
      <c r="CG82" s="627"/>
      <c r="CH82" s="627"/>
      <c r="CI82" s="627"/>
      <c r="CJ82" s="627"/>
      <c r="CK82" s="627"/>
      <c r="CL82" s="627"/>
      <c r="CM82" s="627"/>
      <c r="CN82" s="627"/>
      <c r="CO82" s="627"/>
      <c r="CP82" s="627"/>
      <c r="CQ82" s="627"/>
      <c r="CR82" s="627"/>
      <c r="CS82" s="627"/>
      <c r="CT82" s="627"/>
      <c r="CU82" s="627"/>
      <c r="CV82" s="627"/>
      <c r="CW82" s="627"/>
      <c r="CX82" s="627"/>
      <c r="CY82" s="627"/>
      <c r="CZ82" s="627"/>
      <c r="DA82" s="627"/>
      <c r="DB82" s="771"/>
      <c r="DC82" s="771"/>
      <c r="DD82" s="771"/>
      <c r="DE82" s="771"/>
      <c r="DF82" s="771"/>
      <c r="DG82" s="771"/>
      <c r="DH82" s="771"/>
      <c r="DI82" s="772"/>
      <c r="DJ82" s="738"/>
      <c r="DK82" s="739"/>
      <c r="DL82" s="739"/>
      <c r="DM82" s="739"/>
      <c r="DN82" s="739"/>
      <c r="DO82" s="739"/>
      <c r="DP82" s="739"/>
      <c r="DQ82" s="739"/>
      <c r="DR82" s="739"/>
      <c r="DS82" s="739"/>
      <c r="DT82" s="739"/>
      <c r="DU82" s="739"/>
      <c r="DV82" s="739"/>
      <c r="DW82" s="739"/>
      <c r="DX82" s="739"/>
      <c r="DY82" s="739"/>
      <c r="DZ82" s="739"/>
      <c r="EA82" s="739"/>
      <c r="EB82" s="739"/>
      <c r="EC82" s="739"/>
      <c r="ED82" s="739"/>
      <c r="EE82" s="739"/>
      <c r="EF82" s="739"/>
      <c r="EG82" s="739"/>
      <c r="EH82" s="739"/>
      <c r="EI82" s="739"/>
      <c r="EJ82" s="739"/>
      <c r="EK82" s="739"/>
      <c r="EL82" s="739"/>
      <c r="EM82" s="739"/>
      <c r="EN82" s="739"/>
      <c r="EO82" s="739"/>
      <c r="EP82" s="739"/>
      <c r="EQ82" s="739"/>
      <c r="ER82" s="739"/>
      <c r="ES82" s="739"/>
      <c r="ET82" s="739"/>
      <c r="EU82" s="739"/>
      <c r="EV82" s="739"/>
      <c r="EW82" s="739"/>
      <c r="EX82" s="739"/>
      <c r="EY82" s="739"/>
      <c r="EZ82" s="739"/>
      <c r="FA82" s="739"/>
      <c r="FB82" s="739"/>
      <c r="FC82" s="739"/>
      <c r="FD82" s="739"/>
      <c r="FE82" s="739"/>
      <c r="FF82" s="739"/>
      <c r="FG82" s="740"/>
      <c r="FH82" s="287"/>
    </row>
    <row r="83" spans="1:164" ht="8.65" customHeight="1">
      <c r="A83" s="269"/>
      <c r="B83" s="773" t="s">
        <v>6448</v>
      </c>
      <c r="C83" s="774"/>
      <c r="D83" s="774"/>
      <c r="E83" s="774"/>
      <c r="F83" s="774"/>
      <c r="G83" s="774"/>
      <c r="H83" s="774"/>
      <c r="I83" s="774"/>
      <c r="J83" s="774"/>
      <c r="K83" s="774"/>
      <c r="L83" s="774"/>
      <c r="M83" s="774"/>
      <c r="N83" s="774"/>
      <c r="O83" s="774"/>
      <c r="P83" s="774"/>
      <c r="Q83" s="774"/>
      <c r="R83" s="774"/>
      <c r="S83" s="774"/>
      <c r="T83" s="774"/>
      <c r="U83" s="774"/>
      <c r="V83" s="774"/>
      <c r="W83" s="774"/>
      <c r="X83" s="774"/>
      <c r="Y83" s="774"/>
      <c r="Z83" s="774"/>
      <c r="AA83" s="774"/>
      <c r="AB83" s="774"/>
      <c r="AC83" s="774"/>
      <c r="AD83" s="774"/>
      <c r="AE83" s="774"/>
      <c r="AF83" s="774"/>
      <c r="AG83" s="774"/>
      <c r="AH83" s="774"/>
      <c r="AI83" s="774"/>
      <c r="AJ83" s="774"/>
      <c r="AK83" s="774"/>
      <c r="AL83" s="774"/>
      <c r="AM83" s="774"/>
      <c r="AN83" s="774"/>
      <c r="AO83" s="774"/>
      <c r="AP83" s="774"/>
      <c r="AQ83" s="774"/>
      <c r="AR83" s="774"/>
      <c r="AS83" s="774"/>
      <c r="AT83" s="774"/>
      <c r="AU83" s="767"/>
      <c r="AV83" s="768"/>
      <c r="AW83" s="768"/>
      <c r="AX83" s="768"/>
      <c r="AY83" s="768"/>
      <c r="AZ83" s="768"/>
      <c r="BA83" s="768"/>
      <c r="BB83" s="768"/>
      <c r="BC83" s="768"/>
      <c r="BD83" s="768"/>
      <c r="BE83" s="768"/>
      <c r="BF83" s="768"/>
      <c r="BG83" s="768"/>
      <c r="BH83" s="768"/>
      <c r="BI83" s="768"/>
      <c r="BJ83" s="768"/>
      <c r="BK83" s="768"/>
      <c r="BL83" s="768"/>
      <c r="BM83" s="768"/>
      <c r="BN83" s="768"/>
      <c r="BO83" s="768"/>
      <c r="BP83" s="768"/>
      <c r="BQ83" s="768"/>
      <c r="BR83" s="768"/>
      <c r="BS83" s="768"/>
      <c r="BT83" s="710"/>
      <c r="BU83" s="710"/>
      <c r="BV83" s="710"/>
      <c r="BW83" s="710"/>
      <c r="BX83" s="769"/>
      <c r="BY83" s="770" t="s">
        <v>6429</v>
      </c>
      <c r="BZ83" s="627"/>
      <c r="CA83" s="627"/>
      <c r="CB83" s="627"/>
      <c r="CC83" s="627"/>
      <c r="CD83" s="627"/>
      <c r="CE83" s="627"/>
      <c r="CF83" s="627"/>
      <c r="CG83" s="627"/>
      <c r="CH83" s="627"/>
      <c r="CI83" s="627"/>
      <c r="CJ83" s="627"/>
      <c r="CK83" s="627"/>
      <c r="CL83" s="627"/>
      <c r="CM83" s="627"/>
      <c r="CN83" s="627"/>
      <c r="CO83" s="627"/>
      <c r="CP83" s="627"/>
      <c r="CQ83" s="627"/>
      <c r="CR83" s="627"/>
      <c r="CS83" s="627"/>
      <c r="CT83" s="627"/>
      <c r="CU83" s="627"/>
      <c r="CV83" s="627"/>
      <c r="CW83" s="627"/>
      <c r="CX83" s="627"/>
      <c r="CY83" s="627"/>
      <c r="CZ83" s="627"/>
      <c r="DA83" s="627"/>
      <c r="DB83" s="771">
        <v>0.08</v>
      </c>
      <c r="DC83" s="771"/>
      <c r="DD83" s="771"/>
      <c r="DE83" s="771"/>
      <c r="DF83" s="771"/>
      <c r="DG83" s="771"/>
      <c r="DH83" s="771"/>
      <c r="DI83" s="772"/>
      <c r="DJ83" s="658" t="s">
        <v>6450</v>
      </c>
      <c r="DK83" s="682"/>
      <c r="DL83" s="682"/>
      <c r="DM83" s="682"/>
      <c r="DN83" s="682"/>
      <c r="DO83" s="682"/>
      <c r="DP83" s="682"/>
      <c r="DQ83" s="682"/>
      <c r="DR83" s="682"/>
      <c r="DS83" s="682"/>
      <c r="DT83" s="682"/>
      <c r="DU83" s="682"/>
      <c r="DV83" s="682"/>
      <c r="DW83" s="682"/>
      <c r="DX83" s="682"/>
      <c r="DY83" s="682"/>
      <c r="DZ83" s="682"/>
      <c r="EA83" s="682"/>
      <c r="EB83" s="682"/>
      <c r="EC83" s="682"/>
      <c r="ED83" s="682"/>
      <c r="EE83" s="682"/>
      <c r="EF83" s="682"/>
      <c r="EG83" s="682"/>
      <c r="EH83" s="682"/>
      <c r="EI83" s="682"/>
      <c r="EJ83" s="682"/>
      <c r="EK83" s="682"/>
      <c r="EL83" s="682"/>
      <c r="EM83" s="682"/>
      <c r="EN83" s="682"/>
      <c r="EO83" s="682"/>
      <c r="EP83" s="682"/>
      <c r="EQ83" s="682"/>
      <c r="ER83" s="682"/>
      <c r="ES83" s="682"/>
      <c r="ET83" s="682"/>
      <c r="EU83" s="682"/>
      <c r="EV83" s="682"/>
      <c r="EW83" s="682"/>
      <c r="EX83" s="682"/>
      <c r="EY83" s="682"/>
      <c r="EZ83" s="682"/>
      <c r="FA83" s="682"/>
      <c r="FB83" s="682"/>
      <c r="FC83" s="682"/>
      <c r="FD83" s="682"/>
      <c r="FE83" s="682"/>
      <c r="FF83" s="682"/>
      <c r="FG83" s="683"/>
      <c r="FH83" s="287"/>
    </row>
    <row r="84" spans="1:164" ht="8.65" customHeight="1">
      <c r="A84" s="269"/>
      <c r="B84" s="773"/>
      <c r="C84" s="774"/>
      <c r="D84" s="774"/>
      <c r="E84" s="774"/>
      <c r="F84" s="774"/>
      <c r="G84" s="774"/>
      <c r="H84" s="774"/>
      <c r="I84" s="774"/>
      <c r="J84" s="774"/>
      <c r="K84" s="774"/>
      <c r="L84" s="774"/>
      <c r="M84" s="774"/>
      <c r="N84" s="774"/>
      <c r="O84" s="774"/>
      <c r="P84" s="774"/>
      <c r="Q84" s="774"/>
      <c r="R84" s="774"/>
      <c r="S84" s="774"/>
      <c r="T84" s="774"/>
      <c r="U84" s="774"/>
      <c r="V84" s="774"/>
      <c r="W84" s="774"/>
      <c r="X84" s="774"/>
      <c r="Y84" s="774"/>
      <c r="Z84" s="774"/>
      <c r="AA84" s="774"/>
      <c r="AB84" s="774"/>
      <c r="AC84" s="774"/>
      <c r="AD84" s="774"/>
      <c r="AE84" s="774"/>
      <c r="AF84" s="774"/>
      <c r="AG84" s="774"/>
      <c r="AH84" s="774"/>
      <c r="AI84" s="774"/>
      <c r="AJ84" s="774"/>
      <c r="AK84" s="774"/>
      <c r="AL84" s="774"/>
      <c r="AM84" s="774"/>
      <c r="AN84" s="774"/>
      <c r="AO84" s="774"/>
      <c r="AP84" s="774"/>
      <c r="AQ84" s="774"/>
      <c r="AR84" s="774"/>
      <c r="AS84" s="774"/>
      <c r="AT84" s="774"/>
      <c r="AU84" s="767" t="s">
        <v>6431</v>
      </c>
      <c r="AV84" s="768"/>
      <c r="AW84" s="768"/>
      <c r="AX84" s="768"/>
      <c r="AY84" s="768"/>
      <c r="AZ84" s="768"/>
      <c r="BA84" s="768"/>
      <c r="BB84" s="768"/>
      <c r="BC84" s="768"/>
      <c r="BD84" s="768"/>
      <c r="BE84" s="768"/>
      <c r="BF84" s="768"/>
      <c r="BG84" s="768"/>
      <c r="BH84" s="768"/>
      <c r="BI84" s="768"/>
      <c r="BJ84" s="768"/>
      <c r="BK84" s="768"/>
      <c r="BL84" s="768"/>
      <c r="BM84" s="768"/>
      <c r="BN84" s="768"/>
      <c r="BO84" s="768"/>
      <c r="BP84" s="768"/>
      <c r="BQ84" s="768"/>
      <c r="BR84" s="768"/>
      <c r="BS84" s="768"/>
      <c r="BT84" s="710">
        <v>0.5</v>
      </c>
      <c r="BU84" s="710"/>
      <c r="BV84" s="710"/>
      <c r="BW84" s="710"/>
      <c r="BX84" s="769"/>
      <c r="BY84" s="770"/>
      <c r="BZ84" s="627"/>
      <c r="CA84" s="627"/>
      <c r="CB84" s="627"/>
      <c r="CC84" s="627"/>
      <c r="CD84" s="627"/>
      <c r="CE84" s="627"/>
      <c r="CF84" s="627"/>
      <c r="CG84" s="627"/>
      <c r="CH84" s="627"/>
      <c r="CI84" s="627"/>
      <c r="CJ84" s="627"/>
      <c r="CK84" s="627"/>
      <c r="CL84" s="627"/>
      <c r="CM84" s="627"/>
      <c r="CN84" s="627"/>
      <c r="CO84" s="627"/>
      <c r="CP84" s="627"/>
      <c r="CQ84" s="627"/>
      <c r="CR84" s="627"/>
      <c r="CS84" s="627"/>
      <c r="CT84" s="627"/>
      <c r="CU84" s="627"/>
      <c r="CV84" s="627"/>
      <c r="CW84" s="627"/>
      <c r="CX84" s="627"/>
      <c r="CY84" s="627"/>
      <c r="CZ84" s="627"/>
      <c r="DA84" s="627"/>
      <c r="DB84" s="771"/>
      <c r="DC84" s="771"/>
      <c r="DD84" s="771"/>
      <c r="DE84" s="771"/>
      <c r="DF84" s="771"/>
      <c r="DG84" s="771"/>
      <c r="DH84" s="771"/>
      <c r="DI84" s="772"/>
      <c r="DJ84" s="681"/>
      <c r="DK84" s="682"/>
      <c r="DL84" s="682"/>
      <c r="DM84" s="682"/>
      <c r="DN84" s="682"/>
      <c r="DO84" s="682"/>
      <c r="DP84" s="682"/>
      <c r="DQ84" s="682"/>
      <c r="DR84" s="682"/>
      <c r="DS84" s="682"/>
      <c r="DT84" s="682"/>
      <c r="DU84" s="682"/>
      <c r="DV84" s="682"/>
      <c r="DW84" s="682"/>
      <c r="DX84" s="682"/>
      <c r="DY84" s="682"/>
      <c r="DZ84" s="682"/>
      <c r="EA84" s="682"/>
      <c r="EB84" s="682"/>
      <c r="EC84" s="682"/>
      <c r="ED84" s="682"/>
      <c r="EE84" s="682"/>
      <c r="EF84" s="682"/>
      <c r="EG84" s="682"/>
      <c r="EH84" s="682"/>
      <c r="EI84" s="682"/>
      <c r="EJ84" s="682"/>
      <c r="EK84" s="682"/>
      <c r="EL84" s="682"/>
      <c r="EM84" s="682"/>
      <c r="EN84" s="682"/>
      <c r="EO84" s="682"/>
      <c r="EP84" s="682"/>
      <c r="EQ84" s="682"/>
      <c r="ER84" s="682"/>
      <c r="ES84" s="682"/>
      <c r="ET84" s="682"/>
      <c r="EU84" s="682"/>
      <c r="EV84" s="682"/>
      <c r="EW84" s="682"/>
      <c r="EX84" s="682"/>
      <c r="EY84" s="682"/>
      <c r="EZ84" s="682"/>
      <c r="FA84" s="682"/>
      <c r="FB84" s="682"/>
      <c r="FC84" s="682"/>
      <c r="FD84" s="682"/>
      <c r="FE84" s="682"/>
      <c r="FF84" s="682"/>
      <c r="FG84" s="683"/>
      <c r="FH84" s="287"/>
    </row>
    <row r="85" spans="1:164" ht="8.65" customHeight="1">
      <c r="A85" s="269"/>
      <c r="B85" s="773" t="s">
        <v>6452</v>
      </c>
      <c r="C85" s="774"/>
      <c r="D85" s="774"/>
      <c r="E85" s="774"/>
      <c r="F85" s="774"/>
      <c r="G85" s="774"/>
      <c r="H85" s="774"/>
      <c r="I85" s="774"/>
      <c r="J85" s="774"/>
      <c r="K85" s="774"/>
      <c r="L85" s="774"/>
      <c r="M85" s="774"/>
      <c r="N85" s="774"/>
      <c r="O85" s="774"/>
      <c r="P85" s="774"/>
      <c r="Q85" s="774"/>
      <c r="R85" s="774"/>
      <c r="S85" s="774"/>
      <c r="T85" s="774"/>
      <c r="U85" s="774"/>
      <c r="V85" s="774"/>
      <c r="W85" s="774"/>
      <c r="X85" s="774"/>
      <c r="Y85" s="774"/>
      <c r="Z85" s="774"/>
      <c r="AA85" s="774"/>
      <c r="AB85" s="774"/>
      <c r="AC85" s="774"/>
      <c r="AD85" s="774"/>
      <c r="AE85" s="774"/>
      <c r="AF85" s="774"/>
      <c r="AG85" s="774"/>
      <c r="AH85" s="774"/>
      <c r="AI85" s="774"/>
      <c r="AJ85" s="774"/>
      <c r="AK85" s="774"/>
      <c r="AL85" s="774"/>
      <c r="AM85" s="774"/>
      <c r="AN85" s="774"/>
      <c r="AO85" s="774"/>
      <c r="AP85" s="774"/>
      <c r="AQ85" s="774"/>
      <c r="AR85" s="774"/>
      <c r="AS85" s="774"/>
      <c r="AT85" s="774"/>
      <c r="AU85" s="767"/>
      <c r="AV85" s="768"/>
      <c r="AW85" s="768"/>
      <c r="AX85" s="768"/>
      <c r="AY85" s="768"/>
      <c r="AZ85" s="768"/>
      <c r="BA85" s="768"/>
      <c r="BB85" s="768"/>
      <c r="BC85" s="768"/>
      <c r="BD85" s="768"/>
      <c r="BE85" s="768"/>
      <c r="BF85" s="768"/>
      <c r="BG85" s="768"/>
      <c r="BH85" s="768"/>
      <c r="BI85" s="768"/>
      <c r="BJ85" s="768"/>
      <c r="BK85" s="768"/>
      <c r="BL85" s="768"/>
      <c r="BM85" s="768"/>
      <c r="BN85" s="768"/>
      <c r="BO85" s="768"/>
      <c r="BP85" s="768"/>
      <c r="BQ85" s="768"/>
      <c r="BR85" s="768"/>
      <c r="BS85" s="768"/>
      <c r="BT85" s="710"/>
      <c r="BU85" s="710"/>
      <c r="BV85" s="710"/>
      <c r="BW85" s="710"/>
      <c r="BX85" s="769"/>
      <c r="BY85" s="770"/>
      <c r="BZ85" s="627"/>
      <c r="CA85" s="627"/>
      <c r="CB85" s="627"/>
      <c r="CC85" s="627"/>
      <c r="CD85" s="627"/>
      <c r="CE85" s="627"/>
      <c r="CF85" s="627"/>
      <c r="CG85" s="627"/>
      <c r="CH85" s="627"/>
      <c r="CI85" s="627"/>
      <c r="CJ85" s="627"/>
      <c r="CK85" s="627"/>
      <c r="CL85" s="627"/>
      <c r="CM85" s="627"/>
      <c r="CN85" s="627"/>
      <c r="CO85" s="627"/>
      <c r="CP85" s="627"/>
      <c r="CQ85" s="627"/>
      <c r="CR85" s="627"/>
      <c r="CS85" s="627"/>
      <c r="CT85" s="627"/>
      <c r="CU85" s="627"/>
      <c r="CV85" s="627"/>
      <c r="CW85" s="627"/>
      <c r="CX85" s="627"/>
      <c r="CY85" s="627"/>
      <c r="CZ85" s="627"/>
      <c r="DA85" s="627"/>
      <c r="DB85" s="771"/>
      <c r="DC85" s="771"/>
      <c r="DD85" s="771"/>
      <c r="DE85" s="771"/>
      <c r="DF85" s="771"/>
      <c r="DG85" s="771"/>
      <c r="DH85" s="771"/>
      <c r="DI85" s="772"/>
      <c r="DJ85" s="681"/>
      <c r="DK85" s="682"/>
      <c r="DL85" s="682"/>
      <c r="DM85" s="682"/>
      <c r="DN85" s="682"/>
      <c r="DO85" s="682"/>
      <c r="DP85" s="682"/>
      <c r="DQ85" s="682"/>
      <c r="DR85" s="682"/>
      <c r="DS85" s="682"/>
      <c r="DT85" s="682"/>
      <c r="DU85" s="682"/>
      <c r="DV85" s="682"/>
      <c r="DW85" s="682"/>
      <c r="DX85" s="682"/>
      <c r="DY85" s="682"/>
      <c r="DZ85" s="682"/>
      <c r="EA85" s="682"/>
      <c r="EB85" s="682"/>
      <c r="EC85" s="682"/>
      <c r="ED85" s="682"/>
      <c r="EE85" s="682"/>
      <c r="EF85" s="682"/>
      <c r="EG85" s="682"/>
      <c r="EH85" s="682"/>
      <c r="EI85" s="682"/>
      <c r="EJ85" s="682"/>
      <c r="EK85" s="682"/>
      <c r="EL85" s="682"/>
      <c r="EM85" s="682"/>
      <c r="EN85" s="682"/>
      <c r="EO85" s="682"/>
      <c r="EP85" s="682"/>
      <c r="EQ85" s="682"/>
      <c r="ER85" s="682"/>
      <c r="ES85" s="682"/>
      <c r="ET85" s="682"/>
      <c r="EU85" s="682"/>
      <c r="EV85" s="682"/>
      <c r="EW85" s="682"/>
      <c r="EX85" s="682"/>
      <c r="EY85" s="682"/>
      <c r="EZ85" s="682"/>
      <c r="FA85" s="682"/>
      <c r="FB85" s="682"/>
      <c r="FC85" s="682"/>
      <c r="FD85" s="682"/>
      <c r="FE85" s="682"/>
      <c r="FF85" s="682"/>
      <c r="FG85" s="683"/>
      <c r="FH85" s="287"/>
    </row>
    <row r="86" spans="1:164" ht="8.65" customHeight="1">
      <c r="A86" s="269"/>
      <c r="B86" s="773"/>
      <c r="C86" s="774"/>
      <c r="D86" s="774"/>
      <c r="E86" s="774"/>
      <c r="F86" s="774"/>
      <c r="G86" s="774"/>
      <c r="H86" s="774"/>
      <c r="I86" s="774"/>
      <c r="J86" s="774"/>
      <c r="K86" s="774"/>
      <c r="L86" s="774"/>
      <c r="M86" s="774"/>
      <c r="N86" s="774"/>
      <c r="O86" s="774"/>
      <c r="P86" s="774"/>
      <c r="Q86" s="774"/>
      <c r="R86" s="774"/>
      <c r="S86" s="774"/>
      <c r="T86" s="774"/>
      <c r="U86" s="774"/>
      <c r="V86" s="774"/>
      <c r="W86" s="774"/>
      <c r="X86" s="774"/>
      <c r="Y86" s="774"/>
      <c r="Z86" s="774"/>
      <c r="AA86" s="774"/>
      <c r="AB86" s="774"/>
      <c r="AC86" s="774"/>
      <c r="AD86" s="774"/>
      <c r="AE86" s="774"/>
      <c r="AF86" s="774"/>
      <c r="AG86" s="774"/>
      <c r="AH86" s="774"/>
      <c r="AI86" s="774"/>
      <c r="AJ86" s="774"/>
      <c r="AK86" s="774"/>
      <c r="AL86" s="774"/>
      <c r="AM86" s="774"/>
      <c r="AN86" s="774"/>
      <c r="AO86" s="774"/>
      <c r="AP86" s="774"/>
      <c r="AQ86" s="774"/>
      <c r="AR86" s="774"/>
      <c r="AS86" s="774"/>
      <c r="AT86" s="774"/>
      <c r="AU86" s="767" t="s">
        <v>6433</v>
      </c>
      <c r="AV86" s="768"/>
      <c r="AW86" s="768"/>
      <c r="AX86" s="768"/>
      <c r="AY86" s="768"/>
      <c r="AZ86" s="768"/>
      <c r="BA86" s="768"/>
      <c r="BB86" s="768"/>
      <c r="BC86" s="768"/>
      <c r="BD86" s="768"/>
      <c r="BE86" s="768"/>
      <c r="BF86" s="768"/>
      <c r="BG86" s="768"/>
      <c r="BH86" s="768"/>
      <c r="BI86" s="768"/>
      <c r="BJ86" s="768"/>
      <c r="BK86" s="768"/>
      <c r="BL86" s="768"/>
      <c r="BM86" s="768"/>
      <c r="BN86" s="768"/>
      <c r="BO86" s="768"/>
      <c r="BP86" s="768"/>
      <c r="BQ86" s="768"/>
      <c r="BR86" s="768"/>
      <c r="BS86" s="768"/>
      <c r="BT86" s="710">
        <v>1.5</v>
      </c>
      <c r="BU86" s="710"/>
      <c r="BV86" s="710"/>
      <c r="BW86" s="710"/>
      <c r="BX86" s="769"/>
      <c r="BY86" s="770" t="s">
        <v>6434</v>
      </c>
      <c r="BZ86" s="627"/>
      <c r="CA86" s="627"/>
      <c r="CB86" s="627"/>
      <c r="CC86" s="627"/>
      <c r="CD86" s="627"/>
      <c r="CE86" s="627"/>
      <c r="CF86" s="627"/>
      <c r="CG86" s="627"/>
      <c r="CH86" s="627"/>
      <c r="CI86" s="627"/>
      <c r="CJ86" s="627"/>
      <c r="CK86" s="627"/>
      <c r="CL86" s="627"/>
      <c r="CM86" s="627"/>
      <c r="CN86" s="627"/>
      <c r="CO86" s="627"/>
      <c r="CP86" s="627"/>
      <c r="CQ86" s="627"/>
      <c r="CR86" s="627"/>
      <c r="CS86" s="627"/>
      <c r="CT86" s="627"/>
      <c r="CU86" s="627"/>
      <c r="CV86" s="627"/>
      <c r="CW86" s="627"/>
      <c r="CX86" s="627"/>
      <c r="CY86" s="627"/>
      <c r="CZ86" s="627"/>
      <c r="DA86" s="627"/>
      <c r="DB86" s="771">
        <v>7.4999999999999997E-2</v>
      </c>
      <c r="DC86" s="771"/>
      <c r="DD86" s="771"/>
      <c r="DE86" s="771"/>
      <c r="DF86" s="771"/>
      <c r="DG86" s="771"/>
      <c r="DH86" s="771"/>
      <c r="DI86" s="772"/>
      <c r="DJ86" s="775" t="s">
        <v>6455</v>
      </c>
      <c r="DK86" s="776"/>
      <c r="DL86" s="776"/>
      <c r="DM86" s="776"/>
      <c r="DN86" s="776"/>
      <c r="DO86" s="776"/>
      <c r="DP86" s="776"/>
      <c r="DQ86" s="776"/>
      <c r="DR86" s="776"/>
      <c r="DS86" s="776"/>
      <c r="DT86" s="776"/>
      <c r="DU86" s="776"/>
      <c r="DV86" s="776"/>
      <c r="DW86" s="776"/>
      <c r="DX86" s="776"/>
      <c r="DY86" s="776"/>
      <c r="DZ86" s="776"/>
      <c r="EA86" s="776"/>
      <c r="EB86" s="776"/>
      <c r="EC86" s="776"/>
      <c r="ED86" s="776"/>
      <c r="EE86" s="776"/>
      <c r="EF86" s="776"/>
      <c r="EG86" s="776"/>
      <c r="EH86" s="776"/>
      <c r="EI86" s="776"/>
      <c r="EJ86" s="776"/>
      <c r="EK86" s="776"/>
      <c r="EL86" s="776"/>
      <c r="EM86" s="776"/>
      <c r="EN86" s="776"/>
      <c r="EO86" s="776"/>
      <c r="EP86" s="776"/>
      <c r="EQ86" s="776"/>
      <c r="ER86" s="776"/>
      <c r="ES86" s="776"/>
      <c r="ET86" s="776"/>
      <c r="EU86" s="776"/>
      <c r="EV86" s="776"/>
      <c r="EW86" s="776"/>
      <c r="EX86" s="776"/>
      <c r="EY86" s="776"/>
      <c r="EZ86" s="776"/>
      <c r="FA86" s="776"/>
      <c r="FB86" s="776"/>
      <c r="FC86" s="776"/>
      <c r="FD86" s="776"/>
      <c r="FE86" s="776"/>
      <c r="FF86" s="776"/>
      <c r="FG86" s="777"/>
      <c r="FH86" s="287"/>
    </row>
    <row r="87" spans="1:164" ht="8.65" customHeight="1">
      <c r="A87" s="269"/>
      <c r="B87" s="773" t="s">
        <v>6456</v>
      </c>
      <c r="C87" s="774"/>
      <c r="D87" s="774"/>
      <c r="E87" s="774"/>
      <c r="F87" s="774"/>
      <c r="G87" s="774"/>
      <c r="H87" s="774"/>
      <c r="I87" s="774"/>
      <c r="J87" s="774"/>
      <c r="K87" s="774"/>
      <c r="L87" s="774"/>
      <c r="M87" s="774"/>
      <c r="N87" s="774"/>
      <c r="O87" s="774"/>
      <c r="P87" s="774"/>
      <c r="Q87" s="774"/>
      <c r="R87" s="774"/>
      <c r="S87" s="774"/>
      <c r="T87" s="774"/>
      <c r="U87" s="774"/>
      <c r="V87" s="774"/>
      <c r="W87" s="774"/>
      <c r="X87" s="774"/>
      <c r="Y87" s="774"/>
      <c r="Z87" s="774"/>
      <c r="AA87" s="774"/>
      <c r="AB87" s="774"/>
      <c r="AC87" s="774"/>
      <c r="AD87" s="774"/>
      <c r="AE87" s="774"/>
      <c r="AF87" s="774"/>
      <c r="AG87" s="774"/>
      <c r="AH87" s="774"/>
      <c r="AI87" s="774"/>
      <c r="AJ87" s="774"/>
      <c r="AK87" s="774"/>
      <c r="AL87" s="774"/>
      <c r="AM87" s="774"/>
      <c r="AN87" s="774"/>
      <c r="AO87" s="774"/>
      <c r="AP87" s="774"/>
      <c r="AQ87" s="774"/>
      <c r="AR87" s="774"/>
      <c r="AS87" s="774"/>
      <c r="AT87" s="774"/>
      <c r="AU87" s="767"/>
      <c r="AV87" s="768"/>
      <c r="AW87" s="768"/>
      <c r="AX87" s="768"/>
      <c r="AY87" s="768"/>
      <c r="AZ87" s="768"/>
      <c r="BA87" s="768"/>
      <c r="BB87" s="768"/>
      <c r="BC87" s="768"/>
      <c r="BD87" s="768"/>
      <c r="BE87" s="768"/>
      <c r="BF87" s="768"/>
      <c r="BG87" s="768"/>
      <c r="BH87" s="768"/>
      <c r="BI87" s="768"/>
      <c r="BJ87" s="768"/>
      <c r="BK87" s="768"/>
      <c r="BL87" s="768"/>
      <c r="BM87" s="768"/>
      <c r="BN87" s="768"/>
      <c r="BO87" s="768"/>
      <c r="BP87" s="768"/>
      <c r="BQ87" s="768"/>
      <c r="BR87" s="768"/>
      <c r="BS87" s="768"/>
      <c r="BT87" s="710"/>
      <c r="BU87" s="710"/>
      <c r="BV87" s="710"/>
      <c r="BW87" s="710"/>
      <c r="BX87" s="769"/>
      <c r="BY87" s="770"/>
      <c r="BZ87" s="627"/>
      <c r="CA87" s="627"/>
      <c r="CB87" s="627"/>
      <c r="CC87" s="627"/>
      <c r="CD87" s="627"/>
      <c r="CE87" s="627"/>
      <c r="CF87" s="627"/>
      <c r="CG87" s="627"/>
      <c r="CH87" s="627"/>
      <c r="CI87" s="627"/>
      <c r="CJ87" s="627"/>
      <c r="CK87" s="627"/>
      <c r="CL87" s="627"/>
      <c r="CM87" s="627"/>
      <c r="CN87" s="627"/>
      <c r="CO87" s="627"/>
      <c r="CP87" s="627"/>
      <c r="CQ87" s="627"/>
      <c r="CR87" s="627"/>
      <c r="CS87" s="627"/>
      <c r="CT87" s="627"/>
      <c r="CU87" s="627"/>
      <c r="CV87" s="627"/>
      <c r="CW87" s="627"/>
      <c r="CX87" s="627"/>
      <c r="CY87" s="627"/>
      <c r="CZ87" s="627"/>
      <c r="DA87" s="627"/>
      <c r="DB87" s="771"/>
      <c r="DC87" s="771"/>
      <c r="DD87" s="771"/>
      <c r="DE87" s="771"/>
      <c r="DF87" s="771"/>
      <c r="DG87" s="771"/>
      <c r="DH87" s="771"/>
      <c r="DI87" s="772"/>
      <c r="DJ87" s="778"/>
      <c r="DK87" s="776"/>
      <c r="DL87" s="776"/>
      <c r="DM87" s="776"/>
      <c r="DN87" s="776"/>
      <c r="DO87" s="776"/>
      <c r="DP87" s="776"/>
      <c r="DQ87" s="776"/>
      <c r="DR87" s="776"/>
      <c r="DS87" s="776"/>
      <c r="DT87" s="776"/>
      <c r="DU87" s="776"/>
      <c r="DV87" s="776"/>
      <c r="DW87" s="776"/>
      <c r="DX87" s="776"/>
      <c r="DY87" s="776"/>
      <c r="DZ87" s="776"/>
      <c r="EA87" s="776"/>
      <c r="EB87" s="776"/>
      <c r="EC87" s="776"/>
      <c r="ED87" s="776"/>
      <c r="EE87" s="776"/>
      <c r="EF87" s="776"/>
      <c r="EG87" s="776"/>
      <c r="EH87" s="776"/>
      <c r="EI87" s="776"/>
      <c r="EJ87" s="776"/>
      <c r="EK87" s="776"/>
      <c r="EL87" s="776"/>
      <c r="EM87" s="776"/>
      <c r="EN87" s="776"/>
      <c r="EO87" s="776"/>
      <c r="EP87" s="776"/>
      <c r="EQ87" s="776"/>
      <c r="ER87" s="776"/>
      <c r="ES87" s="776"/>
      <c r="ET87" s="776"/>
      <c r="EU87" s="776"/>
      <c r="EV87" s="776"/>
      <c r="EW87" s="776"/>
      <c r="EX87" s="776"/>
      <c r="EY87" s="776"/>
      <c r="EZ87" s="776"/>
      <c r="FA87" s="776"/>
      <c r="FB87" s="776"/>
      <c r="FC87" s="776"/>
      <c r="FD87" s="776"/>
      <c r="FE87" s="776"/>
      <c r="FF87" s="776"/>
      <c r="FG87" s="777"/>
      <c r="FH87" s="287"/>
    </row>
    <row r="88" spans="1:164" ht="8.65" customHeight="1">
      <c r="A88" s="269"/>
      <c r="B88" s="773"/>
      <c r="C88" s="774"/>
      <c r="D88" s="774"/>
      <c r="E88" s="774"/>
      <c r="F88" s="774"/>
      <c r="G88" s="774"/>
      <c r="H88" s="774"/>
      <c r="I88" s="774"/>
      <c r="J88" s="774"/>
      <c r="K88" s="774"/>
      <c r="L88" s="774"/>
      <c r="M88" s="774"/>
      <c r="N88" s="774"/>
      <c r="O88" s="774"/>
      <c r="P88" s="774"/>
      <c r="Q88" s="774"/>
      <c r="R88" s="774"/>
      <c r="S88" s="774"/>
      <c r="T88" s="774"/>
      <c r="U88" s="774"/>
      <c r="V88" s="774"/>
      <c r="W88" s="774"/>
      <c r="X88" s="774"/>
      <c r="Y88" s="774"/>
      <c r="Z88" s="774"/>
      <c r="AA88" s="774"/>
      <c r="AB88" s="774"/>
      <c r="AC88" s="774"/>
      <c r="AD88" s="774"/>
      <c r="AE88" s="774"/>
      <c r="AF88" s="774"/>
      <c r="AG88" s="774"/>
      <c r="AH88" s="774"/>
      <c r="AI88" s="774"/>
      <c r="AJ88" s="774"/>
      <c r="AK88" s="774"/>
      <c r="AL88" s="774"/>
      <c r="AM88" s="774"/>
      <c r="AN88" s="774"/>
      <c r="AO88" s="774"/>
      <c r="AP88" s="774"/>
      <c r="AQ88" s="774"/>
      <c r="AR88" s="774"/>
      <c r="AS88" s="774"/>
      <c r="AT88" s="774"/>
      <c r="AU88" s="767" t="s">
        <v>6437</v>
      </c>
      <c r="AV88" s="768"/>
      <c r="AW88" s="768"/>
      <c r="AX88" s="768"/>
      <c r="AY88" s="768"/>
      <c r="AZ88" s="768"/>
      <c r="BA88" s="768"/>
      <c r="BB88" s="768"/>
      <c r="BC88" s="768"/>
      <c r="BD88" s="768"/>
      <c r="BE88" s="768"/>
      <c r="BF88" s="768"/>
      <c r="BG88" s="768"/>
      <c r="BH88" s="768"/>
      <c r="BI88" s="768"/>
      <c r="BJ88" s="768"/>
      <c r="BK88" s="768"/>
      <c r="BL88" s="768"/>
      <c r="BM88" s="768"/>
      <c r="BN88" s="768"/>
      <c r="BO88" s="768"/>
      <c r="BP88" s="768"/>
      <c r="BQ88" s="768"/>
      <c r="BR88" s="768"/>
      <c r="BS88" s="768"/>
      <c r="BT88" s="710">
        <v>0.5</v>
      </c>
      <c r="BU88" s="710"/>
      <c r="BV88" s="710"/>
      <c r="BW88" s="710"/>
      <c r="BX88" s="769"/>
      <c r="BY88" s="770"/>
      <c r="BZ88" s="627"/>
      <c r="CA88" s="627"/>
      <c r="CB88" s="627"/>
      <c r="CC88" s="627"/>
      <c r="CD88" s="627"/>
      <c r="CE88" s="627"/>
      <c r="CF88" s="627"/>
      <c r="CG88" s="627"/>
      <c r="CH88" s="627"/>
      <c r="CI88" s="627"/>
      <c r="CJ88" s="627"/>
      <c r="CK88" s="627"/>
      <c r="CL88" s="627"/>
      <c r="CM88" s="627"/>
      <c r="CN88" s="627"/>
      <c r="CO88" s="627"/>
      <c r="CP88" s="627"/>
      <c r="CQ88" s="627"/>
      <c r="CR88" s="627"/>
      <c r="CS88" s="627"/>
      <c r="CT88" s="627"/>
      <c r="CU88" s="627"/>
      <c r="CV88" s="627"/>
      <c r="CW88" s="627"/>
      <c r="CX88" s="627"/>
      <c r="CY88" s="627"/>
      <c r="CZ88" s="627"/>
      <c r="DA88" s="627"/>
      <c r="DB88" s="771"/>
      <c r="DC88" s="771"/>
      <c r="DD88" s="771"/>
      <c r="DE88" s="771"/>
      <c r="DF88" s="771"/>
      <c r="DG88" s="771"/>
      <c r="DH88" s="771"/>
      <c r="DI88" s="772"/>
      <c r="DJ88" s="778"/>
      <c r="DK88" s="776"/>
      <c r="DL88" s="776"/>
      <c r="DM88" s="776"/>
      <c r="DN88" s="776"/>
      <c r="DO88" s="776"/>
      <c r="DP88" s="776"/>
      <c r="DQ88" s="776"/>
      <c r="DR88" s="776"/>
      <c r="DS88" s="776"/>
      <c r="DT88" s="776"/>
      <c r="DU88" s="776"/>
      <c r="DV88" s="776"/>
      <c r="DW88" s="776"/>
      <c r="DX88" s="776"/>
      <c r="DY88" s="776"/>
      <c r="DZ88" s="776"/>
      <c r="EA88" s="776"/>
      <c r="EB88" s="776"/>
      <c r="EC88" s="776"/>
      <c r="ED88" s="776"/>
      <c r="EE88" s="776"/>
      <c r="EF88" s="776"/>
      <c r="EG88" s="776"/>
      <c r="EH88" s="776"/>
      <c r="EI88" s="776"/>
      <c r="EJ88" s="776"/>
      <c r="EK88" s="776"/>
      <c r="EL88" s="776"/>
      <c r="EM88" s="776"/>
      <c r="EN88" s="776"/>
      <c r="EO88" s="776"/>
      <c r="EP88" s="776"/>
      <c r="EQ88" s="776"/>
      <c r="ER88" s="776"/>
      <c r="ES88" s="776"/>
      <c r="ET88" s="776"/>
      <c r="EU88" s="776"/>
      <c r="EV88" s="776"/>
      <c r="EW88" s="776"/>
      <c r="EX88" s="776"/>
      <c r="EY88" s="776"/>
      <c r="EZ88" s="776"/>
      <c r="FA88" s="776"/>
      <c r="FB88" s="776"/>
      <c r="FC88" s="776"/>
      <c r="FD88" s="776"/>
      <c r="FE88" s="776"/>
      <c r="FF88" s="776"/>
      <c r="FG88" s="777"/>
      <c r="FH88" s="287"/>
    </row>
    <row r="89" spans="1:164" ht="8.65" customHeight="1">
      <c r="A89" s="269"/>
      <c r="B89" s="779" t="s">
        <v>6411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  <c r="P89" s="780"/>
      <c r="Q89" s="780"/>
      <c r="R89" s="780"/>
      <c r="S89" s="780"/>
      <c r="T89" s="780"/>
      <c r="U89" s="780"/>
      <c r="V89" s="780"/>
      <c r="W89" s="780"/>
      <c r="X89" s="780"/>
      <c r="Y89" s="780"/>
      <c r="Z89" s="780"/>
      <c r="AA89" s="780"/>
      <c r="AB89" s="780"/>
      <c r="AC89" s="780"/>
      <c r="AD89" s="780"/>
      <c r="AE89" s="780"/>
      <c r="AF89" s="780"/>
      <c r="AG89" s="780"/>
      <c r="AH89" s="780"/>
      <c r="AI89" s="780"/>
      <c r="AJ89" s="780"/>
      <c r="AK89" s="780"/>
      <c r="AL89" s="780"/>
      <c r="AM89" s="780"/>
      <c r="AN89" s="780"/>
      <c r="AO89" s="780"/>
      <c r="AP89" s="780"/>
      <c r="AQ89" s="780"/>
      <c r="AR89" s="780"/>
      <c r="AS89" s="780"/>
      <c r="AT89" s="780"/>
      <c r="AU89" s="767"/>
      <c r="AV89" s="768"/>
      <c r="AW89" s="768"/>
      <c r="AX89" s="768"/>
      <c r="AY89" s="768"/>
      <c r="AZ89" s="768"/>
      <c r="BA89" s="768"/>
      <c r="BB89" s="768"/>
      <c r="BC89" s="768"/>
      <c r="BD89" s="768"/>
      <c r="BE89" s="768"/>
      <c r="BF89" s="768"/>
      <c r="BG89" s="768"/>
      <c r="BH89" s="768"/>
      <c r="BI89" s="768"/>
      <c r="BJ89" s="768"/>
      <c r="BK89" s="768"/>
      <c r="BL89" s="768"/>
      <c r="BM89" s="768"/>
      <c r="BN89" s="768"/>
      <c r="BO89" s="768"/>
      <c r="BP89" s="768"/>
      <c r="BQ89" s="768"/>
      <c r="BR89" s="768"/>
      <c r="BS89" s="768"/>
      <c r="BT89" s="710"/>
      <c r="BU89" s="710"/>
      <c r="BV89" s="710"/>
      <c r="BW89" s="710"/>
      <c r="BX89" s="769"/>
      <c r="BY89" s="770" t="s">
        <v>6439</v>
      </c>
      <c r="BZ89" s="627"/>
      <c r="CA89" s="627"/>
      <c r="CB89" s="627"/>
      <c r="CC89" s="627"/>
      <c r="CD89" s="627"/>
      <c r="CE89" s="627"/>
      <c r="CF89" s="627"/>
      <c r="CG89" s="627"/>
      <c r="CH89" s="627"/>
      <c r="CI89" s="627"/>
      <c r="CJ89" s="627"/>
      <c r="CK89" s="627"/>
      <c r="CL89" s="627"/>
      <c r="CM89" s="627"/>
      <c r="CN89" s="627"/>
      <c r="CO89" s="627"/>
      <c r="CP89" s="627"/>
      <c r="CQ89" s="627"/>
      <c r="CR89" s="627"/>
      <c r="CS89" s="627"/>
      <c r="CT89" s="627"/>
      <c r="CU89" s="627"/>
      <c r="CV89" s="627"/>
      <c r="CW89" s="627"/>
      <c r="CX89" s="627"/>
      <c r="CY89" s="627"/>
      <c r="CZ89" s="627"/>
      <c r="DA89" s="627"/>
      <c r="DB89" s="771">
        <v>7.0999999999999994E-2</v>
      </c>
      <c r="DC89" s="771"/>
      <c r="DD89" s="771"/>
      <c r="DE89" s="771"/>
      <c r="DF89" s="771"/>
      <c r="DG89" s="771"/>
      <c r="DH89" s="771"/>
      <c r="DI89" s="772"/>
      <c r="DJ89" s="775" t="s">
        <v>6459</v>
      </c>
      <c r="DK89" s="776"/>
      <c r="DL89" s="776"/>
      <c r="DM89" s="776"/>
      <c r="DN89" s="776"/>
      <c r="DO89" s="776"/>
      <c r="DP89" s="776"/>
      <c r="DQ89" s="776"/>
      <c r="DR89" s="776"/>
      <c r="DS89" s="776"/>
      <c r="DT89" s="776"/>
      <c r="DU89" s="776"/>
      <c r="DV89" s="776"/>
      <c r="DW89" s="776"/>
      <c r="DX89" s="776"/>
      <c r="DY89" s="776"/>
      <c r="DZ89" s="776"/>
      <c r="EA89" s="776"/>
      <c r="EB89" s="776"/>
      <c r="EC89" s="776"/>
      <c r="ED89" s="776"/>
      <c r="EE89" s="776"/>
      <c r="EF89" s="776"/>
      <c r="EG89" s="776"/>
      <c r="EH89" s="776"/>
      <c r="EI89" s="776"/>
      <c r="EJ89" s="776"/>
      <c r="EK89" s="776"/>
      <c r="EL89" s="776"/>
      <c r="EM89" s="776"/>
      <c r="EN89" s="776"/>
      <c r="EO89" s="776"/>
      <c r="EP89" s="776"/>
      <c r="EQ89" s="776"/>
      <c r="ER89" s="776"/>
      <c r="ES89" s="776"/>
      <c r="ET89" s="776"/>
      <c r="EU89" s="776"/>
      <c r="EV89" s="776"/>
      <c r="EW89" s="776"/>
      <c r="EX89" s="776"/>
      <c r="EY89" s="776"/>
      <c r="EZ89" s="776"/>
      <c r="FA89" s="776"/>
      <c r="FB89" s="776"/>
      <c r="FC89" s="776"/>
      <c r="FD89" s="776"/>
      <c r="FE89" s="776"/>
      <c r="FF89" s="776"/>
      <c r="FG89" s="777"/>
      <c r="FH89" s="287"/>
    </row>
    <row r="90" spans="1:164" ht="8.65" customHeight="1" thickBot="1">
      <c r="A90" s="269"/>
      <c r="B90" s="781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782"/>
      <c r="AQ90" s="782"/>
      <c r="AR90" s="782"/>
      <c r="AS90" s="782"/>
      <c r="AT90" s="782"/>
      <c r="AU90" s="767" t="s">
        <v>6441</v>
      </c>
      <c r="AV90" s="768"/>
      <c r="AW90" s="768"/>
      <c r="AX90" s="768"/>
      <c r="AY90" s="768"/>
      <c r="AZ90" s="768"/>
      <c r="BA90" s="768"/>
      <c r="BB90" s="768"/>
      <c r="BC90" s="768"/>
      <c r="BD90" s="768"/>
      <c r="BE90" s="768"/>
      <c r="BF90" s="768"/>
      <c r="BG90" s="768"/>
      <c r="BH90" s="768"/>
      <c r="BI90" s="768"/>
      <c r="BJ90" s="768"/>
      <c r="BK90" s="768"/>
      <c r="BL90" s="768"/>
      <c r="BM90" s="768"/>
      <c r="BN90" s="768"/>
      <c r="BO90" s="768"/>
      <c r="BP90" s="768"/>
      <c r="BQ90" s="768"/>
      <c r="BR90" s="768"/>
      <c r="BS90" s="768"/>
      <c r="BT90" s="710">
        <v>1.8</v>
      </c>
      <c r="BU90" s="710"/>
      <c r="BV90" s="710"/>
      <c r="BW90" s="710"/>
      <c r="BX90" s="769"/>
      <c r="BY90" s="770"/>
      <c r="BZ90" s="627"/>
      <c r="CA90" s="627"/>
      <c r="CB90" s="627"/>
      <c r="CC90" s="627"/>
      <c r="CD90" s="627"/>
      <c r="CE90" s="627"/>
      <c r="CF90" s="627"/>
      <c r="CG90" s="627"/>
      <c r="CH90" s="627"/>
      <c r="CI90" s="627"/>
      <c r="CJ90" s="627"/>
      <c r="CK90" s="627"/>
      <c r="CL90" s="627"/>
      <c r="CM90" s="627"/>
      <c r="CN90" s="627"/>
      <c r="CO90" s="627"/>
      <c r="CP90" s="627"/>
      <c r="CQ90" s="627"/>
      <c r="CR90" s="627"/>
      <c r="CS90" s="627"/>
      <c r="CT90" s="627"/>
      <c r="CU90" s="627"/>
      <c r="CV90" s="627"/>
      <c r="CW90" s="627"/>
      <c r="CX90" s="627"/>
      <c r="CY90" s="627"/>
      <c r="CZ90" s="627"/>
      <c r="DA90" s="627"/>
      <c r="DB90" s="771"/>
      <c r="DC90" s="771"/>
      <c r="DD90" s="771"/>
      <c r="DE90" s="771"/>
      <c r="DF90" s="771"/>
      <c r="DG90" s="771"/>
      <c r="DH90" s="771"/>
      <c r="DI90" s="772"/>
      <c r="DJ90" s="778"/>
      <c r="DK90" s="776"/>
      <c r="DL90" s="776"/>
      <c r="DM90" s="776"/>
      <c r="DN90" s="776"/>
      <c r="DO90" s="776"/>
      <c r="DP90" s="776"/>
      <c r="DQ90" s="776"/>
      <c r="DR90" s="776"/>
      <c r="DS90" s="776"/>
      <c r="DT90" s="776"/>
      <c r="DU90" s="776"/>
      <c r="DV90" s="776"/>
      <c r="DW90" s="776"/>
      <c r="DX90" s="776"/>
      <c r="DY90" s="776"/>
      <c r="DZ90" s="776"/>
      <c r="EA90" s="776"/>
      <c r="EB90" s="776"/>
      <c r="EC90" s="776"/>
      <c r="ED90" s="776"/>
      <c r="EE90" s="776"/>
      <c r="EF90" s="776"/>
      <c r="EG90" s="776"/>
      <c r="EH90" s="776"/>
      <c r="EI90" s="776"/>
      <c r="EJ90" s="776"/>
      <c r="EK90" s="776"/>
      <c r="EL90" s="776"/>
      <c r="EM90" s="776"/>
      <c r="EN90" s="776"/>
      <c r="EO90" s="776"/>
      <c r="EP90" s="776"/>
      <c r="EQ90" s="776"/>
      <c r="ER90" s="776"/>
      <c r="ES90" s="776"/>
      <c r="ET90" s="776"/>
      <c r="EU90" s="776"/>
      <c r="EV90" s="776"/>
      <c r="EW90" s="776"/>
      <c r="EX90" s="776"/>
      <c r="EY90" s="776"/>
      <c r="EZ90" s="776"/>
      <c r="FA90" s="776"/>
      <c r="FB90" s="776"/>
      <c r="FC90" s="776"/>
      <c r="FD90" s="776"/>
      <c r="FE90" s="776"/>
      <c r="FF90" s="776"/>
      <c r="FG90" s="777"/>
      <c r="FH90" s="287"/>
    </row>
    <row r="91" spans="1:164" ht="8.65" customHeight="1">
      <c r="A91" s="269"/>
      <c r="B91" s="483" t="s">
        <v>6462</v>
      </c>
      <c r="C91" s="472"/>
      <c r="D91" s="472"/>
      <c r="E91" s="472"/>
      <c r="F91" s="472"/>
      <c r="G91" s="472"/>
      <c r="H91" s="472"/>
      <c r="I91" s="472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2"/>
      <c r="U91" s="472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2"/>
      <c r="AH91" s="472"/>
      <c r="AI91" s="472"/>
      <c r="AJ91" s="472"/>
      <c r="AK91" s="472"/>
      <c r="AL91" s="472"/>
      <c r="AM91" s="472"/>
      <c r="AN91" s="472"/>
      <c r="AO91" s="472"/>
      <c r="AP91" s="472"/>
      <c r="AQ91" s="472"/>
      <c r="AR91" s="472"/>
      <c r="AS91" s="472"/>
      <c r="AT91" s="475"/>
      <c r="AU91" s="767"/>
      <c r="AV91" s="768"/>
      <c r="AW91" s="768"/>
      <c r="AX91" s="768"/>
      <c r="AY91" s="768"/>
      <c r="AZ91" s="768"/>
      <c r="BA91" s="768"/>
      <c r="BB91" s="768"/>
      <c r="BC91" s="768"/>
      <c r="BD91" s="768"/>
      <c r="BE91" s="768"/>
      <c r="BF91" s="768"/>
      <c r="BG91" s="768"/>
      <c r="BH91" s="768"/>
      <c r="BI91" s="768"/>
      <c r="BJ91" s="768"/>
      <c r="BK91" s="768"/>
      <c r="BL91" s="768"/>
      <c r="BM91" s="768"/>
      <c r="BN91" s="768"/>
      <c r="BO91" s="768"/>
      <c r="BP91" s="768"/>
      <c r="BQ91" s="768"/>
      <c r="BR91" s="768"/>
      <c r="BS91" s="768"/>
      <c r="BT91" s="710"/>
      <c r="BU91" s="710"/>
      <c r="BV91" s="710"/>
      <c r="BW91" s="710"/>
      <c r="BX91" s="769"/>
      <c r="BY91" s="770"/>
      <c r="BZ91" s="627"/>
      <c r="CA91" s="627"/>
      <c r="CB91" s="627"/>
      <c r="CC91" s="627"/>
      <c r="CD91" s="627"/>
      <c r="CE91" s="627"/>
      <c r="CF91" s="627"/>
      <c r="CG91" s="627"/>
      <c r="CH91" s="627"/>
      <c r="CI91" s="627"/>
      <c r="CJ91" s="627"/>
      <c r="CK91" s="627"/>
      <c r="CL91" s="627"/>
      <c r="CM91" s="627"/>
      <c r="CN91" s="627"/>
      <c r="CO91" s="627"/>
      <c r="CP91" s="627"/>
      <c r="CQ91" s="627"/>
      <c r="CR91" s="627"/>
      <c r="CS91" s="627"/>
      <c r="CT91" s="627"/>
      <c r="CU91" s="627"/>
      <c r="CV91" s="627"/>
      <c r="CW91" s="627"/>
      <c r="CX91" s="627"/>
      <c r="CY91" s="627"/>
      <c r="CZ91" s="627"/>
      <c r="DA91" s="627"/>
      <c r="DB91" s="771"/>
      <c r="DC91" s="771"/>
      <c r="DD91" s="771"/>
      <c r="DE91" s="771"/>
      <c r="DF91" s="771"/>
      <c r="DG91" s="771"/>
      <c r="DH91" s="771"/>
      <c r="DI91" s="772"/>
      <c r="DJ91" s="778"/>
      <c r="DK91" s="776"/>
      <c r="DL91" s="776"/>
      <c r="DM91" s="776"/>
      <c r="DN91" s="776"/>
      <c r="DO91" s="776"/>
      <c r="DP91" s="776"/>
      <c r="DQ91" s="776"/>
      <c r="DR91" s="776"/>
      <c r="DS91" s="776"/>
      <c r="DT91" s="776"/>
      <c r="DU91" s="776"/>
      <c r="DV91" s="776"/>
      <c r="DW91" s="776"/>
      <c r="DX91" s="776"/>
      <c r="DY91" s="776"/>
      <c r="DZ91" s="776"/>
      <c r="EA91" s="776"/>
      <c r="EB91" s="776"/>
      <c r="EC91" s="776"/>
      <c r="ED91" s="776"/>
      <c r="EE91" s="776"/>
      <c r="EF91" s="776"/>
      <c r="EG91" s="776"/>
      <c r="EH91" s="776"/>
      <c r="EI91" s="776"/>
      <c r="EJ91" s="776"/>
      <c r="EK91" s="776"/>
      <c r="EL91" s="776"/>
      <c r="EM91" s="776"/>
      <c r="EN91" s="776"/>
      <c r="EO91" s="776"/>
      <c r="EP91" s="776"/>
      <c r="EQ91" s="776"/>
      <c r="ER91" s="776"/>
      <c r="ES91" s="776"/>
      <c r="ET91" s="776"/>
      <c r="EU91" s="776"/>
      <c r="EV91" s="776"/>
      <c r="EW91" s="776"/>
      <c r="EX91" s="776"/>
      <c r="EY91" s="776"/>
      <c r="EZ91" s="776"/>
      <c r="FA91" s="776"/>
      <c r="FB91" s="776"/>
      <c r="FC91" s="776"/>
      <c r="FD91" s="776"/>
      <c r="FE91" s="776"/>
      <c r="FF91" s="776"/>
      <c r="FG91" s="777"/>
      <c r="FH91" s="287"/>
    </row>
    <row r="92" spans="1:164" ht="8.65" customHeight="1">
      <c r="A92" s="269"/>
      <c r="B92" s="483"/>
      <c r="C92" s="472"/>
      <c r="D92" s="472"/>
      <c r="E92" s="472"/>
      <c r="F92" s="472"/>
      <c r="G92" s="472"/>
      <c r="H92" s="472"/>
      <c r="I92" s="472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2"/>
      <c r="AH92" s="472"/>
      <c r="AI92" s="472"/>
      <c r="AJ92" s="472"/>
      <c r="AK92" s="472"/>
      <c r="AL92" s="472"/>
      <c r="AM92" s="472"/>
      <c r="AN92" s="472"/>
      <c r="AO92" s="472"/>
      <c r="AP92" s="472"/>
      <c r="AQ92" s="472"/>
      <c r="AR92" s="472"/>
      <c r="AS92" s="472"/>
      <c r="AT92" s="475"/>
      <c r="AU92" s="767" t="s">
        <v>6443</v>
      </c>
      <c r="AV92" s="768"/>
      <c r="AW92" s="768"/>
      <c r="AX92" s="768"/>
      <c r="AY92" s="768"/>
      <c r="AZ92" s="768"/>
      <c r="BA92" s="768"/>
      <c r="BB92" s="768"/>
      <c r="BC92" s="768"/>
      <c r="BD92" s="768"/>
      <c r="BE92" s="768"/>
      <c r="BF92" s="768"/>
      <c r="BG92" s="768"/>
      <c r="BH92" s="768"/>
      <c r="BI92" s="768"/>
      <c r="BJ92" s="768"/>
      <c r="BK92" s="768"/>
      <c r="BL92" s="768"/>
      <c r="BM92" s="768"/>
      <c r="BN92" s="768"/>
      <c r="BO92" s="768"/>
      <c r="BP92" s="768"/>
      <c r="BQ92" s="768"/>
      <c r="BR92" s="768"/>
      <c r="BS92" s="768"/>
      <c r="BT92" s="710">
        <v>0.8</v>
      </c>
      <c r="BU92" s="710"/>
      <c r="BV92" s="710"/>
      <c r="BW92" s="710"/>
      <c r="BX92" s="769"/>
      <c r="BY92" s="770" t="s">
        <v>6444</v>
      </c>
      <c r="BZ92" s="627"/>
      <c r="CA92" s="627"/>
      <c r="CB92" s="627"/>
      <c r="CC92" s="627"/>
      <c r="CD92" s="627"/>
      <c r="CE92" s="627"/>
      <c r="CF92" s="627"/>
      <c r="CG92" s="627"/>
      <c r="CH92" s="627"/>
      <c r="CI92" s="627"/>
      <c r="CJ92" s="627"/>
      <c r="CK92" s="627"/>
      <c r="CL92" s="627"/>
      <c r="CM92" s="627"/>
      <c r="CN92" s="627"/>
      <c r="CO92" s="627"/>
      <c r="CP92" s="627"/>
      <c r="CQ92" s="627"/>
      <c r="CR92" s="627"/>
      <c r="CS92" s="627"/>
      <c r="CT92" s="627"/>
      <c r="CU92" s="627"/>
      <c r="CV92" s="627"/>
      <c r="CW92" s="627"/>
      <c r="CX92" s="627"/>
      <c r="CY92" s="627"/>
      <c r="CZ92" s="627"/>
      <c r="DA92" s="627"/>
      <c r="DB92" s="771">
        <v>6.8000000000000005E-2</v>
      </c>
      <c r="DC92" s="771"/>
      <c r="DD92" s="771"/>
      <c r="DE92" s="771"/>
      <c r="DF92" s="771"/>
      <c r="DG92" s="771"/>
      <c r="DH92" s="771"/>
      <c r="DI92" s="772"/>
      <c r="DJ92" s="775" t="s">
        <v>6465</v>
      </c>
      <c r="DK92" s="776"/>
      <c r="DL92" s="776"/>
      <c r="DM92" s="776"/>
      <c r="DN92" s="776"/>
      <c r="DO92" s="776"/>
      <c r="DP92" s="776"/>
      <c r="DQ92" s="776"/>
      <c r="DR92" s="776"/>
      <c r="DS92" s="776"/>
      <c r="DT92" s="776"/>
      <c r="DU92" s="776"/>
      <c r="DV92" s="776"/>
      <c r="DW92" s="776"/>
      <c r="DX92" s="776"/>
      <c r="DY92" s="776"/>
      <c r="DZ92" s="776"/>
      <c r="EA92" s="776"/>
      <c r="EB92" s="776"/>
      <c r="EC92" s="776"/>
      <c r="ED92" s="776"/>
      <c r="EE92" s="776"/>
      <c r="EF92" s="776"/>
      <c r="EG92" s="776"/>
      <c r="EH92" s="776"/>
      <c r="EI92" s="776"/>
      <c r="EJ92" s="776"/>
      <c r="EK92" s="776"/>
      <c r="EL92" s="776"/>
      <c r="EM92" s="776"/>
      <c r="EN92" s="776"/>
      <c r="EO92" s="776"/>
      <c r="EP92" s="776"/>
      <c r="EQ92" s="776"/>
      <c r="ER92" s="776"/>
      <c r="ES92" s="776"/>
      <c r="ET92" s="776"/>
      <c r="EU92" s="776"/>
      <c r="EV92" s="776"/>
      <c r="EW92" s="776"/>
      <c r="EX92" s="776"/>
      <c r="EY92" s="776"/>
      <c r="EZ92" s="776"/>
      <c r="FA92" s="776"/>
      <c r="FB92" s="776"/>
      <c r="FC92" s="776"/>
      <c r="FD92" s="776"/>
      <c r="FE92" s="776"/>
      <c r="FF92" s="776"/>
      <c r="FG92" s="777"/>
      <c r="FH92" s="287"/>
    </row>
    <row r="93" spans="1:164" ht="8.65" customHeight="1">
      <c r="A93" s="269"/>
      <c r="B93" s="483"/>
      <c r="C93" s="472"/>
      <c r="D93" s="472"/>
      <c r="E93" s="472"/>
      <c r="F93" s="472"/>
      <c r="G93" s="472"/>
      <c r="H93" s="472"/>
      <c r="I93" s="472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2"/>
      <c r="U93" s="472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2"/>
      <c r="AH93" s="472"/>
      <c r="AI93" s="472"/>
      <c r="AJ93" s="472"/>
      <c r="AK93" s="472"/>
      <c r="AL93" s="472"/>
      <c r="AM93" s="472"/>
      <c r="AN93" s="472"/>
      <c r="AO93" s="472"/>
      <c r="AP93" s="472"/>
      <c r="AQ93" s="472"/>
      <c r="AR93" s="472"/>
      <c r="AS93" s="472"/>
      <c r="AT93" s="475"/>
      <c r="AU93" s="767"/>
      <c r="AV93" s="768"/>
      <c r="AW93" s="768"/>
      <c r="AX93" s="768"/>
      <c r="AY93" s="768"/>
      <c r="AZ93" s="768"/>
      <c r="BA93" s="768"/>
      <c r="BB93" s="768"/>
      <c r="BC93" s="768"/>
      <c r="BD93" s="768"/>
      <c r="BE93" s="768"/>
      <c r="BF93" s="768"/>
      <c r="BG93" s="768"/>
      <c r="BH93" s="768"/>
      <c r="BI93" s="768"/>
      <c r="BJ93" s="768"/>
      <c r="BK93" s="768"/>
      <c r="BL93" s="768"/>
      <c r="BM93" s="768"/>
      <c r="BN93" s="768"/>
      <c r="BO93" s="768"/>
      <c r="BP93" s="768"/>
      <c r="BQ93" s="768"/>
      <c r="BR93" s="768"/>
      <c r="BS93" s="768"/>
      <c r="BT93" s="710"/>
      <c r="BU93" s="710"/>
      <c r="BV93" s="710"/>
      <c r="BW93" s="710"/>
      <c r="BX93" s="769"/>
      <c r="BY93" s="770"/>
      <c r="BZ93" s="627"/>
      <c r="CA93" s="627"/>
      <c r="CB93" s="627"/>
      <c r="CC93" s="627"/>
      <c r="CD93" s="627"/>
      <c r="CE93" s="627"/>
      <c r="CF93" s="627"/>
      <c r="CG93" s="627"/>
      <c r="CH93" s="627"/>
      <c r="CI93" s="627"/>
      <c r="CJ93" s="627"/>
      <c r="CK93" s="627"/>
      <c r="CL93" s="627"/>
      <c r="CM93" s="627"/>
      <c r="CN93" s="627"/>
      <c r="CO93" s="627"/>
      <c r="CP93" s="627"/>
      <c r="CQ93" s="627"/>
      <c r="CR93" s="627"/>
      <c r="CS93" s="627"/>
      <c r="CT93" s="627"/>
      <c r="CU93" s="627"/>
      <c r="CV93" s="627"/>
      <c r="CW93" s="627"/>
      <c r="CX93" s="627"/>
      <c r="CY93" s="627"/>
      <c r="CZ93" s="627"/>
      <c r="DA93" s="627"/>
      <c r="DB93" s="771"/>
      <c r="DC93" s="771"/>
      <c r="DD93" s="771"/>
      <c r="DE93" s="771"/>
      <c r="DF93" s="771"/>
      <c r="DG93" s="771"/>
      <c r="DH93" s="771"/>
      <c r="DI93" s="772"/>
      <c r="DJ93" s="778"/>
      <c r="DK93" s="776"/>
      <c r="DL93" s="776"/>
      <c r="DM93" s="776"/>
      <c r="DN93" s="776"/>
      <c r="DO93" s="776"/>
      <c r="DP93" s="776"/>
      <c r="DQ93" s="776"/>
      <c r="DR93" s="776"/>
      <c r="DS93" s="776"/>
      <c r="DT93" s="776"/>
      <c r="DU93" s="776"/>
      <c r="DV93" s="776"/>
      <c r="DW93" s="776"/>
      <c r="DX93" s="776"/>
      <c r="DY93" s="776"/>
      <c r="DZ93" s="776"/>
      <c r="EA93" s="776"/>
      <c r="EB93" s="776"/>
      <c r="EC93" s="776"/>
      <c r="ED93" s="776"/>
      <c r="EE93" s="776"/>
      <c r="EF93" s="776"/>
      <c r="EG93" s="776"/>
      <c r="EH93" s="776"/>
      <c r="EI93" s="776"/>
      <c r="EJ93" s="776"/>
      <c r="EK93" s="776"/>
      <c r="EL93" s="776"/>
      <c r="EM93" s="776"/>
      <c r="EN93" s="776"/>
      <c r="EO93" s="776"/>
      <c r="EP93" s="776"/>
      <c r="EQ93" s="776"/>
      <c r="ER93" s="776"/>
      <c r="ES93" s="776"/>
      <c r="ET93" s="776"/>
      <c r="EU93" s="776"/>
      <c r="EV93" s="776"/>
      <c r="EW93" s="776"/>
      <c r="EX93" s="776"/>
      <c r="EY93" s="776"/>
      <c r="EZ93" s="776"/>
      <c r="FA93" s="776"/>
      <c r="FB93" s="776"/>
      <c r="FC93" s="776"/>
      <c r="FD93" s="776"/>
      <c r="FE93" s="776"/>
      <c r="FF93" s="776"/>
      <c r="FG93" s="777"/>
      <c r="FH93" s="287"/>
    </row>
    <row r="94" spans="1:164" ht="8.65" customHeight="1">
      <c r="A94" s="269"/>
      <c r="B94" s="694"/>
      <c r="C94" s="695"/>
      <c r="D94" s="695"/>
      <c r="E94" s="695"/>
      <c r="F94" s="695"/>
      <c r="G94" s="695"/>
      <c r="H94" s="695"/>
      <c r="I94" s="695"/>
      <c r="J94" s="695"/>
      <c r="K94" s="695"/>
      <c r="L94" s="695"/>
      <c r="M94" s="695"/>
      <c r="N94" s="695"/>
      <c r="O94" s="695"/>
      <c r="P94" s="695"/>
      <c r="Q94" s="695"/>
      <c r="R94" s="695"/>
      <c r="S94" s="695"/>
      <c r="T94" s="695"/>
      <c r="U94" s="695"/>
      <c r="V94" s="695"/>
      <c r="W94" s="695"/>
      <c r="X94" s="695"/>
      <c r="Y94" s="695"/>
      <c r="Z94" s="695"/>
      <c r="AA94" s="695"/>
      <c r="AB94" s="695"/>
      <c r="AC94" s="695"/>
      <c r="AD94" s="695"/>
      <c r="AE94" s="695"/>
      <c r="AF94" s="695"/>
      <c r="AG94" s="695"/>
      <c r="AH94" s="695"/>
      <c r="AI94" s="695"/>
      <c r="AJ94" s="695"/>
      <c r="AK94" s="695"/>
      <c r="AL94" s="695"/>
      <c r="AM94" s="695"/>
      <c r="AN94" s="695"/>
      <c r="AO94" s="695"/>
      <c r="AP94" s="695"/>
      <c r="AQ94" s="695"/>
      <c r="AR94" s="695"/>
      <c r="AS94" s="695"/>
      <c r="AT94" s="699"/>
      <c r="AU94" s="767" t="s">
        <v>6447</v>
      </c>
      <c r="AV94" s="768"/>
      <c r="AW94" s="768"/>
      <c r="AX94" s="768"/>
      <c r="AY94" s="768"/>
      <c r="AZ94" s="768"/>
      <c r="BA94" s="768"/>
      <c r="BB94" s="768"/>
      <c r="BC94" s="768"/>
      <c r="BD94" s="768"/>
      <c r="BE94" s="768"/>
      <c r="BF94" s="768"/>
      <c r="BG94" s="768"/>
      <c r="BH94" s="768"/>
      <c r="BI94" s="768"/>
      <c r="BJ94" s="768"/>
      <c r="BK94" s="768"/>
      <c r="BL94" s="768"/>
      <c r="BM94" s="768"/>
      <c r="BN94" s="768"/>
      <c r="BO94" s="768"/>
      <c r="BP94" s="768"/>
      <c r="BQ94" s="768"/>
      <c r="BR94" s="768"/>
      <c r="BS94" s="768"/>
      <c r="BT94" s="710">
        <v>1.1000000000000001</v>
      </c>
      <c r="BU94" s="710"/>
      <c r="BV94" s="710"/>
      <c r="BW94" s="710"/>
      <c r="BX94" s="769"/>
      <c r="BY94" s="770"/>
      <c r="BZ94" s="627"/>
      <c r="CA94" s="627"/>
      <c r="CB94" s="627"/>
      <c r="CC94" s="627"/>
      <c r="CD94" s="627"/>
      <c r="CE94" s="627"/>
      <c r="CF94" s="627"/>
      <c r="CG94" s="627"/>
      <c r="CH94" s="627"/>
      <c r="CI94" s="627"/>
      <c r="CJ94" s="627"/>
      <c r="CK94" s="627"/>
      <c r="CL94" s="627"/>
      <c r="CM94" s="627"/>
      <c r="CN94" s="627"/>
      <c r="CO94" s="627"/>
      <c r="CP94" s="627"/>
      <c r="CQ94" s="627"/>
      <c r="CR94" s="627"/>
      <c r="CS94" s="627"/>
      <c r="CT94" s="627"/>
      <c r="CU94" s="627"/>
      <c r="CV94" s="627"/>
      <c r="CW94" s="627"/>
      <c r="CX94" s="627"/>
      <c r="CY94" s="627"/>
      <c r="CZ94" s="627"/>
      <c r="DA94" s="627"/>
      <c r="DB94" s="771"/>
      <c r="DC94" s="771"/>
      <c r="DD94" s="771"/>
      <c r="DE94" s="771"/>
      <c r="DF94" s="771"/>
      <c r="DG94" s="771"/>
      <c r="DH94" s="771"/>
      <c r="DI94" s="772"/>
      <c r="DJ94" s="778"/>
      <c r="DK94" s="776"/>
      <c r="DL94" s="776"/>
      <c r="DM94" s="776"/>
      <c r="DN94" s="776"/>
      <c r="DO94" s="776"/>
      <c r="DP94" s="776"/>
      <c r="DQ94" s="776"/>
      <c r="DR94" s="776"/>
      <c r="DS94" s="776"/>
      <c r="DT94" s="776"/>
      <c r="DU94" s="776"/>
      <c r="DV94" s="776"/>
      <c r="DW94" s="776"/>
      <c r="DX94" s="776"/>
      <c r="DY94" s="776"/>
      <c r="DZ94" s="776"/>
      <c r="EA94" s="776"/>
      <c r="EB94" s="776"/>
      <c r="EC94" s="776"/>
      <c r="ED94" s="776"/>
      <c r="EE94" s="776"/>
      <c r="EF94" s="776"/>
      <c r="EG94" s="776"/>
      <c r="EH94" s="776"/>
      <c r="EI94" s="776"/>
      <c r="EJ94" s="776"/>
      <c r="EK94" s="776"/>
      <c r="EL94" s="776"/>
      <c r="EM94" s="776"/>
      <c r="EN94" s="776"/>
      <c r="EO94" s="776"/>
      <c r="EP94" s="776"/>
      <c r="EQ94" s="776"/>
      <c r="ER94" s="776"/>
      <c r="ES94" s="776"/>
      <c r="ET94" s="776"/>
      <c r="EU94" s="776"/>
      <c r="EV94" s="776"/>
      <c r="EW94" s="776"/>
      <c r="EX94" s="776"/>
      <c r="EY94" s="776"/>
      <c r="EZ94" s="776"/>
      <c r="FA94" s="776"/>
      <c r="FB94" s="776"/>
      <c r="FC94" s="776"/>
      <c r="FD94" s="776"/>
      <c r="FE94" s="776"/>
      <c r="FF94" s="776"/>
      <c r="FG94" s="777"/>
      <c r="FH94" s="287"/>
    </row>
    <row r="95" spans="1:164" ht="8.65" customHeight="1">
      <c r="A95" s="269"/>
      <c r="B95" s="792" t="s">
        <v>6467</v>
      </c>
      <c r="C95" s="793"/>
      <c r="D95" s="793"/>
      <c r="E95" s="793"/>
      <c r="F95" s="793"/>
      <c r="G95" s="793"/>
      <c r="H95" s="793"/>
      <c r="I95" s="793"/>
      <c r="J95" s="793"/>
      <c r="K95" s="793"/>
      <c r="L95" s="793"/>
      <c r="M95" s="793"/>
      <c r="N95" s="793"/>
      <c r="O95" s="794"/>
      <c r="P95" s="798" t="s">
        <v>6468</v>
      </c>
      <c r="Q95" s="799"/>
      <c r="R95" s="799"/>
      <c r="S95" s="799"/>
      <c r="T95" s="799"/>
      <c r="U95" s="799"/>
      <c r="V95" s="799"/>
      <c r="W95" s="799"/>
      <c r="X95" s="799"/>
      <c r="Y95" s="799"/>
      <c r="Z95" s="799"/>
      <c r="AA95" s="799"/>
      <c r="AB95" s="799"/>
      <c r="AC95" s="799"/>
      <c r="AD95" s="799"/>
      <c r="AE95" s="799"/>
      <c r="AF95" s="799"/>
      <c r="AG95" s="799"/>
      <c r="AH95" s="799"/>
      <c r="AI95" s="799"/>
      <c r="AJ95" s="799"/>
      <c r="AK95" s="799"/>
      <c r="AL95" s="799"/>
      <c r="AM95" s="799"/>
      <c r="AN95" s="799"/>
      <c r="AO95" s="799"/>
      <c r="AP95" s="799"/>
      <c r="AQ95" s="799"/>
      <c r="AR95" s="799"/>
      <c r="AS95" s="799"/>
      <c r="AT95" s="800"/>
      <c r="AU95" s="767"/>
      <c r="AV95" s="768"/>
      <c r="AW95" s="768"/>
      <c r="AX95" s="768"/>
      <c r="AY95" s="768"/>
      <c r="AZ95" s="768"/>
      <c r="BA95" s="768"/>
      <c r="BB95" s="768"/>
      <c r="BC95" s="768"/>
      <c r="BD95" s="768"/>
      <c r="BE95" s="768"/>
      <c r="BF95" s="768"/>
      <c r="BG95" s="768"/>
      <c r="BH95" s="768"/>
      <c r="BI95" s="768"/>
      <c r="BJ95" s="768"/>
      <c r="BK95" s="768"/>
      <c r="BL95" s="768"/>
      <c r="BM95" s="768"/>
      <c r="BN95" s="768"/>
      <c r="BO95" s="768"/>
      <c r="BP95" s="768"/>
      <c r="BQ95" s="768"/>
      <c r="BR95" s="768"/>
      <c r="BS95" s="768"/>
      <c r="BT95" s="710"/>
      <c r="BU95" s="710"/>
      <c r="BV95" s="710"/>
      <c r="BW95" s="710"/>
      <c r="BX95" s="769"/>
      <c r="BY95" s="770" t="s">
        <v>6449</v>
      </c>
      <c r="BZ95" s="627"/>
      <c r="CA95" s="627"/>
      <c r="CB95" s="627"/>
      <c r="CC95" s="627"/>
      <c r="CD95" s="627"/>
      <c r="CE95" s="627"/>
      <c r="CF95" s="627"/>
      <c r="CG95" s="627"/>
      <c r="CH95" s="627"/>
      <c r="CI95" s="627"/>
      <c r="CJ95" s="627"/>
      <c r="CK95" s="627"/>
      <c r="CL95" s="627"/>
      <c r="CM95" s="627"/>
      <c r="CN95" s="627"/>
      <c r="CO95" s="627"/>
      <c r="CP95" s="627"/>
      <c r="CQ95" s="627"/>
      <c r="CR95" s="627"/>
      <c r="CS95" s="627"/>
      <c r="CT95" s="627"/>
      <c r="CU95" s="627"/>
      <c r="CV95" s="627"/>
      <c r="CW95" s="627"/>
      <c r="CX95" s="627"/>
      <c r="CY95" s="627"/>
      <c r="CZ95" s="627"/>
      <c r="DA95" s="627"/>
      <c r="DB95" s="771">
        <v>8.4000000000000005E-2</v>
      </c>
      <c r="DC95" s="771"/>
      <c r="DD95" s="771"/>
      <c r="DE95" s="771"/>
      <c r="DF95" s="771"/>
      <c r="DG95" s="771"/>
      <c r="DH95" s="771"/>
      <c r="DI95" s="772"/>
      <c r="DJ95" s="775" t="s">
        <v>6469</v>
      </c>
      <c r="DK95" s="776"/>
      <c r="DL95" s="776"/>
      <c r="DM95" s="776"/>
      <c r="DN95" s="776"/>
      <c r="DO95" s="776"/>
      <c r="DP95" s="776"/>
      <c r="DQ95" s="776"/>
      <c r="DR95" s="776"/>
      <c r="DS95" s="776"/>
      <c r="DT95" s="776"/>
      <c r="DU95" s="776"/>
      <c r="DV95" s="776"/>
      <c r="DW95" s="776"/>
      <c r="DX95" s="776"/>
      <c r="DY95" s="776"/>
      <c r="DZ95" s="776"/>
      <c r="EA95" s="776"/>
      <c r="EB95" s="776"/>
      <c r="EC95" s="776"/>
      <c r="ED95" s="776"/>
      <c r="EE95" s="776"/>
      <c r="EF95" s="776"/>
      <c r="EG95" s="776"/>
      <c r="EH95" s="776"/>
      <c r="EI95" s="776"/>
      <c r="EJ95" s="776"/>
      <c r="EK95" s="776"/>
      <c r="EL95" s="776"/>
      <c r="EM95" s="776"/>
      <c r="EN95" s="776"/>
      <c r="EO95" s="776"/>
      <c r="EP95" s="776"/>
      <c r="EQ95" s="776"/>
      <c r="ER95" s="776"/>
      <c r="ES95" s="776"/>
      <c r="ET95" s="776"/>
      <c r="EU95" s="776"/>
      <c r="EV95" s="776"/>
      <c r="EW95" s="776"/>
      <c r="EX95" s="776"/>
      <c r="EY95" s="776"/>
      <c r="EZ95" s="776"/>
      <c r="FA95" s="776"/>
      <c r="FB95" s="776"/>
      <c r="FC95" s="776"/>
      <c r="FD95" s="776"/>
      <c r="FE95" s="776"/>
      <c r="FF95" s="776"/>
      <c r="FG95" s="777"/>
      <c r="FH95" s="287"/>
    </row>
    <row r="96" spans="1:164" ht="8.65" customHeight="1">
      <c r="A96" s="269"/>
      <c r="B96" s="795"/>
      <c r="C96" s="796"/>
      <c r="D96" s="796"/>
      <c r="E96" s="796"/>
      <c r="F96" s="796"/>
      <c r="G96" s="796"/>
      <c r="H96" s="796"/>
      <c r="I96" s="796"/>
      <c r="J96" s="796"/>
      <c r="K96" s="796"/>
      <c r="L96" s="796"/>
      <c r="M96" s="796"/>
      <c r="N96" s="796"/>
      <c r="O96" s="797"/>
      <c r="P96" s="801"/>
      <c r="Q96" s="802"/>
      <c r="R96" s="802"/>
      <c r="S96" s="802"/>
      <c r="T96" s="802"/>
      <c r="U96" s="802"/>
      <c r="V96" s="802"/>
      <c r="W96" s="802"/>
      <c r="X96" s="802"/>
      <c r="Y96" s="802"/>
      <c r="Z96" s="802"/>
      <c r="AA96" s="802"/>
      <c r="AB96" s="802"/>
      <c r="AC96" s="802"/>
      <c r="AD96" s="802"/>
      <c r="AE96" s="802"/>
      <c r="AF96" s="802"/>
      <c r="AG96" s="802"/>
      <c r="AH96" s="802"/>
      <c r="AI96" s="802"/>
      <c r="AJ96" s="802"/>
      <c r="AK96" s="802"/>
      <c r="AL96" s="802"/>
      <c r="AM96" s="802"/>
      <c r="AN96" s="802"/>
      <c r="AO96" s="802"/>
      <c r="AP96" s="802"/>
      <c r="AQ96" s="802"/>
      <c r="AR96" s="802"/>
      <c r="AS96" s="802"/>
      <c r="AT96" s="803"/>
      <c r="AU96" s="767" t="s">
        <v>6451</v>
      </c>
      <c r="AV96" s="768"/>
      <c r="AW96" s="768"/>
      <c r="AX96" s="768"/>
      <c r="AY96" s="768"/>
      <c r="AZ96" s="768"/>
      <c r="BA96" s="768"/>
      <c r="BB96" s="768"/>
      <c r="BC96" s="768"/>
      <c r="BD96" s="768"/>
      <c r="BE96" s="768"/>
      <c r="BF96" s="768"/>
      <c r="BG96" s="768"/>
      <c r="BH96" s="768"/>
      <c r="BI96" s="768"/>
      <c r="BJ96" s="768"/>
      <c r="BK96" s="768"/>
      <c r="BL96" s="768"/>
      <c r="BM96" s="768"/>
      <c r="BN96" s="768"/>
      <c r="BO96" s="768"/>
      <c r="BP96" s="768"/>
      <c r="BQ96" s="768"/>
      <c r="BR96" s="768"/>
      <c r="BS96" s="768"/>
      <c r="BT96" s="710">
        <v>0.6</v>
      </c>
      <c r="BU96" s="710"/>
      <c r="BV96" s="710"/>
      <c r="BW96" s="710"/>
      <c r="BX96" s="769"/>
      <c r="BY96" s="770"/>
      <c r="BZ96" s="627"/>
      <c r="CA96" s="627"/>
      <c r="CB96" s="627"/>
      <c r="CC96" s="627"/>
      <c r="CD96" s="627"/>
      <c r="CE96" s="627"/>
      <c r="CF96" s="627"/>
      <c r="CG96" s="627"/>
      <c r="CH96" s="627"/>
      <c r="CI96" s="627"/>
      <c r="CJ96" s="627"/>
      <c r="CK96" s="627"/>
      <c r="CL96" s="627"/>
      <c r="CM96" s="627"/>
      <c r="CN96" s="627"/>
      <c r="CO96" s="627"/>
      <c r="CP96" s="627"/>
      <c r="CQ96" s="627"/>
      <c r="CR96" s="627"/>
      <c r="CS96" s="627"/>
      <c r="CT96" s="627"/>
      <c r="CU96" s="627"/>
      <c r="CV96" s="627"/>
      <c r="CW96" s="627"/>
      <c r="CX96" s="627"/>
      <c r="CY96" s="627"/>
      <c r="CZ96" s="627"/>
      <c r="DA96" s="627"/>
      <c r="DB96" s="771"/>
      <c r="DC96" s="771"/>
      <c r="DD96" s="771"/>
      <c r="DE96" s="771"/>
      <c r="DF96" s="771"/>
      <c r="DG96" s="771"/>
      <c r="DH96" s="771"/>
      <c r="DI96" s="772"/>
      <c r="DJ96" s="778"/>
      <c r="DK96" s="776"/>
      <c r="DL96" s="776"/>
      <c r="DM96" s="776"/>
      <c r="DN96" s="776"/>
      <c r="DO96" s="776"/>
      <c r="DP96" s="776"/>
      <c r="DQ96" s="776"/>
      <c r="DR96" s="776"/>
      <c r="DS96" s="776"/>
      <c r="DT96" s="776"/>
      <c r="DU96" s="776"/>
      <c r="DV96" s="776"/>
      <c r="DW96" s="776"/>
      <c r="DX96" s="776"/>
      <c r="DY96" s="776"/>
      <c r="DZ96" s="776"/>
      <c r="EA96" s="776"/>
      <c r="EB96" s="776"/>
      <c r="EC96" s="776"/>
      <c r="ED96" s="776"/>
      <c r="EE96" s="776"/>
      <c r="EF96" s="776"/>
      <c r="EG96" s="776"/>
      <c r="EH96" s="776"/>
      <c r="EI96" s="776"/>
      <c r="EJ96" s="776"/>
      <c r="EK96" s="776"/>
      <c r="EL96" s="776"/>
      <c r="EM96" s="776"/>
      <c r="EN96" s="776"/>
      <c r="EO96" s="776"/>
      <c r="EP96" s="776"/>
      <c r="EQ96" s="776"/>
      <c r="ER96" s="776"/>
      <c r="ES96" s="776"/>
      <c r="ET96" s="776"/>
      <c r="EU96" s="776"/>
      <c r="EV96" s="776"/>
      <c r="EW96" s="776"/>
      <c r="EX96" s="776"/>
      <c r="EY96" s="776"/>
      <c r="EZ96" s="776"/>
      <c r="FA96" s="776"/>
      <c r="FB96" s="776"/>
      <c r="FC96" s="776"/>
      <c r="FD96" s="776"/>
      <c r="FE96" s="776"/>
      <c r="FF96" s="776"/>
      <c r="FG96" s="777"/>
      <c r="FH96" s="287"/>
    </row>
    <row r="97" spans="1:164" ht="8.65" customHeight="1">
      <c r="A97" s="269"/>
      <c r="B97" s="795"/>
      <c r="C97" s="796"/>
      <c r="D97" s="796"/>
      <c r="E97" s="796"/>
      <c r="F97" s="796"/>
      <c r="G97" s="796"/>
      <c r="H97" s="796"/>
      <c r="I97" s="796"/>
      <c r="J97" s="796"/>
      <c r="K97" s="796"/>
      <c r="L97" s="796"/>
      <c r="M97" s="796"/>
      <c r="N97" s="796"/>
      <c r="O97" s="797"/>
      <c r="P97" s="801"/>
      <c r="Q97" s="802"/>
      <c r="R97" s="802"/>
      <c r="S97" s="802"/>
      <c r="T97" s="802"/>
      <c r="U97" s="802"/>
      <c r="V97" s="802"/>
      <c r="W97" s="802"/>
      <c r="X97" s="802"/>
      <c r="Y97" s="802"/>
      <c r="Z97" s="802"/>
      <c r="AA97" s="802"/>
      <c r="AB97" s="802"/>
      <c r="AC97" s="802"/>
      <c r="AD97" s="802"/>
      <c r="AE97" s="802"/>
      <c r="AF97" s="802"/>
      <c r="AG97" s="802"/>
      <c r="AH97" s="802"/>
      <c r="AI97" s="802"/>
      <c r="AJ97" s="802"/>
      <c r="AK97" s="802"/>
      <c r="AL97" s="802"/>
      <c r="AM97" s="802"/>
      <c r="AN97" s="802"/>
      <c r="AO97" s="802"/>
      <c r="AP97" s="802"/>
      <c r="AQ97" s="802"/>
      <c r="AR97" s="802"/>
      <c r="AS97" s="802"/>
      <c r="AT97" s="803"/>
      <c r="AU97" s="767"/>
      <c r="AV97" s="768"/>
      <c r="AW97" s="768"/>
      <c r="AX97" s="768"/>
      <c r="AY97" s="768"/>
      <c r="AZ97" s="768"/>
      <c r="BA97" s="768"/>
      <c r="BB97" s="768"/>
      <c r="BC97" s="768"/>
      <c r="BD97" s="768"/>
      <c r="BE97" s="768"/>
      <c r="BF97" s="768"/>
      <c r="BG97" s="768"/>
      <c r="BH97" s="768"/>
      <c r="BI97" s="768"/>
      <c r="BJ97" s="768"/>
      <c r="BK97" s="768"/>
      <c r="BL97" s="768"/>
      <c r="BM97" s="768"/>
      <c r="BN97" s="768"/>
      <c r="BO97" s="768"/>
      <c r="BP97" s="768"/>
      <c r="BQ97" s="768"/>
      <c r="BR97" s="768"/>
      <c r="BS97" s="768"/>
      <c r="BT97" s="710"/>
      <c r="BU97" s="710"/>
      <c r="BV97" s="710"/>
      <c r="BW97" s="710"/>
      <c r="BX97" s="769"/>
      <c r="BY97" s="770"/>
      <c r="BZ97" s="627"/>
      <c r="CA97" s="627"/>
      <c r="CB97" s="627"/>
      <c r="CC97" s="627"/>
      <c r="CD97" s="627"/>
      <c r="CE97" s="627"/>
      <c r="CF97" s="627"/>
      <c r="CG97" s="627"/>
      <c r="CH97" s="627"/>
      <c r="CI97" s="627"/>
      <c r="CJ97" s="627"/>
      <c r="CK97" s="627"/>
      <c r="CL97" s="627"/>
      <c r="CM97" s="627"/>
      <c r="CN97" s="627"/>
      <c r="CO97" s="627"/>
      <c r="CP97" s="627"/>
      <c r="CQ97" s="627"/>
      <c r="CR97" s="627"/>
      <c r="CS97" s="627"/>
      <c r="CT97" s="627"/>
      <c r="CU97" s="627"/>
      <c r="CV97" s="627"/>
      <c r="CW97" s="627"/>
      <c r="CX97" s="627"/>
      <c r="CY97" s="627"/>
      <c r="CZ97" s="627"/>
      <c r="DA97" s="627"/>
      <c r="DB97" s="771"/>
      <c r="DC97" s="771"/>
      <c r="DD97" s="771"/>
      <c r="DE97" s="771"/>
      <c r="DF97" s="771"/>
      <c r="DG97" s="771"/>
      <c r="DH97" s="771"/>
      <c r="DI97" s="772"/>
      <c r="DJ97" s="778"/>
      <c r="DK97" s="776"/>
      <c r="DL97" s="776"/>
      <c r="DM97" s="776"/>
      <c r="DN97" s="776"/>
      <c r="DO97" s="776"/>
      <c r="DP97" s="776"/>
      <c r="DQ97" s="776"/>
      <c r="DR97" s="776"/>
      <c r="DS97" s="776"/>
      <c r="DT97" s="776"/>
      <c r="DU97" s="776"/>
      <c r="DV97" s="776"/>
      <c r="DW97" s="776"/>
      <c r="DX97" s="776"/>
      <c r="DY97" s="776"/>
      <c r="DZ97" s="776"/>
      <c r="EA97" s="776"/>
      <c r="EB97" s="776"/>
      <c r="EC97" s="776"/>
      <c r="ED97" s="776"/>
      <c r="EE97" s="776"/>
      <c r="EF97" s="776"/>
      <c r="EG97" s="776"/>
      <c r="EH97" s="776"/>
      <c r="EI97" s="776"/>
      <c r="EJ97" s="776"/>
      <c r="EK97" s="776"/>
      <c r="EL97" s="776"/>
      <c r="EM97" s="776"/>
      <c r="EN97" s="776"/>
      <c r="EO97" s="776"/>
      <c r="EP97" s="776"/>
      <c r="EQ97" s="776"/>
      <c r="ER97" s="776"/>
      <c r="ES97" s="776"/>
      <c r="ET97" s="776"/>
      <c r="EU97" s="776"/>
      <c r="EV97" s="776"/>
      <c r="EW97" s="776"/>
      <c r="EX97" s="776"/>
      <c r="EY97" s="776"/>
      <c r="EZ97" s="776"/>
      <c r="FA97" s="776"/>
      <c r="FB97" s="776"/>
      <c r="FC97" s="776"/>
      <c r="FD97" s="776"/>
      <c r="FE97" s="776"/>
      <c r="FF97" s="776"/>
      <c r="FG97" s="777"/>
      <c r="FH97" s="287"/>
    </row>
    <row r="98" spans="1:164" ht="8.65" customHeight="1">
      <c r="A98" s="269"/>
      <c r="B98" s="783" t="s">
        <v>6472</v>
      </c>
      <c r="C98" s="784"/>
      <c r="D98" s="784"/>
      <c r="E98" s="784"/>
      <c r="F98" s="784"/>
      <c r="G98" s="784"/>
      <c r="H98" s="784"/>
      <c r="I98" s="784"/>
      <c r="J98" s="784"/>
      <c r="K98" s="784"/>
      <c r="L98" s="784"/>
      <c r="M98" s="784"/>
      <c r="N98" s="784"/>
      <c r="O98" s="785"/>
      <c r="P98" s="786" t="s">
        <v>6473</v>
      </c>
      <c r="Q98" s="787"/>
      <c r="R98" s="787"/>
      <c r="S98" s="787"/>
      <c r="T98" s="787"/>
      <c r="U98" s="787"/>
      <c r="V98" s="787"/>
      <c r="W98" s="787"/>
      <c r="X98" s="787"/>
      <c r="Y98" s="787"/>
      <c r="Z98" s="787"/>
      <c r="AA98" s="787"/>
      <c r="AB98" s="787"/>
      <c r="AC98" s="787"/>
      <c r="AD98" s="787"/>
      <c r="AE98" s="787"/>
      <c r="AF98" s="787"/>
      <c r="AG98" s="787"/>
      <c r="AH98" s="787"/>
      <c r="AI98" s="787"/>
      <c r="AJ98" s="787"/>
      <c r="AK98" s="787"/>
      <c r="AL98" s="787"/>
      <c r="AM98" s="787"/>
      <c r="AN98" s="787"/>
      <c r="AO98" s="787"/>
      <c r="AP98" s="787"/>
      <c r="AQ98" s="787"/>
      <c r="AR98" s="787"/>
      <c r="AS98" s="787"/>
      <c r="AT98" s="788"/>
      <c r="AU98" s="767" t="s">
        <v>6453</v>
      </c>
      <c r="AV98" s="768"/>
      <c r="AW98" s="768"/>
      <c r="AX98" s="768"/>
      <c r="AY98" s="768"/>
      <c r="AZ98" s="768"/>
      <c r="BA98" s="768"/>
      <c r="BB98" s="768"/>
      <c r="BC98" s="768"/>
      <c r="BD98" s="768"/>
      <c r="BE98" s="768"/>
      <c r="BF98" s="768"/>
      <c r="BG98" s="768"/>
      <c r="BH98" s="768"/>
      <c r="BI98" s="768"/>
      <c r="BJ98" s="768"/>
      <c r="BK98" s="768"/>
      <c r="BL98" s="768"/>
      <c r="BM98" s="768"/>
      <c r="BN98" s="768"/>
      <c r="BO98" s="768"/>
      <c r="BP98" s="768"/>
      <c r="BQ98" s="768"/>
      <c r="BR98" s="768"/>
      <c r="BS98" s="768"/>
      <c r="BT98" s="710">
        <v>0.8</v>
      </c>
      <c r="BU98" s="710"/>
      <c r="BV98" s="710"/>
      <c r="BW98" s="710"/>
      <c r="BX98" s="769"/>
      <c r="BY98" s="789" t="s">
        <v>6454</v>
      </c>
      <c r="BZ98" s="790"/>
      <c r="CA98" s="790"/>
      <c r="CB98" s="790"/>
      <c r="CC98" s="790"/>
      <c r="CD98" s="790"/>
      <c r="CE98" s="790"/>
      <c r="CF98" s="790"/>
      <c r="CG98" s="790"/>
      <c r="CH98" s="790"/>
      <c r="CI98" s="790"/>
      <c r="CJ98" s="790"/>
      <c r="CK98" s="790"/>
      <c r="CL98" s="790"/>
      <c r="CM98" s="790"/>
      <c r="CN98" s="790"/>
      <c r="CO98" s="790"/>
      <c r="CP98" s="790"/>
      <c r="CQ98" s="790"/>
      <c r="CR98" s="790"/>
      <c r="CS98" s="790"/>
      <c r="CT98" s="790"/>
      <c r="CU98" s="790"/>
      <c r="CV98" s="790"/>
      <c r="CW98" s="790"/>
      <c r="CX98" s="790"/>
      <c r="CY98" s="790"/>
      <c r="CZ98" s="790"/>
      <c r="DA98" s="790"/>
      <c r="DB98" s="790"/>
      <c r="DC98" s="790"/>
      <c r="DD98" s="790"/>
      <c r="DE98" s="790"/>
      <c r="DF98" s="790"/>
      <c r="DG98" s="790"/>
      <c r="DH98" s="790"/>
      <c r="DI98" s="791"/>
      <c r="DJ98" s="738" t="s">
        <v>6474</v>
      </c>
      <c r="DK98" s="739"/>
      <c r="DL98" s="739"/>
      <c r="DM98" s="739"/>
      <c r="DN98" s="739"/>
      <c r="DO98" s="739"/>
      <c r="DP98" s="739"/>
      <c r="DQ98" s="739"/>
      <c r="DR98" s="739"/>
      <c r="DS98" s="739"/>
      <c r="DT98" s="739"/>
      <c r="DU98" s="739"/>
      <c r="DV98" s="739"/>
      <c r="DW98" s="739"/>
      <c r="DX98" s="739"/>
      <c r="DY98" s="739"/>
      <c r="DZ98" s="739"/>
      <c r="EA98" s="739"/>
      <c r="EB98" s="739"/>
      <c r="EC98" s="739"/>
      <c r="ED98" s="739"/>
      <c r="EE98" s="739"/>
      <c r="EF98" s="739"/>
      <c r="EG98" s="739"/>
      <c r="EH98" s="739"/>
      <c r="EI98" s="739"/>
      <c r="EJ98" s="739"/>
      <c r="EK98" s="739"/>
      <c r="EL98" s="739"/>
      <c r="EM98" s="739"/>
      <c r="EN98" s="739"/>
      <c r="EO98" s="739"/>
      <c r="EP98" s="739"/>
      <c r="EQ98" s="739"/>
      <c r="ER98" s="739"/>
      <c r="ES98" s="739"/>
      <c r="ET98" s="739"/>
      <c r="EU98" s="739"/>
      <c r="EV98" s="739"/>
      <c r="EW98" s="739"/>
      <c r="EX98" s="739"/>
      <c r="EY98" s="739"/>
      <c r="EZ98" s="739"/>
      <c r="FA98" s="739"/>
      <c r="FB98" s="739"/>
      <c r="FC98" s="739"/>
      <c r="FD98" s="739"/>
      <c r="FE98" s="739"/>
      <c r="FF98" s="739"/>
      <c r="FG98" s="740"/>
      <c r="FH98" s="287"/>
    </row>
    <row r="99" spans="1:164" ht="8.65" customHeight="1">
      <c r="A99" s="269"/>
      <c r="B99" s="783"/>
      <c r="C99" s="784"/>
      <c r="D99" s="784"/>
      <c r="E99" s="784"/>
      <c r="F99" s="784"/>
      <c r="G99" s="784"/>
      <c r="H99" s="784"/>
      <c r="I99" s="784"/>
      <c r="J99" s="784"/>
      <c r="K99" s="784"/>
      <c r="L99" s="784"/>
      <c r="M99" s="784"/>
      <c r="N99" s="784"/>
      <c r="O99" s="785"/>
      <c r="P99" s="786"/>
      <c r="Q99" s="787"/>
      <c r="R99" s="787"/>
      <c r="S99" s="787"/>
      <c r="T99" s="787"/>
      <c r="U99" s="787"/>
      <c r="V99" s="787"/>
      <c r="W99" s="787"/>
      <c r="X99" s="787"/>
      <c r="Y99" s="787"/>
      <c r="Z99" s="787"/>
      <c r="AA99" s="787"/>
      <c r="AB99" s="787"/>
      <c r="AC99" s="787"/>
      <c r="AD99" s="787"/>
      <c r="AE99" s="787"/>
      <c r="AF99" s="787"/>
      <c r="AG99" s="787"/>
      <c r="AH99" s="787"/>
      <c r="AI99" s="787"/>
      <c r="AJ99" s="787"/>
      <c r="AK99" s="787"/>
      <c r="AL99" s="787"/>
      <c r="AM99" s="787"/>
      <c r="AN99" s="787"/>
      <c r="AO99" s="787"/>
      <c r="AP99" s="787"/>
      <c r="AQ99" s="787"/>
      <c r="AR99" s="787"/>
      <c r="AS99" s="787"/>
      <c r="AT99" s="788"/>
      <c r="AU99" s="767"/>
      <c r="AV99" s="768"/>
      <c r="AW99" s="768"/>
      <c r="AX99" s="768"/>
      <c r="AY99" s="768"/>
      <c r="AZ99" s="768"/>
      <c r="BA99" s="768"/>
      <c r="BB99" s="768"/>
      <c r="BC99" s="768"/>
      <c r="BD99" s="768"/>
      <c r="BE99" s="768"/>
      <c r="BF99" s="768"/>
      <c r="BG99" s="768"/>
      <c r="BH99" s="768"/>
      <c r="BI99" s="768"/>
      <c r="BJ99" s="768"/>
      <c r="BK99" s="768"/>
      <c r="BL99" s="768"/>
      <c r="BM99" s="768"/>
      <c r="BN99" s="768"/>
      <c r="BO99" s="768"/>
      <c r="BP99" s="768"/>
      <c r="BQ99" s="768"/>
      <c r="BR99" s="768"/>
      <c r="BS99" s="768"/>
      <c r="BT99" s="710"/>
      <c r="BU99" s="710"/>
      <c r="BV99" s="710"/>
      <c r="BW99" s="710"/>
      <c r="BX99" s="769"/>
      <c r="BY99" s="789"/>
      <c r="BZ99" s="790"/>
      <c r="CA99" s="790"/>
      <c r="CB99" s="790"/>
      <c r="CC99" s="790"/>
      <c r="CD99" s="790"/>
      <c r="CE99" s="790"/>
      <c r="CF99" s="790"/>
      <c r="CG99" s="790"/>
      <c r="CH99" s="790"/>
      <c r="CI99" s="790"/>
      <c r="CJ99" s="790"/>
      <c r="CK99" s="790"/>
      <c r="CL99" s="790"/>
      <c r="CM99" s="790"/>
      <c r="CN99" s="790"/>
      <c r="CO99" s="790"/>
      <c r="CP99" s="790"/>
      <c r="CQ99" s="790"/>
      <c r="CR99" s="790"/>
      <c r="CS99" s="790"/>
      <c r="CT99" s="790"/>
      <c r="CU99" s="790"/>
      <c r="CV99" s="790"/>
      <c r="CW99" s="790"/>
      <c r="CX99" s="790"/>
      <c r="CY99" s="790"/>
      <c r="CZ99" s="790"/>
      <c r="DA99" s="790"/>
      <c r="DB99" s="790"/>
      <c r="DC99" s="790"/>
      <c r="DD99" s="790"/>
      <c r="DE99" s="790"/>
      <c r="DF99" s="790"/>
      <c r="DG99" s="790"/>
      <c r="DH99" s="790"/>
      <c r="DI99" s="791"/>
      <c r="DJ99" s="738"/>
      <c r="DK99" s="739"/>
      <c r="DL99" s="739"/>
      <c r="DM99" s="739"/>
      <c r="DN99" s="739"/>
      <c r="DO99" s="739"/>
      <c r="DP99" s="739"/>
      <c r="DQ99" s="739"/>
      <c r="DR99" s="739"/>
      <c r="DS99" s="739"/>
      <c r="DT99" s="739"/>
      <c r="DU99" s="739"/>
      <c r="DV99" s="739"/>
      <c r="DW99" s="739"/>
      <c r="DX99" s="739"/>
      <c r="DY99" s="739"/>
      <c r="DZ99" s="739"/>
      <c r="EA99" s="739"/>
      <c r="EB99" s="739"/>
      <c r="EC99" s="739"/>
      <c r="ED99" s="739"/>
      <c r="EE99" s="739"/>
      <c r="EF99" s="739"/>
      <c r="EG99" s="739"/>
      <c r="EH99" s="739"/>
      <c r="EI99" s="739"/>
      <c r="EJ99" s="739"/>
      <c r="EK99" s="739"/>
      <c r="EL99" s="739"/>
      <c r="EM99" s="739"/>
      <c r="EN99" s="739"/>
      <c r="EO99" s="739"/>
      <c r="EP99" s="739"/>
      <c r="EQ99" s="739"/>
      <c r="ER99" s="739"/>
      <c r="ES99" s="739"/>
      <c r="ET99" s="739"/>
      <c r="EU99" s="739"/>
      <c r="EV99" s="739"/>
      <c r="EW99" s="739"/>
      <c r="EX99" s="739"/>
      <c r="EY99" s="739"/>
      <c r="EZ99" s="739"/>
      <c r="FA99" s="739"/>
      <c r="FB99" s="739"/>
      <c r="FC99" s="739"/>
      <c r="FD99" s="739"/>
      <c r="FE99" s="739"/>
      <c r="FF99" s="739"/>
      <c r="FG99" s="740"/>
      <c r="FH99" s="287"/>
    </row>
    <row r="100" spans="1:164" ht="8.65" customHeight="1">
      <c r="A100" s="269"/>
      <c r="B100" s="783"/>
      <c r="C100" s="784"/>
      <c r="D100" s="784"/>
      <c r="E100" s="784"/>
      <c r="F100" s="784"/>
      <c r="G100" s="784"/>
      <c r="H100" s="784"/>
      <c r="I100" s="784"/>
      <c r="J100" s="784"/>
      <c r="K100" s="784"/>
      <c r="L100" s="784"/>
      <c r="M100" s="784"/>
      <c r="N100" s="784"/>
      <c r="O100" s="785"/>
      <c r="P100" s="786"/>
      <c r="Q100" s="787"/>
      <c r="R100" s="787"/>
      <c r="S100" s="787"/>
      <c r="T100" s="787"/>
      <c r="U100" s="787"/>
      <c r="V100" s="787"/>
      <c r="W100" s="787"/>
      <c r="X100" s="787"/>
      <c r="Y100" s="787"/>
      <c r="Z100" s="787"/>
      <c r="AA100" s="787"/>
      <c r="AB100" s="787"/>
      <c r="AC100" s="787"/>
      <c r="AD100" s="787"/>
      <c r="AE100" s="787"/>
      <c r="AF100" s="787"/>
      <c r="AG100" s="787"/>
      <c r="AH100" s="787"/>
      <c r="AI100" s="787"/>
      <c r="AJ100" s="787"/>
      <c r="AK100" s="787"/>
      <c r="AL100" s="787"/>
      <c r="AM100" s="787"/>
      <c r="AN100" s="787"/>
      <c r="AO100" s="787"/>
      <c r="AP100" s="787"/>
      <c r="AQ100" s="787"/>
      <c r="AR100" s="787"/>
      <c r="AS100" s="787"/>
      <c r="AT100" s="788"/>
      <c r="AU100" s="804" t="s">
        <v>6457</v>
      </c>
      <c r="AV100" s="805"/>
      <c r="AW100" s="805"/>
      <c r="AX100" s="805"/>
      <c r="AY100" s="805"/>
      <c r="AZ100" s="805"/>
      <c r="BA100" s="805"/>
      <c r="BB100" s="805"/>
      <c r="BC100" s="805"/>
      <c r="BD100" s="805"/>
      <c r="BE100" s="805"/>
      <c r="BF100" s="805"/>
      <c r="BG100" s="805"/>
      <c r="BH100" s="805"/>
      <c r="BI100" s="805"/>
      <c r="BJ100" s="805"/>
      <c r="BK100" s="805"/>
      <c r="BL100" s="805"/>
      <c r="BM100" s="805"/>
      <c r="BN100" s="805"/>
      <c r="BO100" s="805"/>
      <c r="BP100" s="805"/>
      <c r="BQ100" s="805"/>
      <c r="BR100" s="805"/>
      <c r="BS100" s="806"/>
      <c r="BT100" s="710">
        <v>0.7</v>
      </c>
      <c r="BU100" s="710"/>
      <c r="BV100" s="710"/>
      <c r="BW100" s="710"/>
      <c r="BX100" s="769"/>
      <c r="BY100" s="810" t="s">
        <v>6458</v>
      </c>
      <c r="BZ100" s="811"/>
      <c r="CA100" s="811"/>
      <c r="CB100" s="811"/>
      <c r="CC100" s="811"/>
      <c r="CD100" s="811"/>
      <c r="CE100" s="811"/>
      <c r="CF100" s="811"/>
      <c r="CG100" s="811"/>
      <c r="CH100" s="811"/>
      <c r="CI100" s="811"/>
      <c r="CJ100" s="811"/>
      <c r="CK100" s="811"/>
      <c r="CL100" s="811"/>
      <c r="CM100" s="811"/>
      <c r="CN100" s="811"/>
      <c r="CO100" s="811"/>
      <c r="CP100" s="811"/>
      <c r="CQ100" s="811"/>
      <c r="CR100" s="811"/>
      <c r="CS100" s="811"/>
      <c r="CT100" s="811"/>
      <c r="CU100" s="811"/>
      <c r="CV100" s="811"/>
      <c r="CW100" s="811"/>
      <c r="CX100" s="811"/>
      <c r="CY100" s="811"/>
      <c r="CZ100" s="811"/>
      <c r="DA100" s="811"/>
      <c r="DB100" s="811"/>
      <c r="DC100" s="811"/>
      <c r="DD100" s="811"/>
      <c r="DE100" s="811"/>
      <c r="DF100" s="811"/>
      <c r="DG100" s="811"/>
      <c r="DH100" s="811"/>
      <c r="DI100" s="812"/>
      <c r="DJ100" s="738"/>
      <c r="DK100" s="739"/>
      <c r="DL100" s="739"/>
      <c r="DM100" s="739"/>
      <c r="DN100" s="739"/>
      <c r="DO100" s="739"/>
      <c r="DP100" s="739"/>
      <c r="DQ100" s="739"/>
      <c r="DR100" s="739"/>
      <c r="DS100" s="739"/>
      <c r="DT100" s="739"/>
      <c r="DU100" s="739"/>
      <c r="DV100" s="739"/>
      <c r="DW100" s="739"/>
      <c r="DX100" s="739"/>
      <c r="DY100" s="739"/>
      <c r="DZ100" s="739"/>
      <c r="EA100" s="739"/>
      <c r="EB100" s="739"/>
      <c r="EC100" s="739"/>
      <c r="ED100" s="739"/>
      <c r="EE100" s="739"/>
      <c r="EF100" s="739"/>
      <c r="EG100" s="739"/>
      <c r="EH100" s="739"/>
      <c r="EI100" s="739"/>
      <c r="EJ100" s="739"/>
      <c r="EK100" s="739"/>
      <c r="EL100" s="739"/>
      <c r="EM100" s="739"/>
      <c r="EN100" s="739"/>
      <c r="EO100" s="739"/>
      <c r="EP100" s="739"/>
      <c r="EQ100" s="739"/>
      <c r="ER100" s="739"/>
      <c r="ES100" s="739"/>
      <c r="ET100" s="739"/>
      <c r="EU100" s="739"/>
      <c r="EV100" s="739"/>
      <c r="EW100" s="739"/>
      <c r="EX100" s="739"/>
      <c r="EY100" s="739"/>
      <c r="EZ100" s="739"/>
      <c r="FA100" s="739"/>
      <c r="FB100" s="739"/>
      <c r="FC100" s="739"/>
      <c r="FD100" s="739"/>
      <c r="FE100" s="739"/>
      <c r="FF100" s="739"/>
      <c r="FG100" s="740"/>
      <c r="FH100" s="287"/>
    </row>
    <row r="101" spans="1:164" ht="8.65" customHeight="1">
      <c r="A101" s="269"/>
      <c r="B101" s="783" t="s">
        <v>6477</v>
      </c>
      <c r="C101" s="784"/>
      <c r="D101" s="784"/>
      <c r="E101" s="784"/>
      <c r="F101" s="784"/>
      <c r="G101" s="784"/>
      <c r="H101" s="784"/>
      <c r="I101" s="784"/>
      <c r="J101" s="784"/>
      <c r="K101" s="784"/>
      <c r="L101" s="784"/>
      <c r="M101" s="784"/>
      <c r="N101" s="784"/>
      <c r="O101" s="785"/>
      <c r="P101" s="786" t="s">
        <v>6478</v>
      </c>
      <c r="Q101" s="787"/>
      <c r="R101" s="787"/>
      <c r="S101" s="787"/>
      <c r="T101" s="787"/>
      <c r="U101" s="787"/>
      <c r="V101" s="787"/>
      <c r="W101" s="787"/>
      <c r="X101" s="787"/>
      <c r="Y101" s="787"/>
      <c r="Z101" s="787"/>
      <c r="AA101" s="787"/>
      <c r="AB101" s="787"/>
      <c r="AC101" s="787"/>
      <c r="AD101" s="787"/>
      <c r="AE101" s="787"/>
      <c r="AF101" s="787"/>
      <c r="AG101" s="787"/>
      <c r="AH101" s="787"/>
      <c r="AI101" s="787"/>
      <c r="AJ101" s="787"/>
      <c r="AK101" s="787"/>
      <c r="AL101" s="787"/>
      <c r="AM101" s="787"/>
      <c r="AN101" s="787"/>
      <c r="AO101" s="787"/>
      <c r="AP101" s="787"/>
      <c r="AQ101" s="787"/>
      <c r="AR101" s="787"/>
      <c r="AS101" s="787"/>
      <c r="AT101" s="788"/>
      <c r="AU101" s="807"/>
      <c r="AV101" s="808"/>
      <c r="AW101" s="808"/>
      <c r="AX101" s="808"/>
      <c r="AY101" s="808"/>
      <c r="AZ101" s="808"/>
      <c r="BA101" s="808"/>
      <c r="BB101" s="808"/>
      <c r="BC101" s="808"/>
      <c r="BD101" s="808"/>
      <c r="BE101" s="808"/>
      <c r="BF101" s="808"/>
      <c r="BG101" s="808"/>
      <c r="BH101" s="808"/>
      <c r="BI101" s="808"/>
      <c r="BJ101" s="808"/>
      <c r="BK101" s="808"/>
      <c r="BL101" s="808"/>
      <c r="BM101" s="808"/>
      <c r="BN101" s="808"/>
      <c r="BO101" s="808"/>
      <c r="BP101" s="808"/>
      <c r="BQ101" s="808"/>
      <c r="BR101" s="808"/>
      <c r="BS101" s="809"/>
      <c r="BT101" s="710"/>
      <c r="BU101" s="710"/>
      <c r="BV101" s="710"/>
      <c r="BW101" s="710"/>
      <c r="BX101" s="769"/>
      <c r="BY101" s="810"/>
      <c r="BZ101" s="811"/>
      <c r="CA101" s="811"/>
      <c r="CB101" s="811"/>
      <c r="CC101" s="811"/>
      <c r="CD101" s="811"/>
      <c r="CE101" s="811"/>
      <c r="CF101" s="811"/>
      <c r="CG101" s="811"/>
      <c r="CH101" s="811"/>
      <c r="CI101" s="811"/>
      <c r="CJ101" s="811"/>
      <c r="CK101" s="811"/>
      <c r="CL101" s="811"/>
      <c r="CM101" s="811"/>
      <c r="CN101" s="811"/>
      <c r="CO101" s="811"/>
      <c r="CP101" s="811"/>
      <c r="CQ101" s="811"/>
      <c r="CR101" s="811"/>
      <c r="CS101" s="811"/>
      <c r="CT101" s="811"/>
      <c r="CU101" s="811"/>
      <c r="CV101" s="811"/>
      <c r="CW101" s="811"/>
      <c r="CX101" s="811"/>
      <c r="CY101" s="811"/>
      <c r="CZ101" s="811"/>
      <c r="DA101" s="811"/>
      <c r="DB101" s="811"/>
      <c r="DC101" s="811"/>
      <c r="DD101" s="811"/>
      <c r="DE101" s="811"/>
      <c r="DF101" s="811"/>
      <c r="DG101" s="811"/>
      <c r="DH101" s="811"/>
      <c r="DI101" s="812"/>
      <c r="DJ101" s="813" t="s">
        <v>6480</v>
      </c>
      <c r="DK101" s="814"/>
      <c r="DL101" s="814"/>
      <c r="DM101" s="814"/>
      <c r="DN101" s="814"/>
      <c r="DO101" s="814"/>
      <c r="DP101" s="814"/>
      <c r="DQ101" s="814"/>
      <c r="DR101" s="814"/>
      <c r="DS101" s="814"/>
      <c r="DT101" s="814"/>
      <c r="DU101" s="814"/>
      <c r="DV101" s="814"/>
      <c r="DW101" s="814"/>
      <c r="DX101" s="814"/>
      <c r="DY101" s="814"/>
      <c r="DZ101" s="814"/>
      <c r="EA101" s="814"/>
      <c r="EB101" s="814"/>
      <c r="EC101" s="814"/>
      <c r="ED101" s="814"/>
      <c r="EE101" s="814"/>
      <c r="EF101" s="814"/>
      <c r="EG101" s="814"/>
      <c r="EH101" s="814"/>
      <c r="EI101" s="814"/>
      <c r="EJ101" s="814"/>
      <c r="EK101" s="814"/>
      <c r="EL101" s="814"/>
      <c r="EM101" s="814"/>
      <c r="EN101" s="814"/>
      <c r="EO101" s="814"/>
      <c r="EP101" s="814"/>
      <c r="EQ101" s="814"/>
      <c r="ER101" s="814"/>
      <c r="ES101" s="814"/>
      <c r="ET101" s="814"/>
      <c r="EU101" s="814"/>
      <c r="EV101" s="814"/>
      <c r="EW101" s="814"/>
      <c r="EX101" s="814"/>
      <c r="EY101" s="814"/>
      <c r="EZ101" s="814"/>
      <c r="FA101" s="814"/>
      <c r="FB101" s="814"/>
      <c r="FC101" s="814"/>
      <c r="FD101" s="814"/>
      <c r="FE101" s="814"/>
      <c r="FF101" s="814"/>
      <c r="FG101" s="815"/>
      <c r="FH101" s="287"/>
    </row>
    <row r="102" spans="1:164" ht="8.65" customHeight="1">
      <c r="A102" s="269"/>
      <c r="B102" s="783"/>
      <c r="C102" s="784"/>
      <c r="D102" s="784"/>
      <c r="E102" s="784"/>
      <c r="F102" s="784"/>
      <c r="G102" s="784"/>
      <c r="H102" s="784"/>
      <c r="I102" s="784"/>
      <c r="J102" s="784"/>
      <c r="K102" s="784"/>
      <c r="L102" s="784"/>
      <c r="M102" s="784"/>
      <c r="N102" s="784"/>
      <c r="O102" s="785"/>
      <c r="P102" s="786"/>
      <c r="Q102" s="787"/>
      <c r="R102" s="787"/>
      <c r="S102" s="787"/>
      <c r="T102" s="787"/>
      <c r="U102" s="787"/>
      <c r="V102" s="787"/>
      <c r="W102" s="787"/>
      <c r="X102" s="787"/>
      <c r="Y102" s="787"/>
      <c r="Z102" s="787"/>
      <c r="AA102" s="787"/>
      <c r="AB102" s="787"/>
      <c r="AC102" s="787"/>
      <c r="AD102" s="787"/>
      <c r="AE102" s="787"/>
      <c r="AF102" s="787"/>
      <c r="AG102" s="787"/>
      <c r="AH102" s="787"/>
      <c r="AI102" s="787"/>
      <c r="AJ102" s="787"/>
      <c r="AK102" s="787"/>
      <c r="AL102" s="787"/>
      <c r="AM102" s="787"/>
      <c r="AN102" s="787"/>
      <c r="AO102" s="787"/>
      <c r="AP102" s="787"/>
      <c r="AQ102" s="787"/>
      <c r="AR102" s="787"/>
      <c r="AS102" s="787"/>
      <c r="AT102" s="788"/>
      <c r="AU102" s="804" t="s">
        <v>6460</v>
      </c>
      <c r="AV102" s="805"/>
      <c r="AW102" s="805"/>
      <c r="AX102" s="805"/>
      <c r="AY102" s="805"/>
      <c r="AZ102" s="805"/>
      <c r="BA102" s="805"/>
      <c r="BB102" s="805"/>
      <c r="BC102" s="805"/>
      <c r="BD102" s="805"/>
      <c r="BE102" s="805"/>
      <c r="BF102" s="805"/>
      <c r="BG102" s="805"/>
      <c r="BH102" s="805"/>
      <c r="BI102" s="805"/>
      <c r="BJ102" s="805"/>
      <c r="BK102" s="805"/>
      <c r="BL102" s="805"/>
      <c r="BM102" s="805"/>
      <c r="BN102" s="805"/>
      <c r="BO102" s="805"/>
      <c r="BP102" s="805"/>
      <c r="BQ102" s="805"/>
      <c r="BR102" s="805"/>
      <c r="BS102" s="806"/>
      <c r="BT102" s="710">
        <v>0.3</v>
      </c>
      <c r="BU102" s="710"/>
      <c r="BV102" s="710"/>
      <c r="BW102" s="710"/>
      <c r="BX102" s="769"/>
      <c r="BY102" s="810" t="s">
        <v>6461</v>
      </c>
      <c r="BZ102" s="817"/>
      <c r="CA102" s="817"/>
      <c r="CB102" s="817"/>
      <c r="CC102" s="817"/>
      <c r="CD102" s="817"/>
      <c r="CE102" s="817"/>
      <c r="CF102" s="817"/>
      <c r="CG102" s="817"/>
      <c r="CH102" s="817"/>
      <c r="CI102" s="817"/>
      <c r="CJ102" s="817"/>
      <c r="CK102" s="817"/>
      <c r="CL102" s="817"/>
      <c r="CM102" s="817"/>
      <c r="CN102" s="817"/>
      <c r="CO102" s="817"/>
      <c r="CP102" s="817"/>
      <c r="CQ102" s="817"/>
      <c r="CR102" s="817"/>
      <c r="CS102" s="817"/>
      <c r="CT102" s="817"/>
      <c r="CU102" s="817"/>
      <c r="CV102" s="817"/>
      <c r="CW102" s="817"/>
      <c r="CX102" s="817"/>
      <c r="CY102" s="817"/>
      <c r="CZ102" s="817"/>
      <c r="DA102" s="817"/>
      <c r="DB102" s="817"/>
      <c r="DC102" s="817"/>
      <c r="DD102" s="817"/>
      <c r="DE102" s="817"/>
      <c r="DF102" s="817"/>
      <c r="DG102" s="817"/>
      <c r="DH102" s="817"/>
      <c r="DI102" s="812"/>
      <c r="DJ102" s="816"/>
      <c r="DK102" s="814"/>
      <c r="DL102" s="814"/>
      <c r="DM102" s="814"/>
      <c r="DN102" s="814"/>
      <c r="DO102" s="814"/>
      <c r="DP102" s="814"/>
      <c r="DQ102" s="814"/>
      <c r="DR102" s="814"/>
      <c r="DS102" s="814"/>
      <c r="DT102" s="814"/>
      <c r="DU102" s="814"/>
      <c r="DV102" s="814"/>
      <c r="DW102" s="814"/>
      <c r="DX102" s="814"/>
      <c r="DY102" s="814"/>
      <c r="DZ102" s="814"/>
      <c r="EA102" s="814"/>
      <c r="EB102" s="814"/>
      <c r="EC102" s="814"/>
      <c r="ED102" s="814"/>
      <c r="EE102" s="814"/>
      <c r="EF102" s="814"/>
      <c r="EG102" s="814"/>
      <c r="EH102" s="814"/>
      <c r="EI102" s="814"/>
      <c r="EJ102" s="814"/>
      <c r="EK102" s="814"/>
      <c r="EL102" s="814"/>
      <c r="EM102" s="814"/>
      <c r="EN102" s="814"/>
      <c r="EO102" s="814"/>
      <c r="EP102" s="814"/>
      <c r="EQ102" s="814"/>
      <c r="ER102" s="814"/>
      <c r="ES102" s="814"/>
      <c r="ET102" s="814"/>
      <c r="EU102" s="814"/>
      <c r="EV102" s="814"/>
      <c r="EW102" s="814"/>
      <c r="EX102" s="814"/>
      <c r="EY102" s="814"/>
      <c r="EZ102" s="814"/>
      <c r="FA102" s="814"/>
      <c r="FB102" s="814"/>
      <c r="FC102" s="814"/>
      <c r="FD102" s="814"/>
      <c r="FE102" s="814"/>
      <c r="FF102" s="814"/>
      <c r="FG102" s="815"/>
      <c r="FH102" s="287"/>
    </row>
    <row r="103" spans="1:164" ht="8.65" customHeight="1">
      <c r="A103" s="269"/>
      <c r="B103" s="783"/>
      <c r="C103" s="784"/>
      <c r="D103" s="784"/>
      <c r="E103" s="784"/>
      <c r="F103" s="784"/>
      <c r="G103" s="784"/>
      <c r="H103" s="784"/>
      <c r="I103" s="784"/>
      <c r="J103" s="784"/>
      <c r="K103" s="784"/>
      <c r="L103" s="784"/>
      <c r="M103" s="784"/>
      <c r="N103" s="784"/>
      <c r="O103" s="785"/>
      <c r="P103" s="786"/>
      <c r="Q103" s="787"/>
      <c r="R103" s="787"/>
      <c r="S103" s="787"/>
      <c r="T103" s="787"/>
      <c r="U103" s="787"/>
      <c r="V103" s="787"/>
      <c r="W103" s="787"/>
      <c r="X103" s="787"/>
      <c r="Y103" s="787"/>
      <c r="Z103" s="787"/>
      <c r="AA103" s="787"/>
      <c r="AB103" s="787"/>
      <c r="AC103" s="787"/>
      <c r="AD103" s="787"/>
      <c r="AE103" s="787"/>
      <c r="AF103" s="787"/>
      <c r="AG103" s="787"/>
      <c r="AH103" s="787"/>
      <c r="AI103" s="787"/>
      <c r="AJ103" s="787"/>
      <c r="AK103" s="787"/>
      <c r="AL103" s="787"/>
      <c r="AM103" s="787"/>
      <c r="AN103" s="787"/>
      <c r="AO103" s="787"/>
      <c r="AP103" s="787"/>
      <c r="AQ103" s="787"/>
      <c r="AR103" s="787"/>
      <c r="AS103" s="787"/>
      <c r="AT103" s="788"/>
      <c r="AU103" s="807"/>
      <c r="AV103" s="808"/>
      <c r="AW103" s="808"/>
      <c r="AX103" s="808"/>
      <c r="AY103" s="808"/>
      <c r="AZ103" s="808"/>
      <c r="BA103" s="808"/>
      <c r="BB103" s="808"/>
      <c r="BC103" s="808"/>
      <c r="BD103" s="808"/>
      <c r="BE103" s="808"/>
      <c r="BF103" s="808"/>
      <c r="BG103" s="808"/>
      <c r="BH103" s="808"/>
      <c r="BI103" s="808"/>
      <c r="BJ103" s="808"/>
      <c r="BK103" s="808"/>
      <c r="BL103" s="808"/>
      <c r="BM103" s="808"/>
      <c r="BN103" s="808"/>
      <c r="BO103" s="808"/>
      <c r="BP103" s="808"/>
      <c r="BQ103" s="808"/>
      <c r="BR103" s="808"/>
      <c r="BS103" s="809"/>
      <c r="BT103" s="710"/>
      <c r="BU103" s="710"/>
      <c r="BV103" s="710"/>
      <c r="BW103" s="710"/>
      <c r="BX103" s="769"/>
      <c r="BY103" s="810"/>
      <c r="BZ103" s="817"/>
      <c r="CA103" s="817"/>
      <c r="CB103" s="817"/>
      <c r="CC103" s="817"/>
      <c r="CD103" s="817"/>
      <c r="CE103" s="817"/>
      <c r="CF103" s="817"/>
      <c r="CG103" s="817"/>
      <c r="CH103" s="817"/>
      <c r="CI103" s="817"/>
      <c r="CJ103" s="817"/>
      <c r="CK103" s="817"/>
      <c r="CL103" s="817"/>
      <c r="CM103" s="817"/>
      <c r="CN103" s="817"/>
      <c r="CO103" s="817"/>
      <c r="CP103" s="817"/>
      <c r="CQ103" s="817"/>
      <c r="CR103" s="817"/>
      <c r="CS103" s="817"/>
      <c r="CT103" s="817"/>
      <c r="CU103" s="817"/>
      <c r="CV103" s="817"/>
      <c r="CW103" s="817"/>
      <c r="CX103" s="817"/>
      <c r="CY103" s="817"/>
      <c r="CZ103" s="817"/>
      <c r="DA103" s="817"/>
      <c r="DB103" s="817"/>
      <c r="DC103" s="817"/>
      <c r="DD103" s="817"/>
      <c r="DE103" s="817"/>
      <c r="DF103" s="817"/>
      <c r="DG103" s="817"/>
      <c r="DH103" s="817"/>
      <c r="DI103" s="812"/>
      <c r="DJ103" s="816"/>
      <c r="DK103" s="814"/>
      <c r="DL103" s="814"/>
      <c r="DM103" s="814"/>
      <c r="DN103" s="814"/>
      <c r="DO103" s="814"/>
      <c r="DP103" s="814"/>
      <c r="DQ103" s="814"/>
      <c r="DR103" s="814"/>
      <c r="DS103" s="814"/>
      <c r="DT103" s="814"/>
      <c r="DU103" s="814"/>
      <c r="DV103" s="814"/>
      <c r="DW103" s="814"/>
      <c r="DX103" s="814"/>
      <c r="DY103" s="814"/>
      <c r="DZ103" s="814"/>
      <c r="EA103" s="814"/>
      <c r="EB103" s="814"/>
      <c r="EC103" s="814"/>
      <c r="ED103" s="814"/>
      <c r="EE103" s="814"/>
      <c r="EF103" s="814"/>
      <c r="EG103" s="814"/>
      <c r="EH103" s="814"/>
      <c r="EI103" s="814"/>
      <c r="EJ103" s="814"/>
      <c r="EK103" s="814"/>
      <c r="EL103" s="814"/>
      <c r="EM103" s="814"/>
      <c r="EN103" s="814"/>
      <c r="EO103" s="814"/>
      <c r="EP103" s="814"/>
      <c r="EQ103" s="814"/>
      <c r="ER103" s="814"/>
      <c r="ES103" s="814"/>
      <c r="ET103" s="814"/>
      <c r="EU103" s="814"/>
      <c r="EV103" s="814"/>
      <c r="EW103" s="814"/>
      <c r="EX103" s="814"/>
      <c r="EY103" s="814"/>
      <c r="EZ103" s="814"/>
      <c r="FA103" s="814"/>
      <c r="FB103" s="814"/>
      <c r="FC103" s="814"/>
      <c r="FD103" s="814"/>
      <c r="FE103" s="814"/>
      <c r="FF103" s="814"/>
      <c r="FG103" s="815"/>
      <c r="FH103" s="287"/>
    </row>
    <row r="104" spans="1:164" ht="8.65" customHeight="1" thickBot="1">
      <c r="A104" s="269"/>
      <c r="B104" s="783" t="s">
        <v>6481</v>
      </c>
      <c r="C104" s="784"/>
      <c r="D104" s="784"/>
      <c r="E104" s="784"/>
      <c r="F104" s="784"/>
      <c r="G104" s="784"/>
      <c r="H104" s="784"/>
      <c r="I104" s="784"/>
      <c r="J104" s="784"/>
      <c r="K104" s="784"/>
      <c r="L104" s="784"/>
      <c r="M104" s="784"/>
      <c r="N104" s="784"/>
      <c r="O104" s="785"/>
      <c r="P104" s="786" t="s">
        <v>6482</v>
      </c>
      <c r="Q104" s="787"/>
      <c r="R104" s="787"/>
      <c r="S104" s="787"/>
      <c r="T104" s="787"/>
      <c r="U104" s="787"/>
      <c r="V104" s="787"/>
      <c r="W104" s="787"/>
      <c r="X104" s="787"/>
      <c r="Y104" s="787"/>
      <c r="Z104" s="787"/>
      <c r="AA104" s="787"/>
      <c r="AB104" s="787"/>
      <c r="AC104" s="787"/>
      <c r="AD104" s="787"/>
      <c r="AE104" s="787"/>
      <c r="AF104" s="787"/>
      <c r="AG104" s="787"/>
      <c r="AH104" s="787"/>
      <c r="AI104" s="787"/>
      <c r="AJ104" s="787"/>
      <c r="AK104" s="787"/>
      <c r="AL104" s="787"/>
      <c r="AM104" s="787"/>
      <c r="AN104" s="787"/>
      <c r="AO104" s="787"/>
      <c r="AP104" s="787"/>
      <c r="AQ104" s="787"/>
      <c r="AR104" s="787"/>
      <c r="AS104" s="787"/>
      <c r="AT104" s="788"/>
      <c r="AU104" s="804" t="s">
        <v>6463</v>
      </c>
      <c r="AV104" s="805"/>
      <c r="AW104" s="805"/>
      <c r="AX104" s="805"/>
      <c r="AY104" s="805"/>
      <c r="AZ104" s="805"/>
      <c r="BA104" s="805"/>
      <c r="BB104" s="805"/>
      <c r="BC104" s="805"/>
      <c r="BD104" s="805"/>
      <c r="BE104" s="805"/>
      <c r="BF104" s="805"/>
      <c r="BG104" s="805"/>
      <c r="BH104" s="805"/>
      <c r="BI104" s="805"/>
      <c r="BJ104" s="805"/>
      <c r="BK104" s="805"/>
      <c r="BL104" s="805"/>
      <c r="BM104" s="805"/>
      <c r="BN104" s="805"/>
      <c r="BO104" s="805"/>
      <c r="BP104" s="805"/>
      <c r="BQ104" s="805"/>
      <c r="BR104" s="805"/>
      <c r="BS104" s="806"/>
      <c r="BT104" s="710">
        <v>0.5</v>
      </c>
      <c r="BU104" s="710"/>
      <c r="BV104" s="710"/>
      <c r="BW104" s="710"/>
      <c r="BX104" s="769"/>
      <c r="BY104" s="293"/>
      <c r="BZ104" s="294"/>
      <c r="CA104" s="294"/>
      <c r="CB104" s="294"/>
      <c r="CC104" s="294"/>
      <c r="CD104" s="294"/>
      <c r="CE104" s="294"/>
      <c r="CF104" s="294"/>
      <c r="CG104" s="294"/>
      <c r="CH104" s="294"/>
      <c r="CI104" s="294"/>
      <c r="CJ104" s="294"/>
      <c r="CK104" s="294"/>
      <c r="CL104" s="294"/>
      <c r="CM104" s="294"/>
      <c r="CN104" s="294"/>
      <c r="CO104" s="294"/>
      <c r="CP104" s="294"/>
      <c r="CQ104" s="294"/>
      <c r="CR104" s="294"/>
      <c r="CS104" s="294"/>
      <c r="CT104" s="294"/>
      <c r="CU104" s="294"/>
      <c r="CV104" s="294"/>
      <c r="CW104" s="294"/>
      <c r="CX104" s="294"/>
      <c r="CY104" s="294"/>
      <c r="CZ104" s="294"/>
      <c r="DA104" s="294"/>
      <c r="DB104" s="294"/>
      <c r="DC104" s="294"/>
      <c r="DD104" s="294"/>
      <c r="DE104" s="294"/>
      <c r="DF104" s="294"/>
      <c r="DG104" s="294"/>
      <c r="DH104" s="294"/>
      <c r="DI104" s="295"/>
      <c r="DJ104" s="775" t="s">
        <v>6483</v>
      </c>
      <c r="DK104" s="776"/>
      <c r="DL104" s="776"/>
      <c r="DM104" s="776"/>
      <c r="DN104" s="776"/>
      <c r="DO104" s="776"/>
      <c r="DP104" s="776"/>
      <c r="DQ104" s="776"/>
      <c r="DR104" s="776"/>
      <c r="DS104" s="776"/>
      <c r="DT104" s="776"/>
      <c r="DU104" s="776"/>
      <c r="DV104" s="776"/>
      <c r="DW104" s="776"/>
      <c r="DX104" s="776"/>
      <c r="DY104" s="776"/>
      <c r="DZ104" s="776"/>
      <c r="EA104" s="776"/>
      <c r="EB104" s="776"/>
      <c r="EC104" s="776"/>
      <c r="ED104" s="776"/>
      <c r="EE104" s="776"/>
      <c r="EF104" s="776"/>
      <c r="EG104" s="776"/>
      <c r="EH104" s="776"/>
      <c r="EI104" s="776"/>
      <c r="EJ104" s="776"/>
      <c r="EK104" s="776"/>
      <c r="EL104" s="776"/>
      <c r="EM104" s="776"/>
      <c r="EN104" s="776"/>
      <c r="EO104" s="776"/>
      <c r="EP104" s="776"/>
      <c r="EQ104" s="776"/>
      <c r="ER104" s="776"/>
      <c r="ES104" s="776"/>
      <c r="ET104" s="776"/>
      <c r="EU104" s="776"/>
      <c r="EV104" s="776"/>
      <c r="EW104" s="776"/>
      <c r="EX104" s="776"/>
      <c r="EY104" s="776"/>
      <c r="EZ104" s="776"/>
      <c r="FA104" s="776"/>
      <c r="FB104" s="776"/>
      <c r="FC104" s="776"/>
      <c r="FD104" s="776"/>
      <c r="FE104" s="776"/>
      <c r="FF104" s="776"/>
      <c r="FG104" s="777"/>
      <c r="FH104" s="287"/>
    </row>
    <row r="105" spans="1:164" ht="8.65" customHeight="1" thickTop="1">
      <c r="A105" s="269"/>
      <c r="B105" s="783"/>
      <c r="C105" s="784"/>
      <c r="D105" s="784"/>
      <c r="E105" s="784"/>
      <c r="F105" s="784"/>
      <c r="G105" s="784"/>
      <c r="H105" s="784"/>
      <c r="I105" s="784"/>
      <c r="J105" s="784"/>
      <c r="K105" s="784"/>
      <c r="L105" s="784"/>
      <c r="M105" s="784"/>
      <c r="N105" s="784"/>
      <c r="O105" s="785"/>
      <c r="P105" s="786"/>
      <c r="Q105" s="787"/>
      <c r="R105" s="787"/>
      <c r="S105" s="787"/>
      <c r="T105" s="787"/>
      <c r="U105" s="787"/>
      <c r="V105" s="787"/>
      <c r="W105" s="787"/>
      <c r="X105" s="787"/>
      <c r="Y105" s="787"/>
      <c r="Z105" s="787"/>
      <c r="AA105" s="787"/>
      <c r="AB105" s="787"/>
      <c r="AC105" s="787"/>
      <c r="AD105" s="787"/>
      <c r="AE105" s="787"/>
      <c r="AF105" s="787"/>
      <c r="AG105" s="787"/>
      <c r="AH105" s="787"/>
      <c r="AI105" s="787"/>
      <c r="AJ105" s="787"/>
      <c r="AK105" s="787"/>
      <c r="AL105" s="787"/>
      <c r="AM105" s="787"/>
      <c r="AN105" s="787"/>
      <c r="AO105" s="787"/>
      <c r="AP105" s="787"/>
      <c r="AQ105" s="787"/>
      <c r="AR105" s="787"/>
      <c r="AS105" s="787"/>
      <c r="AT105" s="788"/>
      <c r="AU105" s="807"/>
      <c r="AV105" s="808"/>
      <c r="AW105" s="808"/>
      <c r="AX105" s="808"/>
      <c r="AY105" s="808"/>
      <c r="AZ105" s="808"/>
      <c r="BA105" s="808"/>
      <c r="BB105" s="808"/>
      <c r="BC105" s="808"/>
      <c r="BD105" s="808"/>
      <c r="BE105" s="808"/>
      <c r="BF105" s="808"/>
      <c r="BG105" s="808"/>
      <c r="BH105" s="808"/>
      <c r="BI105" s="808"/>
      <c r="BJ105" s="808"/>
      <c r="BK105" s="808"/>
      <c r="BL105" s="808"/>
      <c r="BM105" s="808"/>
      <c r="BN105" s="808"/>
      <c r="BO105" s="808"/>
      <c r="BP105" s="808"/>
      <c r="BQ105" s="808"/>
      <c r="BR105" s="808"/>
      <c r="BS105" s="809"/>
      <c r="BT105" s="710"/>
      <c r="BU105" s="710"/>
      <c r="BV105" s="710"/>
      <c r="BW105" s="710"/>
      <c r="BX105" s="769"/>
      <c r="BY105" s="757" t="s">
        <v>6464</v>
      </c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9"/>
      <c r="DJ105" s="778"/>
      <c r="DK105" s="776"/>
      <c r="DL105" s="776"/>
      <c r="DM105" s="776"/>
      <c r="DN105" s="776"/>
      <c r="DO105" s="776"/>
      <c r="DP105" s="776"/>
      <c r="DQ105" s="776"/>
      <c r="DR105" s="776"/>
      <c r="DS105" s="776"/>
      <c r="DT105" s="776"/>
      <c r="DU105" s="776"/>
      <c r="DV105" s="776"/>
      <c r="DW105" s="776"/>
      <c r="DX105" s="776"/>
      <c r="DY105" s="776"/>
      <c r="DZ105" s="776"/>
      <c r="EA105" s="776"/>
      <c r="EB105" s="776"/>
      <c r="EC105" s="776"/>
      <c r="ED105" s="776"/>
      <c r="EE105" s="776"/>
      <c r="EF105" s="776"/>
      <c r="EG105" s="776"/>
      <c r="EH105" s="776"/>
      <c r="EI105" s="776"/>
      <c r="EJ105" s="776"/>
      <c r="EK105" s="776"/>
      <c r="EL105" s="776"/>
      <c r="EM105" s="776"/>
      <c r="EN105" s="776"/>
      <c r="EO105" s="776"/>
      <c r="EP105" s="776"/>
      <c r="EQ105" s="776"/>
      <c r="ER105" s="776"/>
      <c r="ES105" s="776"/>
      <c r="ET105" s="776"/>
      <c r="EU105" s="776"/>
      <c r="EV105" s="776"/>
      <c r="EW105" s="776"/>
      <c r="EX105" s="776"/>
      <c r="EY105" s="776"/>
      <c r="EZ105" s="776"/>
      <c r="FA105" s="776"/>
      <c r="FB105" s="776"/>
      <c r="FC105" s="776"/>
      <c r="FD105" s="776"/>
      <c r="FE105" s="776"/>
      <c r="FF105" s="776"/>
      <c r="FG105" s="777"/>
      <c r="FH105" s="287"/>
    </row>
    <row r="106" spans="1:164" ht="8.65" customHeight="1">
      <c r="A106" s="269"/>
      <c r="B106" s="783"/>
      <c r="C106" s="784"/>
      <c r="D106" s="784"/>
      <c r="E106" s="784"/>
      <c r="F106" s="784"/>
      <c r="G106" s="784"/>
      <c r="H106" s="784"/>
      <c r="I106" s="784"/>
      <c r="J106" s="784"/>
      <c r="K106" s="784"/>
      <c r="L106" s="784"/>
      <c r="M106" s="784"/>
      <c r="N106" s="784"/>
      <c r="O106" s="785"/>
      <c r="P106" s="786"/>
      <c r="Q106" s="787"/>
      <c r="R106" s="787"/>
      <c r="S106" s="787"/>
      <c r="T106" s="787"/>
      <c r="U106" s="787"/>
      <c r="V106" s="787"/>
      <c r="W106" s="787"/>
      <c r="X106" s="787"/>
      <c r="Y106" s="787"/>
      <c r="Z106" s="787"/>
      <c r="AA106" s="787"/>
      <c r="AB106" s="787"/>
      <c r="AC106" s="787"/>
      <c r="AD106" s="787"/>
      <c r="AE106" s="787"/>
      <c r="AF106" s="787"/>
      <c r="AG106" s="787"/>
      <c r="AH106" s="787"/>
      <c r="AI106" s="787"/>
      <c r="AJ106" s="787"/>
      <c r="AK106" s="787"/>
      <c r="AL106" s="787"/>
      <c r="AM106" s="787"/>
      <c r="AN106" s="787"/>
      <c r="AO106" s="787"/>
      <c r="AP106" s="787"/>
      <c r="AQ106" s="787"/>
      <c r="AR106" s="787"/>
      <c r="AS106" s="787"/>
      <c r="AT106" s="788"/>
      <c r="AU106" s="804" t="s">
        <v>6466</v>
      </c>
      <c r="AV106" s="805"/>
      <c r="AW106" s="805"/>
      <c r="AX106" s="805"/>
      <c r="AY106" s="805"/>
      <c r="AZ106" s="805"/>
      <c r="BA106" s="805"/>
      <c r="BB106" s="805"/>
      <c r="BC106" s="805"/>
      <c r="BD106" s="805"/>
      <c r="BE106" s="805"/>
      <c r="BF106" s="805"/>
      <c r="BG106" s="805"/>
      <c r="BH106" s="805"/>
      <c r="BI106" s="805"/>
      <c r="BJ106" s="805"/>
      <c r="BK106" s="805"/>
      <c r="BL106" s="805"/>
      <c r="BM106" s="805"/>
      <c r="BN106" s="805"/>
      <c r="BO106" s="805"/>
      <c r="BP106" s="805"/>
      <c r="BQ106" s="805"/>
      <c r="BR106" s="805"/>
      <c r="BS106" s="806"/>
      <c r="BT106" s="710">
        <v>0.3</v>
      </c>
      <c r="BU106" s="710"/>
      <c r="BV106" s="710"/>
      <c r="BW106" s="710"/>
      <c r="BX106" s="769"/>
      <c r="BY106" s="760"/>
      <c r="BZ106" s="761"/>
      <c r="CA106" s="761"/>
      <c r="CB106" s="761"/>
      <c r="CC106" s="761"/>
      <c r="CD106" s="761"/>
      <c r="CE106" s="761"/>
      <c r="CF106" s="761"/>
      <c r="CG106" s="761"/>
      <c r="CH106" s="761"/>
      <c r="CI106" s="761"/>
      <c r="CJ106" s="761"/>
      <c r="CK106" s="761"/>
      <c r="CL106" s="761"/>
      <c r="CM106" s="761"/>
      <c r="CN106" s="761"/>
      <c r="CO106" s="761"/>
      <c r="CP106" s="761"/>
      <c r="CQ106" s="761"/>
      <c r="CR106" s="761"/>
      <c r="CS106" s="761"/>
      <c r="CT106" s="761"/>
      <c r="CU106" s="761"/>
      <c r="CV106" s="761"/>
      <c r="CW106" s="761"/>
      <c r="CX106" s="761"/>
      <c r="CY106" s="761"/>
      <c r="CZ106" s="761"/>
      <c r="DA106" s="761"/>
      <c r="DB106" s="761"/>
      <c r="DC106" s="761"/>
      <c r="DD106" s="761"/>
      <c r="DE106" s="761"/>
      <c r="DF106" s="761"/>
      <c r="DG106" s="761"/>
      <c r="DH106" s="761"/>
      <c r="DI106" s="762"/>
      <c r="DJ106" s="778"/>
      <c r="DK106" s="776"/>
      <c r="DL106" s="776"/>
      <c r="DM106" s="776"/>
      <c r="DN106" s="776"/>
      <c r="DO106" s="776"/>
      <c r="DP106" s="776"/>
      <c r="DQ106" s="776"/>
      <c r="DR106" s="776"/>
      <c r="DS106" s="776"/>
      <c r="DT106" s="776"/>
      <c r="DU106" s="776"/>
      <c r="DV106" s="776"/>
      <c r="DW106" s="776"/>
      <c r="DX106" s="776"/>
      <c r="DY106" s="776"/>
      <c r="DZ106" s="776"/>
      <c r="EA106" s="776"/>
      <c r="EB106" s="776"/>
      <c r="EC106" s="776"/>
      <c r="ED106" s="776"/>
      <c r="EE106" s="776"/>
      <c r="EF106" s="776"/>
      <c r="EG106" s="776"/>
      <c r="EH106" s="776"/>
      <c r="EI106" s="776"/>
      <c r="EJ106" s="776"/>
      <c r="EK106" s="776"/>
      <c r="EL106" s="776"/>
      <c r="EM106" s="776"/>
      <c r="EN106" s="776"/>
      <c r="EO106" s="776"/>
      <c r="EP106" s="776"/>
      <c r="EQ106" s="776"/>
      <c r="ER106" s="776"/>
      <c r="ES106" s="776"/>
      <c r="ET106" s="776"/>
      <c r="EU106" s="776"/>
      <c r="EV106" s="776"/>
      <c r="EW106" s="776"/>
      <c r="EX106" s="776"/>
      <c r="EY106" s="776"/>
      <c r="EZ106" s="776"/>
      <c r="FA106" s="776"/>
      <c r="FB106" s="776"/>
      <c r="FC106" s="776"/>
      <c r="FD106" s="776"/>
      <c r="FE106" s="776"/>
      <c r="FF106" s="776"/>
      <c r="FG106" s="777"/>
      <c r="FH106" s="287"/>
    </row>
    <row r="107" spans="1:164" ht="8.65" customHeight="1">
      <c r="A107" s="269"/>
      <c r="B107" s="783" t="s">
        <v>6484</v>
      </c>
      <c r="C107" s="784"/>
      <c r="D107" s="784"/>
      <c r="E107" s="784"/>
      <c r="F107" s="784"/>
      <c r="G107" s="784"/>
      <c r="H107" s="784"/>
      <c r="I107" s="784"/>
      <c r="J107" s="784"/>
      <c r="K107" s="784"/>
      <c r="L107" s="784"/>
      <c r="M107" s="784"/>
      <c r="N107" s="784"/>
      <c r="O107" s="785"/>
      <c r="P107" s="786" t="s">
        <v>6485</v>
      </c>
      <c r="Q107" s="787"/>
      <c r="R107" s="787"/>
      <c r="S107" s="787"/>
      <c r="T107" s="787"/>
      <c r="U107" s="787"/>
      <c r="V107" s="787"/>
      <c r="W107" s="787"/>
      <c r="X107" s="787"/>
      <c r="Y107" s="787"/>
      <c r="Z107" s="787"/>
      <c r="AA107" s="787"/>
      <c r="AB107" s="787"/>
      <c r="AC107" s="787"/>
      <c r="AD107" s="787"/>
      <c r="AE107" s="787"/>
      <c r="AF107" s="787"/>
      <c r="AG107" s="787"/>
      <c r="AH107" s="787"/>
      <c r="AI107" s="787"/>
      <c r="AJ107" s="787"/>
      <c r="AK107" s="787"/>
      <c r="AL107" s="787"/>
      <c r="AM107" s="787"/>
      <c r="AN107" s="787"/>
      <c r="AO107" s="787"/>
      <c r="AP107" s="787"/>
      <c r="AQ107" s="787"/>
      <c r="AR107" s="787"/>
      <c r="AS107" s="787"/>
      <c r="AT107" s="788"/>
      <c r="AU107" s="807"/>
      <c r="AV107" s="808"/>
      <c r="AW107" s="808"/>
      <c r="AX107" s="808"/>
      <c r="AY107" s="808"/>
      <c r="AZ107" s="808"/>
      <c r="BA107" s="808"/>
      <c r="BB107" s="808"/>
      <c r="BC107" s="808"/>
      <c r="BD107" s="808"/>
      <c r="BE107" s="808"/>
      <c r="BF107" s="808"/>
      <c r="BG107" s="808"/>
      <c r="BH107" s="808"/>
      <c r="BI107" s="808"/>
      <c r="BJ107" s="808"/>
      <c r="BK107" s="808"/>
      <c r="BL107" s="808"/>
      <c r="BM107" s="808"/>
      <c r="BN107" s="808"/>
      <c r="BO107" s="808"/>
      <c r="BP107" s="808"/>
      <c r="BQ107" s="808"/>
      <c r="BR107" s="808"/>
      <c r="BS107" s="809"/>
      <c r="BT107" s="710"/>
      <c r="BU107" s="710"/>
      <c r="BV107" s="710"/>
      <c r="BW107" s="710"/>
      <c r="BX107" s="769"/>
      <c r="BY107" s="760"/>
      <c r="BZ107" s="761"/>
      <c r="CA107" s="761"/>
      <c r="CB107" s="761"/>
      <c r="CC107" s="761"/>
      <c r="CD107" s="761"/>
      <c r="CE107" s="761"/>
      <c r="CF107" s="761"/>
      <c r="CG107" s="761"/>
      <c r="CH107" s="761"/>
      <c r="CI107" s="761"/>
      <c r="CJ107" s="761"/>
      <c r="CK107" s="761"/>
      <c r="CL107" s="761"/>
      <c r="CM107" s="761"/>
      <c r="CN107" s="761"/>
      <c r="CO107" s="761"/>
      <c r="CP107" s="761"/>
      <c r="CQ107" s="761"/>
      <c r="CR107" s="761"/>
      <c r="CS107" s="761"/>
      <c r="CT107" s="761"/>
      <c r="CU107" s="761"/>
      <c r="CV107" s="761"/>
      <c r="CW107" s="761"/>
      <c r="CX107" s="761"/>
      <c r="CY107" s="761"/>
      <c r="CZ107" s="761"/>
      <c r="DA107" s="761"/>
      <c r="DB107" s="761"/>
      <c r="DC107" s="761"/>
      <c r="DD107" s="761"/>
      <c r="DE107" s="761"/>
      <c r="DF107" s="761"/>
      <c r="DG107" s="761"/>
      <c r="DH107" s="761"/>
      <c r="DI107" s="762"/>
      <c r="DJ107" s="818" t="s">
        <v>6486</v>
      </c>
      <c r="DK107" s="819"/>
      <c r="DL107" s="819"/>
      <c r="DM107" s="819"/>
      <c r="DN107" s="819"/>
      <c r="DO107" s="819"/>
      <c r="DP107" s="819"/>
      <c r="DQ107" s="819"/>
      <c r="DR107" s="819"/>
      <c r="DS107" s="819"/>
      <c r="DT107" s="819"/>
      <c r="DU107" s="819"/>
      <c r="DV107" s="819"/>
      <c r="DW107" s="819"/>
      <c r="DX107" s="819"/>
      <c r="DY107" s="819"/>
      <c r="DZ107" s="819"/>
      <c r="EA107" s="819"/>
      <c r="EB107" s="819"/>
      <c r="EC107" s="819"/>
      <c r="ED107" s="819"/>
      <c r="EE107" s="819"/>
      <c r="EF107" s="819"/>
      <c r="EG107" s="819"/>
      <c r="EH107" s="819"/>
      <c r="EI107" s="819"/>
      <c r="EJ107" s="819"/>
      <c r="EK107" s="819"/>
      <c r="EL107" s="819"/>
      <c r="EM107" s="819"/>
      <c r="EN107" s="819"/>
      <c r="EO107" s="819"/>
      <c r="EP107" s="819"/>
      <c r="EQ107" s="819"/>
      <c r="ER107" s="819"/>
      <c r="ES107" s="819"/>
      <c r="ET107" s="819"/>
      <c r="EU107" s="819"/>
      <c r="EV107" s="819"/>
      <c r="EW107" s="819"/>
      <c r="EX107" s="819"/>
      <c r="EY107" s="819"/>
      <c r="EZ107" s="819"/>
      <c r="FA107" s="819"/>
      <c r="FB107" s="819"/>
      <c r="FC107" s="819"/>
      <c r="FD107" s="819"/>
      <c r="FE107" s="819"/>
      <c r="FF107" s="819"/>
      <c r="FG107" s="820"/>
      <c r="FH107" s="287"/>
    </row>
    <row r="108" spans="1:164" ht="8.65" customHeight="1">
      <c r="A108" s="269"/>
      <c r="B108" s="783"/>
      <c r="C108" s="784"/>
      <c r="D108" s="784"/>
      <c r="E108" s="784"/>
      <c r="F108" s="784"/>
      <c r="G108" s="784"/>
      <c r="H108" s="784"/>
      <c r="I108" s="784"/>
      <c r="J108" s="784"/>
      <c r="K108" s="784"/>
      <c r="L108" s="784"/>
      <c r="M108" s="784"/>
      <c r="N108" s="784"/>
      <c r="O108" s="785"/>
      <c r="P108" s="786"/>
      <c r="Q108" s="787"/>
      <c r="R108" s="787"/>
      <c r="S108" s="787"/>
      <c r="T108" s="787"/>
      <c r="U108" s="787"/>
      <c r="V108" s="787"/>
      <c r="W108" s="787"/>
      <c r="X108" s="787"/>
      <c r="Y108" s="787"/>
      <c r="Z108" s="787"/>
      <c r="AA108" s="787"/>
      <c r="AB108" s="787"/>
      <c r="AC108" s="787"/>
      <c r="AD108" s="787"/>
      <c r="AE108" s="787"/>
      <c r="AF108" s="787"/>
      <c r="AG108" s="787"/>
      <c r="AH108" s="787"/>
      <c r="AI108" s="787"/>
      <c r="AJ108" s="787"/>
      <c r="AK108" s="787"/>
      <c r="AL108" s="787"/>
      <c r="AM108" s="787"/>
      <c r="AN108" s="787"/>
      <c r="AO108" s="787"/>
      <c r="AP108" s="787"/>
      <c r="AQ108" s="787"/>
      <c r="AR108" s="787"/>
      <c r="AS108" s="787"/>
      <c r="AT108" s="788"/>
      <c r="AU108" s="822" t="s">
        <v>6470</v>
      </c>
      <c r="AV108" s="823"/>
      <c r="AW108" s="823"/>
      <c r="AX108" s="823"/>
      <c r="AY108" s="823"/>
      <c r="AZ108" s="823"/>
      <c r="BA108" s="823"/>
      <c r="BB108" s="823"/>
      <c r="BC108" s="823"/>
      <c r="BD108" s="823"/>
      <c r="BE108" s="823"/>
      <c r="BF108" s="823"/>
      <c r="BG108" s="823"/>
      <c r="BH108" s="823"/>
      <c r="BI108" s="823"/>
      <c r="BJ108" s="823"/>
      <c r="BK108" s="823"/>
      <c r="BL108" s="823"/>
      <c r="BM108" s="823"/>
      <c r="BN108" s="823"/>
      <c r="BO108" s="823"/>
      <c r="BP108" s="823"/>
      <c r="BQ108" s="823"/>
      <c r="BR108" s="823"/>
      <c r="BS108" s="823"/>
      <c r="BT108" s="823"/>
      <c r="BU108" s="823"/>
      <c r="BV108" s="823"/>
      <c r="BW108" s="823"/>
      <c r="BX108" s="824"/>
      <c r="BY108" s="760"/>
      <c r="BZ108" s="761"/>
      <c r="CA108" s="761"/>
      <c r="CB108" s="761"/>
      <c r="CC108" s="761"/>
      <c r="CD108" s="761"/>
      <c r="CE108" s="761"/>
      <c r="CF108" s="761"/>
      <c r="CG108" s="761"/>
      <c r="CH108" s="761"/>
      <c r="CI108" s="761"/>
      <c r="CJ108" s="761"/>
      <c r="CK108" s="761"/>
      <c r="CL108" s="761"/>
      <c r="CM108" s="761"/>
      <c r="CN108" s="761"/>
      <c r="CO108" s="761"/>
      <c r="CP108" s="761"/>
      <c r="CQ108" s="761"/>
      <c r="CR108" s="761"/>
      <c r="CS108" s="761"/>
      <c r="CT108" s="761"/>
      <c r="CU108" s="761"/>
      <c r="CV108" s="761"/>
      <c r="CW108" s="761"/>
      <c r="CX108" s="761"/>
      <c r="CY108" s="761"/>
      <c r="CZ108" s="761"/>
      <c r="DA108" s="761"/>
      <c r="DB108" s="761"/>
      <c r="DC108" s="761"/>
      <c r="DD108" s="761"/>
      <c r="DE108" s="761"/>
      <c r="DF108" s="761"/>
      <c r="DG108" s="761"/>
      <c r="DH108" s="761"/>
      <c r="DI108" s="762"/>
      <c r="DJ108" s="821"/>
      <c r="DK108" s="819"/>
      <c r="DL108" s="819"/>
      <c r="DM108" s="819"/>
      <c r="DN108" s="819"/>
      <c r="DO108" s="819"/>
      <c r="DP108" s="819"/>
      <c r="DQ108" s="819"/>
      <c r="DR108" s="819"/>
      <c r="DS108" s="819"/>
      <c r="DT108" s="819"/>
      <c r="DU108" s="819"/>
      <c r="DV108" s="819"/>
      <c r="DW108" s="819"/>
      <c r="DX108" s="819"/>
      <c r="DY108" s="819"/>
      <c r="DZ108" s="819"/>
      <c r="EA108" s="819"/>
      <c r="EB108" s="819"/>
      <c r="EC108" s="819"/>
      <c r="ED108" s="819"/>
      <c r="EE108" s="819"/>
      <c r="EF108" s="819"/>
      <c r="EG108" s="819"/>
      <c r="EH108" s="819"/>
      <c r="EI108" s="819"/>
      <c r="EJ108" s="819"/>
      <c r="EK108" s="819"/>
      <c r="EL108" s="819"/>
      <c r="EM108" s="819"/>
      <c r="EN108" s="819"/>
      <c r="EO108" s="819"/>
      <c r="EP108" s="819"/>
      <c r="EQ108" s="819"/>
      <c r="ER108" s="819"/>
      <c r="ES108" s="819"/>
      <c r="ET108" s="819"/>
      <c r="EU108" s="819"/>
      <c r="EV108" s="819"/>
      <c r="EW108" s="819"/>
      <c r="EX108" s="819"/>
      <c r="EY108" s="819"/>
      <c r="EZ108" s="819"/>
      <c r="FA108" s="819"/>
      <c r="FB108" s="819"/>
      <c r="FC108" s="819"/>
      <c r="FD108" s="819"/>
      <c r="FE108" s="819"/>
      <c r="FF108" s="819"/>
      <c r="FG108" s="820"/>
      <c r="FH108" s="287"/>
    </row>
    <row r="109" spans="1:164" ht="8.85" customHeight="1">
      <c r="A109" s="269"/>
      <c r="B109" s="783"/>
      <c r="C109" s="784"/>
      <c r="D109" s="784"/>
      <c r="E109" s="784"/>
      <c r="F109" s="784"/>
      <c r="G109" s="784"/>
      <c r="H109" s="784"/>
      <c r="I109" s="784"/>
      <c r="J109" s="784"/>
      <c r="K109" s="784"/>
      <c r="L109" s="784"/>
      <c r="M109" s="784"/>
      <c r="N109" s="784"/>
      <c r="O109" s="785"/>
      <c r="P109" s="786"/>
      <c r="Q109" s="787"/>
      <c r="R109" s="787"/>
      <c r="S109" s="787"/>
      <c r="T109" s="787"/>
      <c r="U109" s="787"/>
      <c r="V109" s="787"/>
      <c r="W109" s="787"/>
      <c r="X109" s="787"/>
      <c r="Y109" s="787"/>
      <c r="Z109" s="787"/>
      <c r="AA109" s="787"/>
      <c r="AB109" s="787"/>
      <c r="AC109" s="787"/>
      <c r="AD109" s="787"/>
      <c r="AE109" s="787"/>
      <c r="AF109" s="787"/>
      <c r="AG109" s="787"/>
      <c r="AH109" s="787"/>
      <c r="AI109" s="787"/>
      <c r="AJ109" s="787"/>
      <c r="AK109" s="787"/>
      <c r="AL109" s="787"/>
      <c r="AM109" s="787"/>
      <c r="AN109" s="787"/>
      <c r="AO109" s="787"/>
      <c r="AP109" s="787"/>
      <c r="AQ109" s="787"/>
      <c r="AR109" s="787"/>
      <c r="AS109" s="787"/>
      <c r="AT109" s="788"/>
      <c r="AU109" s="825"/>
      <c r="AV109" s="826"/>
      <c r="AW109" s="826"/>
      <c r="AX109" s="826"/>
      <c r="AY109" s="826"/>
      <c r="AZ109" s="826"/>
      <c r="BA109" s="826"/>
      <c r="BB109" s="826"/>
      <c r="BC109" s="826"/>
      <c r="BD109" s="826"/>
      <c r="BE109" s="826"/>
      <c r="BF109" s="826"/>
      <c r="BG109" s="826"/>
      <c r="BH109" s="826"/>
      <c r="BI109" s="826"/>
      <c r="BJ109" s="826"/>
      <c r="BK109" s="826"/>
      <c r="BL109" s="826"/>
      <c r="BM109" s="826"/>
      <c r="BN109" s="826"/>
      <c r="BO109" s="826"/>
      <c r="BP109" s="826"/>
      <c r="BQ109" s="826"/>
      <c r="BR109" s="826"/>
      <c r="BS109" s="826"/>
      <c r="BT109" s="826"/>
      <c r="BU109" s="826"/>
      <c r="BV109" s="826"/>
      <c r="BW109" s="826"/>
      <c r="BX109" s="827"/>
      <c r="BY109" s="792" t="s">
        <v>6471</v>
      </c>
      <c r="BZ109" s="793"/>
      <c r="CA109" s="793"/>
      <c r="CB109" s="793"/>
      <c r="CC109" s="793"/>
      <c r="CD109" s="793"/>
      <c r="CE109" s="793"/>
      <c r="CF109" s="793"/>
      <c r="CG109" s="793"/>
      <c r="CH109" s="793"/>
      <c r="CI109" s="793"/>
      <c r="CJ109" s="793"/>
      <c r="CK109" s="793"/>
      <c r="CL109" s="793"/>
      <c r="CM109" s="793"/>
      <c r="CN109" s="793"/>
      <c r="CO109" s="793"/>
      <c r="CP109" s="793"/>
      <c r="CQ109" s="793"/>
      <c r="CR109" s="793"/>
      <c r="CS109" s="793"/>
      <c r="CT109" s="793"/>
      <c r="CU109" s="793"/>
      <c r="CV109" s="793"/>
      <c r="CW109" s="793"/>
      <c r="CX109" s="793"/>
      <c r="CY109" s="793"/>
      <c r="CZ109" s="793"/>
      <c r="DA109" s="793"/>
      <c r="DB109" s="793"/>
      <c r="DC109" s="793"/>
      <c r="DD109" s="793"/>
      <c r="DE109" s="793"/>
      <c r="DF109" s="793"/>
      <c r="DG109" s="793"/>
      <c r="DH109" s="793"/>
      <c r="DI109" s="828"/>
      <c r="DJ109" s="821"/>
      <c r="DK109" s="819"/>
      <c r="DL109" s="819"/>
      <c r="DM109" s="819"/>
      <c r="DN109" s="819"/>
      <c r="DO109" s="819"/>
      <c r="DP109" s="819"/>
      <c r="DQ109" s="819"/>
      <c r="DR109" s="819"/>
      <c r="DS109" s="819"/>
      <c r="DT109" s="819"/>
      <c r="DU109" s="819"/>
      <c r="DV109" s="819"/>
      <c r="DW109" s="819"/>
      <c r="DX109" s="819"/>
      <c r="DY109" s="819"/>
      <c r="DZ109" s="819"/>
      <c r="EA109" s="819"/>
      <c r="EB109" s="819"/>
      <c r="EC109" s="819"/>
      <c r="ED109" s="819"/>
      <c r="EE109" s="819"/>
      <c r="EF109" s="819"/>
      <c r="EG109" s="819"/>
      <c r="EH109" s="819"/>
      <c r="EI109" s="819"/>
      <c r="EJ109" s="819"/>
      <c r="EK109" s="819"/>
      <c r="EL109" s="819"/>
      <c r="EM109" s="819"/>
      <c r="EN109" s="819"/>
      <c r="EO109" s="819"/>
      <c r="EP109" s="819"/>
      <c r="EQ109" s="819"/>
      <c r="ER109" s="819"/>
      <c r="ES109" s="819"/>
      <c r="ET109" s="819"/>
      <c r="EU109" s="819"/>
      <c r="EV109" s="819"/>
      <c r="EW109" s="819"/>
      <c r="EX109" s="819"/>
      <c r="EY109" s="819"/>
      <c r="EZ109" s="819"/>
      <c r="FA109" s="819"/>
      <c r="FB109" s="819"/>
      <c r="FC109" s="819"/>
      <c r="FD109" s="819"/>
      <c r="FE109" s="819"/>
      <c r="FF109" s="819"/>
      <c r="FG109" s="820"/>
      <c r="FH109" s="287"/>
    </row>
    <row r="110" spans="1:164" ht="8.85" customHeight="1">
      <c r="A110" s="269"/>
      <c r="B110" s="783" t="s">
        <v>6487</v>
      </c>
      <c r="C110" s="784"/>
      <c r="D110" s="784"/>
      <c r="E110" s="784"/>
      <c r="F110" s="784"/>
      <c r="G110" s="784"/>
      <c r="H110" s="784"/>
      <c r="I110" s="784"/>
      <c r="J110" s="784"/>
      <c r="K110" s="784"/>
      <c r="L110" s="784"/>
      <c r="M110" s="784"/>
      <c r="N110" s="784"/>
      <c r="O110" s="785"/>
      <c r="P110" s="786" t="s">
        <v>6488</v>
      </c>
      <c r="Q110" s="787"/>
      <c r="R110" s="787"/>
      <c r="S110" s="787"/>
      <c r="T110" s="787"/>
      <c r="U110" s="787"/>
      <c r="V110" s="787"/>
      <c r="W110" s="787"/>
      <c r="X110" s="787"/>
      <c r="Y110" s="787"/>
      <c r="Z110" s="787"/>
      <c r="AA110" s="787"/>
      <c r="AB110" s="787"/>
      <c r="AC110" s="787"/>
      <c r="AD110" s="787"/>
      <c r="AE110" s="787"/>
      <c r="AF110" s="787"/>
      <c r="AG110" s="787"/>
      <c r="AH110" s="787"/>
      <c r="AI110" s="787"/>
      <c r="AJ110" s="787"/>
      <c r="AK110" s="787"/>
      <c r="AL110" s="787"/>
      <c r="AM110" s="787"/>
      <c r="AN110" s="787"/>
      <c r="AO110" s="787"/>
      <c r="AP110" s="787"/>
      <c r="AQ110" s="787"/>
      <c r="AR110" s="787"/>
      <c r="AS110" s="787"/>
      <c r="AT110" s="788"/>
      <c r="AU110" s="825"/>
      <c r="AV110" s="826"/>
      <c r="AW110" s="826"/>
      <c r="AX110" s="826"/>
      <c r="AY110" s="826"/>
      <c r="AZ110" s="826"/>
      <c r="BA110" s="826"/>
      <c r="BB110" s="826"/>
      <c r="BC110" s="826"/>
      <c r="BD110" s="826"/>
      <c r="BE110" s="826"/>
      <c r="BF110" s="826"/>
      <c r="BG110" s="826"/>
      <c r="BH110" s="826"/>
      <c r="BI110" s="826"/>
      <c r="BJ110" s="826"/>
      <c r="BK110" s="826"/>
      <c r="BL110" s="826"/>
      <c r="BM110" s="826"/>
      <c r="BN110" s="826"/>
      <c r="BO110" s="826"/>
      <c r="BP110" s="826"/>
      <c r="BQ110" s="826"/>
      <c r="BR110" s="826"/>
      <c r="BS110" s="826"/>
      <c r="BT110" s="826"/>
      <c r="BU110" s="826"/>
      <c r="BV110" s="826"/>
      <c r="BW110" s="826"/>
      <c r="BX110" s="827"/>
      <c r="BY110" s="795"/>
      <c r="BZ110" s="796"/>
      <c r="CA110" s="796"/>
      <c r="CB110" s="796"/>
      <c r="CC110" s="796"/>
      <c r="CD110" s="796"/>
      <c r="CE110" s="796"/>
      <c r="CF110" s="796"/>
      <c r="CG110" s="796"/>
      <c r="CH110" s="796"/>
      <c r="CI110" s="796"/>
      <c r="CJ110" s="796"/>
      <c r="CK110" s="796"/>
      <c r="CL110" s="796"/>
      <c r="CM110" s="796"/>
      <c r="CN110" s="796"/>
      <c r="CO110" s="796"/>
      <c r="CP110" s="796"/>
      <c r="CQ110" s="796"/>
      <c r="CR110" s="796"/>
      <c r="CS110" s="796"/>
      <c r="CT110" s="796"/>
      <c r="CU110" s="796"/>
      <c r="CV110" s="796"/>
      <c r="CW110" s="796"/>
      <c r="CX110" s="796"/>
      <c r="CY110" s="796"/>
      <c r="CZ110" s="796"/>
      <c r="DA110" s="796"/>
      <c r="DB110" s="796"/>
      <c r="DC110" s="796"/>
      <c r="DD110" s="796"/>
      <c r="DE110" s="796"/>
      <c r="DF110" s="796"/>
      <c r="DG110" s="796"/>
      <c r="DH110" s="796"/>
      <c r="DI110" s="829"/>
      <c r="DJ110" s="818" t="s">
        <v>6489</v>
      </c>
      <c r="DK110" s="819"/>
      <c r="DL110" s="819"/>
      <c r="DM110" s="819"/>
      <c r="DN110" s="819"/>
      <c r="DO110" s="819"/>
      <c r="DP110" s="819"/>
      <c r="DQ110" s="819"/>
      <c r="DR110" s="819"/>
      <c r="DS110" s="819"/>
      <c r="DT110" s="819"/>
      <c r="DU110" s="819"/>
      <c r="DV110" s="819"/>
      <c r="DW110" s="819"/>
      <c r="DX110" s="819"/>
      <c r="DY110" s="819"/>
      <c r="DZ110" s="819"/>
      <c r="EA110" s="819"/>
      <c r="EB110" s="819"/>
      <c r="EC110" s="819"/>
      <c r="ED110" s="819"/>
      <c r="EE110" s="819"/>
      <c r="EF110" s="819"/>
      <c r="EG110" s="819"/>
      <c r="EH110" s="819"/>
      <c r="EI110" s="819"/>
      <c r="EJ110" s="819"/>
      <c r="EK110" s="819"/>
      <c r="EL110" s="819"/>
      <c r="EM110" s="819"/>
      <c r="EN110" s="819"/>
      <c r="EO110" s="819"/>
      <c r="EP110" s="819"/>
      <c r="EQ110" s="819"/>
      <c r="ER110" s="819"/>
      <c r="ES110" s="819"/>
      <c r="ET110" s="819"/>
      <c r="EU110" s="819"/>
      <c r="EV110" s="819"/>
      <c r="EW110" s="819"/>
      <c r="EX110" s="819"/>
      <c r="EY110" s="819"/>
      <c r="EZ110" s="819"/>
      <c r="FA110" s="819"/>
      <c r="FB110" s="819"/>
      <c r="FC110" s="819"/>
      <c r="FD110" s="819"/>
      <c r="FE110" s="819"/>
      <c r="FF110" s="819"/>
      <c r="FG110" s="820"/>
      <c r="FH110" s="287"/>
    </row>
    <row r="111" spans="1:164" ht="8.85" customHeight="1">
      <c r="B111" s="783"/>
      <c r="C111" s="784"/>
      <c r="D111" s="784"/>
      <c r="E111" s="784"/>
      <c r="F111" s="784"/>
      <c r="G111" s="784"/>
      <c r="H111" s="784"/>
      <c r="I111" s="784"/>
      <c r="J111" s="784"/>
      <c r="K111" s="784"/>
      <c r="L111" s="784"/>
      <c r="M111" s="784"/>
      <c r="N111" s="784"/>
      <c r="O111" s="785"/>
      <c r="P111" s="786"/>
      <c r="Q111" s="787"/>
      <c r="R111" s="787"/>
      <c r="S111" s="787"/>
      <c r="T111" s="787"/>
      <c r="U111" s="787"/>
      <c r="V111" s="787"/>
      <c r="W111" s="787"/>
      <c r="X111" s="787"/>
      <c r="Y111" s="787"/>
      <c r="Z111" s="787"/>
      <c r="AA111" s="787"/>
      <c r="AB111" s="787"/>
      <c r="AC111" s="787"/>
      <c r="AD111" s="787"/>
      <c r="AE111" s="787"/>
      <c r="AF111" s="787"/>
      <c r="AG111" s="787"/>
      <c r="AH111" s="787"/>
      <c r="AI111" s="787"/>
      <c r="AJ111" s="787"/>
      <c r="AK111" s="787"/>
      <c r="AL111" s="787"/>
      <c r="AM111" s="787"/>
      <c r="AN111" s="787"/>
      <c r="AO111" s="787"/>
      <c r="AP111" s="787"/>
      <c r="AQ111" s="787"/>
      <c r="AR111" s="787"/>
      <c r="AS111" s="787"/>
      <c r="AT111" s="788"/>
      <c r="AU111" s="825" t="s">
        <v>6475</v>
      </c>
      <c r="AV111" s="826"/>
      <c r="AW111" s="826"/>
      <c r="AX111" s="826"/>
      <c r="AY111" s="826"/>
      <c r="AZ111" s="826"/>
      <c r="BA111" s="826"/>
      <c r="BB111" s="826"/>
      <c r="BC111" s="826"/>
      <c r="BD111" s="826"/>
      <c r="BE111" s="826"/>
      <c r="BF111" s="826"/>
      <c r="BG111" s="826"/>
      <c r="BH111" s="826"/>
      <c r="BI111" s="826"/>
      <c r="BJ111" s="826"/>
      <c r="BK111" s="826"/>
      <c r="BL111" s="826"/>
      <c r="BM111" s="826"/>
      <c r="BN111" s="826"/>
      <c r="BO111" s="826"/>
      <c r="BP111" s="826"/>
      <c r="BQ111" s="826"/>
      <c r="BR111" s="826"/>
      <c r="BS111" s="826"/>
      <c r="BT111" s="826"/>
      <c r="BU111" s="826"/>
      <c r="BV111" s="826"/>
      <c r="BW111" s="826"/>
      <c r="BX111" s="827"/>
      <c r="BY111" s="830"/>
      <c r="BZ111" s="831"/>
      <c r="CA111" s="831"/>
      <c r="CB111" s="831"/>
      <c r="CC111" s="831"/>
      <c r="CD111" s="831"/>
      <c r="CE111" s="831"/>
      <c r="CF111" s="831"/>
      <c r="CG111" s="831"/>
      <c r="CH111" s="831"/>
      <c r="CI111" s="831"/>
      <c r="CJ111" s="831"/>
      <c r="CK111" s="831"/>
      <c r="CL111" s="831"/>
      <c r="CM111" s="831"/>
      <c r="CN111" s="831"/>
      <c r="CO111" s="831"/>
      <c r="CP111" s="831"/>
      <c r="CQ111" s="831"/>
      <c r="CR111" s="831"/>
      <c r="CS111" s="831"/>
      <c r="CT111" s="831"/>
      <c r="CU111" s="831"/>
      <c r="CV111" s="831"/>
      <c r="CW111" s="831"/>
      <c r="CX111" s="831"/>
      <c r="CY111" s="831"/>
      <c r="CZ111" s="831"/>
      <c r="DA111" s="831"/>
      <c r="DB111" s="831"/>
      <c r="DC111" s="831"/>
      <c r="DD111" s="831"/>
      <c r="DE111" s="831"/>
      <c r="DF111" s="831"/>
      <c r="DG111" s="831"/>
      <c r="DH111" s="831"/>
      <c r="DI111" s="832"/>
      <c r="DJ111" s="821"/>
      <c r="DK111" s="819"/>
      <c r="DL111" s="819"/>
      <c r="DM111" s="819"/>
      <c r="DN111" s="819"/>
      <c r="DO111" s="819"/>
      <c r="DP111" s="819"/>
      <c r="DQ111" s="819"/>
      <c r="DR111" s="819"/>
      <c r="DS111" s="819"/>
      <c r="DT111" s="819"/>
      <c r="DU111" s="819"/>
      <c r="DV111" s="819"/>
      <c r="DW111" s="819"/>
      <c r="DX111" s="819"/>
      <c r="DY111" s="819"/>
      <c r="DZ111" s="819"/>
      <c r="EA111" s="819"/>
      <c r="EB111" s="819"/>
      <c r="EC111" s="819"/>
      <c r="ED111" s="819"/>
      <c r="EE111" s="819"/>
      <c r="EF111" s="819"/>
      <c r="EG111" s="819"/>
      <c r="EH111" s="819"/>
      <c r="EI111" s="819"/>
      <c r="EJ111" s="819"/>
      <c r="EK111" s="819"/>
      <c r="EL111" s="819"/>
      <c r="EM111" s="819"/>
      <c r="EN111" s="819"/>
      <c r="EO111" s="819"/>
      <c r="EP111" s="819"/>
      <c r="EQ111" s="819"/>
      <c r="ER111" s="819"/>
      <c r="ES111" s="819"/>
      <c r="ET111" s="819"/>
      <c r="EU111" s="819"/>
      <c r="EV111" s="819"/>
      <c r="EW111" s="819"/>
      <c r="EX111" s="819"/>
      <c r="EY111" s="819"/>
      <c r="EZ111" s="819"/>
      <c r="FA111" s="819"/>
      <c r="FB111" s="819"/>
      <c r="FC111" s="819"/>
      <c r="FD111" s="819"/>
      <c r="FE111" s="819"/>
      <c r="FF111" s="819"/>
      <c r="FG111" s="820"/>
      <c r="FH111" s="287"/>
    </row>
    <row r="112" spans="1:164" ht="8.85" customHeight="1">
      <c r="B112" s="783"/>
      <c r="C112" s="784"/>
      <c r="D112" s="784"/>
      <c r="E112" s="784"/>
      <c r="F112" s="784"/>
      <c r="G112" s="784"/>
      <c r="H112" s="784"/>
      <c r="I112" s="784"/>
      <c r="J112" s="784"/>
      <c r="K112" s="784"/>
      <c r="L112" s="784"/>
      <c r="M112" s="784"/>
      <c r="N112" s="784"/>
      <c r="O112" s="785"/>
      <c r="P112" s="786"/>
      <c r="Q112" s="787"/>
      <c r="R112" s="787"/>
      <c r="S112" s="787"/>
      <c r="T112" s="787"/>
      <c r="U112" s="787"/>
      <c r="V112" s="787"/>
      <c r="W112" s="787"/>
      <c r="X112" s="787"/>
      <c r="Y112" s="787"/>
      <c r="Z112" s="787"/>
      <c r="AA112" s="787"/>
      <c r="AB112" s="787"/>
      <c r="AC112" s="787"/>
      <c r="AD112" s="787"/>
      <c r="AE112" s="787"/>
      <c r="AF112" s="787"/>
      <c r="AG112" s="787"/>
      <c r="AH112" s="787"/>
      <c r="AI112" s="787"/>
      <c r="AJ112" s="787"/>
      <c r="AK112" s="787"/>
      <c r="AL112" s="787"/>
      <c r="AM112" s="787"/>
      <c r="AN112" s="787"/>
      <c r="AO112" s="787"/>
      <c r="AP112" s="787"/>
      <c r="AQ112" s="787"/>
      <c r="AR112" s="787"/>
      <c r="AS112" s="787"/>
      <c r="AT112" s="788"/>
      <c r="AU112" s="825"/>
      <c r="AV112" s="826"/>
      <c r="AW112" s="826"/>
      <c r="AX112" s="826"/>
      <c r="AY112" s="826"/>
      <c r="AZ112" s="826"/>
      <c r="BA112" s="826"/>
      <c r="BB112" s="826"/>
      <c r="BC112" s="826"/>
      <c r="BD112" s="826"/>
      <c r="BE112" s="826"/>
      <c r="BF112" s="826"/>
      <c r="BG112" s="826"/>
      <c r="BH112" s="826"/>
      <c r="BI112" s="826"/>
      <c r="BJ112" s="826"/>
      <c r="BK112" s="826"/>
      <c r="BL112" s="826"/>
      <c r="BM112" s="826"/>
      <c r="BN112" s="826"/>
      <c r="BO112" s="826"/>
      <c r="BP112" s="826"/>
      <c r="BQ112" s="826"/>
      <c r="BR112" s="826"/>
      <c r="BS112" s="826"/>
      <c r="BT112" s="826"/>
      <c r="BU112" s="826"/>
      <c r="BV112" s="826"/>
      <c r="BW112" s="826"/>
      <c r="BX112" s="827"/>
      <c r="BY112" s="789" t="s">
        <v>6476</v>
      </c>
      <c r="BZ112" s="836"/>
      <c r="CA112" s="836"/>
      <c r="CB112" s="836"/>
      <c r="CC112" s="836"/>
      <c r="CD112" s="836"/>
      <c r="CE112" s="836"/>
      <c r="CF112" s="836"/>
      <c r="CG112" s="836"/>
      <c r="CH112" s="836"/>
      <c r="CI112" s="836"/>
      <c r="CJ112" s="836"/>
      <c r="CK112" s="836"/>
      <c r="CL112" s="836"/>
      <c r="CM112" s="836"/>
      <c r="CN112" s="836"/>
      <c r="CO112" s="836"/>
      <c r="CP112" s="836"/>
      <c r="CQ112" s="836"/>
      <c r="CR112" s="836"/>
      <c r="CS112" s="836"/>
      <c r="CT112" s="836"/>
      <c r="CU112" s="836"/>
      <c r="CV112" s="836"/>
      <c r="CW112" s="836"/>
      <c r="CX112" s="836"/>
      <c r="CY112" s="836"/>
      <c r="CZ112" s="836"/>
      <c r="DA112" s="836"/>
      <c r="DB112" s="836"/>
      <c r="DC112" s="836"/>
      <c r="DD112" s="836"/>
      <c r="DE112" s="836"/>
      <c r="DF112" s="836"/>
      <c r="DG112" s="836"/>
      <c r="DH112" s="836"/>
      <c r="DI112" s="791"/>
      <c r="DJ112" s="833"/>
      <c r="DK112" s="834"/>
      <c r="DL112" s="834"/>
      <c r="DM112" s="834"/>
      <c r="DN112" s="834"/>
      <c r="DO112" s="834"/>
      <c r="DP112" s="834"/>
      <c r="DQ112" s="834"/>
      <c r="DR112" s="834"/>
      <c r="DS112" s="834"/>
      <c r="DT112" s="834"/>
      <c r="DU112" s="834"/>
      <c r="DV112" s="834"/>
      <c r="DW112" s="834"/>
      <c r="DX112" s="834"/>
      <c r="DY112" s="834"/>
      <c r="DZ112" s="834"/>
      <c r="EA112" s="834"/>
      <c r="EB112" s="834"/>
      <c r="EC112" s="834"/>
      <c r="ED112" s="834"/>
      <c r="EE112" s="834"/>
      <c r="EF112" s="834"/>
      <c r="EG112" s="834"/>
      <c r="EH112" s="834"/>
      <c r="EI112" s="834"/>
      <c r="EJ112" s="834"/>
      <c r="EK112" s="834"/>
      <c r="EL112" s="834"/>
      <c r="EM112" s="834"/>
      <c r="EN112" s="834"/>
      <c r="EO112" s="834"/>
      <c r="EP112" s="834"/>
      <c r="EQ112" s="834"/>
      <c r="ER112" s="834"/>
      <c r="ES112" s="834"/>
      <c r="ET112" s="834"/>
      <c r="EU112" s="834"/>
      <c r="EV112" s="834"/>
      <c r="EW112" s="834"/>
      <c r="EX112" s="834"/>
      <c r="EY112" s="834"/>
      <c r="EZ112" s="834"/>
      <c r="FA112" s="834"/>
      <c r="FB112" s="834"/>
      <c r="FC112" s="834"/>
      <c r="FD112" s="834"/>
      <c r="FE112" s="834"/>
      <c r="FF112" s="834"/>
      <c r="FG112" s="835"/>
      <c r="FH112" s="287"/>
    </row>
    <row r="113" spans="2:164" ht="8.85" customHeight="1">
      <c r="B113" s="837" t="s">
        <v>6490</v>
      </c>
      <c r="C113" s="838"/>
      <c r="D113" s="838"/>
      <c r="E113" s="838"/>
      <c r="F113" s="838"/>
      <c r="G113" s="838"/>
      <c r="H113" s="838"/>
      <c r="I113" s="838"/>
      <c r="J113" s="838"/>
      <c r="K113" s="838"/>
      <c r="L113" s="838"/>
      <c r="M113" s="838"/>
      <c r="N113" s="838"/>
      <c r="O113" s="838"/>
      <c r="P113" s="838"/>
      <c r="Q113" s="838"/>
      <c r="R113" s="838"/>
      <c r="S113" s="838"/>
      <c r="T113" s="838"/>
      <c r="U113" s="838"/>
      <c r="V113" s="838"/>
      <c r="W113" s="838"/>
      <c r="X113" s="838"/>
      <c r="Y113" s="838"/>
      <c r="Z113" s="838"/>
      <c r="AA113" s="838"/>
      <c r="AB113" s="838"/>
      <c r="AC113" s="838"/>
      <c r="AD113" s="838"/>
      <c r="AE113" s="838"/>
      <c r="AF113" s="838"/>
      <c r="AG113" s="838"/>
      <c r="AH113" s="838"/>
      <c r="AI113" s="838"/>
      <c r="AJ113" s="838"/>
      <c r="AK113" s="838"/>
      <c r="AL113" s="838"/>
      <c r="AM113" s="838"/>
      <c r="AN113" s="838"/>
      <c r="AO113" s="838"/>
      <c r="AP113" s="838"/>
      <c r="AQ113" s="838"/>
      <c r="AR113" s="838"/>
      <c r="AS113" s="838"/>
      <c r="AT113" s="839"/>
      <c r="AU113" s="678" t="s">
        <v>6493</v>
      </c>
      <c r="AV113" s="679"/>
      <c r="AW113" s="679"/>
      <c r="AX113" s="679"/>
      <c r="AY113" s="679"/>
      <c r="AZ113" s="679"/>
      <c r="BA113" s="679"/>
      <c r="BB113" s="679"/>
      <c r="BC113" s="679"/>
      <c r="BD113" s="679"/>
      <c r="BE113" s="679"/>
      <c r="BF113" s="679"/>
      <c r="BG113" s="679"/>
      <c r="BH113" s="679"/>
      <c r="BI113" s="679"/>
      <c r="BJ113" s="679"/>
      <c r="BK113" s="679"/>
      <c r="BL113" s="679"/>
      <c r="BM113" s="679"/>
      <c r="BN113" s="679"/>
      <c r="BO113" s="679"/>
      <c r="BP113" s="679"/>
      <c r="BQ113" s="679"/>
      <c r="BR113" s="679"/>
      <c r="BS113" s="679"/>
      <c r="BT113" s="679"/>
      <c r="BU113" s="679"/>
      <c r="BV113" s="679"/>
      <c r="BW113" s="679"/>
      <c r="BX113" s="680"/>
      <c r="BY113" s="789"/>
      <c r="BZ113" s="836"/>
      <c r="CA113" s="836"/>
      <c r="CB113" s="836"/>
      <c r="CC113" s="836"/>
      <c r="CD113" s="836"/>
      <c r="CE113" s="836"/>
      <c r="CF113" s="836"/>
      <c r="CG113" s="836"/>
      <c r="CH113" s="836"/>
      <c r="CI113" s="836"/>
      <c r="CJ113" s="836"/>
      <c r="CK113" s="836"/>
      <c r="CL113" s="836"/>
      <c r="CM113" s="836"/>
      <c r="CN113" s="836"/>
      <c r="CO113" s="836"/>
      <c r="CP113" s="836"/>
      <c r="CQ113" s="836"/>
      <c r="CR113" s="836"/>
      <c r="CS113" s="836"/>
      <c r="CT113" s="836"/>
      <c r="CU113" s="836"/>
      <c r="CV113" s="836"/>
      <c r="CW113" s="836"/>
      <c r="CX113" s="836"/>
      <c r="CY113" s="836"/>
      <c r="CZ113" s="836"/>
      <c r="DA113" s="836"/>
      <c r="DB113" s="836"/>
      <c r="DC113" s="836"/>
      <c r="DD113" s="836"/>
      <c r="DE113" s="836"/>
      <c r="DF113" s="836"/>
      <c r="DG113" s="836"/>
      <c r="DH113" s="836"/>
      <c r="DI113" s="791"/>
      <c r="DJ113" s="856" t="s">
        <v>6491</v>
      </c>
      <c r="DK113" s="857"/>
      <c r="DL113" s="857"/>
      <c r="DM113" s="857"/>
      <c r="DN113" s="857"/>
      <c r="DO113" s="857"/>
      <c r="DP113" s="857"/>
      <c r="DQ113" s="857"/>
      <c r="DR113" s="857"/>
      <c r="DS113" s="857"/>
      <c r="DT113" s="857"/>
      <c r="DU113" s="857"/>
      <c r="DV113" s="857"/>
      <c r="DW113" s="857"/>
      <c r="DX113" s="857"/>
      <c r="DY113" s="857"/>
      <c r="DZ113" s="857"/>
      <c r="EA113" s="857"/>
      <c r="EB113" s="857"/>
      <c r="EC113" s="857"/>
      <c r="ED113" s="857"/>
      <c r="EE113" s="857"/>
      <c r="EF113" s="857"/>
      <c r="EG113" s="857"/>
      <c r="EH113" s="857"/>
      <c r="EI113" s="857"/>
      <c r="EJ113" s="857"/>
      <c r="EK113" s="857"/>
      <c r="EL113" s="857"/>
      <c r="EM113" s="857"/>
      <c r="EN113" s="857"/>
      <c r="EO113" s="857"/>
      <c r="EP113" s="857"/>
      <c r="EQ113" s="857"/>
      <c r="ER113" s="857"/>
      <c r="ES113" s="857"/>
      <c r="ET113" s="857"/>
      <c r="EU113" s="857"/>
      <c r="EV113" s="857"/>
      <c r="EW113" s="857"/>
      <c r="EX113" s="857"/>
      <c r="EY113" s="857"/>
      <c r="EZ113" s="857"/>
      <c r="FA113" s="857"/>
      <c r="FB113" s="857"/>
      <c r="FC113" s="857"/>
      <c r="FD113" s="857"/>
      <c r="FE113" s="857"/>
      <c r="FF113" s="857"/>
      <c r="FG113" s="858"/>
      <c r="FH113" s="287"/>
    </row>
    <row r="114" spans="2:164" ht="8.85" customHeight="1">
      <c r="B114" s="681"/>
      <c r="C114" s="682"/>
      <c r="D114" s="682"/>
      <c r="E114" s="682"/>
      <c r="F114" s="682"/>
      <c r="G114" s="682"/>
      <c r="H114" s="682"/>
      <c r="I114" s="682"/>
      <c r="J114" s="682"/>
      <c r="K114" s="682"/>
      <c r="L114" s="682"/>
      <c r="M114" s="682"/>
      <c r="N114" s="682"/>
      <c r="O114" s="682"/>
      <c r="P114" s="682"/>
      <c r="Q114" s="682"/>
      <c r="R114" s="682"/>
      <c r="S114" s="682"/>
      <c r="T114" s="682"/>
      <c r="U114" s="682"/>
      <c r="V114" s="682"/>
      <c r="W114" s="682"/>
      <c r="X114" s="682"/>
      <c r="Y114" s="682"/>
      <c r="Z114" s="682"/>
      <c r="AA114" s="682"/>
      <c r="AB114" s="682"/>
      <c r="AC114" s="682"/>
      <c r="AD114" s="682"/>
      <c r="AE114" s="682"/>
      <c r="AF114" s="682"/>
      <c r="AG114" s="682"/>
      <c r="AH114" s="682"/>
      <c r="AI114" s="682"/>
      <c r="AJ114" s="682"/>
      <c r="AK114" s="682"/>
      <c r="AL114" s="682"/>
      <c r="AM114" s="682"/>
      <c r="AN114" s="682"/>
      <c r="AO114" s="682"/>
      <c r="AP114" s="682"/>
      <c r="AQ114" s="682"/>
      <c r="AR114" s="682"/>
      <c r="AS114" s="682"/>
      <c r="AT114" s="683"/>
      <c r="AU114" s="681"/>
      <c r="AV114" s="682"/>
      <c r="AW114" s="682"/>
      <c r="AX114" s="682"/>
      <c r="AY114" s="682"/>
      <c r="AZ114" s="682"/>
      <c r="BA114" s="682"/>
      <c r="BB114" s="682"/>
      <c r="BC114" s="682"/>
      <c r="BD114" s="682"/>
      <c r="BE114" s="682"/>
      <c r="BF114" s="682"/>
      <c r="BG114" s="682"/>
      <c r="BH114" s="682"/>
      <c r="BI114" s="682"/>
      <c r="BJ114" s="682"/>
      <c r="BK114" s="682"/>
      <c r="BL114" s="682"/>
      <c r="BM114" s="682"/>
      <c r="BN114" s="682"/>
      <c r="BO114" s="682"/>
      <c r="BP114" s="682"/>
      <c r="BQ114" s="682"/>
      <c r="BR114" s="682"/>
      <c r="BS114" s="682"/>
      <c r="BT114" s="682"/>
      <c r="BU114" s="682"/>
      <c r="BV114" s="682"/>
      <c r="BW114" s="682"/>
      <c r="BX114" s="683"/>
      <c r="BY114" s="859" t="s">
        <v>6479</v>
      </c>
      <c r="BZ114" s="860"/>
      <c r="CA114" s="860"/>
      <c r="CB114" s="860"/>
      <c r="CC114" s="860"/>
      <c r="CD114" s="860"/>
      <c r="CE114" s="860"/>
      <c r="CF114" s="860"/>
      <c r="CG114" s="860"/>
      <c r="CH114" s="860"/>
      <c r="CI114" s="860"/>
      <c r="CJ114" s="860"/>
      <c r="CK114" s="860"/>
      <c r="CL114" s="860"/>
      <c r="CM114" s="860"/>
      <c r="CN114" s="860"/>
      <c r="CO114" s="860"/>
      <c r="CP114" s="860"/>
      <c r="CQ114" s="860"/>
      <c r="CR114" s="860"/>
      <c r="CS114" s="860"/>
      <c r="CT114" s="860"/>
      <c r="CU114" s="860"/>
      <c r="CV114" s="860"/>
      <c r="CW114" s="860"/>
      <c r="CX114" s="860"/>
      <c r="CY114" s="860"/>
      <c r="CZ114" s="860"/>
      <c r="DA114" s="860"/>
      <c r="DB114" s="860"/>
      <c r="DC114" s="860"/>
      <c r="DD114" s="860"/>
      <c r="DE114" s="860"/>
      <c r="DF114" s="860"/>
      <c r="DG114" s="860"/>
      <c r="DH114" s="860"/>
      <c r="DI114" s="861"/>
      <c r="DJ114" s="789"/>
      <c r="DK114" s="836"/>
      <c r="DL114" s="836"/>
      <c r="DM114" s="836"/>
      <c r="DN114" s="836"/>
      <c r="DO114" s="836"/>
      <c r="DP114" s="836"/>
      <c r="DQ114" s="836"/>
      <c r="DR114" s="836"/>
      <c r="DS114" s="836"/>
      <c r="DT114" s="836"/>
      <c r="DU114" s="836"/>
      <c r="DV114" s="836"/>
      <c r="DW114" s="836"/>
      <c r="DX114" s="836"/>
      <c r="DY114" s="836"/>
      <c r="DZ114" s="836"/>
      <c r="EA114" s="836"/>
      <c r="EB114" s="836"/>
      <c r="EC114" s="836"/>
      <c r="ED114" s="836"/>
      <c r="EE114" s="836"/>
      <c r="EF114" s="836"/>
      <c r="EG114" s="836"/>
      <c r="EH114" s="836"/>
      <c r="EI114" s="836"/>
      <c r="EJ114" s="836"/>
      <c r="EK114" s="836"/>
      <c r="EL114" s="836"/>
      <c r="EM114" s="836"/>
      <c r="EN114" s="836"/>
      <c r="EO114" s="836"/>
      <c r="EP114" s="836"/>
      <c r="EQ114" s="836"/>
      <c r="ER114" s="836"/>
      <c r="ES114" s="836"/>
      <c r="ET114" s="836"/>
      <c r="EU114" s="836"/>
      <c r="EV114" s="836"/>
      <c r="EW114" s="836"/>
      <c r="EX114" s="836"/>
      <c r="EY114" s="836"/>
      <c r="EZ114" s="836"/>
      <c r="FA114" s="836"/>
      <c r="FB114" s="836"/>
      <c r="FC114" s="836"/>
      <c r="FD114" s="836"/>
      <c r="FE114" s="836"/>
      <c r="FF114" s="836"/>
      <c r="FG114" s="791"/>
    </row>
    <row r="115" spans="2:164" ht="8.85" customHeight="1">
      <c r="B115" s="840" t="s">
        <v>6492</v>
      </c>
      <c r="C115" s="841"/>
      <c r="D115" s="841"/>
      <c r="E115" s="841"/>
      <c r="F115" s="841"/>
      <c r="G115" s="841"/>
      <c r="H115" s="841"/>
      <c r="I115" s="841"/>
      <c r="J115" s="841"/>
      <c r="K115" s="841"/>
      <c r="L115" s="841"/>
      <c r="M115" s="841"/>
      <c r="N115" s="841"/>
      <c r="O115" s="841"/>
      <c r="P115" s="841"/>
      <c r="Q115" s="841"/>
      <c r="R115" s="841"/>
      <c r="S115" s="841"/>
      <c r="T115" s="841"/>
      <c r="U115" s="841"/>
      <c r="V115" s="841"/>
      <c r="W115" s="841"/>
      <c r="X115" s="841"/>
      <c r="Y115" s="841"/>
      <c r="Z115" s="841"/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1"/>
      <c r="AL115" s="841"/>
      <c r="AM115" s="841"/>
      <c r="AN115" s="841"/>
      <c r="AO115" s="841"/>
      <c r="AP115" s="841"/>
      <c r="AQ115" s="841"/>
      <c r="AR115" s="841"/>
      <c r="AS115" s="841"/>
      <c r="AT115" s="842"/>
      <c r="AU115" s="681"/>
      <c r="AV115" s="682"/>
      <c r="AW115" s="682"/>
      <c r="AX115" s="682"/>
      <c r="AY115" s="682"/>
      <c r="AZ115" s="682"/>
      <c r="BA115" s="682"/>
      <c r="BB115" s="682"/>
      <c r="BC115" s="682"/>
      <c r="BD115" s="682"/>
      <c r="BE115" s="682"/>
      <c r="BF115" s="682"/>
      <c r="BG115" s="682"/>
      <c r="BH115" s="682"/>
      <c r="BI115" s="682"/>
      <c r="BJ115" s="682"/>
      <c r="BK115" s="682"/>
      <c r="BL115" s="682"/>
      <c r="BM115" s="682"/>
      <c r="BN115" s="682"/>
      <c r="BO115" s="682"/>
      <c r="BP115" s="682"/>
      <c r="BQ115" s="682"/>
      <c r="BR115" s="682"/>
      <c r="BS115" s="682"/>
      <c r="BT115" s="682"/>
      <c r="BU115" s="682"/>
      <c r="BV115" s="682"/>
      <c r="BW115" s="682"/>
      <c r="BX115" s="683"/>
      <c r="BY115" s="859"/>
      <c r="BZ115" s="860"/>
      <c r="CA115" s="860"/>
      <c r="CB115" s="860"/>
      <c r="CC115" s="860"/>
      <c r="CD115" s="860"/>
      <c r="CE115" s="860"/>
      <c r="CF115" s="860"/>
      <c r="CG115" s="860"/>
      <c r="CH115" s="860"/>
      <c r="CI115" s="860"/>
      <c r="CJ115" s="860"/>
      <c r="CK115" s="860"/>
      <c r="CL115" s="860"/>
      <c r="CM115" s="860"/>
      <c r="CN115" s="860"/>
      <c r="CO115" s="860"/>
      <c r="CP115" s="860"/>
      <c r="CQ115" s="860"/>
      <c r="CR115" s="860"/>
      <c r="CS115" s="860"/>
      <c r="CT115" s="860"/>
      <c r="CU115" s="860"/>
      <c r="CV115" s="860"/>
      <c r="CW115" s="860"/>
      <c r="CX115" s="860"/>
      <c r="CY115" s="860"/>
      <c r="CZ115" s="860"/>
      <c r="DA115" s="860"/>
      <c r="DB115" s="860"/>
      <c r="DC115" s="860"/>
      <c r="DD115" s="860"/>
      <c r="DE115" s="860"/>
      <c r="DF115" s="860"/>
      <c r="DG115" s="860"/>
      <c r="DH115" s="860"/>
      <c r="DI115" s="861"/>
      <c r="DJ115" s="789"/>
      <c r="DK115" s="836"/>
      <c r="DL115" s="836"/>
      <c r="DM115" s="836"/>
      <c r="DN115" s="836"/>
      <c r="DO115" s="836"/>
      <c r="DP115" s="836"/>
      <c r="DQ115" s="836"/>
      <c r="DR115" s="836"/>
      <c r="DS115" s="836"/>
      <c r="DT115" s="836"/>
      <c r="DU115" s="836"/>
      <c r="DV115" s="836"/>
      <c r="DW115" s="836"/>
      <c r="DX115" s="836"/>
      <c r="DY115" s="836"/>
      <c r="DZ115" s="836"/>
      <c r="EA115" s="836"/>
      <c r="EB115" s="836"/>
      <c r="EC115" s="836"/>
      <c r="ED115" s="836"/>
      <c r="EE115" s="836"/>
      <c r="EF115" s="836"/>
      <c r="EG115" s="836"/>
      <c r="EH115" s="836"/>
      <c r="EI115" s="836"/>
      <c r="EJ115" s="836"/>
      <c r="EK115" s="836"/>
      <c r="EL115" s="836"/>
      <c r="EM115" s="836"/>
      <c r="EN115" s="836"/>
      <c r="EO115" s="836"/>
      <c r="EP115" s="836"/>
      <c r="EQ115" s="836"/>
      <c r="ER115" s="836"/>
      <c r="ES115" s="836"/>
      <c r="ET115" s="836"/>
      <c r="EU115" s="836"/>
      <c r="EV115" s="836"/>
      <c r="EW115" s="836"/>
      <c r="EX115" s="836"/>
      <c r="EY115" s="836"/>
      <c r="EZ115" s="836"/>
      <c r="FA115" s="836"/>
      <c r="FB115" s="836"/>
      <c r="FC115" s="836"/>
      <c r="FD115" s="836"/>
      <c r="FE115" s="836"/>
      <c r="FF115" s="836"/>
      <c r="FG115" s="791"/>
    </row>
    <row r="116" spans="2:164" ht="8.85" customHeight="1" thickBot="1">
      <c r="B116" s="840"/>
      <c r="C116" s="841"/>
      <c r="D116" s="841"/>
      <c r="E116" s="841"/>
      <c r="F116" s="841"/>
      <c r="G116" s="841"/>
      <c r="H116" s="841"/>
      <c r="I116" s="841"/>
      <c r="J116" s="841"/>
      <c r="K116" s="841"/>
      <c r="L116" s="841"/>
      <c r="M116" s="841"/>
      <c r="N116" s="841"/>
      <c r="O116" s="841"/>
      <c r="P116" s="841"/>
      <c r="Q116" s="841"/>
      <c r="R116" s="841"/>
      <c r="S116" s="841"/>
      <c r="T116" s="841"/>
      <c r="U116" s="841"/>
      <c r="V116" s="841"/>
      <c r="W116" s="841"/>
      <c r="X116" s="841"/>
      <c r="Y116" s="841"/>
      <c r="Z116" s="841"/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1"/>
      <c r="AL116" s="841"/>
      <c r="AM116" s="841"/>
      <c r="AN116" s="841"/>
      <c r="AO116" s="841"/>
      <c r="AP116" s="841"/>
      <c r="AQ116" s="841"/>
      <c r="AR116" s="841"/>
      <c r="AS116" s="841"/>
      <c r="AT116" s="842"/>
      <c r="AU116" s="681" t="s">
        <v>6497</v>
      </c>
      <c r="AV116" s="682"/>
      <c r="AW116" s="682"/>
      <c r="AX116" s="682"/>
      <c r="AY116" s="682"/>
      <c r="AZ116" s="682"/>
      <c r="BA116" s="682"/>
      <c r="BB116" s="682"/>
      <c r="BC116" s="682"/>
      <c r="BD116" s="682"/>
      <c r="BE116" s="682"/>
      <c r="BF116" s="682"/>
      <c r="BG116" s="682"/>
      <c r="BH116" s="682"/>
      <c r="BI116" s="682"/>
      <c r="BJ116" s="682"/>
      <c r="BK116" s="682"/>
      <c r="BL116" s="682"/>
      <c r="BM116" s="682"/>
      <c r="BN116" s="682"/>
      <c r="BO116" s="682"/>
      <c r="BP116" s="682"/>
      <c r="BQ116" s="682"/>
      <c r="BR116" s="682"/>
      <c r="BS116" s="682"/>
      <c r="BT116" s="682"/>
      <c r="BU116" s="682"/>
      <c r="BV116" s="682"/>
      <c r="BW116" s="682"/>
      <c r="BX116" s="683"/>
      <c r="BY116" s="297"/>
      <c r="BZ116" s="298"/>
      <c r="CA116" s="298"/>
      <c r="CB116" s="298"/>
      <c r="CC116" s="298"/>
      <c r="CD116" s="298"/>
      <c r="CE116" s="298"/>
      <c r="CF116" s="298"/>
      <c r="CG116" s="298"/>
      <c r="CH116" s="298"/>
      <c r="CI116" s="298"/>
      <c r="CJ116" s="298"/>
      <c r="CK116" s="298"/>
      <c r="CL116" s="298"/>
      <c r="CM116" s="298"/>
      <c r="CN116" s="298"/>
      <c r="CO116" s="298"/>
      <c r="CP116" s="298"/>
      <c r="CQ116" s="298"/>
      <c r="CR116" s="298"/>
      <c r="CS116" s="298"/>
      <c r="CT116" s="298"/>
      <c r="CU116" s="298"/>
      <c r="CV116" s="298"/>
      <c r="CW116" s="298"/>
      <c r="CX116" s="298"/>
      <c r="CY116" s="298"/>
      <c r="CZ116" s="298"/>
      <c r="DA116" s="298"/>
      <c r="DB116" s="298"/>
      <c r="DC116" s="298"/>
      <c r="DD116" s="298"/>
      <c r="DE116" s="298"/>
      <c r="DF116" s="298"/>
      <c r="DG116" s="298"/>
      <c r="DH116" s="298"/>
      <c r="DI116" s="299"/>
      <c r="DJ116" s="789"/>
      <c r="DK116" s="836"/>
      <c r="DL116" s="836"/>
      <c r="DM116" s="836"/>
      <c r="DN116" s="836"/>
      <c r="DO116" s="836"/>
      <c r="DP116" s="836"/>
      <c r="DQ116" s="836"/>
      <c r="DR116" s="836"/>
      <c r="DS116" s="836"/>
      <c r="DT116" s="836"/>
      <c r="DU116" s="836"/>
      <c r="DV116" s="836"/>
      <c r="DW116" s="836"/>
      <c r="DX116" s="836"/>
      <c r="DY116" s="836"/>
      <c r="DZ116" s="836"/>
      <c r="EA116" s="836"/>
      <c r="EB116" s="836"/>
      <c r="EC116" s="836"/>
      <c r="ED116" s="836"/>
      <c r="EE116" s="836"/>
      <c r="EF116" s="836"/>
      <c r="EG116" s="836"/>
      <c r="EH116" s="836"/>
      <c r="EI116" s="836"/>
      <c r="EJ116" s="836"/>
      <c r="EK116" s="836"/>
      <c r="EL116" s="836"/>
      <c r="EM116" s="836"/>
      <c r="EN116" s="836"/>
      <c r="EO116" s="836"/>
      <c r="EP116" s="836"/>
      <c r="EQ116" s="836"/>
      <c r="ER116" s="836"/>
      <c r="ES116" s="836"/>
      <c r="ET116" s="836"/>
      <c r="EU116" s="836"/>
      <c r="EV116" s="836"/>
      <c r="EW116" s="836"/>
      <c r="EX116" s="836"/>
      <c r="EY116" s="836"/>
      <c r="EZ116" s="836"/>
      <c r="FA116" s="836"/>
      <c r="FB116" s="836"/>
      <c r="FC116" s="836"/>
      <c r="FD116" s="836"/>
      <c r="FE116" s="836"/>
      <c r="FF116" s="836"/>
      <c r="FG116" s="791"/>
    </row>
    <row r="117" spans="2:164" ht="8.85" customHeight="1" thickTop="1">
      <c r="B117" s="840" t="s">
        <v>6494</v>
      </c>
      <c r="C117" s="841"/>
      <c r="D117" s="841"/>
      <c r="E117" s="841"/>
      <c r="F117" s="841"/>
      <c r="G117" s="841"/>
      <c r="H117" s="841"/>
      <c r="I117" s="841"/>
      <c r="J117" s="841"/>
      <c r="K117" s="841"/>
      <c r="L117" s="841"/>
      <c r="M117" s="841"/>
      <c r="N117" s="841"/>
      <c r="O117" s="841"/>
      <c r="P117" s="841"/>
      <c r="Q117" s="841"/>
      <c r="R117" s="841"/>
      <c r="S117" s="841"/>
      <c r="T117" s="841"/>
      <c r="U117" s="841"/>
      <c r="V117" s="841"/>
      <c r="W117" s="841"/>
      <c r="X117" s="841"/>
      <c r="Y117" s="841"/>
      <c r="Z117" s="841"/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1"/>
      <c r="AL117" s="841"/>
      <c r="AM117" s="841"/>
      <c r="AN117" s="841"/>
      <c r="AO117" s="841"/>
      <c r="AP117" s="841"/>
      <c r="AQ117" s="841"/>
      <c r="AR117" s="841"/>
      <c r="AS117" s="841"/>
      <c r="AT117" s="842"/>
      <c r="AU117" s="681"/>
      <c r="AV117" s="682"/>
      <c r="AW117" s="682"/>
      <c r="AX117" s="682"/>
      <c r="AY117" s="682"/>
      <c r="AZ117" s="682"/>
      <c r="BA117" s="682"/>
      <c r="BB117" s="682"/>
      <c r="BC117" s="682"/>
      <c r="BD117" s="682"/>
      <c r="BE117" s="682"/>
      <c r="BF117" s="682"/>
      <c r="BG117" s="682"/>
      <c r="BH117" s="682"/>
      <c r="BI117" s="682"/>
      <c r="BJ117" s="682"/>
      <c r="BK117" s="682"/>
      <c r="BL117" s="682"/>
      <c r="BM117" s="682"/>
      <c r="BN117" s="682"/>
      <c r="BO117" s="682"/>
      <c r="BP117" s="682"/>
      <c r="BQ117" s="682"/>
      <c r="BR117" s="682"/>
      <c r="BS117" s="682"/>
      <c r="BT117" s="682"/>
      <c r="BU117" s="682"/>
      <c r="BV117" s="682"/>
      <c r="BW117" s="682"/>
      <c r="BX117" s="683"/>
      <c r="BY117" s="862" t="s">
        <v>6495</v>
      </c>
      <c r="BZ117" s="863"/>
      <c r="CA117" s="863"/>
      <c r="CB117" s="863"/>
      <c r="CC117" s="863"/>
      <c r="CD117" s="863"/>
      <c r="CE117" s="863"/>
      <c r="CF117" s="863"/>
      <c r="CG117" s="863"/>
      <c r="CH117" s="863"/>
      <c r="CI117" s="863"/>
      <c r="CJ117" s="863"/>
      <c r="CK117" s="863"/>
      <c r="CL117" s="863"/>
      <c r="CM117" s="863"/>
      <c r="CN117" s="863"/>
      <c r="CO117" s="863"/>
      <c r="CP117" s="863"/>
      <c r="CQ117" s="863"/>
      <c r="CR117" s="863"/>
      <c r="CS117" s="863"/>
      <c r="CT117" s="863"/>
      <c r="CU117" s="863"/>
      <c r="CV117" s="863"/>
      <c r="CW117" s="863"/>
      <c r="CX117" s="863"/>
      <c r="CY117" s="863"/>
      <c r="CZ117" s="863"/>
      <c r="DA117" s="863"/>
      <c r="DB117" s="863"/>
      <c r="DC117" s="863"/>
      <c r="DD117" s="863"/>
      <c r="DE117" s="863"/>
      <c r="DF117" s="863"/>
      <c r="DG117" s="863"/>
      <c r="DH117" s="863"/>
      <c r="DI117" s="863"/>
      <c r="DJ117" s="863"/>
      <c r="DK117" s="863"/>
      <c r="DL117" s="863"/>
      <c r="DM117" s="863"/>
      <c r="DN117" s="863"/>
      <c r="DO117" s="863"/>
      <c r="DP117" s="863"/>
      <c r="DQ117" s="863"/>
      <c r="DR117" s="863"/>
      <c r="DS117" s="863"/>
      <c r="DT117" s="863"/>
      <c r="DU117" s="863"/>
      <c r="DV117" s="863"/>
      <c r="DW117" s="863"/>
      <c r="DX117" s="863"/>
      <c r="DY117" s="863"/>
      <c r="DZ117" s="863"/>
      <c r="EA117" s="863"/>
      <c r="EB117" s="863"/>
      <c r="EC117" s="863"/>
      <c r="ED117" s="863"/>
      <c r="EE117" s="863"/>
      <c r="EF117" s="863"/>
      <c r="EG117" s="863"/>
      <c r="EH117" s="863"/>
      <c r="EI117" s="863"/>
      <c r="EJ117" s="863"/>
      <c r="EK117" s="863"/>
      <c r="EL117" s="863"/>
      <c r="EM117" s="863"/>
      <c r="EN117" s="863"/>
      <c r="EO117" s="863"/>
      <c r="EP117" s="863"/>
      <c r="EQ117" s="863"/>
      <c r="ER117" s="863"/>
      <c r="ES117" s="863"/>
      <c r="ET117" s="863"/>
      <c r="EU117" s="863"/>
      <c r="EV117" s="863"/>
      <c r="EW117" s="863"/>
      <c r="EX117" s="863"/>
      <c r="EY117" s="863"/>
      <c r="EZ117" s="863"/>
      <c r="FA117" s="863"/>
      <c r="FB117" s="863"/>
      <c r="FC117" s="863"/>
      <c r="FD117" s="863"/>
      <c r="FE117" s="863"/>
      <c r="FF117" s="863"/>
      <c r="FG117" s="864"/>
    </row>
    <row r="118" spans="2:164" ht="8.85" customHeight="1">
      <c r="B118" s="840"/>
      <c r="C118" s="841"/>
      <c r="D118" s="841"/>
      <c r="E118" s="841"/>
      <c r="F118" s="841"/>
      <c r="G118" s="841"/>
      <c r="H118" s="841"/>
      <c r="I118" s="841"/>
      <c r="J118" s="841"/>
      <c r="K118" s="841"/>
      <c r="L118" s="841"/>
      <c r="M118" s="841"/>
      <c r="N118" s="841"/>
      <c r="O118" s="841"/>
      <c r="P118" s="841"/>
      <c r="Q118" s="841"/>
      <c r="R118" s="841"/>
      <c r="S118" s="841"/>
      <c r="T118" s="841"/>
      <c r="U118" s="841"/>
      <c r="V118" s="841"/>
      <c r="W118" s="841"/>
      <c r="X118" s="841"/>
      <c r="Y118" s="841"/>
      <c r="Z118" s="841"/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1"/>
      <c r="AL118" s="841"/>
      <c r="AM118" s="841"/>
      <c r="AN118" s="841"/>
      <c r="AO118" s="841"/>
      <c r="AP118" s="841"/>
      <c r="AQ118" s="841"/>
      <c r="AR118" s="841"/>
      <c r="AS118" s="841"/>
      <c r="AT118" s="842"/>
      <c r="AU118" s="300"/>
      <c r="AV118" s="301"/>
      <c r="AW118" s="301"/>
      <c r="AX118" s="301"/>
      <c r="AY118" s="301"/>
      <c r="AZ118" s="301"/>
      <c r="BA118" s="301"/>
      <c r="BB118" s="301"/>
      <c r="BC118" s="301"/>
      <c r="BD118" s="301"/>
      <c r="BE118" s="301"/>
      <c r="BF118" s="301"/>
      <c r="BG118" s="301"/>
      <c r="BH118" s="301"/>
      <c r="BI118" s="301"/>
      <c r="BJ118" s="301"/>
      <c r="BK118" s="301"/>
      <c r="BL118" s="301"/>
      <c r="BM118" s="301"/>
      <c r="BN118" s="301"/>
      <c r="BO118" s="301"/>
      <c r="BP118" s="301"/>
      <c r="BQ118" s="301"/>
      <c r="BR118" s="301"/>
      <c r="BS118" s="301"/>
      <c r="BT118" s="301"/>
      <c r="BU118" s="301"/>
      <c r="BV118" s="301"/>
      <c r="BW118" s="301"/>
      <c r="BX118" s="302"/>
      <c r="BY118" s="849"/>
      <c r="BZ118" s="850"/>
      <c r="CA118" s="850"/>
      <c r="CB118" s="850"/>
      <c r="CC118" s="850"/>
      <c r="CD118" s="850"/>
      <c r="CE118" s="850"/>
      <c r="CF118" s="850"/>
      <c r="CG118" s="850"/>
      <c r="CH118" s="850"/>
      <c r="CI118" s="850"/>
      <c r="CJ118" s="850"/>
      <c r="CK118" s="850"/>
      <c r="CL118" s="850"/>
      <c r="CM118" s="850"/>
      <c r="CN118" s="850"/>
      <c r="CO118" s="850"/>
      <c r="CP118" s="850"/>
      <c r="CQ118" s="850"/>
      <c r="CR118" s="850"/>
      <c r="CS118" s="850"/>
      <c r="CT118" s="850"/>
      <c r="CU118" s="850"/>
      <c r="CV118" s="850"/>
      <c r="CW118" s="850"/>
      <c r="CX118" s="850"/>
      <c r="CY118" s="850"/>
      <c r="CZ118" s="850"/>
      <c r="DA118" s="850"/>
      <c r="DB118" s="850"/>
      <c r="DC118" s="850"/>
      <c r="DD118" s="850"/>
      <c r="DE118" s="850"/>
      <c r="DF118" s="850"/>
      <c r="DG118" s="850"/>
      <c r="DH118" s="850"/>
      <c r="DI118" s="850"/>
      <c r="DJ118" s="850"/>
      <c r="DK118" s="850"/>
      <c r="DL118" s="850"/>
      <c r="DM118" s="850"/>
      <c r="DN118" s="850"/>
      <c r="DO118" s="850"/>
      <c r="DP118" s="850"/>
      <c r="DQ118" s="850"/>
      <c r="DR118" s="850"/>
      <c r="DS118" s="850"/>
      <c r="DT118" s="850"/>
      <c r="DU118" s="850"/>
      <c r="DV118" s="850"/>
      <c r="DW118" s="850"/>
      <c r="DX118" s="850"/>
      <c r="DY118" s="850"/>
      <c r="DZ118" s="850"/>
      <c r="EA118" s="850"/>
      <c r="EB118" s="850"/>
      <c r="EC118" s="850"/>
      <c r="ED118" s="850"/>
      <c r="EE118" s="850"/>
      <c r="EF118" s="850"/>
      <c r="EG118" s="850"/>
      <c r="EH118" s="850"/>
      <c r="EI118" s="850"/>
      <c r="EJ118" s="850"/>
      <c r="EK118" s="850"/>
      <c r="EL118" s="850"/>
      <c r="EM118" s="850"/>
      <c r="EN118" s="850"/>
      <c r="EO118" s="850"/>
      <c r="EP118" s="850"/>
      <c r="EQ118" s="850"/>
      <c r="ER118" s="850"/>
      <c r="ES118" s="850"/>
      <c r="ET118" s="850"/>
      <c r="EU118" s="850"/>
      <c r="EV118" s="850"/>
      <c r="EW118" s="850"/>
      <c r="EX118" s="850"/>
      <c r="EY118" s="850"/>
      <c r="EZ118" s="850"/>
      <c r="FA118" s="850"/>
      <c r="FB118" s="850"/>
      <c r="FC118" s="850"/>
      <c r="FD118" s="850"/>
      <c r="FE118" s="850"/>
      <c r="FF118" s="850"/>
      <c r="FG118" s="851"/>
    </row>
    <row r="119" spans="2:164" ht="8.85" customHeight="1">
      <c r="B119" s="840" t="s">
        <v>6496</v>
      </c>
      <c r="C119" s="841"/>
      <c r="D119" s="841"/>
      <c r="E119" s="841"/>
      <c r="F119" s="841"/>
      <c r="G119" s="841"/>
      <c r="H119" s="841"/>
      <c r="I119" s="841"/>
      <c r="J119" s="841"/>
      <c r="K119" s="841"/>
      <c r="L119" s="841"/>
      <c r="M119" s="841"/>
      <c r="N119" s="841"/>
      <c r="O119" s="841"/>
      <c r="P119" s="841"/>
      <c r="Q119" s="841"/>
      <c r="R119" s="841"/>
      <c r="S119" s="841"/>
      <c r="T119" s="841"/>
      <c r="U119" s="841"/>
      <c r="V119" s="841"/>
      <c r="W119" s="841"/>
      <c r="X119" s="841"/>
      <c r="Y119" s="841"/>
      <c r="Z119" s="841"/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1"/>
      <c r="AL119" s="841"/>
      <c r="AM119" s="841"/>
      <c r="AN119" s="841"/>
      <c r="AO119" s="841"/>
      <c r="AP119" s="841"/>
      <c r="AQ119" s="841"/>
      <c r="AR119" s="841"/>
      <c r="AS119" s="841"/>
      <c r="AT119" s="842"/>
      <c r="AU119" s="681"/>
      <c r="AV119" s="682"/>
      <c r="AW119" s="682"/>
      <c r="AX119" s="682"/>
      <c r="AY119" s="682"/>
      <c r="AZ119" s="682"/>
      <c r="BA119" s="682"/>
      <c r="BB119" s="682"/>
      <c r="BC119" s="682"/>
      <c r="BD119" s="682"/>
      <c r="BE119" s="682"/>
      <c r="BF119" s="682"/>
      <c r="BG119" s="682"/>
      <c r="BH119" s="682"/>
      <c r="BI119" s="682"/>
      <c r="BJ119" s="682"/>
      <c r="BK119" s="682"/>
      <c r="BL119" s="682"/>
      <c r="BM119" s="682"/>
      <c r="BN119" s="682"/>
      <c r="BO119" s="682"/>
      <c r="BP119" s="682"/>
      <c r="BQ119" s="682"/>
      <c r="BR119" s="682"/>
      <c r="BS119" s="682"/>
      <c r="BT119" s="682"/>
      <c r="BU119" s="682"/>
      <c r="BV119" s="682"/>
      <c r="BW119" s="682"/>
      <c r="BX119" s="683"/>
      <c r="BY119" s="849" t="s">
        <v>6498</v>
      </c>
      <c r="BZ119" s="850"/>
      <c r="CA119" s="850"/>
      <c r="CB119" s="850"/>
      <c r="CC119" s="850"/>
      <c r="CD119" s="850"/>
      <c r="CE119" s="850"/>
      <c r="CF119" s="850"/>
      <c r="CG119" s="850"/>
      <c r="CH119" s="850"/>
      <c r="CI119" s="850"/>
      <c r="CJ119" s="850"/>
      <c r="CK119" s="850"/>
      <c r="CL119" s="850"/>
      <c r="CM119" s="850"/>
      <c r="CN119" s="850"/>
      <c r="CO119" s="850"/>
      <c r="CP119" s="850"/>
      <c r="CQ119" s="850"/>
      <c r="CR119" s="850"/>
      <c r="CS119" s="850"/>
      <c r="CT119" s="850"/>
      <c r="CU119" s="850"/>
      <c r="CV119" s="850"/>
      <c r="CW119" s="850"/>
      <c r="CX119" s="850"/>
      <c r="CY119" s="850"/>
      <c r="CZ119" s="850"/>
      <c r="DA119" s="850"/>
      <c r="DB119" s="850"/>
      <c r="DC119" s="850"/>
      <c r="DD119" s="850"/>
      <c r="DE119" s="850"/>
      <c r="DF119" s="850"/>
      <c r="DG119" s="850"/>
      <c r="DH119" s="850"/>
      <c r="DI119" s="850"/>
      <c r="DJ119" s="850"/>
      <c r="DK119" s="850"/>
      <c r="DL119" s="850"/>
      <c r="DM119" s="850"/>
      <c r="DN119" s="850"/>
      <c r="DO119" s="850"/>
      <c r="DP119" s="850"/>
      <c r="DQ119" s="850"/>
      <c r="DR119" s="850"/>
      <c r="DS119" s="850"/>
      <c r="DT119" s="850"/>
      <c r="DU119" s="850"/>
      <c r="DV119" s="850"/>
      <c r="DW119" s="850"/>
      <c r="DX119" s="850"/>
      <c r="DY119" s="850"/>
      <c r="DZ119" s="850"/>
      <c r="EA119" s="850"/>
      <c r="EB119" s="850"/>
      <c r="EC119" s="850"/>
      <c r="ED119" s="850"/>
      <c r="EE119" s="850"/>
      <c r="EF119" s="850"/>
      <c r="EG119" s="850"/>
      <c r="EH119" s="850"/>
      <c r="EI119" s="850"/>
      <c r="EJ119" s="850"/>
      <c r="EK119" s="850"/>
      <c r="EL119" s="850"/>
      <c r="EM119" s="850"/>
      <c r="EN119" s="850"/>
      <c r="EO119" s="850"/>
      <c r="EP119" s="850"/>
      <c r="EQ119" s="850"/>
      <c r="ER119" s="850"/>
      <c r="ES119" s="850"/>
      <c r="ET119" s="850"/>
      <c r="EU119" s="850"/>
      <c r="EV119" s="850"/>
      <c r="EW119" s="850"/>
      <c r="EX119" s="850"/>
      <c r="EY119" s="850"/>
      <c r="EZ119" s="850"/>
      <c r="FA119" s="850"/>
      <c r="FB119" s="850"/>
      <c r="FC119" s="850"/>
      <c r="FD119" s="850"/>
      <c r="FE119" s="850"/>
      <c r="FF119" s="850"/>
      <c r="FG119" s="851"/>
    </row>
    <row r="120" spans="2:164" ht="8.85" customHeight="1" thickBot="1">
      <c r="B120" s="843"/>
      <c r="C120" s="844"/>
      <c r="D120" s="844"/>
      <c r="E120" s="844"/>
      <c r="F120" s="844"/>
      <c r="G120" s="844"/>
      <c r="H120" s="844"/>
      <c r="I120" s="844"/>
      <c r="J120" s="844"/>
      <c r="K120" s="844"/>
      <c r="L120" s="844"/>
      <c r="M120" s="844"/>
      <c r="N120" s="844"/>
      <c r="O120" s="844"/>
      <c r="P120" s="844"/>
      <c r="Q120" s="844"/>
      <c r="R120" s="844"/>
      <c r="S120" s="844"/>
      <c r="T120" s="844"/>
      <c r="U120" s="844"/>
      <c r="V120" s="844"/>
      <c r="W120" s="844"/>
      <c r="X120" s="844"/>
      <c r="Y120" s="844"/>
      <c r="Z120" s="844"/>
      <c r="AA120" s="844"/>
      <c r="AB120" s="844"/>
      <c r="AC120" s="844"/>
      <c r="AD120" s="844"/>
      <c r="AE120" s="844"/>
      <c r="AF120" s="844"/>
      <c r="AG120" s="844"/>
      <c r="AH120" s="844"/>
      <c r="AI120" s="844"/>
      <c r="AJ120" s="844"/>
      <c r="AK120" s="844"/>
      <c r="AL120" s="844"/>
      <c r="AM120" s="844"/>
      <c r="AN120" s="844"/>
      <c r="AO120" s="844"/>
      <c r="AP120" s="844"/>
      <c r="AQ120" s="844"/>
      <c r="AR120" s="844"/>
      <c r="AS120" s="844"/>
      <c r="AT120" s="845"/>
      <c r="AU120" s="846"/>
      <c r="AV120" s="847"/>
      <c r="AW120" s="847"/>
      <c r="AX120" s="847"/>
      <c r="AY120" s="847"/>
      <c r="AZ120" s="847"/>
      <c r="BA120" s="847"/>
      <c r="BB120" s="847"/>
      <c r="BC120" s="847"/>
      <c r="BD120" s="847"/>
      <c r="BE120" s="847"/>
      <c r="BF120" s="847"/>
      <c r="BG120" s="847"/>
      <c r="BH120" s="847"/>
      <c r="BI120" s="847"/>
      <c r="BJ120" s="847"/>
      <c r="BK120" s="847"/>
      <c r="BL120" s="847"/>
      <c r="BM120" s="847"/>
      <c r="BN120" s="847"/>
      <c r="BO120" s="847"/>
      <c r="BP120" s="847"/>
      <c r="BQ120" s="847"/>
      <c r="BR120" s="847"/>
      <c r="BS120" s="847"/>
      <c r="BT120" s="847"/>
      <c r="BU120" s="847"/>
      <c r="BV120" s="847"/>
      <c r="BW120" s="847"/>
      <c r="BX120" s="848"/>
      <c r="BY120" s="852"/>
      <c r="BZ120" s="853"/>
      <c r="CA120" s="853"/>
      <c r="CB120" s="853"/>
      <c r="CC120" s="853"/>
      <c r="CD120" s="853"/>
      <c r="CE120" s="853"/>
      <c r="CF120" s="853"/>
      <c r="CG120" s="853"/>
      <c r="CH120" s="853"/>
      <c r="CI120" s="853"/>
      <c r="CJ120" s="853"/>
      <c r="CK120" s="853"/>
      <c r="CL120" s="853"/>
      <c r="CM120" s="853"/>
      <c r="CN120" s="853"/>
      <c r="CO120" s="853"/>
      <c r="CP120" s="853"/>
      <c r="CQ120" s="853"/>
      <c r="CR120" s="853"/>
      <c r="CS120" s="853"/>
      <c r="CT120" s="853"/>
      <c r="CU120" s="853"/>
      <c r="CV120" s="853"/>
      <c r="CW120" s="853"/>
      <c r="CX120" s="853"/>
      <c r="CY120" s="853"/>
      <c r="CZ120" s="853"/>
      <c r="DA120" s="853"/>
      <c r="DB120" s="853"/>
      <c r="DC120" s="853"/>
      <c r="DD120" s="853"/>
      <c r="DE120" s="853"/>
      <c r="DF120" s="853"/>
      <c r="DG120" s="853"/>
      <c r="DH120" s="853"/>
      <c r="DI120" s="853"/>
      <c r="DJ120" s="853"/>
      <c r="DK120" s="853"/>
      <c r="DL120" s="853"/>
      <c r="DM120" s="853"/>
      <c r="DN120" s="853"/>
      <c r="DO120" s="853"/>
      <c r="DP120" s="853"/>
      <c r="DQ120" s="853"/>
      <c r="DR120" s="853"/>
      <c r="DS120" s="853"/>
      <c r="DT120" s="853"/>
      <c r="DU120" s="853"/>
      <c r="DV120" s="853"/>
      <c r="DW120" s="853"/>
      <c r="DX120" s="853"/>
      <c r="DY120" s="853"/>
      <c r="DZ120" s="853"/>
      <c r="EA120" s="853"/>
      <c r="EB120" s="853"/>
      <c r="EC120" s="853"/>
      <c r="ED120" s="853"/>
      <c r="EE120" s="853"/>
      <c r="EF120" s="853"/>
      <c r="EG120" s="853"/>
      <c r="EH120" s="853"/>
      <c r="EI120" s="853"/>
      <c r="EJ120" s="853"/>
      <c r="EK120" s="853"/>
      <c r="EL120" s="853"/>
      <c r="EM120" s="853"/>
      <c r="EN120" s="853"/>
      <c r="EO120" s="853"/>
      <c r="EP120" s="853"/>
      <c r="EQ120" s="853"/>
      <c r="ER120" s="853"/>
      <c r="ES120" s="853"/>
      <c r="ET120" s="853"/>
      <c r="EU120" s="853"/>
      <c r="EV120" s="853"/>
      <c r="EW120" s="853"/>
      <c r="EX120" s="853"/>
      <c r="EY120" s="853"/>
      <c r="EZ120" s="853"/>
      <c r="FA120" s="853"/>
      <c r="FB120" s="853"/>
      <c r="FC120" s="853"/>
      <c r="FD120" s="853"/>
      <c r="FE120" s="853"/>
      <c r="FF120" s="853"/>
      <c r="FG120" s="854"/>
    </row>
    <row r="121" spans="2:164" ht="21.75" customHeight="1" thickTop="1">
      <c r="B121" s="855" t="s">
        <v>6499</v>
      </c>
      <c r="C121" s="855"/>
      <c r="D121" s="855"/>
      <c r="E121" s="855"/>
      <c r="F121" s="855"/>
      <c r="G121" s="855"/>
      <c r="H121" s="855"/>
      <c r="I121" s="855"/>
      <c r="J121" s="855"/>
      <c r="K121" s="855"/>
      <c r="L121" s="855"/>
      <c r="M121" s="855"/>
      <c r="N121" s="855"/>
      <c r="O121" s="855"/>
      <c r="P121" s="855"/>
      <c r="Q121" s="855"/>
      <c r="R121" s="855"/>
      <c r="S121" s="855"/>
      <c r="T121" s="855"/>
      <c r="U121" s="855"/>
      <c r="V121" s="855"/>
      <c r="W121" s="855"/>
      <c r="X121" s="855"/>
      <c r="Y121" s="855"/>
      <c r="Z121" s="855"/>
      <c r="AA121" s="855"/>
      <c r="AB121" s="855"/>
      <c r="AC121" s="855"/>
      <c r="AD121" s="855"/>
      <c r="AE121" s="855"/>
      <c r="AF121" s="855"/>
      <c r="AG121" s="855"/>
      <c r="AH121" s="855"/>
      <c r="AI121" s="855"/>
      <c r="AJ121" s="855"/>
      <c r="AK121" s="855"/>
      <c r="AL121" s="855"/>
      <c r="AM121" s="855"/>
      <c r="AN121" s="855"/>
      <c r="AO121" s="855"/>
      <c r="AP121" s="855"/>
      <c r="AQ121" s="855"/>
      <c r="AR121" s="855"/>
      <c r="AS121" s="855"/>
      <c r="AT121" s="855"/>
      <c r="AU121" s="855"/>
      <c r="AV121" s="855"/>
      <c r="AW121" s="855"/>
      <c r="AX121" s="855"/>
      <c r="AY121" s="855"/>
      <c r="AZ121" s="855"/>
      <c r="BA121" s="855"/>
      <c r="BB121" s="855"/>
      <c r="BC121" s="855"/>
      <c r="BD121" s="855"/>
      <c r="BE121" s="855"/>
      <c r="BF121" s="855"/>
      <c r="BG121" s="855"/>
      <c r="BH121" s="855"/>
      <c r="BI121" s="855"/>
      <c r="BJ121" s="855"/>
      <c r="BK121" s="855"/>
      <c r="BL121" s="855"/>
      <c r="BM121" s="855"/>
      <c r="BN121" s="855"/>
      <c r="BO121" s="855"/>
      <c r="BP121" s="855"/>
      <c r="BQ121" s="855"/>
      <c r="BR121" s="855"/>
      <c r="BS121" s="855"/>
      <c r="BT121" s="855"/>
      <c r="BU121" s="855"/>
      <c r="BV121" s="855"/>
      <c r="BW121" s="855"/>
      <c r="BX121" s="855"/>
      <c r="BY121" s="855"/>
      <c r="BZ121" s="855"/>
      <c r="CA121" s="855"/>
      <c r="CB121" s="855"/>
      <c r="CC121" s="855"/>
      <c r="CD121" s="855"/>
      <c r="CE121" s="855"/>
      <c r="CF121" s="855"/>
      <c r="CG121" s="855"/>
      <c r="CH121" s="855"/>
      <c r="CI121" s="855"/>
      <c r="CJ121" s="855"/>
      <c r="CK121" s="855"/>
      <c r="CL121" s="855"/>
      <c r="CM121" s="855"/>
      <c r="CN121" s="855"/>
      <c r="CO121" s="855"/>
      <c r="CP121" s="855"/>
      <c r="CQ121" s="855"/>
      <c r="CR121" s="855"/>
      <c r="CS121" s="855"/>
      <c r="CT121" s="855"/>
      <c r="CU121" s="855"/>
      <c r="CV121" s="855"/>
      <c r="CW121" s="855"/>
      <c r="CX121" s="855"/>
      <c r="CY121" s="855"/>
      <c r="CZ121" s="855"/>
      <c r="DA121" s="855"/>
      <c r="DB121" s="855"/>
      <c r="DC121" s="855"/>
      <c r="DD121" s="855"/>
      <c r="DE121" s="855"/>
      <c r="DF121" s="855"/>
      <c r="DG121" s="855"/>
      <c r="DH121" s="855"/>
      <c r="DI121" s="855"/>
      <c r="DJ121" s="855"/>
      <c r="DK121" s="855"/>
      <c r="DL121" s="855"/>
      <c r="DM121" s="855"/>
      <c r="DN121" s="855"/>
      <c r="DO121" s="855"/>
      <c r="DP121" s="855"/>
      <c r="DQ121" s="855"/>
      <c r="DR121" s="855"/>
      <c r="DS121" s="855"/>
      <c r="DT121" s="855"/>
      <c r="DU121" s="855"/>
      <c r="DV121" s="855"/>
      <c r="DW121" s="855"/>
      <c r="DX121" s="855"/>
      <c r="DY121" s="855"/>
      <c r="DZ121" s="855"/>
      <c r="EA121" s="855"/>
      <c r="EB121" s="855"/>
      <c r="EC121" s="855"/>
      <c r="ED121" s="855"/>
      <c r="EE121" s="855"/>
      <c r="EF121" s="855"/>
      <c r="EG121" s="855"/>
      <c r="EH121" s="855"/>
      <c r="EI121" s="855"/>
      <c r="EJ121" s="855"/>
      <c r="EK121" s="855"/>
      <c r="EL121" s="855"/>
      <c r="EM121" s="855"/>
      <c r="EN121" s="855"/>
      <c r="EO121" s="855"/>
      <c r="EP121" s="855"/>
      <c r="EQ121" s="855"/>
      <c r="ER121" s="855"/>
      <c r="ES121" s="855"/>
      <c r="ET121" s="855"/>
      <c r="EU121" s="855"/>
      <c r="EV121" s="855"/>
      <c r="EW121" s="855"/>
      <c r="EX121" s="855"/>
      <c r="EY121" s="855"/>
      <c r="EZ121" s="855"/>
      <c r="FA121" s="855"/>
      <c r="FB121" s="855"/>
      <c r="FC121" s="855"/>
      <c r="FD121" s="855"/>
      <c r="FE121" s="855"/>
      <c r="FF121" s="855"/>
      <c r="FG121" s="855"/>
    </row>
  </sheetData>
  <mergeCells count="371">
    <mergeCell ref="B119:AT120"/>
    <mergeCell ref="AU119:BX120"/>
    <mergeCell ref="BY119:FG120"/>
    <mergeCell ref="B121:FG121"/>
    <mergeCell ref="DJ113:FG116"/>
    <mergeCell ref="BY114:DI115"/>
    <mergeCell ref="B115:AT116"/>
    <mergeCell ref="AU116:BX117"/>
    <mergeCell ref="B117:AT118"/>
    <mergeCell ref="BY117:FG118"/>
    <mergeCell ref="BT102:BX103"/>
    <mergeCell ref="BY102:DI103"/>
    <mergeCell ref="B104:O106"/>
    <mergeCell ref="P104:AT106"/>
    <mergeCell ref="AU104:BS105"/>
    <mergeCell ref="BT104:BX105"/>
    <mergeCell ref="DJ104:FG106"/>
    <mergeCell ref="BY105:DI108"/>
    <mergeCell ref="AU106:BS107"/>
    <mergeCell ref="BT106:BX107"/>
    <mergeCell ref="B107:O109"/>
    <mergeCell ref="P107:AT109"/>
    <mergeCell ref="DJ107:FG109"/>
    <mergeCell ref="AU108:BX110"/>
    <mergeCell ref="BY109:DI111"/>
    <mergeCell ref="B110:O112"/>
    <mergeCell ref="P110:AT112"/>
    <mergeCell ref="DJ110:FG112"/>
    <mergeCell ref="AU111:BX112"/>
    <mergeCell ref="BY112:DI113"/>
    <mergeCell ref="B113:AT114"/>
    <mergeCell ref="AU113:BX115"/>
    <mergeCell ref="BT96:BX97"/>
    <mergeCell ref="B98:O100"/>
    <mergeCell ref="P98:AT100"/>
    <mergeCell ref="AU98:BS99"/>
    <mergeCell ref="BT98:BX99"/>
    <mergeCell ref="BY98:DI99"/>
    <mergeCell ref="DB92:DI94"/>
    <mergeCell ref="DJ92:FG94"/>
    <mergeCell ref="AU94:BS95"/>
    <mergeCell ref="BT94:BX95"/>
    <mergeCell ref="B95:O97"/>
    <mergeCell ref="P95:AT97"/>
    <mergeCell ref="BY95:DA97"/>
    <mergeCell ref="DB95:DI97"/>
    <mergeCell ref="DJ95:FG97"/>
    <mergeCell ref="AU96:BS97"/>
    <mergeCell ref="DJ98:FG100"/>
    <mergeCell ref="AU100:BS101"/>
    <mergeCell ref="BT100:BX101"/>
    <mergeCell ref="BY100:DI101"/>
    <mergeCell ref="B101:O103"/>
    <mergeCell ref="P101:AT103"/>
    <mergeCell ref="DJ101:FG103"/>
    <mergeCell ref="AU102:BS103"/>
    <mergeCell ref="DB86:DI88"/>
    <mergeCell ref="DJ86:FG88"/>
    <mergeCell ref="B87:AT88"/>
    <mergeCell ref="AU88:BS89"/>
    <mergeCell ref="BT88:BX89"/>
    <mergeCell ref="B89:AT90"/>
    <mergeCell ref="BY89:DA91"/>
    <mergeCell ref="DB89:DI91"/>
    <mergeCell ref="DJ89:FG91"/>
    <mergeCell ref="AU86:BS87"/>
    <mergeCell ref="BT86:BX87"/>
    <mergeCell ref="AU90:BS91"/>
    <mergeCell ref="BT90:BX91"/>
    <mergeCell ref="B91:AT94"/>
    <mergeCell ref="AU92:BS93"/>
    <mergeCell ref="BT92:BX93"/>
    <mergeCell ref="BY92:DA94"/>
    <mergeCell ref="BY86:DA88"/>
    <mergeCell ref="DJ77:FG79"/>
    <mergeCell ref="B79:AG80"/>
    <mergeCell ref="AH79:AT82"/>
    <mergeCell ref="AU80:BS81"/>
    <mergeCell ref="BT80:BX81"/>
    <mergeCell ref="BY80:DA82"/>
    <mergeCell ref="DB80:DI82"/>
    <mergeCell ref="DJ80:FG82"/>
    <mergeCell ref="B81:AG82"/>
    <mergeCell ref="AU82:BS83"/>
    <mergeCell ref="B77:AG78"/>
    <mergeCell ref="AH77:AT78"/>
    <mergeCell ref="AU77:BS79"/>
    <mergeCell ref="BT77:BX79"/>
    <mergeCell ref="BY77:DA79"/>
    <mergeCell ref="DB77:DI79"/>
    <mergeCell ref="BT82:BX83"/>
    <mergeCell ref="B83:AT84"/>
    <mergeCell ref="BY83:DA85"/>
    <mergeCell ref="DB83:DI85"/>
    <mergeCell ref="DJ83:FG85"/>
    <mergeCell ref="AU84:BS85"/>
    <mergeCell ref="BT84:BX85"/>
    <mergeCell ref="B85:AT86"/>
    <mergeCell ref="DJ71:FG73"/>
    <mergeCell ref="B73:AG74"/>
    <mergeCell ref="AH73:AT74"/>
    <mergeCell ref="DJ74:FG76"/>
    <mergeCell ref="B75:AG76"/>
    <mergeCell ref="AH75:AT76"/>
    <mergeCell ref="AU75:BX76"/>
    <mergeCell ref="BY75:DI76"/>
    <mergeCell ref="AH69:AT70"/>
    <mergeCell ref="AU69:BX70"/>
    <mergeCell ref="BY69:DI70"/>
    <mergeCell ref="B71:AG72"/>
    <mergeCell ref="AH71:AT72"/>
    <mergeCell ref="AU71:BX74"/>
    <mergeCell ref="BY71:DI74"/>
    <mergeCell ref="B65:AG66"/>
    <mergeCell ref="AH65:AT66"/>
    <mergeCell ref="AU65:BX66"/>
    <mergeCell ref="BY65:DI68"/>
    <mergeCell ref="DJ65:FG67"/>
    <mergeCell ref="B67:AG68"/>
    <mergeCell ref="AH67:AT68"/>
    <mergeCell ref="AU67:BX68"/>
    <mergeCell ref="DJ68:FG70"/>
    <mergeCell ref="B69:AG70"/>
    <mergeCell ref="DJ62:FG64"/>
    <mergeCell ref="B63:AT64"/>
    <mergeCell ref="AU63:BB64"/>
    <mergeCell ref="BC63:BP64"/>
    <mergeCell ref="BQ63:BX64"/>
    <mergeCell ref="BY63:DI64"/>
    <mergeCell ref="DJ53:FG55"/>
    <mergeCell ref="B55:AT56"/>
    <mergeCell ref="DJ56:FG58"/>
    <mergeCell ref="B57:DI58"/>
    <mergeCell ref="B59:AT62"/>
    <mergeCell ref="AU59:BB62"/>
    <mergeCell ref="BC59:BP62"/>
    <mergeCell ref="BQ59:BX62"/>
    <mergeCell ref="BY59:DI62"/>
    <mergeCell ref="DJ59:FG61"/>
    <mergeCell ref="BE51:BJ54"/>
    <mergeCell ref="BR51:BX54"/>
    <mergeCell ref="BY51:DI52"/>
    <mergeCell ref="DJ51:FG52"/>
    <mergeCell ref="M53:AB54"/>
    <mergeCell ref="AC53:AG54"/>
    <mergeCell ref="AH53:AK54"/>
    <mergeCell ref="B47:L54"/>
    <mergeCell ref="B39:L46"/>
    <mergeCell ref="AQ39:AT40"/>
    <mergeCell ref="EA39:EQ40"/>
    <mergeCell ref="ER39:EY40"/>
    <mergeCell ref="DQ35:DZ42"/>
    <mergeCell ref="EA35:EQ36"/>
    <mergeCell ref="EA41:EQ42"/>
    <mergeCell ref="ER35:EY36"/>
    <mergeCell ref="B31:L38"/>
    <mergeCell ref="M31:AB32"/>
    <mergeCell ref="AC31:AG32"/>
    <mergeCell ref="AH31:AK32"/>
    <mergeCell ref="AL31:AP32"/>
    <mergeCell ref="AQ31:AT32"/>
    <mergeCell ref="EA31:EQ32"/>
    <mergeCell ref="ER31:EY32"/>
    <mergeCell ref="AU39:BD44"/>
    <mergeCell ref="AH35:AK36"/>
    <mergeCell ref="DD42:DI48"/>
    <mergeCell ref="M43:AB44"/>
    <mergeCell ref="AC35:AG36"/>
    <mergeCell ref="AC37:AG38"/>
    <mergeCell ref="AH37:AK38"/>
    <mergeCell ref="AL37:AP38"/>
    <mergeCell ref="AQ53:AT54"/>
    <mergeCell ref="BY53:DI54"/>
    <mergeCell ref="M51:AB52"/>
    <mergeCell ref="AC51:AG52"/>
    <mergeCell ref="AH51:AK52"/>
    <mergeCell ref="AL51:AP52"/>
    <mergeCell ref="AQ51:AT52"/>
    <mergeCell ref="AU51:BD54"/>
    <mergeCell ref="M49:AB50"/>
    <mergeCell ref="AC49:AG50"/>
    <mergeCell ref="AH49:AK50"/>
    <mergeCell ref="AL49:AP50"/>
    <mergeCell ref="BK39:BQ54"/>
    <mergeCell ref="AL53:AP54"/>
    <mergeCell ref="AH41:AK42"/>
    <mergeCell ref="M47:AB48"/>
    <mergeCell ref="AC47:AG48"/>
    <mergeCell ref="AH47:AK48"/>
    <mergeCell ref="M41:AB42"/>
    <mergeCell ref="AC41:AG42"/>
    <mergeCell ref="AL47:AP48"/>
    <mergeCell ref="AQ47:AT48"/>
    <mergeCell ref="EZ47:FG48"/>
    <mergeCell ref="EZ49:FG50"/>
    <mergeCell ref="EZ35:FG36"/>
    <mergeCell ref="M37:AB38"/>
    <mergeCell ref="EZ41:FG42"/>
    <mergeCell ref="CM42:DC48"/>
    <mergeCell ref="AC43:AG44"/>
    <mergeCell ref="AH43:AK44"/>
    <mergeCell ref="AL43:AP44"/>
    <mergeCell ref="AQ43:AT44"/>
    <mergeCell ref="EA47:EQ48"/>
    <mergeCell ref="ER47:EY48"/>
    <mergeCell ref="M45:AB46"/>
    <mergeCell ref="AC45:AG46"/>
    <mergeCell ref="AH45:AK46"/>
    <mergeCell ref="AL45:AP46"/>
    <mergeCell ref="AQ45:AT46"/>
    <mergeCell ref="AU45:BD50"/>
    <mergeCell ref="BE45:BJ50"/>
    <mergeCell ref="BR45:BX50"/>
    <mergeCell ref="ER45:EY46"/>
    <mergeCell ref="AQ49:AT50"/>
    <mergeCell ref="BY49:DI50"/>
    <mergeCell ref="EA49:EQ50"/>
    <mergeCell ref="AQ37:AT38"/>
    <mergeCell ref="EA37:EQ38"/>
    <mergeCell ref="ER37:EY38"/>
    <mergeCell ref="EZ37:FG38"/>
    <mergeCell ref="CH35:CL48"/>
    <mergeCell ref="CM35:DC41"/>
    <mergeCell ref="DD35:DI41"/>
    <mergeCell ref="DJ35:DP50"/>
    <mergeCell ref="AL35:AP36"/>
    <mergeCell ref="AQ35:AT36"/>
    <mergeCell ref="EZ39:FG40"/>
    <mergeCell ref="EZ45:FG46"/>
    <mergeCell ref="ER49:EY50"/>
    <mergeCell ref="EA45:EQ46"/>
    <mergeCell ref="DQ43:DZ50"/>
    <mergeCell ref="BY35:CG48"/>
    <mergeCell ref="ER43:EY44"/>
    <mergeCell ref="EZ43:FG44"/>
    <mergeCell ref="EA43:EQ44"/>
    <mergeCell ref="BR33:BX44"/>
    <mergeCell ref="EA33:EQ34"/>
    <mergeCell ref="ER33:EY34"/>
    <mergeCell ref="EZ33:FG34"/>
    <mergeCell ref="ER41:EY42"/>
    <mergeCell ref="EZ27:FG28"/>
    <mergeCell ref="M29:AB30"/>
    <mergeCell ref="AC29:AG30"/>
    <mergeCell ref="AH29:AK30"/>
    <mergeCell ref="AL29:AP30"/>
    <mergeCell ref="AQ29:AT30"/>
    <mergeCell ref="EA29:EQ30"/>
    <mergeCell ref="ER29:EY30"/>
    <mergeCell ref="EZ29:FG30"/>
    <mergeCell ref="CM27:DC34"/>
    <mergeCell ref="M33:AB34"/>
    <mergeCell ref="AC33:AG34"/>
    <mergeCell ref="AH33:AK34"/>
    <mergeCell ref="AL33:AP34"/>
    <mergeCell ref="AQ33:AT34"/>
    <mergeCell ref="AU33:BD38"/>
    <mergeCell ref="BE33:BJ44"/>
    <mergeCell ref="AL41:AP42"/>
    <mergeCell ref="AQ41:AT42"/>
    <mergeCell ref="M39:AB40"/>
    <mergeCell ref="AC39:AG40"/>
    <mergeCell ref="AH39:AK40"/>
    <mergeCell ref="AL39:AP40"/>
    <mergeCell ref="M35:AB36"/>
    <mergeCell ref="EZ31:FG32"/>
    <mergeCell ref="M19:AB20"/>
    <mergeCell ref="AC19:AG20"/>
    <mergeCell ref="AH19:AK20"/>
    <mergeCell ref="AL19:AP20"/>
    <mergeCell ref="EZ21:FG22"/>
    <mergeCell ref="B23:L30"/>
    <mergeCell ref="M23:AB24"/>
    <mergeCell ref="AC23:AG24"/>
    <mergeCell ref="AH23:AK24"/>
    <mergeCell ref="AL23:AP24"/>
    <mergeCell ref="AQ23:AT24"/>
    <mergeCell ref="EA23:EQ24"/>
    <mergeCell ref="ER23:EY24"/>
    <mergeCell ref="EZ23:FG24"/>
    <mergeCell ref="AQ25:AT26"/>
    <mergeCell ref="EZ25:FG26"/>
    <mergeCell ref="M27:AB28"/>
    <mergeCell ref="AC27:AG28"/>
    <mergeCell ref="AH27:AK28"/>
    <mergeCell ref="AL27:AP28"/>
    <mergeCell ref="AQ27:AT28"/>
    <mergeCell ref="AU27:BD32"/>
    <mergeCell ref="BK27:BQ38"/>
    <mergeCell ref="AQ21:AT22"/>
    <mergeCell ref="AU21:BD26"/>
    <mergeCell ref="BK21:BQ26"/>
    <mergeCell ref="EA21:EQ22"/>
    <mergeCell ref="ER21:EY22"/>
    <mergeCell ref="CH19:CL34"/>
    <mergeCell ref="CM19:DC26"/>
    <mergeCell ref="DD19:DI26"/>
    <mergeCell ref="DJ19:DZ26"/>
    <mergeCell ref="EA19:EQ20"/>
    <mergeCell ref="ER19:EY20"/>
    <mergeCell ref="EA25:EQ26"/>
    <mergeCell ref="ER25:EY26"/>
    <mergeCell ref="DJ27:DZ34"/>
    <mergeCell ref="EA27:EQ28"/>
    <mergeCell ref="DD27:DI34"/>
    <mergeCell ref="ER27:EY28"/>
    <mergeCell ref="AL25:AP26"/>
    <mergeCell ref="EZ15:FG18"/>
    <mergeCell ref="M17:AB18"/>
    <mergeCell ref="AC17:AG18"/>
    <mergeCell ref="AH17:AK18"/>
    <mergeCell ref="AL17:AP18"/>
    <mergeCell ref="AQ17:AT18"/>
    <mergeCell ref="CH15:CL18"/>
    <mergeCell ref="CM15:DC18"/>
    <mergeCell ref="DD15:DI18"/>
    <mergeCell ref="DJ15:DZ18"/>
    <mergeCell ref="EA15:EQ18"/>
    <mergeCell ref="ER15:EY18"/>
    <mergeCell ref="AQ15:AT16"/>
    <mergeCell ref="AU15:BD20"/>
    <mergeCell ref="BE15:BJ32"/>
    <mergeCell ref="BK15:BQ20"/>
    <mergeCell ref="BR15:BX32"/>
    <mergeCell ref="BY15:CG18"/>
    <mergeCell ref="EZ19:FG20"/>
    <mergeCell ref="M21:AB22"/>
    <mergeCell ref="AC21:AG22"/>
    <mergeCell ref="AH21:AK22"/>
    <mergeCell ref="AL21:AP22"/>
    <mergeCell ref="B15:L22"/>
    <mergeCell ref="M15:AB16"/>
    <mergeCell ref="AC15:AG16"/>
    <mergeCell ref="AH15:AK16"/>
    <mergeCell ref="AL15:AP16"/>
    <mergeCell ref="BR7:BX14"/>
    <mergeCell ref="BY7:DI10"/>
    <mergeCell ref="DJ7:DZ10"/>
    <mergeCell ref="EA7:FG10"/>
    <mergeCell ref="B9:L10"/>
    <mergeCell ref="AC9:AG14"/>
    <mergeCell ref="AH9:AK14"/>
    <mergeCell ref="AL9:AP14"/>
    <mergeCell ref="AQ9:AT14"/>
    <mergeCell ref="AU9:BD10"/>
    <mergeCell ref="B7:L8"/>
    <mergeCell ref="M7:AB10"/>
    <mergeCell ref="AC7:AK8"/>
    <mergeCell ref="AL7:AT8"/>
    <mergeCell ref="AQ19:AT20"/>
    <mergeCell ref="BY19:CG34"/>
    <mergeCell ref="M25:AB26"/>
    <mergeCell ref="AC25:AG26"/>
    <mergeCell ref="AH25:AK26"/>
    <mergeCell ref="AU7:BD8"/>
    <mergeCell ref="BE7:BQ8"/>
    <mergeCell ref="BE9:BJ14"/>
    <mergeCell ref="BK9:BQ14"/>
    <mergeCell ref="B2:AK2"/>
    <mergeCell ref="AL2:DZ2"/>
    <mergeCell ref="AC3:AK6"/>
    <mergeCell ref="AL3:AT6"/>
    <mergeCell ref="BE3:BQ6"/>
    <mergeCell ref="BR3:BX6"/>
    <mergeCell ref="BY3:DI6"/>
    <mergeCell ref="DJ3:FG6"/>
    <mergeCell ref="BY11:CL14"/>
    <mergeCell ref="CM11:DI14"/>
    <mergeCell ref="DJ11:DZ14"/>
    <mergeCell ref="EA11:FG12"/>
    <mergeCell ref="EA13:FG14"/>
  </mergeCells>
  <phoneticPr fontId="7" type="noConversion"/>
  <printOptions horizontalCentered="1" verticalCentered="1"/>
  <pageMargins left="0.19685039370078741" right="0.19685039370078741" top="0.39370078740157483" bottom="0.39370078740157483" header="0" footer="0"/>
  <pageSetup paperSize="9" scale="50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V38"/>
  <sheetViews>
    <sheetView view="pageBreakPreview" zoomScaleNormal="160" zoomScaleSheetLayoutView="100" workbookViewId="0"/>
  </sheetViews>
  <sheetFormatPr defaultRowHeight="10.5"/>
  <cols>
    <col min="1" max="1" width="9.33203125" style="55"/>
    <col min="2" max="2" width="28.83203125" style="55" customWidth="1"/>
    <col min="3" max="3" width="32" style="55" customWidth="1"/>
    <col min="4" max="4" width="22.33203125" style="55" customWidth="1"/>
    <col min="5" max="13" width="8.5" style="55" customWidth="1"/>
    <col min="14" max="21" width="10" style="55" bestFit="1" customWidth="1"/>
    <col min="22" max="257" width="9.33203125" style="55"/>
    <col min="258" max="258" width="28.83203125" style="55" customWidth="1"/>
    <col min="259" max="259" width="32" style="55" customWidth="1"/>
    <col min="260" max="260" width="22.33203125" style="55" customWidth="1"/>
    <col min="261" max="269" width="8.5" style="55" customWidth="1"/>
    <col min="270" max="277" width="10" style="55" bestFit="1" customWidth="1"/>
    <col min="278" max="513" width="9.33203125" style="55"/>
    <col min="514" max="514" width="28.83203125" style="55" customWidth="1"/>
    <col min="515" max="515" width="32" style="55" customWidth="1"/>
    <col min="516" max="516" width="22.33203125" style="55" customWidth="1"/>
    <col min="517" max="525" width="8.5" style="55" customWidth="1"/>
    <col min="526" max="533" width="10" style="55" bestFit="1" customWidth="1"/>
    <col min="534" max="769" width="9.33203125" style="55"/>
    <col min="770" max="770" width="28.83203125" style="55" customWidth="1"/>
    <col min="771" max="771" width="32" style="55" customWidth="1"/>
    <col min="772" max="772" width="22.33203125" style="55" customWidth="1"/>
    <col min="773" max="781" width="8.5" style="55" customWidth="1"/>
    <col min="782" max="789" width="10" style="55" bestFit="1" customWidth="1"/>
    <col min="790" max="1025" width="9.33203125" style="55"/>
    <col min="1026" max="1026" width="28.83203125" style="55" customWidth="1"/>
    <col min="1027" max="1027" width="32" style="55" customWidth="1"/>
    <col min="1028" max="1028" width="22.33203125" style="55" customWidth="1"/>
    <col min="1029" max="1037" width="8.5" style="55" customWidth="1"/>
    <col min="1038" max="1045" width="10" style="55" bestFit="1" customWidth="1"/>
    <col min="1046" max="1281" width="9.33203125" style="55"/>
    <col min="1282" max="1282" width="28.83203125" style="55" customWidth="1"/>
    <col min="1283" max="1283" width="32" style="55" customWidth="1"/>
    <col min="1284" max="1284" width="22.33203125" style="55" customWidth="1"/>
    <col min="1285" max="1293" width="8.5" style="55" customWidth="1"/>
    <col min="1294" max="1301" width="10" style="55" bestFit="1" customWidth="1"/>
    <col min="1302" max="1537" width="9.33203125" style="55"/>
    <col min="1538" max="1538" width="28.83203125" style="55" customWidth="1"/>
    <col min="1539" max="1539" width="32" style="55" customWidth="1"/>
    <col min="1540" max="1540" width="22.33203125" style="55" customWidth="1"/>
    <col min="1541" max="1549" width="8.5" style="55" customWidth="1"/>
    <col min="1550" max="1557" width="10" style="55" bestFit="1" customWidth="1"/>
    <col min="1558" max="1793" width="9.33203125" style="55"/>
    <col min="1794" max="1794" width="28.83203125" style="55" customWidth="1"/>
    <col min="1795" max="1795" width="32" style="55" customWidth="1"/>
    <col min="1796" max="1796" width="22.33203125" style="55" customWidth="1"/>
    <col min="1797" max="1805" width="8.5" style="55" customWidth="1"/>
    <col min="1806" max="1813" width="10" style="55" bestFit="1" customWidth="1"/>
    <col min="1814" max="2049" width="9.33203125" style="55"/>
    <col min="2050" max="2050" width="28.83203125" style="55" customWidth="1"/>
    <col min="2051" max="2051" width="32" style="55" customWidth="1"/>
    <col min="2052" max="2052" width="22.33203125" style="55" customWidth="1"/>
    <col min="2053" max="2061" width="8.5" style="55" customWidth="1"/>
    <col min="2062" max="2069" width="10" style="55" bestFit="1" customWidth="1"/>
    <col min="2070" max="2305" width="9.33203125" style="55"/>
    <col min="2306" max="2306" width="28.83203125" style="55" customWidth="1"/>
    <col min="2307" max="2307" width="32" style="55" customWidth="1"/>
    <col min="2308" max="2308" width="22.33203125" style="55" customWidth="1"/>
    <col min="2309" max="2317" width="8.5" style="55" customWidth="1"/>
    <col min="2318" max="2325" width="10" style="55" bestFit="1" customWidth="1"/>
    <col min="2326" max="2561" width="9.33203125" style="55"/>
    <col min="2562" max="2562" width="28.83203125" style="55" customWidth="1"/>
    <col min="2563" max="2563" width="32" style="55" customWidth="1"/>
    <col min="2564" max="2564" width="22.33203125" style="55" customWidth="1"/>
    <col min="2565" max="2573" width="8.5" style="55" customWidth="1"/>
    <col min="2574" max="2581" width="10" style="55" bestFit="1" customWidth="1"/>
    <col min="2582" max="2817" width="9.33203125" style="55"/>
    <col min="2818" max="2818" width="28.83203125" style="55" customWidth="1"/>
    <col min="2819" max="2819" width="32" style="55" customWidth="1"/>
    <col min="2820" max="2820" width="22.33203125" style="55" customWidth="1"/>
    <col min="2821" max="2829" width="8.5" style="55" customWidth="1"/>
    <col min="2830" max="2837" width="10" style="55" bestFit="1" customWidth="1"/>
    <col min="2838" max="3073" width="9.33203125" style="55"/>
    <col min="3074" max="3074" width="28.83203125" style="55" customWidth="1"/>
    <col min="3075" max="3075" width="32" style="55" customWidth="1"/>
    <col min="3076" max="3076" width="22.33203125" style="55" customWidth="1"/>
    <col min="3077" max="3085" width="8.5" style="55" customWidth="1"/>
    <col min="3086" max="3093" width="10" style="55" bestFit="1" customWidth="1"/>
    <col min="3094" max="3329" width="9.33203125" style="55"/>
    <col min="3330" max="3330" width="28.83203125" style="55" customWidth="1"/>
    <col min="3331" max="3331" width="32" style="55" customWidth="1"/>
    <col min="3332" max="3332" width="22.33203125" style="55" customWidth="1"/>
    <col min="3333" max="3341" width="8.5" style="55" customWidth="1"/>
    <col min="3342" max="3349" width="10" style="55" bestFit="1" customWidth="1"/>
    <col min="3350" max="3585" width="9.33203125" style="55"/>
    <col min="3586" max="3586" width="28.83203125" style="55" customWidth="1"/>
    <col min="3587" max="3587" width="32" style="55" customWidth="1"/>
    <col min="3588" max="3588" width="22.33203125" style="55" customWidth="1"/>
    <col min="3589" max="3597" width="8.5" style="55" customWidth="1"/>
    <col min="3598" max="3605" width="10" style="55" bestFit="1" customWidth="1"/>
    <col min="3606" max="3841" width="9.33203125" style="55"/>
    <col min="3842" max="3842" width="28.83203125" style="55" customWidth="1"/>
    <col min="3843" max="3843" width="32" style="55" customWidth="1"/>
    <col min="3844" max="3844" width="22.33203125" style="55" customWidth="1"/>
    <col min="3845" max="3853" width="8.5" style="55" customWidth="1"/>
    <col min="3854" max="3861" width="10" style="55" bestFit="1" customWidth="1"/>
    <col min="3862" max="4097" width="9.33203125" style="55"/>
    <col min="4098" max="4098" width="28.83203125" style="55" customWidth="1"/>
    <col min="4099" max="4099" width="32" style="55" customWidth="1"/>
    <col min="4100" max="4100" width="22.33203125" style="55" customWidth="1"/>
    <col min="4101" max="4109" width="8.5" style="55" customWidth="1"/>
    <col min="4110" max="4117" width="10" style="55" bestFit="1" customWidth="1"/>
    <col min="4118" max="4353" width="9.33203125" style="55"/>
    <col min="4354" max="4354" width="28.83203125" style="55" customWidth="1"/>
    <col min="4355" max="4355" width="32" style="55" customWidth="1"/>
    <col min="4356" max="4356" width="22.33203125" style="55" customWidth="1"/>
    <col min="4357" max="4365" width="8.5" style="55" customWidth="1"/>
    <col min="4366" max="4373" width="10" style="55" bestFit="1" customWidth="1"/>
    <col min="4374" max="4609" width="9.33203125" style="55"/>
    <col min="4610" max="4610" width="28.83203125" style="55" customWidth="1"/>
    <col min="4611" max="4611" width="32" style="55" customWidth="1"/>
    <col min="4612" max="4612" width="22.33203125" style="55" customWidth="1"/>
    <col min="4613" max="4621" width="8.5" style="55" customWidth="1"/>
    <col min="4622" max="4629" width="10" style="55" bestFit="1" customWidth="1"/>
    <col min="4630" max="4865" width="9.33203125" style="55"/>
    <col min="4866" max="4866" width="28.83203125" style="55" customWidth="1"/>
    <col min="4867" max="4867" width="32" style="55" customWidth="1"/>
    <col min="4868" max="4868" width="22.33203125" style="55" customWidth="1"/>
    <col min="4869" max="4877" width="8.5" style="55" customWidth="1"/>
    <col min="4878" max="4885" width="10" style="55" bestFit="1" customWidth="1"/>
    <col min="4886" max="5121" width="9.33203125" style="55"/>
    <col min="5122" max="5122" width="28.83203125" style="55" customWidth="1"/>
    <col min="5123" max="5123" width="32" style="55" customWidth="1"/>
    <col min="5124" max="5124" width="22.33203125" style="55" customWidth="1"/>
    <col min="5125" max="5133" width="8.5" style="55" customWidth="1"/>
    <col min="5134" max="5141" width="10" style="55" bestFit="1" customWidth="1"/>
    <col min="5142" max="5377" width="9.33203125" style="55"/>
    <col min="5378" max="5378" width="28.83203125" style="55" customWidth="1"/>
    <col min="5379" max="5379" width="32" style="55" customWidth="1"/>
    <col min="5380" max="5380" width="22.33203125" style="55" customWidth="1"/>
    <col min="5381" max="5389" width="8.5" style="55" customWidth="1"/>
    <col min="5390" max="5397" width="10" style="55" bestFit="1" customWidth="1"/>
    <col min="5398" max="5633" width="9.33203125" style="55"/>
    <col min="5634" max="5634" width="28.83203125" style="55" customWidth="1"/>
    <col min="5635" max="5635" width="32" style="55" customWidth="1"/>
    <col min="5636" max="5636" width="22.33203125" style="55" customWidth="1"/>
    <col min="5637" max="5645" width="8.5" style="55" customWidth="1"/>
    <col min="5646" max="5653" width="10" style="55" bestFit="1" customWidth="1"/>
    <col min="5654" max="5889" width="9.33203125" style="55"/>
    <col min="5890" max="5890" width="28.83203125" style="55" customWidth="1"/>
    <col min="5891" max="5891" width="32" style="55" customWidth="1"/>
    <col min="5892" max="5892" width="22.33203125" style="55" customWidth="1"/>
    <col min="5893" max="5901" width="8.5" style="55" customWidth="1"/>
    <col min="5902" max="5909" width="10" style="55" bestFit="1" customWidth="1"/>
    <col min="5910" max="6145" width="9.33203125" style="55"/>
    <col min="6146" max="6146" width="28.83203125" style="55" customWidth="1"/>
    <col min="6147" max="6147" width="32" style="55" customWidth="1"/>
    <col min="6148" max="6148" width="22.33203125" style="55" customWidth="1"/>
    <col min="6149" max="6157" width="8.5" style="55" customWidth="1"/>
    <col min="6158" max="6165" width="10" style="55" bestFit="1" customWidth="1"/>
    <col min="6166" max="6401" width="9.33203125" style="55"/>
    <col min="6402" max="6402" width="28.83203125" style="55" customWidth="1"/>
    <col min="6403" max="6403" width="32" style="55" customWidth="1"/>
    <col min="6404" max="6404" width="22.33203125" style="55" customWidth="1"/>
    <col min="6405" max="6413" width="8.5" style="55" customWidth="1"/>
    <col min="6414" max="6421" width="10" style="55" bestFit="1" customWidth="1"/>
    <col min="6422" max="6657" width="9.33203125" style="55"/>
    <col min="6658" max="6658" width="28.83203125" style="55" customWidth="1"/>
    <col min="6659" max="6659" width="32" style="55" customWidth="1"/>
    <col min="6660" max="6660" width="22.33203125" style="55" customWidth="1"/>
    <col min="6661" max="6669" width="8.5" style="55" customWidth="1"/>
    <col min="6670" max="6677" width="10" style="55" bestFit="1" customWidth="1"/>
    <col min="6678" max="6913" width="9.33203125" style="55"/>
    <col min="6914" max="6914" width="28.83203125" style="55" customWidth="1"/>
    <col min="6915" max="6915" width="32" style="55" customWidth="1"/>
    <col min="6916" max="6916" width="22.33203125" style="55" customWidth="1"/>
    <col min="6917" max="6925" width="8.5" style="55" customWidth="1"/>
    <col min="6926" max="6933" width="10" style="55" bestFit="1" customWidth="1"/>
    <col min="6934" max="7169" width="9.33203125" style="55"/>
    <col min="7170" max="7170" width="28.83203125" style="55" customWidth="1"/>
    <col min="7171" max="7171" width="32" style="55" customWidth="1"/>
    <col min="7172" max="7172" width="22.33203125" style="55" customWidth="1"/>
    <col min="7173" max="7181" width="8.5" style="55" customWidth="1"/>
    <col min="7182" max="7189" width="10" style="55" bestFit="1" customWidth="1"/>
    <col min="7190" max="7425" width="9.33203125" style="55"/>
    <col min="7426" max="7426" width="28.83203125" style="55" customWidth="1"/>
    <col min="7427" max="7427" width="32" style="55" customWidth="1"/>
    <col min="7428" max="7428" width="22.33203125" style="55" customWidth="1"/>
    <col min="7429" max="7437" width="8.5" style="55" customWidth="1"/>
    <col min="7438" max="7445" width="10" style="55" bestFit="1" customWidth="1"/>
    <col min="7446" max="7681" width="9.33203125" style="55"/>
    <col min="7682" max="7682" width="28.83203125" style="55" customWidth="1"/>
    <col min="7683" max="7683" width="32" style="55" customWidth="1"/>
    <col min="7684" max="7684" width="22.33203125" style="55" customWidth="1"/>
    <col min="7685" max="7693" width="8.5" style="55" customWidth="1"/>
    <col min="7694" max="7701" width="10" style="55" bestFit="1" customWidth="1"/>
    <col min="7702" max="7937" width="9.33203125" style="55"/>
    <col min="7938" max="7938" width="28.83203125" style="55" customWidth="1"/>
    <col min="7939" max="7939" width="32" style="55" customWidth="1"/>
    <col min="7940" max="7940" width="22.33203125" style="55" customWidth="1"/>
    <col min="7941" max="7949" width="8.5" style="55" customWidth="1"/>
    <col min="7950" max="7957" width="10" style="55" bestFit="1" customWidth="1"/>
    <col min="7958" max="8193" width="9.33203125" style="55"/>
    <col min="8194" max="8194" width="28.83203125" style="55" customWidth="1"/>
    <col min="8195" max="8195" width="32" style="55" customWidth="1"/>
    <col min="8196" max="8196" width="22.33203125" style="55" customWidth="1"/>
    <col min="8197" max="8205" width="8.5" style="55" customWidth="1"/>
    <col min="8206" max="8213" width="10" style="55" bestFit="1" customWidth="1"/>
    <col min="8214" max="8449" width="9.33203125" style="55"/>
    <col min="8450" max="8450" width="28.83203125" style="55" customWidth="1"/>
    <col min="8451" max="8451" width="32" style="55" customWidth="1"/>
    <col min="8452" max="8452" width="22.33203125" style="55" customWidth="1"/>
    <col min="8453" max="8461" width="8.5" style="55" customWidth="1"/>
    <col min="8462" max="8469" width="10" style="55" bestFit="1" customWidth="1"/>
    <col min="8470" max="8705" width="9.33203125" style="55"/>
    <col min="8706" max="8706" width="28.83203125" style="55" customWidth="1"/>
    <col min="8707" max="8707" width="32" style="55" customWidth="1"/>
    <col min="8708" max="8708" width="22.33203125" style="55" customWidth="1"/>
    <col min="8709" max="8717" width="8.5" style="55" customWidth="1"/>
    <col min="8718" max="8725" width="10" style="55" bestFit="1" customWidth="1"/>
    <col min="8726" max="8961" width="9.33203125" style="55"/>
    <col min="8962" max="8962" width="28.83203125" style="55" customWidth="1"/>
    <col min="8963" max="8963" width="32" style="55" customWidth="1"/>
    <col min="8964" max="8964" width="22.33203125" style="55" customWidth="1"/>
    <col min="8965" max="8973" width="8.5" style="55" customWidth="1"/>
    <col min="8974" max="8981" width="10" style="55" bestFit="1" customWidth="1"/>
    <col min="8982" max="9217" width="9.33203125" style="55"/>
    <col min="9218" max="9218" width="28.83203125" style="55" customWidth="1"/>
    <col min="9219" max="9219" width="32" style="55" customWidth="1"/>
    <col min="9220" max="9220" width="22.33203125" style="55" customWidth="1"/>
    <col min="9221" max="9229" width="8.5" style="55" customWidth="1"/>
    <col min="9230" max="9237" width="10" style="55" bestFit="1" customWidth="1"/>
    <col min="9238" max="9473" width="9.33203125" style="55"/>
    <col min="9474" max="9474" width="28.83203125" style="55" customWidth="1"/>
    <col min="9475" max="9475" width="32" style="55" customWidth="1"/>
    <col min="9476" max="9476" width="22.33203125" style="55" customWidth="1"/>
    <col min="9477" max="9485" width="8.5" style="55" customWidth="1"/>
    <col min="9486" max="9493" width="10" style="55" bestFit="1" customWidth="1"/>
    <col min="9494" max="9729" width="9.33203125" style="55"/>
    <col min="9730" max="9730" width="28.83203125" style="55" customWidth="1"/>
    <col min="9731" max="9731" width="32" style="55" customWidth="1"/>
    <col min="9732" max="9732" width="22.33203125" style="55" customWidth="1"/>
    <col min="9733" max="9741" width="8.5" style="55" customWidth="1"/>
    <col min="9742" max="9749" width="10" style="55" bestFit="1" customWidth="1"/>
    <col min="9750" max="9985" width="9.33203125" style="55"/>
    <col min="9986" max="9986" width="28.83203125" style="55" customWidth="1"/>
    <col min="9987" max="9987" width="32" style="55" customWidth="1"/>
    <col min="9988" max="9988" width="22.33203125" style="55" customWidth="1"/>
    <col min="9989" max="9997" width="8.5" style="55" customWidth="1"/>
    <col min="9998" max="10005" width="10" style="55" bestFit="1" customWidth="1"/>
    <col min="10006" max="10241" width="9.33203125" style="55"/>
    <col min="10242" max="10242" width="28.83203125" style="55" customWidth="1"/>
    <col min="10243" max="10243" width="32" style="55" customWidth="1"/>
    <col min="10244" max="10244" width="22.33203125" style="55" customWidth="1"/>
    <col min="10245" max="10253" width="8.5" style="55" customWidth="1"/>
    <col min="10254" max="10261" width="10" style="55" bestFit="1" customWidth="1"/>
    <col min="10262" max="10497" width="9.33203125" style="55"/>
    <col min="10498" max="10498" width="28.83203125" style="55" customWidth="1"/>
    <col min="10499" max="10499" width="32" style="55" customWidth="1"/>
    <col min="10500" max="10500" width="22.33203125" style="55" customWidth="1"/>
    <col min="10501" max="10509" width="8.5" style="55" customWidth="1"/>
    <col min="10510" max="10517" width="10" style="55" bestFit="1" customWidth="1"/>
    <col min="10518" max="10753" width="9.33203125" style="55"/>
    <col min="10754" max="10754" width="28.83203125" style="55" customWidth="1"/>
    <col min="10755" max="10755" width="32" style="55" customWidth="1"/>
    <col min="10756" max="10756" width="22.33203125" style="55" customWidth="1"/>
    <col min="10757" max="10765" width="8.5" style="55" customWidth="1"/>
    <col min="10766" max="10773" width="10" style="55" bestFit="1" customWidth="1"/>
    <col min="10774" max="11009" width="9.33203125" style="55"/>
    <col min="11010" max="11010" width="28.83203125" style="55" customWidth="1"/>
    <col min="11011" max="11011" width="32" style="55" customWidth="1"/>
    <col min="11012" max="11012" width="22.33203125" style="55" customWidth="1"/>
    <col min="11013" max="11021" width="8.5" style="55" customWidth="1"/>
    <col min="11022" max="11029" width="10" style="55" bestFit="1" customWidth="1"/>
    <col min="11030" max="11265" width="9.33203125" style="55"/>
    <col min="11266" max="11266" width="28.83203125" style="55" customWidth="1"/>
    <col min="11267" max="11267" width="32" style="55" customWidth="1"/>
    <col min="11268" max="11268" width="22.33203125" style="55" customWidth="1"/>
    <col min="11269" max="11277" width="8.5" style="55" customWidth="1"/>
    <col min="11278" max="11285" width="10" style="55" bestFit="1" customWidth="1"/>
    <col min="11286" max="11521" width="9.33203125" style="55"/>
    <col min="11522" max="11522" width="28.83203125" style="55" customWidth="1"/>
    <col min="11523" max="11523" width="32" style="55" customWidth="1"/>
    <col min="11524" max="11524" width="22.33203125" style="55" customWidth="1"/>
    <col min="11525" max="11533" width="8.5" style="55" customWidth="1"/>
    <col min="11534" max="11541" width="10" style="55" bestFit="1" customWidth="1"/>
    <col min="11542" max="11777" width="9.33203125" style="55"/>
    <col min="11778" max="11778" width="28.83203125" style="55" customWidth="1"/>
    <col min="11779" max="11779" width="32" style="55" customWidth="1"/>
    <col min="11780" max="11780" width="22.33203125" style="55" customWidth="1"/>
    <col min="11781" max="11789" width="8.5" style="55" customWidth="1"/>
    <col min="11790" max="11797" width="10" style="55" bestFit="1" customWidth="1"/>
    <col min="11798" max="12033" width="9.33203125" style="55"/>
    <col min="12034" max="12034" width="28.83203125" style="55" customWidth="1"/>
    <col min="12035" max="12035" width="32" style="55" customWidth="1"/>
    <col min="12036" max="12036" width="22.33203125" style="55" customWidth="1"/>
    <col min="12037" max="12045" width="8.5" style="55" customWidth="1"/>
    <col min="12046" max="12053" width="10" style="55" bestFit="1" customWidth="1"/>
    <col min="12054" max="12289" width="9.33203125" style="55"/>
    <col min="12290" max="12290" width="28.83203125" style="55" customWidth="1"/>
    <col min="12291" max="12291" width="32" style="55" customWidth="1"/>
    <col min="12292" max="12292" width="22.33203125" style="55" customWidth="1"/>
    <col min="12293" max="12301" width="8.5" style="55" customWidth="1"/>
    <col min="12302" max="12309" width="10" style="55" bestFit="1" customWidth="1"/>
    <col min="12310" max="12545" width="9.33203125" style="55"/>
    <col min="12546" max="12546" width="28.83203125" style="55" customWidth="1"/>
    <col min="12547" max="12547" width="32" style="55" customWidth="1"/>
    <col min="12548" max="12548" width="22.33203125" style="55" customWidth="1"/>
    <col min="12549" max="12557" width="8.5" style="55" customWidth="1"/>
    <col min="12558" max="12565" width="10" style="55" bestFit="1" customWidth="1"/>
    <col min="12566" max="12801" width="9.33203125" style="55"/>
    <col min="12802" max="12802" width="28.83203125" style="55" customWidth="1"/>
    <col min="12803" max="12803" width="32" style="55" customWidth="1"/>
    <col min="12804" max="12804" width="22.33203125" style="55" customWidth="1"/>
    <col min="12805" max="12813" width="8.5" style="55" customWidth="1"/>
    <col min="12814" max="12821" width="10" style="55" bestFit="1" customWidth="1"/>
    <col min="12822" max="13057" width="9.33203125" style="55"/>
    <col min="13058" max="13058" width="28.83203125" style="55" customWidth="1"/>
    <col min="13059" max="13059" width="32" style="55" customWidth="1"/>
    <col min="13060" max="13060" width="22.33203125" style="55" customWidth="1"/>
    <col min="13061" max="13069" width="8.5" style="55" customWidth="1"/>
    <col min="13070" max="13077" width="10" style="55" bestFit="1" customWidth="1"/>
    <col min="13078" max="13313" width="9.33203125" style="55"/>
    <col min="13314" max="13314" width="28.83203125" style="55" customWidth="1"/>
    <col min="13315" max="13315" width="32" style="55" customWidth="1"/>
    <col min="13316" max="13316" width="22.33203125" style="55" customWidth="1"/>
    <col min="13317" max="13325" width="8.5" style="55" customWidth="1"/>
    <col min="13326" max="13333" width="10" style="55" bestFit="1" customWidth="1"/>
    <col min="13334" max="13569" width="9.33203125" style="55"/>
    <col min="13570" max="13570" width="28.83203125" style="55" customWidth="1"/>
    <col min="13571" max="13571" width="32" style="55" customWidth="1"/>
    <col min="13572" max="13572" width="22.33203125" style="55" customWidth="1"/>
    <col min="13573" max="13581" width="8.5" style="55" customWidth="1"/>
    <col min="13582" max="13589" width="10" style="55" bestFit="1" customWidth="1"/>
    <col min="13590" max="13825" width="9.33203125" style="55"/>
    <col min="13826" max="13826" width="28.83203125" style="55" customWidth="1"/>
    <col min="13827" max="13827" width="32" style="55" customWidth="1"/>
    <col min="13828" max="13828" width="22.33203125" style="55" customWidth="1"/>
    <col min="13829" max="13837" width="8.5" style="55" customWidth="1"/>
    <col min="13838" max="13845" width="10" style="55" bestFit="1" customWidth="1"/>
    <col min="13846" max="14081" width="9.33203125" style="55"/>
    <col min="14082" max="14082" width="28.83203125" style="55" customWidth="1"/>
    <col min="14083" max="14083" width="32" style="55" customWidth="1"/>
    <col min="14084" max="14084" width="22.33203125" style="55" customWidth="1"/>
    <col min="14085" max="14093" width="8.5" style="55" customWidth="1"/>
    <col min="14094" max="14101" width="10" style="55" bestFit="1" customWidth="1"/>
    <col min="14102" max="14337" width="9.33203125" style="55"/>
    <col min="14338" max="14338" width="28.83203125" style="55" customWidth="1"/>
    <col min="14339" max="14339" width="32" style="55" customWidth="1"/>
    <col min="14340" max="14340" width="22.33203125" style="55" customWidth="1"/>
    <col min="14341" max="14349" width="8.5" style="55" customWidth="1"/>
    <col min="14350" max="14357" width="10" style="55" bestFit="1" customWidth="1"/>
    <col min="14358" max="14593" width="9.33203125" style="55"/>
    <col min="14594" max="14594" width="28.83203125" style="55" customWidth="1"/>
    <col min="14595" max="14595" width="32" style="55" customWidth="1"/>
    <col min="14596" max="14596" width="22.33203125" style="55" customWidth="1"/>
    <col min="14597" max="14605" width="8.5" style="55" customWidth="1"/>
    <col min="14606" max="14613" width="10" style="55" bestFit="1" customWidth="1"/>
    <col min="14614" max="14849" width="9.33203125" style="55"/>
    <col min="14850" max="14850" width="28.83203125" style="55" customWidth="1"/>
    <col min="14851" max="14851" width="32" style="55" customWidth="1"/>
    <col min="14852" max="14852" width="22.33203125" style="55" customWidth="1"/>
    <col min="14853" max="14861" width="8.5" style="55" customWidth="1"/>
    <col min="14862" max="14869" width="10" style="55" bestFit="1" customWidth="1"/>
    <col min="14870" max="15105" width="9.33203125" style="55"/>
    <col min="15106" max="15106" width="28.83203125" style="55" customWidth="1"/>
    <col min="15107" max="15107" width="32" style="55" customWidth="1"/>
    <col min="15108" max="15108" width="22.33203125" style="55" customWidth="1"/>
    <col min="15109" max="15117" width="8.5" style="55" customWidth="1"/>
    <col min="15118" max="15125" width="10" style="55" bestFit="1" customWidth="1"/>
    <col min="15126" max="15361" width="9.33203125" style="55"/>
    <col min="15362" max="15362" width="28.83203125" style="55" customWidth="1"/>
    <col min="15363" max="15363" width="32" style="55" customWidth="1"/>
    <col min="15364" max="15364" width="22.33203125" style="55" customWidth="1"/>
    <col min="15365" max="15373" width="8.5" style="55" customWidth="1"/>
    <col min="15374" max="15381" width="10" style="55" bestFit="1" customWidth="1"/>
    <col min="15382" max="15617" width="9.33203125" style="55"/>
    <col min="15618" max="15618" width="28.83203125" style="55" customWidth="1"/>
    <col min="15619" max="15619" width="32" style="55" customWidth="1"/>
    <col min="15620" max="15620" width="22.33203125" style="55" customWidth="1"/>
    <col min="15621" max="15629" width="8.5" style="55" customWidth="1"/>
    <col min="15630" max="15637" width="10" style="55" bestFit="1" customWidth="1"/>
    <col min="15638" max="15873" width="9.33203125" style="55"/>
    <col min="15874" max="15874" width="28.83203125" style="55" customWidth="1"/>
    <col min="15875" max="15875" width="32" style="55" customWidth="1"/>
    <col min="15876" max="15876" width="22.33203125" style="55" customWidth="1"/>
    <col min="15877" max="15885" width="8.5" style="55" customWidth="1"/>
    <col min="15886" max="15893" width="10" style="55" bestFit="1" customWidth="1"/>
    <col min="15894" max="16129" width="9.33203125" style="55"/>
    <col min="16130" max="16130" width="28.83203125" style="55" customWidth="1"/>
    <col min="16131" max="16131" width="32" style="55" customWidth="1"/>
    <col min="16132" max="16132" width="22.33203125" style="55" customWidth="1"/>
    <col min="16133" max="16141" width="8.5" style="55" customWidth="1"/>
    <col min="16142" max="16149" width="10" style="55" bestFit="1" customWidth="1"/>
    <col min="16150" max="16384" width="9.33203125" style="55"/>
  </cols>
  <sheetData>
    <row r="4" spans="2:22" ht="11.25">
      <c r="B4" s="217" t="s">
        <v>6517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</row>
    <row r="5" spans="2:22" ht="11.25">
      <c r="B5" s="218" t="s">
        <v>6518</v>
      </c>
      <c r="C5" s="219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865" t="s">
        <v>6519</v>
      </c>
      <c r="O5" s="865"/>
      <c r="P5" s="865"/>
      <c r="Q5" s="865"/>
      <c r="R5" s="865"/>
      <c r="S5" s="865"/>
      <c r="T5" s="865"/>
      <c r="U5" s="865"/>
      <c r="V5" s="865"/>
    </row>
    <row r="6" spans="2:22" ht="11.25">
      <c r="B6" s="866" t="s">
        <v>6520</v>
      </c>
      <c r="C6" s="866" t="s">
        <v>6521</v>
      </c>
      <c r="D6" s="866" t="s">
        <v>6522</v>
      </c>
      <c r="E6" s="868" t="s">
        <v>6523</v>
      </c>
      <c r="F6" s="868"/>
      <c r="G6" s="868"/>
      <c r="H6" s="868"/>
      <c r="I6" s="868"/>
      <c r="J6" s="868"/>
      <c r="K6" s="868"/>
      <c r="L6" s="868"/>
      <c r="M6" s="868"/>
      <c r="N6" s="868"/>
      <c r="O6" s="868"/>
      <c r="P6" s="868"/>
      <c r="Q6" s="868"/>
      <c r="R6" s="868"/>
      <c r="S6" s="868"/>
      <c r="T6" s="868"/>
      <c r="U6" s="868"/>
      <c r="V6" s="866" t="s">
        <v>6524</v>
      </c>
    </row>
    <row r="7" spans="2:22" ht="12" thickBot="1">
      <c r="B7" s="867"/>
      <c r="C7" s="867"/>
      <c r="D7" s="867"/>
      <c r="E7" s="221">
        <v>750</v>
      </c>
      <c r="F7" s="221">
        <v>700</v>
      </c>
      <c r="G7" s="221">
        <v>650</v>
      </c>
      <c r="H7" s="221">
        <v>600</v>
      </c>
      <c r="I7" s="221">
        <v>550</v>
      </c>
      <c r="J7" s="221">
        <v>500</v>
      </c>
      <c r="K7" s="221">
        <v>450</v>
      </c>
      <c r="L7" s="221">
        <v>400</v>
      </c>
      <c r="M7" s="221">
        <v>350</v>
      </c>
      <c r="N7" s="222">
        <v>300</v>
      </c>
      <c r="O7" s="222">
        <v>250</v>
      </c>
      <c r="P7" s="222">
        <v>200</v>
      </c>
      <c r="Q7" s="222">
        <v>150</v>
      </c>
      <c r="R7" s="222">
        <v>125</v>
      </c>
      <c r="S7" s="222">
        <v>100</v>
      </c>
      <c r="T7" s="222">
        <v>80</v>
      </c>
      <c r="U7" s="222">
        <v>65</v>
      </c>
      <c r="V7" s="867"/>
    </row>
    <row r="8" spans="2:22" ht="12.75" thickTop="1" thickBot="1">
      <c r="B8" s="223" t="s">
        <v>6525</v>
      </c>
      <c r="C8" s="223" t="s">
        <v>6526</v>
      </c>
      <c r="D8" s="224"/>
      <c r="E8" s="225">
        <v>2.2200000000000002</v>
      </c>
      <c r="F8" s="225">
        <v>1.78</v>
      </c>
      <c r="G8" s="225">
        <v>1.78</v>
      </c>
      <c r="H8" s="225">
        <v>1.3480000000000001</v>
      </c>
      <c r="I8" s="225">
        <v>0.88200000000000001</v>
      </c>
      <c r="J8" s="225">
        <v>0.76600000000000001</v>
      </c>
      <c r="K8" s="225">
        <v>0.622</v>
      </c>
      <c r="L8" s="225">
        <v>0.438</v>
      </c>
      <c r="M8" s="225">
        <v>0.35599999999999998</v>
      </c>
      <c r="N8" s="225">
        <v>0.26800000000000002</v>
      </c>
      <c r="O8" s="225">
        <v>0.06</v>
      </c>
      <c r="P8" s="225">
        <v>0.13</v>
      </c>
      <c r="Q8" s="225">
        <v>7.8E-2</v>
      </c>
      <c r="R8" s="225">
        <v>7.8E-2</v>
      </c>
      <c r="S8" s="225">
        <v>4.3999999999999997E-2</v>
      </c>
      <c r="T8" s="225">
        <v>1.2E-2</v>
      </c>
      <c r="U8" s="225">
        <v>1.2E-2</v>
      </c>
      <c r="V8" s="226"/>
    </row>
    <row r="9" spans="2:22" ht="12" thickBot="1">
      <c r="B9" s="227" t="s">
        <v>6527</v>
      </c>
      <c r="C9" s="227" t="s">
        <v>6528</v>
      </c>
      <c r="D9" s="228"/>
      <c r="E9" s="229">
        <v>2.7120000000000002</v>
      </c>
      <c r="F9" s="229">
        <v>2.524</v>
      </c>
      <c r="G9" s="229">
        <v>1.8540000000000001</v>
      </c>
      <c r="H9" s="229">
        <v>1.2769999999999999</v>
      </c>
      <c r="I9" s="229">
        <v>1.0720000000000001</v>
      </c>
      <c r="J9" s="229">
        <v>0.77100000000000002</v>
      </c>
      <c r="K9" s="229">
        <v>0.86799999999999999</v>
      </c>
      <c r="L9" s="229">
        <v>0.84799999999999998</v>
      </c>
      <c r="M9" s="229">
        <v>0.72599999999999998</v>
      </c>
      <c r="N9" s="229">
        <v>0.28699999999999998</v>
      </c>
      <c r="O9" s="229">
        <v>0.23499999999999999</v>
      </c>
      <c r="P9" s="229">
        <v>0.193</v>
      </c>
      <c r="Q9" s="229">
        <v>0.16300000000000001</v>
      </c>
      <c r="R9" s="229">
        <v>0.161</v>
      </c>
      <c r="S9" s="229">
        <v>0.13700000000000001</v>
      </c>
      <c r="T9" s="229">
        <v>9.4E-2</v>
      </c>
      <c r="U9" s="229">
        <v>9.1999999999999998E-2</v>
      </c>
      <c r="V9" s="230"/>
    </row>
    <row r="10" spans="2:22" ht="12" thickBot="1">
      <c r="B10" s="227" t="s">
        <v>6529</v>
      </c>
      <c r="C10" s="227" t="s">
        <v>6530</v>
      </c>
      <c r="D10" s="227"/>
      <c r="E10" s="231">
        <v>1.014</v>
      </c>
      <c r="F10" s="231">
        <v>0.91</v>
      </c>
      <c r="G10" s="231">
        <v>0.9</v>
      </c>
      <c r="H10" s="231">
        <v>0.77</v>
      </c>
      <c r="I10" s="231">
        <v>0.70599999999999996</v>
      </c>
      <c r="J10" s="231">
        <v>0.66</v>
      </c>
      <c r="K10" s="231">
        <v>0.61399999999999999</v>
      </c>
      <c r="L10" s="231">
        <v>0.57399999999999995</v>
      </c>
      <c r="M10" s="231">
        <v>0.53800000000000003</v>
      </c>
      <c r="N10" s="231">
        <v>0.51600000000000001</v>
      </c>
      <c r="O10" s="231">
        <v>7.3999999999999996E-2</v>
      </c>
      <c r="P10" s="231">
        <v>4.8000000000000001E-2</v>
      </c>
      <c r="Q10" s="231">
        <v>5.3999999999999999E-2</v>
      </c>
      <c r="R10" s="231">
        <v>5.1999999999999998E-2</v>
      </c>
      <c r="S10" s="231">
        <v>4.5999999999999999E-2</v>
      </c>
      <c r="T10" s="231">
        <v>2.9000000000000001E-2</v>
      </c>
      <c r="U10" s="231">
        <v>2.9000000000000001E-2</v>
      </c>
      <c r="V10" s="230"/>
    </row>
    <row r="11" spans="2:22" ht="12" thickBot="1">
      <c r="B11" s="227" t="s">
        <v>6531</v>
      </c>
      <c r="C11" s="227" t="s">
        <v>6532</v>
      </c>
      <c r="D11" s="227" t="s">
        <v>6533</v>
      </c>
      <c r="E11" s="231">
        <v>0.03</v>
      </c>
      <c r="F11" s="231">
        <v>0.03</v>
      </c>
      <c r="G11" s="231">
        <v>0.03</v>
      </c>
      <c r="H11" s="231">
        <v>0.03</v>
      </c>
      <c r="I11" s="231">
        <v>0.03</v>
      </c>
      <c r="J11" s="231">
        <v>0.03</v>
      </c>
      <c r="K11" s="231">
        <v>0.03</v>
      </c>
      <c r="L11" s="231">
        <v>0.03</v>
      </c>
      <c r="M11" s="231">
        <v>0.03</v>
      </c>
      <c r="N11" s="231">
        <v>0.03</v>
      </c>
      <c r="O11" s="231">
        <v>0.03</v>
      </c>
      <c r="P11" s="231">
        <v>0.03</v>
      </c>
      <c r="Q11" s="231">
        <v>0.03</v>
      </c>
      <c r="R11" s="231">
        <v>0.03</v>
      </c>
      <c r="S11" s="231">
        <v>0.03</v>
      </c>
      <c r="T11" s="231">
        <v>0.03</v>
      </c>
      <c r="U11" s="231">
        <v>0.03</v>
      </c>
      <c r="V11" s="232"/>
    </row>
    <row r="12" spans="2:22" ht="11.25">
      <c r="B12" s="233" t="s">
        <v>6534</v>
      </c>
      <c r="C12" s="233" t="s">
        <v>6535</v>
      </c>
      <c r="D12" s="233" t="s">
        <v>6536</v>
      </c>
      <c r="E12" s="234">
        <f t="shared" ref="E12:U12" si="0">20/1000</f>
        <v>0.02</v>
      </c>
      <c r="F12" s="235">
        <f t="shared" si="0"/>
        <v>0.02</v>
      </c>
      <c r="G12" s="235">
        <f t="shared" si="0"/>
        <v>0.02</v>
      </c>
      <c r="H12" s="235">
        <f t="shared" si="0"/>
        <v>0.02</v>
      </c>
      <c r="I12" s="235">
        <f t="shared" si="0"/>
        <v>0.02</v>
      </c>
      <c r="J12" s="235">
        <f t="shared" si="0"/>
        <v>0.02</v>
      </c>
      <c r="K12" s="235">
        <f t="shared" si="0"/>
        <v>0.02</v>
      </c>
      <c r="L12" s="235">
        <f t="shared" si="0"/>
        <v>0.02</v>
      </c>
      <c r="M12" s="235">
        <f t="shared" si="0"/>
        <v>0.02</v>
      </c>
      <c r="N12" s="236">
        <f t="shared" si="0"/>
        <v>0.02</v>
      </c>
      <c r="O12" s="236">
        <f t="shared" si="0"/>
        <v>0.02</v>
      </c>
      <c r="P12" s="236">
        <f t="shared" si="0"/>
        <v>0.02</v>
      </c>
      <c r="Q12" s="236">
        <f t="shared" si="0"/>
        <v>0.02</v>
      </c>
      <c r="R12" s="236">
        <f t="shared" si="0"/>
        <v>0.02</v>
      </c>
      <c r="S12" s="236">
        <f t="shared" si="0"/>
        <v>0.02</v>
      </c>
      <c r="T12" s="236">
        <f t="shared" si="0"/>
        <v>0.02</v>
      </c>
      <c r="U12" s="236">
        <f t="shared" si="0"/>
        <v>0.02</v>
      </c>
      <c r="V12" s="237"/>
    </row>
    <row r="13" spans="2:22" ht="11.25">
      <c r="B13" s="238"/>
      <c r="C13" s="238"/>
      <c r="D13" s="238" t="s">
        <v>6537</v>
      </c>
      <c r="E13" s="239">
        <f>200/1000</f>
        <v>0.2</v>
      </c>
      <c r="F13" s="240">
        <f t="shared" ref="F13:L13" si="1">ROUNDDOWN(G13*$E$26,3)</f>
        <v>0.17100000000000001</v>
      </c>
      <c r="G13" s="240">
        <f t="shared" si="1"/>
        <v>0.153</v>
      </c>
      <c r="H13" s="240">
        <f t="shared" si="1"/>
        <v>0.13700000000000001</v>
      </c>
      <c r="I13" s="240">
        <f t="shared" si="1"/>
        <v>0.122</v>
      </c>
      <c r="J13" s="240">
        <f t="shared" si="1"/>
        <v>0.109</v>
      </c>
      <c r="K13" s="240">
        <f t="shared" si="1"/>
        <v>9.7000000000000003E-2</v>
      </c>
      <c r="L13" s="240">
        <f t="shared" si="1"/>
        <v>8.6999999999999994E-2</v>
      </c>
      <c r="M13" s="240">
        <f>ROUNDDOWN(N13*$E$26,3)</f>
        <v>7.8E-2</v>
      </c>
      <c r="N13" s="241">
        <f>70/1000</f>
        <v>7.0000000000000007E-2</v>
      </c>
      <c r="O13" s="242">
        <f t="shared" ref="O13:U13" si="2">ROUNDDOWN(N13/$E$26,3)</f>
        <v>6.2E-2</v>
      </c>
      <c r="P13" s="242">
        <f t="shared" si="2"/>
        <v>5.5E-2</v>
      </c>
      <c r="Q13" s="242">
        <f t="shared" si="2"/>
        <v>4.8000000000000001E-2</v>
      </c>
      <c r="R13" s="242">
        <f t="shared" si="2"/>
        <v>4.2000000000000003E-2</v>
      </c>
      <c r="S13" s="242">
        <f t="shared" si="2"/>
        <v>3.6999999999999998E-2</v>
      </c>
      <c r="T13" s="242">
        <f t="shared" si="2"/>
        <v>3.2000000000000001E-2</v>
      </c>
      <c r="U13" s="242">
        <f t="shared" si="2"/>
        <v>2.8000000000000001E-2</v>
      </c>
      <c r="V13" s="243"/>
    </row>
    <row r="14" spans="2:22" ht="12" thickBot="1">
      <c r="B14" s="244" t="s">
        <v>6538</v>
      </c>
      <c r="C14" s="244"/>
      <c r="D14" s="245"/>
      <c r="E14" s="246">
        <f>E13+E12</f>
        <v>0.22</v>
      </c>
      <c r="F14" s="247">
        <f t="shared" ref="F14:M14" si="3">F13+F12</f>
        <v>0.191</v>
      </c>
      <c r="G14" s="247">
        <f t="shared" si="3"/>
        <v>0.17299999999999999</v>
      </c>
      <c r="H14" s="247">
        <f t="shared" si="3"/>
        <v>0.157</v>
      </c>
      <c r="I14" s="247">
        <f t="shared" si="3"/>
        <v>0.14199999999999999</v>
      </c>
      <c r="J14" s="247">
        <f t="shared" si="3"/>
        <v>0.129</v>
      </c>
      <c r="K14" s="247">
        <f t="shared" si="3"/>
        <v>0.11700000000000001</v>
      </c>
      <c r="L14" s="247">
        <f t="shared" si="3"/>
        <v>0.107</v>
      </c>
      <c r="M14" s="247">
        <f t="shared" si="3"/>
        <v>9.8000000000000004E-2</v>
      </c>
      <c r="N14" s="247">
        <f>N13+N12</f>
        <v>9.0000000000000011E-2</v>
      </c>
      <c r="O14" s="247">
        <f t="shared" ref="O14:U14" si="4">O13+O12</f>
        <v>8.2000000000000003E-2</v>
      </c>
      <c r="P14" s="247">
        <f t="shared" si="4"/>
        <v>7.4999999999999997E-2</v>
      </c>
      <c r="Q14" s="247">
        <f t="shared" si="4"/>
        <v>6.8000000000000005E-2</v>
      </c>
      <c r="R14" s="247">
        <f t="shared" si="4"/>
        <v>6.2E-2</v>
      </c>
      <c r="S14" s="247">
        <f t="shared" si="4"/>
        <v>5.6999999999999995E-2</v>
      </c>
      <c r="T14" s="247">
        <f t="shared" si="4"/>
        <v>5.2000000000000005E-2</v>
      </c>
      <c r="U14" s="247">
        <f t="shared" si="4"/>
        <v>4.8000000000000001E-2</v>
      </c>
      <c r="V14" s="248"/>
    </row>
    <row r="15" spans="2:22" ht="11.25">
      <c r="B15" s="249" t="s">
        <v>6539</v>
      </c>
      <c r="C15" s="249"/>
      <c r="D15" s="249"/>
      <c r="E15" s="250">
        <f t="shared" ref="E15:U15" si="5">E11+E10+E14+E9+E8</f>
        <v>6.1959999999999997</v>
      </c>
      <c r="F15" s="250">
        <f t="shared" si="5"/>
        <v>5.4350000000000005</v>
      </c>
      <c r="G15" s="250">
        <f t="shared" si="5"/>
        <v>4.7370000000000001</v>
      </c>
      <c r="H15" s="250">
        <f t="shared" si="5"/>
        <v>3.5819999999999999</v>
      </c>
      <c r="I15" s="250">
        <f t="shared" si="5"/>
        <v>2.8320000000000003</v>
      </c>
      <c r="J15" s="250">
        <f t="shared" si="5"/>
        <v>2.3559999999999999</v>
      </c>
      <c r="K15" s="250">
        <f t="shared" si="5"/>
        <v>2.2509999999999999</v>
      </c>
      <c r="L15" s="250">
        <f t="shared" si="5"/>
        <v>1.9969999999999999</v>
      </c>
      <c r="M15" s="250">
        <f t="shared" si="5"/>
        <v>1.7479999999999998</v>
      </c>
      <c r="N15" s="250">
        <f t="shared" si="5"/>
        <v>1.1910000000000001</v>
      </c>
      <c r="O15" s="250">
        <f t="shared" si="5"/>
        <v>0.48099999999999998</v>
      </c>
      <c r="P15" s="250">
        <f t="shared" si="5"/>
        <v>0.47599999999999998</v>
      </c>
      <c r="Q15" s="250">
        <f t="shared" si="5"/>
        <v>0.39300000000000002</v>
      </c>
      <c r="R15" s="250">
        <f t="shared" si="5"/>
        <v>0.38300000000000001</v>
      </c>
      <c r="S15" s="250">
        <f t="shared" si="5"/>
        <v>0.314</v>
      </c>
      <c r="T15" s="250">
        <f t="shared" si="5"/>
        <v>0.21700000000000003</v>
      </c>
      <c r="U15" s="250">
        <f t="shared" si="5"/>
        <v>0.21100000000000002</v>
      </c>
      <c r="V15" s="251"/>
    </row>
    <row r="18" spans="4:13" ht="11.25" hidden="1">
      <c r="D18" s="252" t="s">
        <v>6536</v>
      </c>
      <c r="E18" s="253" t="e">
        <f>(#REF!/#REF!)^(1/9)</f>
        <v>#REF!</v>
      </c>
      <c r="F18" s="254"/>
      <c r="M18" s="254"/>
    </row>
    <row r="19" spans="4:13" ht="11.25" hidden="1">
      <c r="D19" s="255" t="s">
        <v>6537</v>
      </c>
      <c r="E19" s="253" t="e">
        <f>(#REF!/#REF!)^(1/9)</f>
        <v>#REF!</v>
      </c>
      <c r="F19" s="254"/>
    </row>
    <row r="20" spans="4:13" ht="11.25" hidden="1">
      <c r="D20" s="256"/>
      <c r="E20" s="254">
        <f>(E8/N8)^(1/9)</f>
        <v>1.2648069468821121</v>
      </c>
      <c r="F20" s="254"/>
    </row>
    <row r="21" spans="4:13" ht="11.25" hidden="1">
      <c r="D21" s="257" t="s">
        <v>6540</v>
      </c>
      <c r="E21" s="253" t="e">
        <f>(#REF!/#REF!)^(1/9)</f>
        <v>#REF!</v>
      </c>
      <c r="F21" s="254"/>
    </row>
    <row r="22" spans="4:13" ht="11.25" hidden="1">
      <c r="D22" s="252" t="s">
        <v>6541</v>
      </c>
      <c r="E22" s="253" t="e">
        <f>(#REF!/#REF!)^(1/9)</f>
        <v>#REF!</v>
      </c>
      <c r="F22" s="254"/>
    </row>
    <row r="23" spans="4:13" ht="11.25" hidden="1">
      <c r="D23" s="255" t="s">
        <v>6542</v>
      </c>
      <c r="E23" s="253" t="e">
        <f>(#REF!/#REF!)^(1/9)</f>
        <v>#REF!</v>
      </c>
      <c r="F23" s="254"/>
    </row>
    <row r="24" spans="4:13" ht="11.25" hidden="1">
      <c r="D24" s="256"/>
      <c r="E24" s="254">
        <f>(E9/N9)^(1/9)</f>
        <v>1.2834490804777197</v>
      </c>
      <c r="F24" s="254"/>
    </row>
    <row r="25" spans="4:13" ht="11.25" hidden="1">
      <c r="D25" s="257" t="s">
        <v>6536</v>
      </c>
      <c r="E25" s="253">
        <f>(E12/N12)^(1/9)</f>
        <v>1</v>
      </c>
      <c r="F25" s="254"/>
    </row>
    <row r="26" spans="4:13" ht="11.25" hidden="1">
      <c r="D26" s="255" t="s">
        <v>6537</v>
      </c>
      <c r="E26" s="253">
        <f>(E13/N13)^(1/9)</f>
        <v>1.1237225762479093</v>
      </c>
      <c r="F26" s="254"/>
    </row>
    <row r="27" spans="4:13" ht="11.25" hidden="1">
      <c r="D27" s="256"/>
      <c r="E27" s="254">
        <f>(E14/N14)^(1/9)</f>
        <v>1.1044120338972334</v>
      </c>
      <c r="F27" s="254"/>
    </row>
    <row r="28" spans="4:13" ht="11.25" hidden="1">
      <c r="D28" s="257" t="s">
        <v>6543</v>
      </c>
      <c r="E28" s="253" t="e">
        <f>(#REF!/#REF!)^(1/9)</f>
        <v>#REF!</v>
      </c>
      <c r="F28" s="254"/>
    </row>
    <row r="29" spans="4:13" ht="11.25" hidden="1">
      <c r="D29" s="252" t="s">
        <v>6536</v>
      </c>
      <c r="E29" s="253" t="e">
        <f>(#REF!/#REF!)^(1/9)</f>
        <v>#REF!</v>
      </c>
      <c r="F29" s="254"/>
    </row>
    <row r="30" spans="4:13" ht="11.25" hidden="1">
      <c r="D30" s="255" t="s">
        <v>6537</v>
      </c>
      <c r="E30" s="253" t="e">
        <f>(#REF!/#REF!)^(1/9)</f>
        <v>#REF!</v>
      </c>
      <c r="F30" s="254"/>
    </row>
    <row r="31" spans="4:13">
      <c r="E31" s="254"/>
      <c r="F31" s="254"/>
    </row>
    <row r="32" spans="4:13">
      <c r="E32" s="254"/>
      <c r="F32" s="254"/>
    </row>
    <row r="33" spans="5:6">
      <c r="E33" s="254"/>
      <c r="F33" s="254"/>
    </row>
    <row r="34" spans="5:6">
      <c r="E34" s="254"/>
      <c r="F34" s="254"/>
    </row>
    <row r="35" spans="5:6">
      <c r="E35" s="254"/>
      <c r="F35" s="254"/>
    </row>
    <row r="36" spans="5:6">
      <c r="E36" s="254"/>
      <c r="F36" s="254"/>
    </row>
    <row r="37" spans="5:6">
      <c r="E37" s="254"/>
      <c r="F37" s="254"/>
    </row>
    <row r="38" spans="5:6">
      <c r="E38" s="254"/>
      <c r="F38" s="254"/>
    </row>
  </sheetData>
  <mergeCells count="6">
    <mergeCell ref="N5:V5"/>
    <mergeCell ref="B6:B7"/>
    <mergeCell ref="C6:C7"/>
    <mergeCell ref="D6:D7"/>
    <mergeCell ref="E6:U6"/>
    <mergeCell ref="V6:V7"/>
  </mergeCells>
  <phoneticPr fontId="7" type="noConversion"/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이름이 지정된 범위</vt:lpstr>
      </vt:variant>
      <vt:variant>
        <vt:i4>41</vt:i4>
      </vt:variant>
    </vt:vector>
  </HeadingPairs>
  <TitlesOfParts>
    <vt:vector size="70" baseType="lpstr">
      <vt:lpstr>갑지</vt:lpstr>
      <vt:lpstr>설계서표지</vt:lpstr>
      <vt:lpstr>원가계산서(양지사)</vt:lpstr>
      <vt:lpstr>원가계산서(서부지사)</vt:lpstr>
      <vt:lpstr>내역서(서부지사)-0차</vt:lpstr>
      <vt:lpstr>내역서(서부지사)-1차</vt:lpstr>
      <vt:lpstr>내역서(서부지사)-2차</vt:lpstr>
      <vt:lpstr>원가계산서(동부지사)</vt:lpstr>
      <vt:lpstr>내역서(동부지사)-0차</vt:lpstr>
      <vt:lpstr>내역서(동부지사)-1차</vt:lpstr>
      <vt:lpstr>내역서(동부지사)-2차</vt:lpstr>
      <vt:lpstr>수량집계</vt:lpstr>
      <vt:lpstr>내역서</vt:lpstr>
      <vt:lpstr>표지</vt:lpstr>
      <vt:lpstr>원가계산</vt:lpstr>
      <vt:lpstr>일위대가목록</vt:lpstr>
      <vt:lpstr>일위대가_호표</vt:lpstr>
      <vt:lpstr>일위대가_산근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전역변수</vt:lpstr>
      <vt:lpstr>중기전역변수</vt:lpstr>
      <vt:lpstr>제비율표</vt:lpstr>
      <vt:lpstr>시공장비중량</vt:lpstr>
      <vt:lpstr>내역서!Print_Area</vt:lpstr>
      <vt:lpstr>'내역서(동부지사)-0차'!Print_Area</vt:lpstr>
      <vt:lpstr>'내역서(동부지사)-1차'!Print_Area</vt:lpstr>
      <vt:lpstr>'내역서(동부지사)-2차'!Print_Area</vt:lpstr>
      <vt:lpstr>'내역서(서부지사)-0차'!Print_Area</vt:lpstr>
      <vt:lpstr>'내역서(서부지사)-1차'!Print_Area</vt:lpstr>
      <vt:lpstr>'내역서(서부지사)-2차'!Print_Area</vt:lpstr>
      <vt:lpstr>노임!Print_Area</vt:lpstr>
      <vt:lpstr>설계서표지!Print_Area</vt:lpstr>
      <vt:lpstr>수량집계!Print_Area</vt:lpstr>
      <vt:lpstr>원가계산!Print_Area</vt:lpstr>
      <vt:lpstr>'원가계산서(동부지사)'!Print_Area</vt:lpstr>
      <vt:lpstr>'원가계산서(서부지사)'!Print_Area</vt:lpstr>
      <vt:lpstr>'원가계산서(양지사)'!Print_Area</vt:lpstr>
      <vt:lpstr>일위대가_산근!Print_Area</vt:lpstr>
      <vt:lpstr>일위대가_호표!Print_Area</vt:lpstr>
      <vt:lpstr>일위대가목록!Print_Area</vt:lpstr>
      <vt:lpstr>전역변수!Print_Area</vt:lpstr>
      <vt:lpstr>제비율표!Print_Area</vt:lpstr>
      <vt:lpstr>중기사용료!Print_Area</vt:lpstr>
      <vt:lpstr>중기사용료목록!Print_Area</vt:lpstr>
      <vt:lpstr>표지!Print_Area</vt:lpstr>
      <vt:lpstr>경비!Print_Titles</vt:lpstr>
      <vt:lpstr>내역서!Print_Titles</vt:lpstr>
      <vt:lpstr>'내역서(동부지사)-0차'!Print_Titles</vt:lpstr>
      <vt:lpstr>'내역서(동부지사)-1차'!Print_Titles</vt:lpstr>
      <vt:lpstr>'내역서(동부지사)-2차'!Print_Titles</vt:lpstr>
      <vt:lpstr>'내역서(서부지사)-0차'!Print_Titles</vt:lpstr>
      <vt:lpstr>'내역서(서부지사)-1차'!Print_Titles</vt:lpstr>
      <vt:lpstr>'내역서(서부지사)-2차'!Print_Titles</vt:lpstr>
      <vt:lpstr>노임!Print_Titles</vt:lpstr>
      <vt:lpstr>수량집계!Print_Titles</vt:lpstr>
      <vt:lpstr>일위대가_산근!Print_Titles</vt:lpstr>
      <vt:lpstr>일위대가_호표!Print_Titles</vt:lpstr>
      <vt:lpstr>일위대가목록!Print_Titles</vt:lpstr>
      <vt:lpstr>자재!Print_Titles</vt:lpstr>
      <vt:lpstr>자재조서!Print_Titles</vt:lpstr>
      <vt:lpstr>전역변수!Print_Titles</vt:lpstr>
      <vt:lpstr>중기기초자료!Print_Titles</vt:lpstr>
      <vt:lpstr>중기사용료목록!Print_Titles</vt:lpstr>
      <vt:lpstr>중기전역변수!Print_Titles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seoulenergycorp</dc:creator>
  <cp:lastModifiedBy>lovely1002sr@naver.com</cp:lastModifiedBy>
  <cp:lastPrinted>2026-02-26T10:05:20Z</cp:lastPrinted>
  <dcterms:created xsi:type="dcterms:W3CDTF">2025-02-12T09:05:35Z</dcterms:created>
  <dcterms:modified xsi:type="dcterms:W3CDTF">2026-03-26T23:37:19Z</dcterms:modified>
</cp:coreProperties>
</file>