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OpenDSS\Test\AutoTrans\"/>
    </mc:Choice>
  </mc:AlternateContent>
  <xr:revisionPtr revIDLastSave="0" documentId="13_ncr:1_{0E28FA95-9122-4C4F-86DF-944BAD3D1696}" xr6:coauthVersionLast="46" xr6:coauthVersionMax="46" xr10:uidLastSave="{00000000-0000-0000-0000-000000000000}"/>
  <bookViews>
    <workbookView xWindow="16106" yWindow="1757" windowWidth="13140" windowHeight="14923" activeTab="1" xr2:uid="{36A0A5CE-3EE9-4EFC-A77C-7EADF4F78C50}"/>
  </bookViews>
  <sheets>
    <sheet name="Inputs" sheetId="2" r:id="rId1"/>
    <sheet name="Outputs" sheetId="3" r:id="rId2"/>
  </sheets>
  <definedNames>
    <definedName name="Iexc">Inputs!$B$10</definedName>
    <definedName name="nll">Inputs!$B$17</definedName>
    <definedName name="Pnll">Inputs!$B$9</definedName>
    <definedName name="S2wdg">Inputs!$G$15</definedName>
    <definedName name="Sauto">Inputs!$B$3</definedName>
    <definedName name="ST">Inputs!$I$15</definedName>
    <definedName name="VC">Inputs!$H$14</definedName>
    <definedName name="VH">Inputs!$B$4</definedName>
    <definedName name="VL">Inputs!$C$4</definedName>
    <definedName name="VS">Inputs!$G$14</definedName>
    <definedName name="VT">Inputs!$D$4</definedName>
    <definedName name="XHL">Inputs!$B$14</definedName>
    <definedName name="XHT">Inputs!$C$14</definedName>
    <definedName name="XLT">Inputs!$D$14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2" l="1"/>
  <c r="I34" i="2"/>
  <c r="H34" i="2"/>
  <c r="G34" i="2"/>
  <c r="I33" i="2"/>
  <c r="H33" i="2"/>
  <c r="G33" i="2"/>
  <c r="H32" i="2"/>
  <c r="G32" i="2"/>
  <c r="I28" i="2"/>
  <c r="H28" i="2"/>
  <c r="G28" i="2"/>
  <c r="G21" i="2" l="1"/>
  <c r="G20" i="2"/>
  <c r="G19" i="2"/>
  <c r="C23" i="2"/>
  <c r="I15" i="2" l="1"/>
  <c r="G14" i="2"/>
  <c r="G16" i="2" s="1"/>
  <c r="H14" i="2"/>
  <c r="H16" i="2" s="1"/>
  <c r="I14" i="2"/>
  <c r="I16" i="2" s="1"/>
  <c r="G7" i="2"/>
  <c r="H7" i="2" s="1"/>
  <c r="I7" i="2" s="1"/>
  <c r="C14" i="2"/>
  <c r="B14" i="2"/>
  <c r="D13" i="2"/>
  <c r="D14" i="2" s="1"/>
  <c r="C13" i="2"/>
  <c r="B13" i="2"/>
  <c r="I4" i="2"/>
  <c r="H4" i="2"/>
  <c r="H5" i="2" s="1"/>
  <c r="G4" i="2"/>
  <c r="G8" i="2" s="1"/>
  <c r="D31" i="2"/>
  <c r="D32" i="2" s="1"/>
  <c r="B31" i="2"/>
  <c r="C31" i="2" s="1"/>
  <c r="C32" i="2" s="1"/>
  <c r="D30" i="2"/>
  <c r="C30" i="2"/>
  <c r="B30" i="2"/>
  <c r="B23" i="2"/>
  <c r="B24" i="2" s="1"/>
  <c r="B22" i="2"/>
  <c r="B17" i="2"/>
  <c r="B18" i="2" s="1"/>
  <c r="I17" i="2" l="1"/>
  <c r="I29" i="2"/>
  <c r="I30" i="2" s="1"/>
  <c r="G15" i="2"/>
  <c r="G25" i="2" s="1"/>
  <c r="G31" i="2"/>
  <c r="I19" i="2"/>
  <c r="B25" i="2"/>
  <c r="B32" i="2"/>
  <c r="H8" i="2"/>
  <c r="I8" i="2" s="1"/>
  <c r="I9" i="2" s="1"/>
  <c r="G5" i="2"/>
  <c r="H31" i="2" l="1"/>
  <c r="H15" i="2"/>
  <c r="H17" i="2" s="1"/>
  <c r="G29" i="2"/>
  <c r="G30" i="2" s="1"/>
  <c r="I21" i="2"/>
  <c r="I20" i="2"/>
  <c r="G17" i="2"/>
  <c r="G24" i="2"/>
  <c r="H29" i="2"/>
  <c r="H30" i="2" s="1"/>
</calcChain>
</file>

<file path=xl/sharedStrings.xml><?xml version="1.0" encoding="utf-8"?>
<sst xmlns="http://schemas.openxmlformats.org/spreadsheetml/2006/main" count="109" uniqueCount="84">
  <si>
    <t>Winding</t>
  </si>
  <si>
    <t>H</t>
  </si>
  <si>
    <t>L</t>
  </si>
  <si>
    <t>T</t>
  </si>
  <si>
    <t>HL</t>
  </si>
  <si>
    <t>HT</t>
  </si>
  <si>
    <t>LT</t>
  </si>
  <si>
    <t>Pnll</t>
  </si>
  <si>
    <t>Vwdg</t>
  </si>
  <si>
    <t>Swdg</t>
  </si>
  <si>
    <t>%noloadloss</t>
  </si>
  <si>
    <t>Short Circuit Test</t>
  </si>
  <si>
    <t>Zpu</t>
  </si>
  <si>
    <t>Pll</t>
  </si>
  <si>
    <t>Open Circuit Test</t>
  </si>
  <si>
    <t>Inputs from Test Report</t>
  </si>
  <si>
    <t>%imag</t>
  </si>
  <si>
    <t>Iexc</t>
  </si>
  <si>
    <t>Expected SC Test</t>
  </si>
  <si>
    <t>Expected Pnll[kW]</t>
  </si>
  <si>
    <t>Expected Iexc[A]</t>
  </si>
  <si>
    <t>Expected Pll[kW]</t>
  </si>
  <si>
    <t>Expected Isc[A]</t>
  </si>
  <si>
    <t>Zbase [Ohms]</t>
  </si>
  <si>
    <t>OpenDSS Magnetizing Branch Inputs on Winding 1</t>
  </si>
  <si>
    <t>Check by energizing the transformer from H side, no load</t>
  </si>
  <si>
    <t>Allocated W</t>
  </si>
  <si>
    <t>Allocate the Load Losses to H, L, T resistances</t>
  </si>
  <si>
    <t>Wdg %R</t>
  </si>
  <si>
    <t>OpenDSS Xsc</t>
  </si>
  <si>
    <t>Reactance [pu]</t>
  </si>
  <si>
    <t>Resistance [pu]</t>
  </si>
  <si>
    <t>Ibase[A]</t>
  </si>
  <si>
    <t>Expected Qnll[kVAR]</t>
  </si>
  <si>
    <t>MVA ratio</t>
  </si>
  <si>
    <t>HT, LT Losses</t>
  </si>
  <si>
    <t>Autotransformer SCT winding conversion</t>
  </si>
  <si>
    <t>Ref: Equations 6.44 - 6.50 of EMTP Theory Book</t>
  </si>
  <si>
    <t>On reduced MVA for HT and LT tests. Replicate average of HT, LT power.</t>
  </si>
  <si>
    <t>Overdetermined on T because tests are done at different MVA levels.</t>
  </si>
  <si>
    <t>S</t>
  </si>
  <si>
    <t>C</t>
  </si>
  <si>
    <t>XSC</t>
  </si>
  <si>
    <t>XCT</t>
  </si>
  <si>
    <t>XST</t>
  </si>
  <si>
    <t>Ibase [A]</t>
  </si>
  <si>
    <t>Zbase [Ohm]</t>
  </si>
  <si>
    <t>Load flow at full load, 0.85 power factor should match</t>
  </si>
  <si>
    <t>Vload [pu]</t>
  </si>
  <si>
    <t>Vload [deg]</t>
  </si>
  <si>
    <t>Qload [MVAR]</t>
  </si>
  <si>
    <t>Pload [MW]</t>
  </si>
  <si>
    <t>Check short circuit current with fault</t>
  </si>
  <si>
    <t>Check losses at full load, 1.0 power factor, no fault</t>
  </si>
  <si>
    <t>On reduced Vbase:</t>
  </si>
  <si>
    <t>On reduced Sbase:</t>
  </si>
  <si>
    <t>Vwdg-1ph</t>
  </si>
  <si>
    <t>Swdg-1ph</t>
  </si>
  <si>
    <t>Convert core branch to lower Sbase:</t>
  </si>
  <si>
    <t>Re-use load loss allocations, at lower winding currents:</t>
  </si>
  <si>
    <t>Loss [W]</t>
  </si>
  <si>
    <t>Rwye [Ohm]</t>
  </si>
  <si>
    <t>HLT</t>
  </si>
  <si>
    <t>1Bus</t>
  </si>
  <si>
    <t>3Bus</t>
  </si>
  <si>
    <t>AutoTrans</t>
  </si>
  <si>
    <t>Model Option:</t>
  </si>
  <si>
    <t>Isc-HL [A]</t>
  </si>
  <si>
    <t>Isc-HT [A]</t>
  </si>
  <si>
    <t>Isc-LT [A]</t>
  </si>
  <si>
    <t>Load Loss HL [kW]</t>
  </si>
  <si>
    <t>Load Loss HT [kW]</t>
  </si>
  <si>
    <t>Load Loss LT [kW]</t>
  </si>
  <si>
    <t>Core Loss P [kW]</t>
  </si>
  <si>
    <t>Core Loss Q [kVAR]</t>
  </si>
  <si>
    <t>Load Vmag [pu]</t>
  </si>
  <si>
    <t>Load Vang [deg]</t>
  </si>
  <si>
    <t>Load P [MW]</t>
  </si>
  <si>
    <t>Load Q [MVAR]</t>
  </si>
  <si>
    <t>Test Report</t>
  </si>
  <si>
    <t>Notes:</t>
  </si>
  <si>
    <t>1. Isc-HL consistently low by 0.21%, probably due to drop in switch between Vsource and Transformer</t>
  </si>
  <si>
    <t>2. The two Dommel transformer models have a "natural" separation in load loss values of HT and LT, like the test report does.</t>
  </si>
  <si>
    <t>3. The built-in AutoTrans matches test results without the Dommel conversion. It does not explicitly show the smaller MVA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</si>
</sst>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0"/>
    <numFmt numFmtId="166" formatCode="0.00000%"/>
    <numFmt numFmtId="167" formatCode="0.000"/>
    <numFmt numFmtId="168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Fill="1"/>
    <xf numFmtId="2" fontId="1" fillId="0" borderId="0" xfId="0" applyNumberFormat="1" applyFont="1" applyAlignment="1">
      <alignment horizontal="right"/>
    </xf>
    <xf numFmtId="11" fontId="0" fillId="2" borderId="0" xfId="0" applyNumberFormat="1" applyFill="1"/>
    <xf numFmtId="0" fontId="0" fillId="2" borderId="0" xfId="0" applyFill="1"/>
    <xf numFmtId="166" fontId="0" fillId="0" borderId="0" xfId="1" applyNumberFormat="1" applyFont="1" applyFill="1"/>
    <xf numFmtId="164" fontId="0" fillId="2" borderId="0" xfId="1" applyNumberFormat="1" applyFont="1" applyFill="1"/>
    <xf numFmtId="2" fontId="0" fillId="0" borderId="0" xfId="1" applyNumberFormat="1" applyFont="1"/>
    <xf numFmtId="164" fontId="0" fillId="3" borderId="0" xfId="1" applyNumberFormat="1" applyFont="1" applyFill="1"/>
    <xf numFmtId="0" fontId="0" fillId="0" borderId="0" xfId="0" applyFont="1"/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Fill="1"/>
    <xf numFmtId="0" fontId="0" fillId="0" borderId="0" xfId="0" applyFill="1"/>
    <xf numFmtId="11" fontId="0" fillId="0" borderId="0" xfId="0" applyNumberFormat="1" applyFont="1" applyAlignment="1">
      <alignment horizontal="right"/>
    </xf>
    <xf numFmtId="165" fontId="0" fillId="3" borderId="0" xfId="0" applyNumberFormat="1" applyFill="1"/>
    <xf numFmtId="167" fontId="0" fillId="0" borderId="0" xfId="0" applyNumberFormat="1" applyFont="1" applyFill="1"/>
    <xf numFmtId="168" fontId="0" fillId="4" borderId="0" xfId="0" applyNumberFormat="1" applyFill="1"/>
    <xf numFmtId="168" fontId="0" fillId="4" borderId="0" xfId="0" applyNumberFormat="1" applyFont="1" applyFill="1"/>
    <xf numFmtId="168" fontId="0" fillId="4" borderId="0" xfId="1" applyNumberFormat="1" applyFont="1" applyFill="1"/>
    <xf numFmtId="0" fontId="4" fillId="0" borderId="0" xfId="0" applyFont="1"/>
    <xf numFmtId="2" fontId="0" fillId="0" borderId="0" xfId="0" applyNumberFormat="1" applyFill="1"/>
    <xf numFmtId="1" fontId="0" fillId="0" borderId="0" xfId="0" applyNumberFormat="1" applyFill="1"/>
    <xf numFmtId="1" fontId="0" fillId="0" borderId="0" xfId="0" applyNumberFormat="1"/>
    <xf numFmtId="165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11" fontId="0" fillId="5" borderId="0" xfId="0" applyNumberFormat="1" applyFill="1"/>
    <xf numFmtId="0" fontId="0" fillId="0" borderId="0" xfId="0" applyFont="1" applyFill="1"/>
    <xf numFmtId="0" fontId="3" fillId="0" borderId="0" xfId="0" applyFont="1" applyFill="1"/>
    <xf numFmtId="165" fontId="0" fillId="5" borderId="0" xfId="0" applyNumberFormat="1" applyFill="1"/>
    <xf numFmtId="164" fontId="0" fillId="5" borderId="0" xfId="1" applyNumberFormat="1" applyFont="1" applyFill="1"/>
    <xf numFmtId="0" fontId="3" fillId="0" borderId="0" xfId="0" applyFont="1" applyFill="1" applyAlignment="1">
      <alignment horizontal="left"/>
    </xf>
    <xf numFmtId="164" fontId="0" fillId="5" borderId="0" xfId="0" applyNumberFormat="1" applyFill="1"/>
    <xf numFmtId="1" fontId="0" fillId="5" borderId="0" xfId="0" applyNumberFormat="1" applyFill="1"/>
    <xf numFmtId="1" fontId="3" fillId="5" borderId="0" xfId="0" applyNumberFormat="1" applyFont="1" applyFill="1"/>
    <xf numFmtId="11" fontId="3" fillId="5" borderId="0" xfId="0" applyNumberFormat="1" applyFont="1" applyFill="1"/>
    <xf numFmtId="0" fontId="5" fillId="0" borderId="0" xfId="0" applyFont="1"/>
    <xf numFmtId="168" fontId="0" fillId="0" borderId="0" xfId="0" applyNumberFormat="1"/>
    <xf numFmtId="165" fontId="0" fillId="0" borderId="0" xfId="0" applyNumberFormat="1"/>
    <xf numFmtId="0" fontId="6" fillId="0" borderId="0" xfId="0" applyFont="1"/>
    <xf numFmtId="168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607A-DD32-4687-A7DD-999BD664BB85}">
  <dimension ref="A1:L44"/>
  <sheetViews>
    <sheetView workbookViewId="0">
      <selection activeCell="D33" sqref="D33"/>
    </sheetView>
  </sheetViews>
  <sheetFormatPr defaultRowHeight="14.6" x14ac:dyDescent="0.4"/>
  <cols>
    <col min="1" max="1" width="18.4609375" customWidth="1"/>
    <col min="2" max="2" width="9.84375" customWidth="1"/>
    <col min="6" max="6" width="12.61328125" customWidth="1"/>
    <col min="7" max="7" width="9.3828125" bestFit="1" customWidth="1"/>
    <col min="8" max="9" width="9.3046875" bestFit="1" customWidth="1"/>
    <col min="11" max="12" width="9.3828125" bestFit="1" customWidth="1"/>
  </cols>
  <sheetData>
    <row r="1" spans="1:12" x14ac:dyDescent="0.4">
      <c r="A1" s="43" t="s">
        <v>15</v>
      </c>
      <c r="F1" s="26" t="s">
        <v>27</v>
      </c>
    </row>
    <row r="2" spans="1:12" x14ac:dyDescent="0.4">
      <c r="A2" s="2" t="s">
        <v>0</v>
      </c>
      <c r="B2" s="1" t="s">
        <v>1</v>
      </c>
      <c r="C2" s="1" t="s">
        <v>2</v>
      </c>
      <c r="D2" s="1" t="s">
        <v>3</v>
      </c>
      <c r="F2" s="17" t="s">
        <v>39</v>
      </c>
      <c r="I2" s="2"/>
      <c r="J2" s="1"/>
      <c r="K2" s="1"/>
      <c r="L2" s="1"/>
    </row>
    <row r="3" spans="1:12" x14ac:dyDescent="0.4">
      <c r="A3" t="s">
        <v>9</v>
      </c>
      <c r="B3" s="8">
        <v>330000000</v>
      </c>
      <c r="C3" s="8">
        <v>330000000</v>
      </c>
      <c r="D3" s="8">
        <v>72000000</v>
      </c>
      <c r="F3" s="2" t="s">
        <v>0</v>
      </c>
      <c r="G3" s="1" t="s">
        <v>1</v>
      </c>
      <c r="H3" s="1" t="s">
        <v>2</v>
      </c>
      <c r="I3" s="1" t="s">
        <v>3</v>
      </c>
      <c r="J3" s="19"/>
      <c r="K3" s="19"/>
      <c r="L3" s="19"/>
    </row>
    <row r="4" spans="1:12" x14ac:dyDescent="0.4">
      <c r="A4" t="s">
        <v>8</v>
      </c>
      <c r="B4" s="8">
        <v>345000</v>
      </c>
      <c r="C4" s="8">
        <v>161000</v>
      </c>
      <c r="D4" s="8">
        <v>13800</v>
      </c>
      <c r="F4" s="14" t="s">
        <v>26</v>
      </c>
      <c r="G4">
        <f>0.5*(B7+C7-D7)</f>
        <v>162795</v>
      </c>
      <c r="H4">
        <f>0.5*(B7+D7-C7)</f>
        <v>183409</v>
      </c>
      <c r="I4">
        <f>0.5*(C7+D7-B7)</f>
        <v>62975</v>
      </c>
      <c r="J4" s="19"/>
      <c r="K4" s="19"/>
      <c r="L4" s="19"/>
    </row>
    <row r="5" spans="1:12" x14ac:dyDescent="0.4">
      <c r="A5" s="2" t="s">
        <v>11</v>
      </c>
      <c r="B5" s="1" t="s">
        <v>4</v>
      </c>
      <c r="C5" s="1" t="s">
        <v>5</v>
      </c>
      <c r="D5" s="1" t="s">
        <v>6</v>
      </c>
      <c r="F5" s="2" t="s">
        <v>28</v>
      </c>
      <c r="G5" s="13">
        <f>G4/$B$3</f>
        <v>4.9331818181818179E-4</v>
      </c>
      <c r="H5" s="13">
        <f>H4/$B$3</f>
        <v>5.5578484848484849E-4</v>
      </c>
      <c r="I5" s="6"/>
      <c r="J5" s="18"/>
      <c r="K5" s="18"/>
      <c r="L5" s="18"/>
    </row>
    <row r="6" spans="1:12" x14ac:dyDescent="0.4">
      <c r="A6" t="s">
        <v>12</v>
      </c>
      <c r="B6" s="9">
        <v>7.2300000000000003E-2</v>
      </c>
      <c r="C6" s="9">
        <v>0.2445</v>
      </c>
      <c r="D6" s="9">
        <v>0.28449999999999998</v>
      </c>
      <c r="F6" s="16" t="s">
        <v>38</v>
      </c>
      <c r="G6" s="19"/>
      <c r="J6" s="19"/>
      <c r="K6" s="19"/>
      <c r="L6" s="19"/>
    </row>
    <row r="7" spans="1:12" x14ac:dyDescent="0.4">
      <c r="A7" t="s">
        <v>13</v>
      </c>
      <c r="B7" s="9">
        <v>346204</v>
      </c>
      <c r="C7" s="9">
        <v>225770</v>
      </c>
      <c r="D7" s="9">
        <v>246384</v>
      </c>
      <c r="F7" s="14" t="s">
        <v>34</v>
      </c>
      <c r="G7" s="18">
        <f>D3/B3</f>
        <v>0.21818181818181817</v>
      </c>
      <c r="H7" s="18">
        <f>G7</f>
        <v>0.21818181818181817</v>
      </c>
      <c r="I7" s="18">
        <f>H7</f>
        <v>0.21818181818181817</v>
      </c>
      <c r="J7" s="19"/>
      <c r="K7" s="19"/>
      <c r="L7" s="19"/>
    </row>
    <row r="8" spans="1:12" x14ac:dyDescent="0.4">
      <c r="A8" s="2" t="s">
        <v>14</v>
      </c>
      <c r="B8" s="7" t="s">
        <v>1</v>
      </c>
      <c r="C8" s="3"/>
      <c r="D8" s="3"/>
      <c r="F8" s="14" t="s">
        <v>35</v>
      </c>
      <c r="G8" s="28">
        <f>G4*G7*G7</f>
        <v>7749.5801652892551</v>
      </c>
      <c r="H8" s="28">
        <f>H4*H7*H7</f>
        <v>8730.8747107438012</v>
      </c>
      <c r="I8" s="29">
        <f>0.5*(C7+D7-G8-H8)</f>
        <v>227836.7725619835</v>
      </c>
      <c r="J8" s="19"/>
      <c r="K8" s="30"/>
      <c r="L8" s="30"/>
    </row>
    <row r="9" spans="1:12" x14ac:dyDescent="0.4">
      <c r="A9" t="s">
        <v>7</v>
      </c>
      <c r="B9" s="9">
        <v>79267</v>
      </c>
      <c r="C9" s="3"/>
      <c r="D9" s="3"/>
      <c r="F9" s="2" t="s">
        <v>28</v>
      </c>
      <c r="I9" s="13">
        <f>I8/B3/I7/I7</f>
        <v>1.4503498253367005E-2</v>
      </c>
    </row>
    <row r="10" spans="1:12" x14ac:dyDescent="0.4">
      <c r="A10" t="s">
        <v>17</v>
      </c>
      <c r="B10" s="11">
        <v>4.0700000000000003E-4</v>
      </c>
      <c r="F10" s="2"/>
      <c r="I10" s="2"/>
      <c r="J10" s="1"/>
      <c r="K10" s="1"/>
      <c r="L10" s="1"/>
    </row>
    <row r="11" spans="1:12" x14ac:dyDescent="0.4">
      <c r="F11" s="2" t="s">
        <v>36</v>
      </c>
    </row>
    <row r="12" spans="1:12" x14ac:dyDescent="0.4">
      <c r="A12" s="2" t="s">
        <v>29</v>
      </c>
      <c r="B12" s="1" t="s">
        <v>4</v>
      </c>
      <c r="C12" s="1" t="s">
        <v>5</v>
      </c>
      <c r="D12" s="1" t="s">
        <v>6</v>
      </c>
      <c r="F12" s="16" t="s">
        <v>37</v>
      </c>
    </row>
    <row r="13" spans="1:12" x14ac:dyDescent="0.4">
      <c r="A13" s="14" t="s">
        <v>31</v>
      </c>
      <c r="B13" s="20">
        <f>B7/$B$3</f>
        <v>1.0491030303030303E-3</v>
      </c>
      <c r="C13" s="20">
        <f t="shared" ref="C13:D13" si="0">C7/$B$3</f>
        <v>6.8415151515151512E-4</v>
      </c>
      <c r="D13" s="20">
        <f t="shared" si="0"/>
        <v>7.4661818181818182E-4</v>
      </c>
      <c r="F13" s="2" t="s">
        <v>0</v>
      </c>
      <c r="G13" s="1" t="s">
        <v>40</v>
      </c>
      <c r="H13" s="1" t="s">
        <v>41</v>
      </c>
      <c r="I13" s="1" t="s">
        <v>3</v>
      </c>
    </row>
    <row r="14" spans="1:12" x14ac:dyDescent="0.4">
      <c r="A14" t="s">
        <v>30</v>
      </c>
      <c r="B14" s="21">
        <f>SQRT(B6*B6-B13*B13)</f>
        <v>7.2292388138944549E-2</v>
      </c>
      <c r="C14" s="21">
        <f t="shared" ref="C14:D14" si="1">SQRT(C6*C6-C13*C13)</f>
        <v>0.24449904281347262</v>
      </c>
      <c r="D14" s="21">
        <f t="shared" si="1"/>
        <v>0.28449902031692581</v>
      </c>
      <c r="F14" s="31" t="s">
        <v>8</v>
      </c>
      <c r="G14" s="40">
        <f>B4-C4</f>
        <v>184000</v>
      </c>
      <c r="H14" s="40">
        <f>C4</f>
        <v>161000</v>
      </c>
      <c r="I14" s="40">
        <f>D4</f>
        <v>13800</v>
      </c>
    </row>
    <row r="15" spans="1:12" x14ac:dyDescent="0.4">
      <c r="F15" s="31" t="s">
        <v>9</v>
      </c>
      <c r="G15" s="33">
        <f>B3/(1+VC/VS)</f>
        <v>176000000</v>
      </c>
      <c r="H15" s="33">
        <f>G15</f>
        <v>176000000</v>
      </c>
      <c r="I15" s="33">
        <f>D3</f>
        <v>72000000</v>
      </c>
    </row>
    <row r="16" spans="1:12" x14ac:dyDescent="0.4">
      <c r="A16" s="26" t="s">
        <v>24</v>
      </c>
      <c r="F16" s="31" t="s">
        <v>56</v>
      </c>
      <c r="G16" s="41">
        <f>G14/SQRT(3)</f>
        <v>106232.44953089114</v>
      </c>
      <c r="H16" s="41">
        <f>H14/SQRT(3)</f>
        <v>92953.39333952975</v>
      </c>
      <c r="I16" s="41">
        <f>I14</f>
        <v>13800</v>
      </c>
      <c r="J16" s="6"/>
      <c r="K16" s="6"/>
      <c r="L16" s="6"/>
    </row>
    <row r="17" spans="1:12" x14ac:dyDescent="0.4">
      <c r="A17" t="s">
        <v>10</v>
      </c>
      <c r="B17" s="13">
        <f>B9/B3</f>
        <v>2.402030303030303E-4</v>
      </c>
      <c r="F17" s="31" t="s">
        <v>57</v>
      </c>
      <c r="G17" s="42">
        <f>G15/3</f>
        <v>58666666.666666664</v>
      </c>
      <c r="H17" s="42">
        <f t="shared" ref="H17:I17" si="2">H15/3</f>
        <v>58666666.666666664</v>
      </c>
      <c r="I17" s="42">
        <f t="shared" si="2"/>
        <v>24000000</v>
      </c>
      <c r="J17" s="18"/>
      <c r="K17" s="18"/>
      <c r="L17" s="18"/>
    </row>
    <row r="18" spans="1:12" x14ac:dyDescent="0.4">
      <c r="A18" t="s">
        <v>16</v>
      </c>
      <c r="B18" s="13">
        <f>SQRT(Iexc*Iexc-nll*nll)</f>
        <v>3.2855974225891028E-4</v>
      </c>
      <c r="C18" s="3"/>
      <c r="F18" s="35" t="s">
        <v>54</v>
      </c>
      <c r="H18" s="16" t="s">
        <v>55</v>
      </c>
      <c r="J18" s="30"/>
      <c r="K18" s="19"/>
      <c r="L18" s="6"/>
    </row>
    <row r="19" spans="1:12" x14ac:dyDescent="0.4">
      <c r="B19" s="6"/>
      <c r="C19" s="3"/>
      <c r="F19" s="31" t="s">
        <v>42</v>
      </c>
      <c r="G19" s="30">
        <f>XHL*(VH/(VH-VL))^2</f>
        <v>0.25415292705097692</v>
      </c>
      <c r="I19" s="36">
        <f>G19*S2wdg/Sauto</f>
        <v>0.13554822776052103</v>
      </c>
      <c r="J19" s="30"/>
      <c r="K19" s="19"/>
      <c r="L19" s="6"/>
    </row>
    <row r="20" spans="1:12" x14ac:dyDescent="0.4">
      <c r="A20" s="16" t="s">
        <v>25</v>
      </c>
      <c r="B20" s="6"/>
      <c r="C20" s="3"/>
      <c r="F20" s="31" t="s">
        <v>44</v>
      </c>
      <c r="G20" s="30">
        <f>XHL*VH*VL/(VH-VL)^2+XHT*VH/(VH-VL)-XLT*VL/(VH-VL)</f>
        <v>0.32810376178840694</v>
      </c>
      <c r="H20" s="19"/>
      <c r="I20" s="36">
        <f>G20*S2wdg/Sauto</f>
        <v>0.17498867295381704</v>
      </c>
      <c r="J20" s="30"/>
      <c r="K20" s="19"/>
      <c r="L20" s="6"/>
    </row>
    <row r="21" spans="1:12" x14ac:dyDescent="0.4">
      <c r="B21" s="1" t="s">
        <v>1</v>
      </c>
      <c r="C21" s="1" t="s">
        <v>2</v>
      </c>
      <c r="D21" s="1" t="s">
        <v>3</v>
      </c>
      <c r="F21" s="31" t="s">
        <v>43</v>
      </c>
      <c r="G21" s="30">
        <f>XLT</f>
        <v>0.28449902031692581</v>
      </c>
      <c r="H21" s="19"/>
      <c r="I21" s="36">
        <f>G21*S2wdg/Sauto</f>
        <v>0.15173281083569379</v>
      </c>
      <c r="J21" s="19"/>
      <c r="K21" s="19"/>
      <c r="L21" s="6"/>
    </row>
    <row r="22" spans="1:12" x14ac:dyDescent="0.4">
      <c r="A22" s="2" t="s">
        <v>19</v>
      </c>
      <c r="B22" s="24">
        <f>0.001*Pnll</f>
        <v>79.266999999999996</v>
      </c>
      <c r="J22" s="19"/>
      <c r="K22" s="19"/>
      <c r="L22" s="19"/>
    </row>
    <row r="23" spans="1:12" x14ac:dyDescent="0.4">
      <c r="A23" t="s">
        <v>32</v>
      </c>
      <c r="B23" s="12">
        <f>B3/B4/SQRT(3)</f>
        <v>552.24808357268557</v>
      </c>
      <c r="C23" s="12">
        <f>C3/C4/SQRT(3)</f>
        <v>1183.3887505128976</v>
      </c>
      <c r="D23" s="5"/>
      <c r="F23" s="38" t="s">
        <v>58</v>
      </c>
      <c r="G23" s="19"/>
      <c r="J23" s="19"/>
      <c r="K23" s="19"/>
      <c r="L23" s="19"/>
    </row>
    <row r="24" spans="1:12" x14ac:dyDescent="0.4">
      <c r="A24" s="14" t="s">
        <v>20</v>
      </c>
      <c r="B24" s="22">
        <f>B23*B10</f>
        <v>0.22476497001408305</v>
      </c>
      <c r="C24" s="4"/>
      <c r="D24" s="4"/>
      <c r="F24" s="2" t="s">
        <v>10</v>
      </c>
      <c r="G24" s="39">
        <f>B17*(Sauto/S2wdg)</f>
        <v>4.5038068181818178E-4</v>
      </c>
      <c r="J24" s="32"/>
      <c r="K24" s="32"/>
      <c r="L24" s="32"/>
    </row>
    <row r="25" spans="1:12" x14ac:dyDescent="0.4">
      <c r="A25" s="2" t="s">
        <v>33</v>
      </c>
      <c r="B25" s="25">
        <f>B18*B3*0.001</f>
        <v>108.4247149454404</v>
      </c>
      <c r="F25" s="2" t="s">
        <v>16</v>
      </c>
      <c r="G25" s="39">
        <f>B18*(Sauto/S2wdg)</f>
        <v>6.1604951673545675E-4</v>
      </c>
      <c r="J25" s="32"/>
      <c r="K25" s="32"/>
      <c r="L25" s="32"/>
    </row>
    <row r="26" spans="1:12" x14ac:dyDescent="0.4">
      <c r="A26" s="16"/>
      <c r="B26" s="10"/>
      <c r="J26" s="19"/>
      <c r="K26" s="19"/>
      <c r="L26" s="19"/>
    </row>
    <row r="27" spans="1:12" x14ac:dyDescent="0.4">
      <c r="A27" s="16" t="s">
        <v>53</v>
      </c>
      <c r="F27" s="16" t="s">
        <v>59</v>
      </c>
      <c r="J27" s="18"/>
      <c r="K27" s="18"/>
      <c r="L27" s="18"/>
    </row>
    <row r="28" spans="1:12" x14ac:dyDescent="0.4">
      <c r="A28" s="16" t="s">
        <v>52</v>
      </c>
      <c r="E28" s="14"/>
      <c r="F28" t="s">
        <v>60</v>
      </c>
      <c r="G28">
        <f>G4</f>
        <v>162795</v>
      </c>
      <c r="H28">
        <f t="shared" ref="H28:I28" si="3">H4</f>
        <v>183409</v>
      </c>
      <c r="I28">
        <f t="shared" si="3"/>
        <v>62975</v>
      </c>
      <c r="J28" s="18"/>
      <c r="K28" s="18"/>
      <c r="L28" s="18"/>
    </row>
    <row r="29" spans="1:12" x14ac:dyDescent="0.4">
      <c r="A29" s="2" t="s">
        <v>18</v>
      </c>
      <c r="B29" s="1" t="s">
        <v>4</v>
      </c>
      <c r="C29" s="1" t="s">
        <v>5</v>
      </c>
      <c r="D29" s="1" t="s">
        <v>6</v>
      </c>
      <c r="F29" s="34" t="s">
        <v>45</v>
      </c>
      <c r="G29" s="27">
        <f>G15/G14/SQRT(3)</f>
        <v>552.24808357268557</v>
      </c>
      <c r="H29" s="27">
        <f>H15/H14/SQRT(3)</f>
        <v>631.1406669402121</v>
      </c>
      <c r="I29" s="27">
        <f>I15/I14/SQRT(3)</f>
        <v>3012.2622740328302</v>
      </c>
      <c r="J29" s="30"/>
      <c r="K29" s="30"/>
      <c r="L29" s="19"/>
    </row>
    <row r="30" spans="1:12" x14ac:dyDescent="0.4">
      <c r="A30" s="2" t="s">
        <v>21</v>
      </c>
      <c r="B30" s="23">
        <f>0.001*B7</f>
        <v>346.20400000000001</v>
      </c>
      <c r="C30" s="23">
        <f>0.001*C7</f>
        <v>225.77</v>
      </c>
      <c r="D30" s="23">
        <f>0.001*D7</f>
        <v>246.38400000000001</v>
      </c>
      <c r="F30" s="34" t="s">
        <v>61</v>
      </c>
      <c r="G30">
        <f>G28/G29^2/3</f>
        <v>0.17793089876033055</v>
      </c>
      <c r="H30">
        <f t="shared" ref="H30:I30" si="4">H28/H29^2/3</f>
        <v>0.15347832802815078</v>
      </c>
      <c r="I30">
        <f t="shared" si="4"/>
        <v>2.313456597222222E-3</v>
      </c>
      <c r="J30" s="6"/>
      <c r="K30" s="6"/>
      <c r="L30" s="19"/>
    </row>
    <row r="31" spans="1:12" x14ac:dyDescent="0.4">
      <c r="A31" s="2" t="s">
        <v>23</v>
      </c>
      <c r="B31" s="3">
        <f>B4*B4/B3</f>
        <v>360.68181818181819</v>
      </c>
      <c r="C31" s="3">
        <f>B31</f>
        <v>360.68181818181819</v>
      </c>
      <c r="D31" s="3">
        <f>C4*C4/B3</f>
        <v>78.548484848484847</v>
      </c>
      <c r="F31" s="34" t="s">
        <v>46</v>
      </c>
      <c r="G31" s="27">
        <f>VS*VS/S2wdg</f>
        <v>192.36363636363637</v>
      </c>
      <c r="H31" s="27">
        <f>VC*VC/S2wdg</f>
        <v>147.27840909090909</v>
      </c>
      <c r="I31" s="27"/>
      <c r="J31" s="18"/>
      <c r="K31" s="18"/>
      <c r="L31" s="19"/>
    </row>
    <row r="32" spans="1:12" x14ac:dyDescent="0.4">
      <c r="A32" s="2" t="s">
        <v>22</v>
      </c>
      <c r="B32" s="23">
        <f>B4/B31/B6/SQRT(3)</f>
        <v>7638.2860798435058</v>
      </c>
      <c r="C32" s="23">
        <f>B4/C31/C6/SQRT(3)</f>
        <v>2258.6833683954419</v>
      </c>
      <c r="D32" s="23">
        <f>C4/D31/D6/SQRT(3)</f>
        <v>4159.5386661261782</v>
      </c>
      <c r="F32" s="31" t="s">
        <v>28</v>
      </c>
      <c r="G32" s="37">
        <f>G30/G31</f>
        <v>9.2497159090909077E-4</v>
      </c>
      <c r="H32" s="37">
        <f t="shared" ref="H32" si="5">H30/H31</f>
        <v>1.0420965909090907E-3</v>
      </c>
      <c r="I32" s="6"/>
      <c r="J32" s="19"/>
      <c r="K32" s="19"/>
      <c r="L32" s="19"/>
    </row>
    <row r="33" spans="1:12" x14ac:dyDescent="0.4">
      <c r="F33" s="34" t="s">
        <v>34</v>
      </c>
      <c r="G33">
        <f>ST/S2wdg</f>
        <v>0.40909090909090912</v>
      </c>
      <c r="H33">
        <f>ST/S2wdg</f>
        <v>0.40909090909090912</v>
      </c>
      <c r="I33">
        <f>ST/S2wdg</f>
        <v>0.40909090909090912</v>
      </c>
      <c r="J33" s="18"/>
      <c r="K33" s="18"/>
      <c r="L33" s="19"/>
    </row>
    <row r="34" spans="1:12" x14ac:dyDescent="0.4">
      <c r="A34" s="16" t="s">
        <v>47</v>
      </c>
      <c r="F34" s="34" t="s">
        <v>35</v>
      </c>
      <c r="G34">
        <f>G28*G33*G33</f>
        <v>27244.617768595042</v>
      </c>
      <c r="H34">
        <f>H28*H33*H33</f>
        <v>30694.481404958678</v>
      </c>
      <c r="I34">
        <f>0.5*(C7+D7-G34-H34)</f>
        <v>207107.45041322312</v>
      </c>
      <c r="J34" s="18"/>
      <c r="K34" s="19"/>
      <c r="L34" s="19"/>
    </row>
    <row r="35" spans="1:12" x14ac:dyDescent="0.4">
      <c r="A35" s="2" t="s">
        <v>48</v>
      </c>
      <c r="B35" s="15">
        <v>0.94879999999999998</v>
      </c>
      <c r="F35" s="31" t="s">
        <v>28</v>
      </c>
      <c r="G35" s="6"/>
      <c r="H35" s="6"/>
      <c r="I35" s="37">
        <f>I34/S2wdg/I33/I33</f>
        <v>7.0314257856341177E-3</v>
      </c>
      <c r="J35" s="19"/>
      <c r="K35" s="19"/>
      <c r="L35" s="19"/>
    </row>
    <row r="36" spans="1:12" x14ac:dyDescent="0.4">
      <c r="A36" s="2" t="s">
        <v>49</v>
      </c>
      <c r="B36" s="15">
        <v>-4.3</v>
      </c>
      <c r="F36" s="19"/>
      <c r="G36" s="19"/>
      <c r="H36" s="19"/>
      <c r="I36" s="31"/>
      <c r="J36" s="32"/>
      <c r="K36" s="32"/>
      <c r="L36" s="32"/>
    </row>
    <row r="37" spans="1:12" x14ac:dyDescent="0.4">
      <c r="A37" s="2" t="s">
        <v>51</v>
      </c>
      <c r="B37" s="23">
        <v>329.1</v>
      </c>
      <c r="F37" s="19"/>
      <c r="G37" s="19"/>
      <c r="H37" s="19"/>
      <c r="I37" s="19"/>
      <c r="J37" s="19"/>
      <c r="K37" s="19"/>
      <c r="L37" s="19"/>
    </row>
    <row r="38" spans="1:12" x14ac:dyDescent="0.4">
      <c r="A38" s="2" t="s">
        <v>50</v>
      </c>
      <c r="B38" s="23">
        <v>204</v>
      </c>
      <c r="F38" s="19"/>
      <c r="G38" s="19"/>
      <c r="H38" s="19"/>
      <c r="I38" s="19"/>
      <c r="J38" s="27"/>
      <c r="K38" s="27"/>
      <c r="L38" s="27"/>
    </row>
    <row r="39" spans="1:12" x14ac:dyDescent="0.4">
      <c r="F39" s="19"/>
      <c r="G39" s="19"/>
      <c r="H39" s="19"/>
      <c r="I39" s="19"/>
      <c r="J39" s="19"/>
      <c r="K39" s="19"/>
      <c r="L39" s="19"/>
    </row>
    <row r="40" spans="1:12" x14ac:dyDescent="0.4">
      <c r="F40" s="19"/>
      <c r="G40" s="19"/>
      <c r="H40" s="19"/>
      <c r="I40" s="19"/>
      <c r="J40" s="18"/>
      <c r="K40" s="18"/>
      <c r="L40" s="18"/>
    </row>
    <row r="41" spans="1:12" x14ac:dyDescent="0.4">
      <c r="F41" s="19"/>
      <c r="G41" s="19"/>
      <c r="H41" s="19"/>
      <c r="I41" s="19"/>
      <c r="J41" s="6"/>
      <c r="K41" s="6"/>
      <c r="L41" s="6"/>
    </row>
    <row r="42" spans="1:12" x14ac:dyDescent="0.4">
      <c r="F42" s="19"/>
      <c r="G42" s="19"/>
      <c r="H42" s="19"/>
      <c r="I42" s="19"/>
      <c r="J42" s="19"/>
      <c r="K42" s="19"/>
      <c r="L42" s="19"/>
    </row>
    <row r="43" spans="1:12" x14ac:dyDescent="0.4">
      <c r="F43" s="19"/>
      <c r="G43" s="19"/>
      <c r="H43" s="19"/>
      <c r="I43" s="19"/>
      <c r="J43" s="19"/>
      <c r="K43" s="19"/>
      <c r="L43" s="19"/>
    </row>
    <row r="44" spans="1:12" x14ac:dyDescent="0.4">
      <c r="F44" s="19"/>
      <c r="G44" s="19"/>
      <c r="H44" s="19"/>
      <c r="I44" s="19"/>
      <c r="J44" s="19"/>
      <c r="K44" s="19"/>
      <c r="L44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E9EB-33B2-479A-AFBD-EC6289AA7B21}">
  <dimension ref="A1:F18"/>
  <sheetViews>
    <sheetView tabSelected="1" workbookViewId="0">
      <selection activeCell="A19" sqref="A19"/>
    </sheetView>
  </sheetViews>
  <sheetFormatPr defaultRowHeight="14.6" x14ac:dyDescent="0.4"/>
  <cols>
    <col min="1" max="1" width="19.3046875" customWidth="1"/>
    <col min="5" max="5" width="10.15234375" customWidth="1"/>
    <col min="6" max="6" width="12.61328125" customWidth="1"/>
  </cols>
  <sheetData>
    <row r="1" spans="1:6" x14ac:dyDescent="0.4">
      <c r="A1" s="2" t="s">
        <v>66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79</v>
      </c>
    </row>
    <row r="2" spans="1:6" x14ac:dyDescent="0.4">
      <c r="A2" t="s">
        <v>67</v>
      </c>
      <c r="B2" s="44">
        <v>7620.55</v>
      </c>
      <c r="C2" s="44">
        <v>7624.45</v>
      </c>
      <c r="D2" s="44">
        <v>7624.45</v>
      </c>
      <c r="E2" s="44">
        <v>7620.55</v>
      </c>
      <c r="F2" s="23">
        <v>7638.3</v>
      </c>
    </row>
    <row r="3" spans="1:6" x14ac:dyDescent="0.4">
      <c r="A3" t="s">
        <v>68</v>
      </c>
      <c r="B3" s="44">
        <v>2252.9499999999998</v>
      </c>
      <c r="C3" s="44">
        <v>2253.5500000000002</v>
      </c>
      <c r="D3" s="44">
        <v>2253.5500000000002</v>
      </c>
      <c r="E3" s="47">
        <v>2253.44</v>
      </c>
      <c r="F3" s="23">
        <v>2258.6999999999998</v>
      </c>
    </row>
    <row r="4" spans="1:6" x14ac:dyDescent="0.4">
      <c r="A4" t="s">
        <v>69</v>
      </c>
      <c r="B4" s="44">
        <v>4151.3599999999997</v>
      </c>
      <c r="C4" s="44">
        <v>4152.53</v>
      </c>
      <c r="D4" s="44">
        <v>4152.54</v>
      </c>
      <c r="E4" s="44">
        <v>4151.3599999999997</v>
      </c>
      <c r="F4" s="23">
        <v>4159.5</v>
      </c>
    </row>
    <row r="5" spans="1:6" x14ac:dyDescent="0.4">
      <c r="A5" t="s">
        <v>70</v>
      </c>
      <c r="B5" s="44">
        <v>348.77499999999998</v>
      </c>
      <c r="C5" s="44">
        <v>348.77</v>
      </c>
      <c r="D5" s="44">
        <v>348.78</v>
      </c>
      <c r="E5" s="47">
        <v>348.959</v>
      </c>
      <c r="F5" s="23">
        <v>346.2</v>
      </c>
    </row>
    <row r="6" spans="1:6" x14ac:dyDescent="0.4">
      <c r="A6" t="s">
        <v>71</v>
      </c>
      <c r="B6" s="44">
        <v>237.821</v>
      </c>
      <c r="C6" s="44">
        <v>223.54</v>
      </c>
      <c r="D6" s="44">
        <v>223.53899999999999</v>
      </c>
      <c r="E6" s="47">
        <v>223.428</v>
      </c>
      <c r="F6" s="23">
        <v>225.8</v>
      </c>
    </row>
    <row r="7" spans="1:6" x14ac:dyDescent="0.4">
      <c r="A7" t="s">
        <v>72</v>
      </c>
      <c r="B7" s="44">
        <v>239.07300000000001</v>
      </c>
      <c r="C7" s="44">
        <v>240.3</v>
      </c>
      <c r="D7" s="44">
        <v>240.298</v>
      </c>
      <c r="E7" s="47">
        <v>239.07300000000001</v>
      </c>
      <c r="F7" s="23">
        <v>246.4</v>
      </c>
    </row>
    <row r="8" spans="1:6" x14ac:dyDescent="0.4">
      <c r="A8" t="s">
        <v>73</v>
      </c>
      <c r="B8" s="44">
        <v>79.3</v>
      </c>
      <c r="C8" s="44">
        <v>79.5</v>
      </c>
      <c r="D8" s="44">
        <v>79.2</v>
      </c>
      <c r="E8" s="44">
        <v>79.3</v>
      </c>
      <c r="F8" s="23">
        <v>79.3</v>
      </c>
    </row>
    <row r="9" spans="1:6" x14ac:dyDescent="0.4">
      <c r="A9" t="s">
        <v>74</v>
      </c>
      <c r="B9" s="44">
        <v>109</v>
      </c>
      <c r="C9" s="44">
        <v>109.2</v>
      </c>
      <c r="D9" s="44">
        <v>109.2</v>
      </c>
      <c r="E9" s="44">
        <v>109.6</v>
      </c>
      <c r="F9" s="23">
        <v>108.4</v>
      </c>
    </row>
    <row r="10" spans="1:6" x14ac:dyDescent="0.4">
      <c r="A10" t="s">
        <v>75</v>
      </c>
      <c r="B10" s="45">
        <v>0.94879999999999998</v>
      </c>
      <c r="C10" s="45">
        <v>0.94882</v>
      </c>
      <c r="D10" s="45">
        <v>0.94882</v>
      </c>
      <c r="E10" s="45">
        <v>0.94877999999999996</v>
      </c>
    </row>
    <row r="11" spans="1:6" x14ac:dyDescent="0.4">
      <c r="A11" t="s">
        <v>76</v>
      </c>
      <c r="B11" s="44">
        <v>-4.3</v>
      </c>
      <c r="C11" s="44">
        <v>-4.3</v>
      </c>
      <c r="D11" s="44">
        <v>-4.3</v>
      </c>
      <c r="E11" s="44">
        <v>-4.3</v>
      </c>
    </row>
    <row r="12" spans="1:6" x14ac:dyDescent="0.4">
      <c r="A12" t="s">
        <v>77</v>
      </c>
      <c r="B12" s="44">
        <v>329.1</v>
      </c>
      <c r="C12" s="44">
        <v>329.1</v>
      </c>
      <c r="D12" s="44">
        <v>329.1</v>
      </c>
      <c r="E12" s="44">
        <v>329.1</v>
      </c>
    </row>
    <row r="13" spans="1:6" x14ac:dyDescent="0.4">
      <c r="A13" t="s">
        <v>78</v>
      </c>
      <c r="B13" s="44">
        <v>204</v>
      </c>
      <c r="C13" s="44">
        <v>204</v>
      </c>
      <c r="D13" s="44">
        <v>204</v>
      </c>
      <c r="E13" s="44">
        <v>204</v>
      </c>
    </row>
    <row r="15" spans="1:6" x14ac:dyDescent="0.4">
      <c r="A15" s="46" t="s">
        <v>80</v>
      </c>
    </row>
    <row r="16" spans="1:6" x14ac:dyDescent="0.4">
      <c r="A16" t="s">
        <v>81</v>
      </c>
    </row>
    <row r="17" spans="1:1" x14ac:dyDescent="0.4">
      <c r="A17" t="s">
        <v>82</v>
      </c>
    </row>
    <row r="18" spans="1:1" x14ac:dyDescent="0.4">
      <c r="A18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Inputs</vt:lpstr>
      <vt:lpstr>Outputs</vt:lpstr>
      <vt:lpstr>Iexc</vt:lpstr>
      <vt:lpstr>nll</vt:lpstr>
      <vt:lpstr>Pnll</vt:lpstr>
      <vt:lpstr>S2wdg</vt:lpstr>
      <vt:lpstr>Sauto</vt:lpstr>
      <vt:lpstr>ST</vt:lpstr>
      <vt:lpstr>VC</vt:lpstr>
      <vt:lpstr>VH</vt:lpstr>
      <vt:lpstr>VL</vt:lpstr>
      <vt:lpstr>VS</vt:lpstr>
      <vt:lpstr>VT</vt:lpstr>
      <vt:lpstr>XHL</vt:lpstr>
      <vt:lpstr>XHT</vt:lpstr>
      <vt:lpstr>XLT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2021-10-29T13:17:32Z</dcterms:created>
  <dcterms:modified xsi:type="dcterms:W3CDTF">2021-11-03T14:18:24Z</dcterms:modified>
</cp:coreProperties>
</file>