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12"/>
  <workbookPr codeName="ThisWorkbook" defaultThemeVersion="124226"/>
  <mc:AlternateContent xmlns:mc="http://schemas.openxmlformats.org/markup-compatibility/2006">
    <mc:Choice Requires="x15">
      <x15ac:absPath xmlns:x15ac="http://schemas.microsoft.com/office/spreadsheetml/2010/11/ac" url="C:\Users\ianan\Downloads\"/>
    </mc:Choice>
  </mc:AlternateContent>
  <xr:revisionPtr revIDLastSave="0" documentId="13_ncr:1_{500430EC-F9B9-47EE-AE00-2F63BC392916}" xr6:coauthVersionLast="47" xr6:coauthVersionMax="47" xr10:uidLastSave="{00000000-0000-0000-0000-000000000000}"/>
  <bookViews>
    <workbookView xWindow="-108" yWindow="-108" windowWidth="23256" windowHeight="12456" tabRatio="907" firstSheet="18" activeTab="18" xr2:uid="{00000000-000D-0000-FFFF-FFFF00000000}"/>
  </bookViews>
  <sheets>
    <sheet name="Intro" sheetId="36" r:id="rId1"/>
    <sheet name="Jan" sheetId="61" r:id="rId2"/>
    <sheet name="Feb" sheetId="80" r:id="rId3"/>
    <sheet name="Mar" sheetId="75" r:id="rId4"/>
    <sheet name="Apr" sheetId="76" r:id="rId5"/>
    <sheet name="May" sheetId="77" r:id="rId6"/>
    <sheet name="Jun" sheetId="82" r:id="rId7"/>
    <sheet name="Jul" sheetId="81" r:id="rId8"/>
    <sheet name="Aug" sheetId="78" r:id="rId9"/>
    <sheet name="Sep" sheetId="79" r:id="rId10"/>
    <sheet name="Oct" sheetId="84" r:id="rId11"/>
    <sheet name="Nov" sheetId="83" r:id="rId12"/>
    <sheet name="Dec" sheetId="85" r:id="rId13"/>
    <sheet name="Summary" sheetId="1" r:id="rId14"/>
    <sheet name="Road calculator" sheetId="5" r:id="rId15"/>
    <sheet name="Materials" sheetId="39" state="hidden" r:id="rId16"/>
    <sheet name="Flight calculator" sheetId="73" r:id="rId17"/>
    <sheet name="Refrigerant" sheetId="38" r:id="rId18"/>
    <sheet name="Emission Factors" sheetId="35" r:id="rId19"/>
    <sheet name="Version History" sheetId="21" state="hidden" r:id="rId20"/>
    <sheet name="Energy graph" sheetId="6" state="hidden" r:id="rId21"/>
  </sheets>
  <definedNames>
    <definedName name="_xlnm._FilterDatabase" localSheetId="14" hidden="1">'Road calculator'!$B$8:$F$9</definedName>
    <definedName name="_xlnm.Print_Area" localSheetId="18">'Emission Factors'!$A$1:$L$25</definedName>
    <definedName name="_xlnm.Print_Area" localSheetId="20">'Energy graph'!$D$2:$T$48</definedName>
    <definedName name="_xlnm.Print_Area" localSheetId="16">'Flight calculator'!$B$70:$L$112</definedName>
    <definedName name="_xlnm.Print_Area" localSheetId="0">Intro!$B$2:$AB$69</definedName>
    <definedName name="_xlnm.Print_Area" localSheetId="15">Materials!$A$3:$J$22</definedName>
    <definedName name="_xlnm.Print_Area" localSheetId="17">Refrigerant!$A$3:$Q$22</definedName>
    <definedName name="_xlnm.Print_Area" localSheetId="14">'Road calculator'!$A$2:$AG$72</definedName>
    <definedName name="_xlnm.Print_Area" localSheetId="13">Summary!$C$2:$AI$55</definedName>
    <definedName name="_xlnm.Print_Area" localSheetId="19">'Version History'!$C$1:$S$58</definedName>
    <definedName name="Radiative_forcing" localSheetId="16">'Flight calculator'!$B$7</definedName>
    <definedName name="Radiative_forcing">#REF!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4" i="38" l="1"/>
  <c r="H19" i="38"/>
  <c r="F67" i="73"/>
  <c r="F66" i="73"/>
  <c r="H29" i="73"/>
  <c r="F29" i="73"/>
  <c r="J61" i="73"/>
  <c r="H45" i="73"/>
  <c r="G45" i="73"/>
  <c r="F40" i="35"/>
  <c r="F39" i="35"/>
  <c r="L41" i="85" l="1"/>
  <c r="L41" i="83"/>
  <c r="L41" i="84"/>
  <c r="L41" i="79"/>
  <c r="L41" i="78"/>
  <c r="L41" i="81"/>
  <c r="L41" i="82"/>
  <c r="L41" i="77"/>
  <c r="L41" i="76"/>
  <c r="L41" i="75"/>
  <c r="L41" i="80"/>
  <c r="L41" i="61"/>
  <c r="G20" i="73" l="1"/>
  <c r="G21" i="73"/>
  <c r="G22" i="73"/>
  <c r="G23" i="73"/>
  <c r="G24" i="73"/>
  <c r="G25" i="73"/>
  <c r="G26" i="73"/>
  <c r="G27" i="73"/>
  <c r="G28" i="73"/>
  <c r="G19" i="73"/>
  <c r="E37" i="73"/>
  <c r="F37" i="73" s="1"/>
  <c r="G37" i="73" l="1"/>
  <c r="I37" i="73" s="1"/>
  <c r="H37" i="73"/>
  <c r="F42" i="85"/>
  <c r="F41" i="85"/>
  <c r="F40" i="85"/>
  <c r="L34" i="85"/>
  <c r="E34" i="85"/>
  <c r="L33" i="85"/>
  <c r="F33" i="85"/>
  <c r="L32" i="85"/>
  <c r="F32" i="85"/>
  <c r="L31" i="85"/>
  <c r="F31" i="85"/>
  <c r="F28" i="85"/>
  <c r="L25" i="85"/>
  <c r="F25" i="85"/>
  <c r="L24" i="85"/>
  <c r="F24" i="85"/>
  <c r="F21" i="85"/>
  <c r="F20" i="85"/>
  <c r="L19" i="85"/>
  <c r="F19" i="85"/>
  <c r="L18" i="85"/>
  <c r="F18" i="85"/>
  <c r="L17" i="85"/>
  <c r="F17" i="85"/>
  <c r="L16" i="85"/>
  <c r="F16" i="85"/>
  <c r="L12" i="85"/>
  <c r="F12" i="85"/>
  <c r="L11" i="85"/>
  <c r="F11" i="85"/>
  <c r="L10" i="85"/>
  <c r="F10" i="85"/>
  <c r="F42" i="84"/>
  <c r="F41" i="84"/>
  <c r="F40" i="84"/>
  <c r="L34" i="84"/>
  <c r="E34" i="84"/>
  <c r="L33" i="84"/>
  <c r="F33" i="84"/>
  <c r="L32" i="84"/>
  <c r="F32" i="84"/>
  <c r="L31" i="84"/>
  <c r="F31" i="84"/>
  <c r="F28" i="84"/>
  <c r="L25" i="84"/>
  <c r="F25" i="84"/>
  <c r="L24" i="84"/>
  <c r="F24" i="84"/>
  <c r="F21" i="84"/>
  <c r="F20" i="84"/>
  <c r="L19" i="84"/>
  <c r="F19" i="84"/>
  <c r="L18" i="84"/>
  <c r="F18" i="84"/>
  <c r="L17" i="84"/>
  <c r="F17" i="84"/>
  <c r="L16" i="84"/>
  <c r="F16" i="84"/>
  <c r="L12" i="84"/>
  <c r="F12" i="84"/>
  <c r="L11" i="84"/>
  <c r="F11" i="84"/>
  <c r="L10" i="84"/>
  <c r="F10" i="84"/>
  <c r="F42" i="83"/>
  <c r="F41" i="83"/>
  <c r="F40" i="83"/>
  <c r="L34" i="83"/>
  <c r="E34" i="83"/>
  <c r="L33" i="83"/>
  <c r="F33" i="83"/>
  <c r="L32" i="83"/>
  <c r="F32" i="83"/>
  <c r="L31" i="83"/>
  <c r="F31" i="83"/>
  <c r="F28" i="83"/>
  <c r="L25" i="83"/>
  <c r="F25" i="83"/>
  <c r="L24" i="83"/>
  <c r="F24" i="83"/>
  <c r="F21" i="83"/>
  <c r="F20" i="83"/>
  <c r="L19" i="83"/>
  <c r="F19" i="83"/>
  <c r="L18" i="83"/>
  <c r="F18" i="83"/>
  <c r="L17" i="83"/>
  <c r="F17" i="83"/>
  <c r="L16" i="83"/>
  <c r="F16" i="83"/>
  <c r="L12" i="83"/>
  <c r="F12" i="83"/>
  <c r="L11" i="83"/>
  <c r="F11" i="83"/>
  <c r="L10" i="83"/>
  <c r="F10" i="83"/>
  <c r="F42" i="82"/>
  <c r="F41" i="82"/>
  <c r="F40" i="82"/>
  <c r="L34" i="82"/>
  <c r="E34" i="82"/>
  <c r="L33" i="82"/>
  <c r="F33" i="82"/>
  <c r="L32" i="82"/>
  <c r="F32" i="82"/>
  <c r="L31" i="82"/>
  <c r="F31" i="82"/>
  <c r="F28" i="82"/>
  <c r="L25" i="82"/>
  <c r="F25" i="82"/>
  <c r="L24" i="82"/>
  <c r="F24" i="82"/>
  <c r="F21" i="82"/>
  <c r="F20" i="82"/>
  <c r="L19" i="82"/>
  <c r="F19" i="82"/>
  <c r="L18" i="82"/>
  <c r="F18" i="82"/>
  <c r="L17" i="82"/>
  <c r="F17" i="82"/>
  <c r="L16" i="82"/>
  <c r="F16" i="82"/>
  <c r="L12" i="82"/>
  <c r="F12" i="82"/>
  <c r="L11" i="82"/>
  <c r="F11" i="82"/>
  <c r="L10" i="82"/>
  <c r="F10" i="82"/>
  <c r="F42" i="81"/>
  <c r="F41" i="81"/>
  <c r="F40" i="81"/>
  <c r="L34" i="81"/>
  <c r="E34" i="81"/>
  <c r="L33" i="81"/>
  <c r="F33" i="81"/>
  <c r="L32" i="81"/>
  <c r="F32" i="81"/>
  <c r="L31" i="81"/>
  <c r="F31" i="81"/>
  <c r="F28" i="81"/>
  <c r="L25" i="81"/>
  <c r="F25" i="81"/>
  <c r="L24" i="81"/>
  <c r="F24" i="81"/>
  <c r="F21" i="81"/>
  <c r="F20" i="81"/>
  <c r="L19" i="81"/>
  <c r="F19" i="81"/>
  <c r="L18" i="81"/>
  <c r="F18" i="81"/>
  <c r="L17" i="81"/>
  <c r="F17" i="81"/>
  <c r="L16" i="81"/>
  <c r="F16" i="81"/>
  <c r="L12" i="81"/>
  <c r="F12" i="81"/>
  <c r="L11" i="81"/>
  <c r="F11" i="81"/>
  <c r="L10" i="81"/>
  <c r="F10" i="81"/>
  <c r="F42" i="80"/>
  <c r="F41" i="80"/>
  <c r="F40" i="80"/>
  <c r="L34" i="80"/>
  <c r="E34" i="80"/>
  <c r="L33" i="80"/>
  <c r="F33" i="80"/>
  <c r="L32" i="80"/>
  <c r="F32" i="80"/>
  <c r="L31" i="80"/>
  <c r="F31" i="80"/>
  <c r="F28" i="80"/>
  <c r="L25" i="80"/>
  <c r="F25" i="80"/>
  <c r="L24" i="80"/>
  <c r="F24" i="80"/>
  <c r="F21" i="80"/>
  <c r="F20" i="80"/>
  <c r="L19" i="80"/>
  <c r="F19" i="80"/>
  <c r="L18" i="80"/>
  <c r="F18" i="80"/>
  <c r="L17" i="80"/>
  <c r="F17" i="80"/>
  <c r="L16" i="80"/>
  <c r="F16" i="80"/>
  <c r="L12" i="80"/>
  <c r="F12" i="80"/>
  <c r="L11" i="80"/>
  <c r="F11" i="80"/>
  <c r="L10" i="80"/>
  <c r="F10" i="80"/>
  <c r="F42" i="79"/>
  <c r="F41" i="79"/>
  <c r="F40" i="79"/>
  <c r="L34" i="79"/>
  <c r="E34" i="79"/>
  <c r="L33" i="79"/>
  <c r="F33" i="79"/>
  <c r="L32" i="79"/>
  <c r="F32" i="79"/>
  <c r="L31" i="79"/>
  <c r="F31" i="79"/>
  <c r="F28" i="79"/>
  <c r="L25" i="79"/>
  <c r="F25" i="79"/>
  <c r="L24" i="79"/>
  <c r="F24" i="79"/>
  <c r="F21" i="79"/>
  <c r="F20" i="79"/>
  <c r="L19" i="79"/>
  <c r="F19" i="79"/>
  <c r="L18" i="79"/>
  <c r="F18" i="79"/>
  <c r="L17" i="79"/>
  <c r="F17" i="79"/>
  <c r="L16" i="79"/>
  <c r="F16" i="79"/>
  <c r="L12" i="79"/>
  <c r="F12" i="79"/>
  <c r="L11" i="79"/>
  <c r="F11" i="79"/>
  <c r="L10" i="79"/>
  <c r="F10" i="79"/>
  <c r="F42" i="78"/>
  <c r="F41" i="78"/>
  <c r="F40" i="78"/>
  <c r="L34" i="78"/>
  <c r="E34" i="78"/>
  <c r="L33" i="78"/>
  <c r="F33" i="78"/>
  <c r="L32" i="78"/>
  <c r="F32" i="78"/>
  <c r="L31" i="78"/>
  <c r="F31" i="78"/>
  <c r="F28" i="78"/>
  <c r="L25" i="78"/>
  <c r="F25" i="78"/>
  <c r="L24" i="78"/>
  <c r="F24" i="78"/>
  <c r="F21" i="78"/>
  <c r="F20" i="78"/>
  <c r="L19" i="78"/>
  <c r="F19" i="78"/>
  <c r="L18" i="78"/>
  <c r="F18" i="78"/>
  <c r="L17" i="78"/>
  <c r="F17" i="78"/>
  <c r="L16" i="78"/>
  <c r="F16" i="78"/>
  <c r="L12" i="78"/>
  <c r="F12" i="78"/>
  <c r="L11" i="78"/>
  <c r="F11" i="78"/>
  <c r="L10" i="78"/>
  <c r="F10" i="78"/>
  <c r="F42" i="77"/>
  <c r="F41" i="77"/>
  <c r="F40" i="77"/>
  <c r="L34" i="77"/>
  <c r="E34" i="77"/>
  <c r="L33" i="77"/>
  <c r="F33" i="77"/>
  <c r="L32" i="77"/>
  <c r="F32" i="77"/>
  <c r="L31" i="77"/>
  <c r="F31" i="77"/>
  <c r="F28" i="77"/>
  <c r="L25" i="77"/>
  <c r="F25" i="77"/>
  <c r="L24" i="77"/>
  <c r="F24" i="77"/>
  <c r="F21" i="77"/>
  <c r="F20" i="77"/>
  <c r="L19" i="77"/>
  <c r="F19" i="77"/>
  <c r="L18" i="77"/>
  <c r="F18" i="77"/>
  <c r="L17" i="77"/>
  <c r="F17" i="77"/>
  <c r="L16" i="77"/>
  <c r="F16" i="77"/>
  <c r="L12" i="77"/>
  <c r="F12" i="77"/>
  <c r="L11" i="77"/>
  <c r="F11" i="77"/>
  <c r="L10" i="77"/>
  <c r="F10" i="77"/>
  <c r="F42" i="76"/>
  <c r="F41" i="76"/>
  <c r="F40" i="76"/>
  <c r="L34" i="76"/>
  <c r="E34" i="76"/>
  <c r="L33" i="76"/>
  <c r="F33" i="76"/>
  <c r="L32" i="76"/>
  <c r="F32" i="76"/>
  <c r="L31" i="76"/>
  <c r="F31" i="76"/>
  <c r="F28" i="76"/>
  <c r="L25" i="76"/>
  <c r="F25" i="76"/>
  <c r="L24" i="76"/>
  <c r="F24" i="76"/>
  <c r="F21" i="76"/>
  <c r="F20" i="76"/>
  <c r="L19" i="76"/>
  <c r="F19" i="76"/>
  <c r="L18" i="76"/>
  <c r="F18" i="76"/>
  <c r="L17" i="76"/>
  <c r="F17" i="76"/>
  <c r="L16" i="76"/>
  <c r="F16" i="76"/>
  <c r="L12" i="76"/>
  <c r="F12" i="76"/>
  <c r="L11" i="76"/>
  <c r="F11" i="76"/>
  <c r="L10" i="76"/>
  <c r="F10" i="76"/>
  <c r="F42" i="75"/>
  <c r="F41" i="75"/>
  <c r="F40" i="75"/>
  <c r="L34" i="75"/>
  <c r="E34" i="75"/>
  <c r="L33" i="75"/>
  <c r="F33" i="75"/>
  <c r="L32" i="75"/>
  <c r="F32" i="75"/>
  <c r="L31" i="75"/>
  <c r="F31" i="75"/>
  <c r="F28" i="75"/>
  <c r="L25" i="75"/>
  <c r="F25" i="75"/>
  <c r="L24" i="75"/>
  <c r="F24" i="75"/>
  <c r="F21" i="75"/>
  <c r="F20" i="75"/>
  <c r="L19" i="75"/>
  <c r="F19" i="75"/>
  <c r="L18" i="75"/>
  <c r="F18" i="75"/>
  <c r="L17" i="75"/>
  <c r="F17" i="75"/>
  <c r="L16" i="75"/>
  <c r="F16" i="75"/>
  <c r="L12" i="75"/>
  <c r="F12" i="75"/>
  <c r="L11" i="75"/>
  <c r="F11" i="75"/>
  <c r="L10" i="75"/>
  <c r="F10" i="75"/>
  <c r="F34" i="79" l="1"/>
  <c r="F34" i="75"/>
  <c r="F34" i="77"/>
  <c r="F34" i="85"/>
  <c r="F34" i="78"/>
  <c r="F34" i="83"/>
  <c r="F34" i="84"/>
  <c r="F34" i="81"/>
  <c r="F34" i="82"/>
  <c r="F34" i="76"/>
  <c r="F34" i="80"/>
  <c r="H60" i="73"/>
  <c r="F60" i="73"/>
  <c r="G60" i="73" s="1"/>
  <c r="H59" i="73"/>
  <c r="F59" i="73"/>
  <c r="G59" i="73" s="1"/>
  <c r="I59" i="73" s="1"/>
  <c r="J59" i="73" s="1"/>
  <c r="H58" i="73"/>
  <c r="F58" i="73"/>
  <c r="G58" i="73" s="1"/>
  <c r="H57" i="73"/>
  <c r="G57" i="73"/>
  <c r="F57" i="73"/>
  <c r="H56" i="73"/>
  <c r="F56" i="73"/>
  <c r="G56" i="73" s="1"/>
  <c r="H55" i="73"/>
  <c r="F55" i="73"/>
  <c r="G55" i="73" s="1"/>
  <c r="I55" i="73" s="1"/>
  <c r="J55" i="73" s="1"/>
  <c r="H54" i="73"/>
  <c r="F54" i="73"/>
  <c r="G54" i="73" s="1"/>
  <c r="H53" i="73"/>
  <c r="G53" i="73"/>
  <c r="F53" i="73"/>
  <c r="F52" i="73"/>
  <c r="G52" i="73" s="1"/>
  <c r="I52" i="73" s="1"/>
  <c r="H51" i="73"/>
  <c r="F51" i="73"/>
  <c r="G51" i="73" s="1"/>
  <c r="I51" i="73" s="1"/>
  <c r="J51" i="73" s="1"/>
  <c r="E44" i="73"/>
  <c r="E43" i="73"/>
  <c r="H43" i="73" s="1"/>
  <c r="E42" i="73"/>
  <c r="E41" i="73"/>
  <c r="H41" i="73" s="1"/>
  <c r="E40" i="73"/>
  <c r="E39" i="73"/>
  <c r="H39" i="73" s="1"/>
  <c r="E38" i="73"/>
  <c r="J37" i="73"/>
  <c r="E36" i="73"/>
  <c r="H36" i="73" s="1"/>
  <c r="E35" i="73"/>
  <c r="E28" i="73"/>
  <c r="F28" i="73" s="1"/>
  <c r="H28" i="73" s="1"/>
  <c r="E27" i="73"/>
  <c r="F27" i="73" s="1"/>
  <c r="H27" i="73" s="1"/>
  <c r="F26" i="73"/>
  <c r="H26" i="73" s="1"/>
  <c r="E26" i="73"/>
  <c r="E25" i="73"/>
  <c r="F25" i="73" s="1"/>
  <c r="H25" i="73" s="1"/>
  <c r="E24" i="73"/>
  <c r="F24" i="73" s="1"/>
  <c r="H24" i="73" s="1"/>
  <c r="E23" i="73"/>
  <c r="F23" i="73" s="1"/>
  <c r="H23" i="73" s="1"/>
  <c r="E22" i="73"/>
  <c r="F22" i="73" s="1"/>
  <c r="H22" i="73" s="1"/>
  <c r="E21" i="73"/>
  <c r="F21" i="73" s="1"/>
  <c r="H21" i="73" s="1"/>
  <c r="E20" i="73"/>
  <c r="F20" i="73" s="1"/>
  <c r="H20" i="73" s="1"/>
  <c r="E19" i="73"/>
  <c r="F19" i="73" s="1"/>
  <c r="F39" i="73" l="1"/>
  <c r="G39" i="73" s="1"/>
  <c r="I39" i="73" s="1"/>
  <c r="J39" i="73" s="1"/>
  <c r="I56" i="73"/>
  <c r="J56" i="73" s="1"/>
  <c r="I60" i="73"/>
  <c r="J60" i="73" s="1"/>
  <c r="E65" i="73"/>
  <c r="H19" i="73"/>
  <c r="F65" i="73" s="1"/>
  <c r="F41" i="73"/>
  <c r="G41" i="73" s="1"/>
  <c r="I53" i="73"/>
  <c r="J53" i="73" s="1"/>
  <c r="I54" i="73"/>
  <c r="J54" i="73" s="1"/>
  <c r="I57" i="73"/>
  <c r="J57" i="73" s="1"/>
  <c r="F36" i="73"/>
  <c r="G36" i="73" s="1"/>
  <c r="F43" i="73"/>
  <c r="G43" i="73" s="1"/>
  <c r="I58" i="73"/>
  <c r="J58" i="73" s="1"/>
  <c r="H52" i="73"/>
  <c r="J52" i="73" s="1"/>
  <c r="H61" i="73"/>
  <c r="G61" i="73"/>
  <c r="H35" i="73"/>
  <c r="H38" i="73"/>
  <c r="H40" i="73"/>
  <c r="H42" i="73"/>
  <c r="H44" i="73"/>
  <c r="F38" i="73"/>
  <c r="G38" i="73" s="1"/>
  <c r="F35" i="73"/>
  <c r="G35" i="73" s="1"/>
  <c r="I35" i="73" s="1"/>
  <c r="F40" i="73"/>
  <c r="G40" i="73" s="1"/>
  <c r="F42" i="73"/>
  <c r="G42" i="73" s="1"/>
  <c r="F44" i="73"/>
  <c r="G44" i="73" s="1"/>
  <c r="D8" i="39"/>
  <c r="L25" i="61"/>
  <c r="L24" i="61"/>
  <c r="F41" i="61"/>
  <c r="F40" i="61"/>
  <c r="F42" i="61"/>
  <c r="F31" i="61"/>
  <c r="I44" i="73" l="1"/>
  <c r="J44" i="73" s="1"/>
  <c r="I36" i="73"/>
  <c r="J36" i="73" s="1"/>
  <c r="I41" i="73"/>
  <c r="J41" i="73" s="1"/>
  <c r="I42" i="73"/>
  <c r="J42" i="73" s="1"/>
  <c r="I40" i="73"/>
  <c r="J40" i="73" s="1"/>
  <c r="I43" i="73"/>
  <c r="J43" i="73" s="1"/>
  <c r="I38" i="73"/>
  <c r="J38" i="73" s="1"/>
  <c r="J35" i="73"/>
  <c r="E66" i="73"/>
  <c r="J45" i="73" l="1"/>
  <c r="E67" i="73"/>
  <c r="L31" i="61"/>
  <c r="F25" i="61"/>
  <c r="F27" i="61"/>
  <c r="F28" i="61"/>
  <c r="F24" i="61"/>
  <c r="L17" i="61"/>
  <c r="L18" i="61"/>
  <c r="L16" i="61"/>
  <c r="F20" i="61"/>
  <c r="F17" i="61"/>
  <c r="F18" i="61"/>
  <c r="F19" i="61"/>
  <c r="F16" i="61"/>
  <c r="F26" i="61"/>
  <c r="E68" i="73" l="1"/>
  <c r="F68" i="73"/>
  <c r="F27" i="83"/>
  <c r="F27" i="79"/>
  <c r="F27" i="75"/>
  <c r="F27" i="84"/>
  <c r="F27" i="80"/>
  <c r="F27" i="82"/>
  <c r="F27" i="78"/>
  <c r="F27" i="76"/>
  <c r="F27" i="85"/>
  <c r="F27" i="81"/>
  <c r="F27" i="77"/>
  <c r="F26" i="75"/>
  <c r="F26" i="84"/>
  <c r="F26" i="76"/>
  <c r="F26" i="83"/>
  <c r="F26" i="79"/>
  <c r="F26" i="80"/>
  <c r="F26" i="82"/>
  <c r="F26" i="78"/>
  <c r="F26" i="85"/>
  <c r="F26" i="81"/>
  <c r="F26" i="77"/>
  <c r="L10" i="61"/>
  <c r="L19" i="61" l="1"/>
  <c r="L12" i="61"/>
  <c r="L11" i="61"/>
  <c r="F12" i="61"/>
  <c r="F11" i="61"/>
  <c r="F10" i="61"/>
  <c r="F21" i="61" l="1"/>
  <c r="L34" i="61" l="1"/>
  <c r="E34" i="61"/>
  <c r="L33" i="61"/>
  <c r="L32" i="61"/>
  <c r="F32" i="61"/>
  <c r="H25" i="38"/>
  <c r="G25" i="38" s="1"/>
  <c r="I25" i="38" s="1"/>
  <c r="H26" i="38"/>
  <c r="G26" i="38" s="1"/>
  <c r="I26" i="38" s="1"/>
  <c r="H27" i="38"/>
  <c r="G27" i="38" s="1"/>
  <c r="I27" i="38" s="1"/>
  <c r="H28" i="38"/>
  <c r="G28" i="38" s="1"/>
  <c r="I28" i="38" s="1"/>
  <c r="H29" i="38"/>
  <c r="G29" i="38"/>
  <c r="I29" i="38" s="1"/>
  <c r="H30" i="38"/>
  <c r="G30" i="38" s="1"/>
  <c r="I30" i="38" s="1"/>
  <c r="H31" i="38"/>
  <c r="G31" i="38"/>
  <c r="I31" i="38" s="1"/>
  <c r="H32" i="38"/>
  <c r="G32" i="38" s="1"/>
  <c r="I32" i="38" s="1"/>
  <c r="H33" i="38"/>
  <c r="G33" i="38" s="1"/>
  <c r="I33" i="38" s="1"/>
  <c r="H24" i="38"/>
  <c r="G24" i="38" s="1"/>
  <c r="I24" i="38" s="1"/>
  <c r="G9" i="38"/>
  <c r="F9" i="38"/>
  <c r="H9" i="38" s="1"/>
  <c r="G10" i="38"/>
  <c r="F10" i="38" s="1"/>
  <c r="H10" i="38" s="1"/>
  <c r="G11" i="38"/>
  <c r="F11" i="38" s="1"/>
  <c r="H11" i="38" s="1"/>
  <c r="G12" i="38"/>
  <c r="F12" i="38" s="1"/>
  <c r="H12" i="38" s="1"/>
  <c r="G13" i="38"/>
  <c r="F13" i="38" s="1"/>
  <c r="H13" i="38" s="1"/>
  <c r="G14" i="38"/>
  <c r="F14" i="38" s="1"/>
  <c r="H14" i="38" s="1"/>
  <c r="G15" i="38"/>
  <c r="F15" i="38" s="1"/>
  <c r="H15" i="38" s="1"/>
  <c r="G16" i="38"/>
  <c r="F16" i="38" s="1"/>
  <c r="H16" i="38" s="1"/>
  <c r="G17" i="38"/>
  <c r="F17" i="38" s="1"/>
  <c r="H17" i="38" s="1"/>
  <c r="G18" i="38"/>
  <c r="F18" i="38" s="1"/>
  <c r="H18" i="38" s="1"/>
  <c r="G8" i="38"/>
  <c r="F8" i="38" s="1"/>
  <c r="H8" i="38" s="1"/>
  <c r="D25" i="39"/>
  <c r="D26" i="39"/>
  <c r="D27" i="39"/>
  <c r="D28" i="39"/>
  <c r="D29" i="39"/>
  <c r="D30" i="39"/>
  <c r="D31" i="39"/>
  <c r="D32" i="39"/>
  <c r="D33" i="39"/>
  <c r="D24" i="39"/>
  <c r="D9" i="39"/>
  <c r="D10" i="39"/>
  <c r="D11" i="39"/>
  <c r="D12" i="39"/>
  <c r="D13" i="39"/>
  <c r="D14" i="39"/>
  <c r="D15" i="39"/>
  <c r="D16" i="39"/>
  <c r="D17" i="39"/>
  <c r="D18" i="39"/>
  <c r="L25" i="5"/>
  <c r="L26" i="5"/>
  <c r="L27" i="5"/>
  <c r="L28" i="5"/>
  <c r="L29" i="5"/>
  <c r="L30" i="5"/>
  <c r="L31" i="5"/>
  <c r="L32" i="5"/>
  <c r="L33" i="5"/>
  <c r="L24" i="5"/>
  <c r="F25" i="5"/>
  <c r="F26" i="5"/>
  <c r="F27" i="5"/>
  <c r="F28" i="5"/>
  <c r="F29" i="5"/>
  <c r="F30" i="5"/>
  <c r="F31" i="5"/>
  <c r="F32" i="5"/>
  <c r="F33" i="5"/>
  <c r="F24" i="5"/>
  <c r="K10" i="5"/>
  <c r="L10" i="5" s="1"/>
  <c r="K11" i="5"/>
  <c r="L11" i="5" s="1"/>
  <c r="K12" i="5"/>
  <c r="L12" i="5" s="1"/>
  <c r="K13" i="5"/>
  <c r="L13" i="5" s="1"/>
  <c r="K14" i="5"/>
  <c r="L14" i="5" s="1"/>
  <c r="K15" i="5"/>
  <c r="L15" i="5" s="1"/>
  <c r="K16" i="5"/>
  <c r="L16" i="5" s="1"/>
  <c r="K17" i="5"/>
  <c r="L17" i="5" s="1"/>
  <c r="K18" i="5"/>
  <c r="L18" i="5" s="1"/>
  <c r="BA5" i="5"/>
  <c r="K9" i="5" s="1"/>
  <c r="L9" i="5" s="1"/>
  <c r="AN9" i="5"/>
  <c r="E10" i="5"/>
  <c r="F10" i="5" s="1"/>
  <c r="AN12" i="5"/>
  <c r="E11" i="5"/>
  <c r="F11" i="5" s="1"/>
  <c r="AN16" i="5"/>
  <c r="E12" i="5"/>
  <c r="F12" i="5" s="1"/>
  <c r="AN8" i="5"/>
  <c r="E13" i="5"/>
  <c r="F13" i="5" s="1"/>
  <c r="AN7" i="5"/>
  <c r="E14" i="5"/>
  <c r="F14" i="5" s="1"/>
  <c r="E15" i="5"/>
  <c r="F15" i="5" s="1"/>
  <c r="E16" i="5"/>
  <c r="F16" i="5" s="1"/>
  <c r="E17" i="5"/>
  <c r="F17" i="5" s="1"/>
  <c r="E18" i="5"/>
  <c r="F18" i="5" s="1"/>
  <c r="E9" i="5"/>
  <c r="F9" i="5" s="1"/>
  <c r="D12" i="1"/>
  <c r="C12" i="1" s="1"/>
  <c r="D13" i="1"/>
  <c r="C13" i="1" s="1"/>
  <c r="D14" i="1"/>
  <c r="C14" i="1" s="1"/>
  <c r="D15" i="1"/>
  <c r="C15" i="1" s="1"/>
  <c r="D16" i="1"/>
  <c r="C16" i="1" s="1"/>
  <c r="D17" i="1"/>
  <c r="C17" i="1" s="1"/>
  <c r="D18" i="1"/>
  <c r="C18" i="1" s="1"/>
  <c r="D19" i="1"/>
  <c r="C19" i="1" s="1"/>
  <c r="D20" i="1"/>
  <c r="C20" i="1" s="1"/>
  <c r="D21" i="1"/>
  <c r="C21" i="1" s="1"/>
  <c r="D22" i="1"/>
  <c r="C22" i="1" s="1"/>
  <c r="D23" i="1"/>
  <c r="C23" i="1" s="1"/>
  <c r="U10" i="1"/>
  <c r="AD9" i="1"/>
  <c r="AA9" i="1"/>
  <c r="U9" i="1"/>
  <c r="BI4" i="5"/>
  <c r="BH5" i="5"/>
  <c r="BH4" i="5"/>
  <c r="BG6" i="5"/>
  <c r="BG5" i="5"/>
  <c r="BG4" i="5"/>
  <c r="BF7" i="5"/>
  <c r="BF6" i="5"/>
  <c r="BF5" i="5"/>
  <c r="BF4" i="5"/>
  <c r="BE8" i="5"/>
  <c r="BE7" i="5"/>
  <c r="BE6" i="5"/>
  <c r="BE5" i="5"/>
  <c r="BE4" i="5"/>
  <c r="BD9" i="5"/>
  <c r="BD8" i="5"/>
  <c r="BD7" i="5"/>
  <c r="BD6" i="5"/>
  <c r="BD5" i="5"/>
  <c r="BD4" i="5"/>
  <c r="BC10" i="5"/>
  <c r="BC9" i="5"/>
  <c r="BC8" i="5"/>
  <c r="BC7" i="5"/>
  <c r="BC6" i="5"/>
  <c r="BC5" i="5"/>
  <c r="BC4" i="5"/>
  <c r="BB11" i="5"/>
  <c r="BB10" i="5"/>
  <c r="BB9" i="5"/>
  <c r="BB8" i="5"/>
  <c r="BB7" i="5"/>
  <c r="BB6" i="5"/>
  <c r="BB5" i="5"/>
  <c r="BB4" i="5"/>
  <c r="BA12" i="5"/>
  <c r="BA11" i="5"/>
  <c r="BA10" i="5"/>
  <c r="BA9" i="5"/>
  <c r="BA8" i="5"/>
  <c r="BA7" i="5"/>
  <c r="BA6" i="5"/>
  <c r="BA4" i="5"/>
  <c r="AZ13" i="5"/>
  <c r="AZ12" i="5"/>
  <c r="AZ11" i="5"/>
  <c r="AZ10" i="5"/>
  <c r="AZ9" i="5"/>
  <c r="AZ8" i="5"/>
  <c r="AZ7" i="5"/>
  <c r="AZ6" i="5"/>
  <c r="AZ5" i="5"/>
  <c r="AZ4" i="5"/>
  <c r="AY14" i="5"/>
  <c r="AY13" i="5"/>
  <c r="AY12" i="5"/>
  <c r="AY11" i="5"/>
  <c r="AY10" i="5"/>
  <c r="AY9" i="5"/>
  <c r="AY8" i="5"/>
  <c r="AY7" i="5"/>
  <c r="AY6" i="5"/>
  <c r="AY5" i="5"/>
  <c r="AY4" i="5"/>
  <c r="AX15" i="5"/>
  <c r="AX14" i="5"/>
  <c r="AX13" i="5"/>
  <c r="AX12" i="5"/>
  <c r="AX11" i="5"/>
  <c r="AX10" i="5"/>
  <c r="AX9" i="5"/>
  <c r="AX8" i="5"/>
  <c r="AX7" i="5"/>
  <c r="AX6" i="5"/>
  <c r="AX5" i="5"/>
  <c r="AX4" i="5"/>
  <c r="AW16" i="5"/>
  <c r="AW15" i="5"/>
  <c r="AW14" i="5"/>
  <c r="AW13" i="5"/>
  <c r="AW12" i="5"/>
  <c r="AW11" i="5"/>
  <c r="AW10" i="5"/>
  <c r="AW9" i="5"/>
  <c r="AW8" i="5"/>
  <c r="AW7" i="5"/>
  <c r="AW6" i="5"/>
  <c r="AW5" i="5"/>
  <c r="AW4" i="5"/>
  <c r="AV17" i="5"/>
  <c r="AV16" i="5"/>
  <c r="AV15" i="5"/>
  <c r="AV14" i="5"/>
  <c r="AV13" i="5"/>
  <c r="AV12" i="5"/>
  <c r="AV11" i="5"/>
  <c r="AV10" i="5"/>
  <c r="AV9" i="5"/>
  <c r="AV8" i="5"/>
  <c r="AV7" i="5"/>
  <c r="AV6" i="5"/>
  <c r="AV5" i="5"/>
  <c r="AV4" i="5"/>
  <c r="AV3" i="5"/>
  <c r="AW3" i="5"/>
  <c r="AX3" i="5"/>
  <c r="AY3" i="5"/>
  <c r="AZ3" i="5"/>
  <c r="BA3" i="5"/>
  <c r="BB3" i="5"/>
  <c r="BC3" i="5"/>
  <c r="BD3" i="5"/>
  <c r="BE3" i="5"/>
  <c r="BF3" i="5"/>
  <c r="BG3" i="5"/>
  <c r="BH3" i="5"/>
  <c r="BI3" i="5"/>
  <c r="BJ3" i="5"/>
  <c r="AC18" i="5"/>
  <c r="AD18" i="5"/>
  <c r="AD17" i="5"/>
  <c r="AE18" i="5"/>
  <c r="AE17" i="5"/>
  <c r="AE16" i="5"/>
  <c r="AF18" i="5"/>
  <c r="AF17" i="5"/>
  <c r="AF16" i="5"/>
  <c r="AF15" i="5"/>
  <c r="AG18" i="5"/>
  <c r="AG17" i="5"/>
  <c r="AG16" i="5"/>
  <c r="AG15" i="5"/>
  <c r="AG14" i="5"/>
  <c r="AH18" i="5"/>
  <c r="AH17" i="5"/>
  <c r="AH16" i="5"/>
  <c r="AH15" i="5"/>
  <c r="AH14" i="5"/>
  <c r="AH13" i="5"/>
  <c r="AI18" i="5"/>
  <c r="AI17" i="5"/>
  <c r="AI16" i="5"/>
  <c r="AI15" i="5"/>
  <c r="AI14" i="5"/>
  <c r="AI13" i="5"/>
  <c r="AI12" i="5"/>
  <c r="AJ18" i="5"/>
  <c r="AJ17" i="5"/>
  <c r="AJ16" i="5"/>
  <c r="AJ15" i="5"/>
  <c r="AJ14" i="5"/>
  <c r="AJ13" i="5"/>
  <c r="AJ12" i="5"/>
  <c r="AJ11" i="5"/>
  <c r="AK18" i="5"/>
  <c r="AK17" i="5"/>
  <c r="AK16" i="5"/>
  <c r="AK15" i="5"/>
  <c r="AK14" i="5"/>
  <c r="AK13" i="5"/>
  <c r="AK12" i="5"/>
  <c r="AK11" i="5"/>
  <c r="AK10" i="5"/>
  <c r="AL18" i="5"/>
  <c r="AL17" i="5"/>
  <c r="AL16" i="5"/>
  <c r="AL15" i="5"/>
  <c r="AL14" i="5"/>
  <c r="AL13" i="5"/>
  <c r="AL12" i="5"/>
  <c r="AL11" i="5"/>
  <c r="AL10" i="5"/>
  <c r="AL9" i="5"/>
  <c r="AM18" i="5"/>
  <c r="AM17" i="5"/>
  <c r="AM16" i="5"/>
  <c r="AM15" i="5"/>
  <c r="AM14" i="5"/>
  <c r="AM13" i="5"/>
  <c r="AM12" i="5"/>
  <c r="AM11" i="5"/>
  <c r="AM10" i="5"/>
  <c r="AM9" i="5"/>
  <c r="AM8" i="5"/>
  <c r="AN18" i="5"/>
  <c r="AN17" i="5"/>
  <c r="AN15" i="5"/>
  <c r="AN14" i="5"/>
  <c r="AN13" i="5"/>
  <c r="AN11" i="5"/>
  <c r="AN10" i="5"/>
  <c r="AO18" i="5"/>
  <c r="AO17" i="5"/>
  <c r="AO16" i="5"/>
  <c r="AO15" i="5"/>
  <c r="AO14" i="5"/>
  <c r="AO13" i="5"/>
  <c r="AO12" i="5"/>
  <c r="AO11" i="5"/>
  <c r="AO10" i="5"/>
  <c r="AO9" i="5"/>
  <c r="AO8" i="5"/>
  <c r="AO7" i="5"/>
  <c r="AO6" i="5"/>
  <c r="AP18" i="5"/>
  <c r="AP17" i="5"/>
  <c r="AP16" i="5"/>
  <c r="AP15" i="5"/>
  <c r="AP14" i="5"/>
  <c r="AP13" i="5"/>
  <c r="AP12" i="5"/>
  <c r="AP11" i="5"/>
  <c r="AP10" i="5"/>
  <c r="AP9" i="5"/>
  <c r="AP8" i="5"/>
  <c r="AP7" i="5"/>
  <c r="AP6" i="5"/>
  <c r="AQ18" i="5"/>
  <c r="AQ17" i="5"/>
  <c r="AQ16" i="5"/>
  <c r="AQ15" i="5"/>
  <c r="AQ14" i="5"/>
  <c r="AQ13" i="5"/>
  <c r="AQ12" i="5"/>
  <c r="AQ11" i="5"/>
  <c r="AQ10" i="5"/>
  <c r="AQ9" i="5"/>
  <c r="AQ8" i="5"/>
  <c r="AQ7" i="5"/>
  <c r="AQ6" i="5"/>
  <c r="AQ5" i="5"/>
  <c r="AP5" i="5"/>
  <c r="AQ4" i="5"/>
  <c r="AF12" i="1"/>
  <c r="I17" i="1"/>
  <c r="AD21" i="1"/>
  <c r="R14" i="1"/>
  <c r="AB12" i="1"/>
  <c r="G14" i="1"/>
  <c r="R20" i="1"/>
  <c r="O12" i="1"/>
  <c r="M12" i="1"/>
  <c r="R22" i="1"/>
  <c r="J16" i="1"/>
  <c r="P12" i="1"/>
  <c r="J12" i="1"/>
  <c r="R23" i="1"/>
  <c r="AC20" i="1"/>
  <c r="N16" i="1"/>
  <c r="H12" i="1"/>
  <c r="R12" i="1"/>
  <c r="R17" i="1"/>
  <c r="H15" i="1"/>
  <c r="P21" i="1"/>
  <c r="R18" i="1"/>
  <c r="J23" i="1"/>
  <c r="P22" i="1"/>
  <c r="K12" i="1"/>
  <c r="Q12" i="1"/>
  <c r="F12" i="1"/>
  <c r="AD12" i="1"/>
  <c r="L12" i="1"/>
  <c r="R13" i="1"/>
  <c r="AA12" i="1"/>
  <c r="N19" i="1"/>
  <c r="AE20" i="1" l="1"/>
  <c r="AE12" i="1"/>
  <c r="Z12" i="1"/>
  <c r="AE18" i="1"/>
  <c r="AE17" i="1"/>
  <c r="AE13" i="1"/>
  <c r="AE23" i="1"/>
  <c r="AE22" i="1"/>
  <c r="AE14" i="1"/>
  <c r="Z23" i="1"/>
  <c r="W14" i="1"/>
  <c r="X15" i="1"/>
  <c r="Y17" i="1"/>
  <c r="Z16" i="1"/>
  <c r="F38" i="5"/>
  <c r="F37" i="5"/>
  <c r="F33" i="61"/>
  <c r="F34" i="61" s="1"/>
  <c r="X12" i="1"/>
  <c r="I12" i="6"/>
  <c r="V12" i="1"/>
  <c r="G12" i="6"/>
  <c r="AA20" i="1"/>
  <c r="AD22" i="1"/>
  <c r="Q20" i="1"/>
  <c r="Q13" i="1"/>
  <c r="G22" i="1"/>
  <c r="H20" i="1"/>
  <c r="J21" i="1"/>
  <c r="K14" i="1"/>
  <c r="I13" i="1"/>
  <c r="N12" i="1"/>
  <c r="O15" i="1"/>
  <c r="P19" i="1"/>
  <c r="E19" i="1"/>
  <c r="O19" i="1"/>
  <c r="AD20" i="1"/>
  <c r="I18" i="1"/>
  <c r="AA15" i="1"/>
  <c r="AA13" i="1"/>
  <c r="H21" i="1"/>
  <c r="AD17" i="1"/>
  <c r="M17" i="1"/>
  <c r="M21" i="1"/>
  <c r="L23" i="1"/>
  <c r="P18" i="1"/>
  <c r="G17" i="1"/>
  <c r="AB16" i="1"/>
  <c r="AC17" i="1"/>
  <c r="AD14" i="1"/>
  <c r="AD16" i="1"/>
  <c r="G21" i="1"/>
  <c r="N21" i="1"/>
  <c r="AC15" i="1"/>
  <c r="AF14" i="1"/>
  <c r="K22" i="1"/>
  <c r="F23" i="1"/>
  <c r="O20" i="1"/>
  <c r="J15" i="1"/>
  <c r="M23" i="1"/>
  <c r="E21" i="1"/>
  <c r="E22" i="1"/>
  <c r="AF18" i="1"/>
  <c r="I12" i="1"/>
  <c r="O22" i="1"/>
  <c r="Q22" i="1"/>
  <c r="E13" i="1"/>
  <c r="J20" i="1"/>
  <c r="N18" i="1"/>
  <c r="L18" i="1"/>
  <c r="AB18" i="1"/>
  <c r="N22" i="1"/>
  <c r="AC12" i="1"/>
  <c r="M18" i="1"/>
  <c r="AF16" i="1"/>
  <c r="AF22" i="1"/>
  <c r="N15" i="1"/>
  <c r="P14" i="1"/>
  <c r="F15" i="1"/>
  <c r="M13" i="1"/>
  <c r="N13" i="1"/>
  <c r="N17" i="1"/>
  <c r="I19" i="1"/>
  <c r="I15" i="1"/>
  <c r="O17" i="1"/>
  <c r="G23" i="1"/>
  <c r="AA16" i="1"/>
  <c r="Q16" i="1"/>
  <c r="K19" i="1"/>
  <c r="AF15" i="1"/>
  <c r="G16" i="1"/>
  <c r="E15" i="1"/>
  <c r="Q18" i="1"/>
  <c r="E16" i="1"/>
  <c r="G12" i="1"/>
  <c r="F17" i="1"/>
  <c r="AF17" i="1"/>
  <c r="AB15" i="1"/>
  <c r="J19" i="1"/>
  <c r="F20" i="1"/>
  <c r="I22" i="1"/>
  <c r="AB23" i="1"/>
  <c r="L17" i="1"/>
  <c r="N14" i="1"/>
  <c r="L15" i="1"/>
  <c r="AB19" i="1"/>
  <c r="AC16" i="1"/>
  <c r="AC23" i="1"/>
  <c r="AB17" i="1"/>
  <c r="AB14" i="1"/>
  <c r="AA21" i="1"/>
  <c r="AA17" i="1"/>
  <c r="E17" i="1"/>
  <c r="AB20" i="1"/>
  <c r="M16" i="1"/>
  <c r="J13" i="1"/>
  <c r="Q15" i="1"/>
  <c r="Q21" i="1"/>
  <c r="F13" i="1"/>
  <c r="F14" i="1"/>
  <c r="O13" i="1"/>
  <c r="P20" i="1"/>
  <c r="H18" i="1"/>
  <c r="AF20" i="1"/>
  <c r="P16" i="1"/>
  <c r="K18" i="1"/>
  <c r="R15" i="1"/>
  <c r="AB22" i="1"/>
  <c r="AD15" i="1"/>
  <c r="G20" i="1"/>
  <c r="O21" i="1"/>
  <c r="AA22" i="1"/>
  <c r="F22" i="1"/>
  <c r="AA23" i="1"/>
  <c r="I21" i="1"/>
  <c r="AD13" i="1"/>
  <c r="E18" i="1"/>
  <c r="K13" i="1"/>
  <c r="E23" i="1"/>
  <c r="H19" i="1"/>
  <c r="K20" i="1"/>
  <c r="P15" i="1"/>
  <c r="K21" i="1"/>
  <c r="L22" i="1"/>
  <c r="AC18" i="1"/>
  <c r="H14" i="1"/>
  <c r="AA19" i="1"/>
  <c r="M19" i="1"/>
  <c r="AF21" i="1"/>
  <c r="I16" i="1"/>
  <c r="AC21" i="1"/>
  <c r="H17" i="1"/>
  <c r="P17" i="1"/>
  <c r="G18" i="1"/>
  <c r="L16" i="1"/>
  <c r="L13" i="1"/>
  <c r="Q14" i="1"/>
  <c r="AB13" i="1"/>
  <c r="AD23" i="1"/>
  <c r="O23" i="1"/>
  <c r="AF23" i="1"/>
  <c r="AA14" i="1"/>
  <c r="E14" i="1"/>
  <c r="AD19" i="1"/>
  <c r="M20" i="1"/>
  <c r="G19" i="1"/>
  <c r="Q23" i="1"/>
  <c r="AF13" i="1"/>
  <c r="AF19" i="1"/>
  <c r="H13" i="1"/>
  <c r="K17" i="1"/>
  <c r="F16" i="1"/>
  <c r="J22" i="1"/>
  <c r="F18" i="1"/>
  <c r="P23" i="1"/>
  <c r="R19" i="1"/>
  <c r="L19" i="1"/>
  <c r="F21" i="1"/>
  <c r="E12" i="1"/>
  <c r="H16" i="1"/>
  <c r="M15" i="1"/>
  <c r="P13" i="1"/>
  <c r="K15" i="1"/>
  <c r="F19" i="1"/>
  <c r="O16" i="1"/>
  <c r="AB21" i="1"/>
  <c r="O18" i="1"/>
  <c r="AC19" i="1"/>
  <c r="Q17" i="1"/>
  <c r="M22" i="1"/>
  <c r="AD18" i="1"/>
  <c r="Q19" i="1"/>
  <c r="L21" i="1"/>
  <c r="AC22" i="1"/>
  <c r="J17" i="1"/>
  <c r="G15" i="1"/>
  <c r="I23" i="1"/>
  <c r="AA18" i="1"/>
  <c r="K16" i="1"/>
  <c r="G13" i="1"/>
  <c r="O14" i="1"/>
  <c r="J14" i="1"/>
  <c r="K23" i="1"/>
  <c r="H22" i="1"/>
  <c r="L20" i="1"/>
  <c r="AC14" i="1"/>
  <c r="R21" i="1"/>
  <c r="L14" i="1"/>
  <c r="I20" i="1"/>
  <c r="M14" i="1"/>
  <c r="H23" i="1"/>
  <c r="I14" i="1"/>
  <c r="J18" i="1"/>
  <c r="N23" i="1"/>
  <c r="E20" i="1"/>
  <c r="N20" i="1"/>
  <c r="R16" i="1"/>
  <c r="AC13" i="1"/>
  <c r="AE21" i="1" l="1"/>
  <c r="AE15" i="1"/>
  <c r="AE19" i="1"/>
  <c r="R24" i="1"/>
  <c r="AE16" i="1"/>
  <c r="U12" i="1"/>
  <c r="F12" i="6"/>
  <c r="W12" i="1"/>
  <c r="H12" i="6"/>
  <c r="Y12" i="1"/>
  <c r="J12" i="6"/>
  <c r="Y19" i="1"/>
  <c r="J19" i="6"/>
  <c r="V19" i="1"/>
  <c r="X20" i="1"/>
  <c r="W15" i="1"/>
  <c r="U23" i="1"/>
  <c r="U15" i="1"/>
  <c r="V23" i="1"/>
  <c r="Y23" i="1"/>
  <c r="U19" i="1"/>
  <c r="X23" i="1"/>
  <c r="Y15" i="1"/>
  <c r="Z19" i="1"/>
  <c r="H19" i="6"/>
  <c r="W19" i="1"/>
  <c r="V15" i="1"/>
  <c r="W23" i="1"/>
  <c r="X19" i="1"/>
  <c r="Z15" i="1"/>
  <c r="W16" i="1"/>
  <c r="V16" i="1"/>
  <c r="U16" i="1"/>
  <c r="Z20" i="1"/>
  <c r="V20" i="1"/>
  <c r="Y20" i="1"/>
  <c r="J20" i="6"/>
  <c r="W20" i="1"/>
  <c r="U20" i="1"/>
  <c r="Y16" i="1"/>
  <c r="X16" i="1"/>
  <c r="W18" i="1"/>
  <c r="X21" i="1"/>
  <c r="V21" i="1"/>
  <c r="W22" i="1"/>
  <c r="Y22" i="1"/>
  <c r="X18" i="1"/>
  <c r="V18" i="1"/>
  <c r="X14" i="1"/>
  <c r="Y18" i="1"/>
  <c r="U18" i="1"/>
  <c r="Z18" i="1"/>
  <c r="U14" i="1"/>
  <c r="X22" i="1"/>
  <c r="V22" i="1"/>
  <c r="V14" i="1"/>
  <c r="U22" i="1"/>
  <c r="Y14" i="1"/>
  <c r="Z14" i="1"/>
  <c r="Z22" i="1"/>
  <c r="X17" i="1"/>
  <c r="Z17" i="1"/>
  <c r="X13" i="1"/>
  <c r="I13" i="6"/>
  <c r="V17" i="1"/>
  <c r="Y21" i="1"/>
  <c r="J21" i="6"/>
  <c r="W13" i="1"/>
  <c r="Z21" i="1"/>
  <c r="Z13" i="1"/>
  <c r="Y13" i="1"/>
  <c r="V13" i="1"/>
  <c r="U21" i="1"/>
  <c r="U13" i="1"/>
  <c r="W17" i="1"/>
  <c r="U17" i="1"/>
  <c r="W21" i="1"/>
  <c r="H20" i="6"/>
  <c r="I17" i="6"/>
  <c r="J23" i="6"/>
  <c r="I15" i="6"/>
  <c r="J15" i="6"/>
  <c r="H23" i="6"/>
  <c r="F15" i="6"/>
  <c r="H18" i="6"/>
  <c r="F39" i="5"/>
  <c r="H16" i="6"/>
  <c r="G16" i="6"/>
  <c r="H21" i="6"/>
  <c r="F13" i="6"/>
  <c r="M24" i="1"/>
  <c r="F17" i="6"/>
  <c r="J17" i="6"/>
  <c r="J13" i="6"/>
  <c r="L24" i="1"/>
  <c r="J18" i="6"/>
  <c r="G14" i="6"/>
  <c r="J22" i="6"/>
  <c r="H22" i="6"/>
  <c r="G18" i="6"/>
  <c r="H14" i="6"/>
  <c r="I24" i="1"/>
  <c r="J14" i="6"/>
  <c r="K24" i="1"/>
  <c r="F14" i="6"/>
  <c r="Q24" i="1"/>
  <c r="I16" i="6"/>
  <c r="G20" i="6"/>
  <c r="G22" i="6"/>
  <c r="J24" i="1"/>
  <c r="N24" i="1"/>
  <c r="H17" i="6"/>
  <c r="G19" i="6"/>
  <c r="G21" i="6"/>
  <c r="I23" i="6"/>
  <c r="P24" i="1"/>
  <c r="I14" i="6"/>
  <c r="H24" i="1"/>
  <c r="J16" i="6"/>
  <c r="F16" i="6"/>
  <c r="I18" i="6"/>
  <c r="I20" i="6"/>
  <c r="I22" i="6"/>
  <c r="S24" i="1"/>
  <c r="H13" i="6"/>
  <c r="G24" i="1"/>
  <c r="F24" i="1"/>
  <c r="G13" i="6"/>
  <c r="H15" i="6"/>
  <c r="O24" i="1"/>
  <c r="G15" i="6"/>
  <c r="G17" i="6"/>
  <c r="I19" i="6"/>
  <c r="I21" i="6"/>
  <c r="G23" i="6"/>
  <c r="F19" i="6"/>
  <c r="F21" i="6"/>
  <c r="F23" i="6"/>
  <c r="F18" i="6"/>
  <c r="E24" i="1"/>
  <c r="F22" i="6"/>
  <c r="AF24" i="1"/>
  <c r="AD24" i="1"/>
  <c r="AB24" i="1"/>
  <c r="F20" i="6"/>
  <c r="AG12" i="1" l="1"/>
  <c r="AE24" i="1"/>
  <c r="K12" i="6"/>
  <c r="L12" i="6" s="1"/>
  <c r="AC24" i="1"/>
  <c r="K13" i="6"/>
  <c r="Y24" i="1"/>
  <c r="K17" i="6"/>
  <c r="K20" i="6"/>
  <c r="K23" i="6"/>
  <c r="K19" i="6"/>
  <c r="K18" i="6"/>
  <c r="Z24" i="1"/>
  <c r="J24" i="6"/>
  <c r="W24" i="1"/>
  <c r="G24" i="6"/>
  <c r="I24" i="6"/>
  <c r="H24" i="6"/>
  <c r="X24" i="1"/>
  <c r="K22" i="6"/>
  <c r="AG21" i="1"/>
  <c r="K15" i="6"/>
  <c r="V24" i="1"/>
  <c r="K14" i="6"/>
  <c r="K21" i="6"/>
  <c r="K16" i="6"/>
  <c r="U24" i="1"/>
  <c r="F24" i="6"/>
  <c r="L13" i="6" l="1"/>
  <c r="L14" i="6" s="1"/>
  <c r="L15" i="6" s="1"/>
  <c r="L16" i="6" s="1"/>
  <c r="L17" i="6" s="1"/>
  <c r="L18" i="6" s="1"/>
  <c r="L19" i="6" s="1"/>
  <c r="L20" i="6" s="1"/>
  <c r="L21" i="6" s="1"/>
  <c r="L22" i="6" s="1"/>
  <c r="L23" i="6" s="1"/>
  <c r="AG22" i="1"/>
  <c r="AG23" i="1"/>
  <c r="AG18" i="1"/>
  <c r="AG14" i="1"/>
  <c r="AG16" i="1"/>
  <c r="AG19" i="1"/>
  <c r="AG20" i="1"/>
  <c r="AG15" i="1"/>
  <c r="AG13" i="1"/>
  <c r="AA24" i="1"/>
  <c r="AG17" i="1"/>
  <c r="K24" i="6"/>
  <c r="X31" i="1" l="1"/>
  <c r="X32" i="1" s="1"/>
  <c r="X33" i="1" s="1"/>
  <c r="X34" i="1" s="1"/>
  <c r="X35" i="1" s="1"/>
  <c r="X36" i="1" s="1"/>
  <c r="X37" i="1" s="1"/>
  <c r="X38" i="1" s="1"/>
  <c r="X39" i="1" s="1"/>
  <c r="X40" i="1" s="1"/>
  <c r="X41" i="1" s="1"/>
  <c r="X42" i="1" s="1"/>
  <c r="AG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14" authorId="0" shapeId="0" xr:uid="{00000000-0006-0000-1100-000001000000}">
      <text>
        <r>
          <rPr>
            <b/>
            <sz val="8"/>
            <rFont val="Tahoma"/>
            <family val="2"/>
          </rPr>
          <t>aka rubble</t>
        </r>
      </text>
    </comment>
  </commentList>
</comments>
</file>

<file path=xl/sharedStrings.xml><?xml version="1.0" encoding="utf-8"?>
<sst xmlns="http://schemas.openxmlformats.org/spreadsheetml/2006/main" count="2401" uniqueCount="452">
  <si>
    <t>TADPOLE ACE 2022</t>
  </si>
  <si>
    <t>ACE is an Annual Carbon Emissions calculator that has been designed by Tadpole Consulting Ltd for businesses and households to determine emissions from everyday activities. Below are instructions on how to use this tool and a general summary of how the tool works. For a more comprehensive description please contact us (see below).</t>
  </si>
  <si>
    <t>WHAT'S NEW</t>
  </si>
  <si>
    <t>ADDITIONAL INFORMATION</t>
  </si>
  <si>
    <t>►</t>
  </si>
  <si>
    <t>Emission factors have been updated to those most recently released by the New Zealand Ministry for the Environment (MfE).</t>
  </si>
  <si>
    <t>Emissions factors</t>
  </si>
  <si>
    <t>A new emission source has been added for Working from Home - a suitable addition post-Covid-19.</t>
  </si>
  <si>
    <t>The emission factors we have used are sourced from the New Zealand Ministry for Environment, released in May 2022. They relate to the 2020 calendar year and are suitable for calculating carbon footprints from 2020 onwards.</t>
  </si>
  <si>
    <t>INSTRUCTIONS</t>
  </si>
  <si>
    <t>ACE consists of a series of input tabs:</t>
  </si>
  <si>
    <t>Disclaimer</t>
  </si>
  <si>
    <t>Every effort has been made to ensure the data and calculations in this calculator are correct.  While care has been applied in processing, analysing  and developing the workbook, Tadpole gives no warranty that the information supplied is free from error. Tadpole shall not be liable for any loss suffered through the use, directly or indirectly, of any information, product or service based on the data and calculations in this spreadsheet.</t>
  </si>
  <si>
    <t>Monthly tabs</t>
  </si>
  <si>
    <t>To calculate your emissions, you will need to enter activity data for each month. Each monthly tab can be personalised with company logo and reporting year.</t>
  </si>
  <si>
    <t>Summary tab</t>
  </si>
  <si>
    <t>This collates data from each month and displays annual total emissions in tonnes of CO2 equivalent (tCO2e).  Emissions in this tab will be displayed across an Apr - Mar financial year. Users can change to three other monitoring periods by using the drop down menu.</t>
  </si>
  <si>
    <t>Important information</t>
  </si>
  <si>
    <t>It is important to note this calculator may not meet the needs of some business or organisations. Not all emission sources are catered for. Scope the boundaries of your measurement carefully and if this calculator does not cover all emission sources, contact us via the email below to have it customised. For more information on ACE, or on carbon footprinting in general, get in touch.</t>
  </si>
  <si>
    <t>Additional calculators</t>
  </si>
  <si>
    <t>These will help you to populate efficiently and accurately the monthly tabs</t>
  </si>
  <si>
    <t>Road calculator</t>
  </si>
  <si>
    <t>Flight calculator</t>
  </si>
  <si>
    <t>Refrigerant</t>
  </si>
  <si>
    <t>ace@tadpole.co.nz</t>
  </si>
  <si>
    <t>Cell colour code</t>
  </si>
  <si>
    <t>Click here to go to the ACE download page on the Tadpole website</t>
  </si>
  <si>
    <t>Yellow cells are for data entry</t>
  </si>
  <si>
    <t>Green cells are calculated values</t>
  </si>
  <si>
    <t>Orange cells are for drop down boxes</t>
  </si>
  <si>
    <t>Blue cells are for emission factors</t>
  </si>
  <si>
    <t>© Tadpole Consulting Ltd 2022</t>
  </si>
  <si>
    <t>Monthly activity for</t>
  </si>
  <si>
    <t>JANUARY</t>
  </si>
  <si>
    <t>No</t>
  </si>
  <si>
    <t>insert your company name and/or logo here</t>
  </si>
  <si>
    <t>Yes</t>
  </si>
  <si>
    <t>STATIONARY ENERGY</t>
  </si>
  <si>
    <t>Instructions</t>
  </si>
  <si>
    <t>Coal</t>
  </si>
  <si>
    <t>tonnes</t>
  </si>
  <si>
    <t>tCO2e</t>
  </si>
  <si>
    <t>LPG</t>
  </si>
  <si>
    <t>kg</t>
  </si>
  <si>
    <t>Petrol and Diesel from stationary energy used to operate non-transport machinery, if you have fuel expanse (e.g. collaborators fuel cards) enter it under Transport / Fuel card below</t>
  </si>
  <si>
    <t>Natural gas</t>
  </si>
  <si>
    <t>GJ</t>
  </si>
  <si>
    <t>Petrol</t>
  </si>
  <si>
    <t>litres</t>
  </si>
  <si>
    <t>Electricity</t>
  </si>
  <si>
    <t>kWh</t>
  </si>
  <si>
    <t>Diesel</t>
  </si>
  <si>
    <t>TRANSPORT</t>
  </si>
  <si>
    <t>Distances can be calculated  with the Road calculator
Direct entry where fuel usage is known eg fleet car or fuel card statement data
Petrol vehicle efficiency values are from the NZ Ministry for the Environment (MfE). Other vehicle efficiency values (e.g. diesel) are from DEFRA (the UK Department for Environment, Food &amp; Rural Affairs) and DBEIS (the UK Department for
Business, Energy &amp; Industrial Strategy) in the absence of MfE data. All data is "Real World" in that it accounts for driver behaviour.
If you have vehicle efficiency (fuel conversion) values that differ from the default values you can enter them into the yellow cells in the Vehicle Efficiency tab and they will automatically feed into the calculator.  Note that doing this will overide the original default values.</t>
  </si>
  <si>
    <t>Mini (&lt;1350cc)</t>
  </si>
  <si>
    <t>km</t>
  </si>
  <si>
    <t>Small (1350 -&lt;1600cc)</t>
  </si>
  <si>
    <t>Med (1600 - &lt;2000cc)</t>
  </si>
  <si>
    <t>Med-Large (2000 -&lt;3000cc)</t>
  </si>
  <si>
    <t>Fuel card</t>
  </si>
  <si>
    <t>Large (3000 -&lt;4000cc)</t>
  </si>
  <si>
    <t>Electric vehicle</t>
  </si>
  <si>
    <t>Taxi</t>
  </si>
  <si>
    <t xml:space="preserve">Petrol hybrid </t>
  </si>
  <si>
    <t>journey distances</t>
  </si>
  <si>
    <t>If your collaborators charge their EV at your premises, then km are included in Electricity consumption (Stationary energy), no entry needed under this category
Make only one entry for taxi either distance (km) OR cost ($)</t>
  </si>
  <si>
    <t>Diesel hybrid</t>
  </si>
  <si>
    <r>
      <rPr>
        <b/>
        <sz val="12"/>
        <rFont val="Arial"/>
        <family val="2"/>
      </rPr>
      <t>OR</t>
    </r>
    <r>
      <rPr>
        <sz val="12"/>
        <rFont val="Arial"/>
        <family val="2"/>
      </rPr>
      <t xml:space="preserve"> cost of fares</t>
    </r>
  </si>
  <si>
    <t>$</t>
  </si>
  <si>
    <t>Petrol PHEV</t>
  </si>
  <si>
    <t>Diesel PHEV</t>
  </si>
  <si>
    <t>Full EV</t>
  </si>
  <si>
    <t>Flights</t>
  </si>
  <si>
    <t>Other</t>
  </si>
  <si>
    <t>Domestic</t>
  </si>
  <si>
    <t>Motorbike</t>
  </si>
  <si>
    <t>Flight distances can be calculated  with the Flight calculator
Wellington to Picton ferry travel 102 km
UK Government recommend to use the RF, however MfE flights emission factors don't include it. More information available on he Flight calculator sheet</t>
  </si>
  <si>
    <t>International  short &lt;3700km</t>
  </si>
  <si>
    <t>Bus</t>
  </si>
  <si>
    <t>International long &gt;3700km</t>
  </si>
  <si>
    <t>Train</t>
  </si>
  <si>
    <t>Total</t>
  </si>
  <si>
    <t>Ferry</t>
  </si>
  <si>
    <t>Do you include Radiative Forcing (RF)?</t>
  </si>
  <si>
    <t>What is it?</t>
  </si>
  <si>
    <t>OTHER</t>
  </si>
  <si>
    <t>"Office" waste calculations are based on 54% paper, 21% garden and food
"Mixed" assumes composition equivalent to the average municipal landfill profile. Use mixed if your waste stream is typical more of household waste
Make only one entry for mixed waste based on either weight (kg) or volume (m3)
Paper recycling and greenwaste composting generate little emissions and is not included
For refrigerant gases use the matching calculator to determine your monthly CO2 emissions and enter this directly here</t>
  </si>
  <si>
    <t>Waste</t>
  </si>
  <si>
    <t>Mixed</t>
  </si>
  <si>
    <r>
      <rPr>
        <b/>
        <sz val="12"/>
        <rFont val="Arial"/>
        <family val="2"/>
      </rPr>
      <t>OR</t>
    </r>
    <r>
      <rPr>
        <sz val="12"/>
        <rFont val="Arial"/>
        <family val="2"/>
      </rPr>
      <t xml:space="preserve"> Mixed</t>
    </r>
  </si>
  <si>
    <t>m3</t>
  </si>
  <si>
    <t>Working from home</t>
  </si>
  <si>
    <t>days</t>
  </si>
  <si>
    <t>Office waste</t>
  </si>
  <si>
    <t>Landfill captures the GHG it generates? *</t>
  </si>
  <si>
    <t>* If you know that the landfill you send your waste to is recovering the gases it generates, enter Yes. Otherwise select No.</t>
  </si>
  <si>
    <t>FEBRUARY</t>
  </si>
  <si>
    <t>MARCH</t>
  </si>
  <si>
    <t>APRIL</t>
  </si>
  <si>
    <t>MAY</t>
  </si>
  <si>
    <t>JUNE</t>
  </si>
  <si>
    <t>JULY</t>
  </si>
  <si>
    <t>AUGUST</t>
  </si>
  <si>
    <t>SEPTEMBER</t>
  </si>
  <si>
    <t>OCTOBER</t>
  </si>
  <si>
    <t>NOVEMBER</t>
  </si>
  <si>
    <t>DECEMBER</t>
  </si>
  <si>
    <t>ANNUAL SUMMARY</t>
  </si>
  <si>
    <t>1 April - 31 March</t>
  </si>
  <si>
    <t>Enter year e.g. '2016' or '2016/2017'</t>
  </si>
  <si>
    <r>
      <t>NB</t>
    </r>
    <r>
      <rPr>
        <sz val="11"/>
        <rFont val="Arial"/>
        <family val="2"/>
      </rPr>
      <t xml:space="preserve"> your emissions will be displayed across an April - March financial year unless you select another option from the drop down menu in the orange cell</t>
    </r>
  </si>
  <si>
    <t>Activity data</t>
  </si>
  <si>
    <t>Emissions (tCO2e)</t>
  </si>
  <si>
    <t>Stationary energy</t>
  </si>
  <si>
    <t>Transport</t>
  </si>
  <si>
    <t>Road*</t>
  </si>
  <si>
    <t>Petrol fuel</t>
  </si>
  <si>
    <t>Diesel fuel</t>
  </si>
  <si>
    <t>Mixed waste</t>
  </si>
  <si>
    <t>Working from Home</t>
  </si>
  <si>
    <t>Refrigerant losses **</t>
  </si>
  <si>
    <t>Road</t>
  </si>
  <si>
    <t>Refrigerant losses</t>
  </si>
  <si>
    <t>kg or m3</t>
  </si>
  <si>
    <t>1 January - 31 December</t>
  </si>
  <si>
    <t>1 July - 30 June</t>
  </si>
  <si>
    <t>1 June - 31 May</t>
  </si>
  <si>
    <t>January</t>
  </si>
  <si>
    <t>Jan</t>
  </si>
  <si>
    <t>April</t>
  </si>
  <si>
    <t>July</t>
  </si>
  <si>
    <t>June</t>
  </si>
  <si>
    <t>February</t>
  </si>
  <si>
    <t>Feb</t>
  </si>
  <si>
    <t>May</t>
  </si>
  <si>
    <t>August</t>
  </si>
  <si>
    <t>March</t>
  </si>
  <si>
    <t>Mar</t>
  </si>
  <si>
    <t>September</t>
  </si>
  <si>
    <t>Apr</t>
  </si>
  <si>
    <t>October</t>
  </si>
  <si>
    <t>November</t>
  </si>
  <si>
    <t>Jun</t>
  </si>
  <si>
    <t>December</t>
  </si>
  <si>
    <t>Jul</t>
  </si>
  <si>
    <t>Aug</t>
  </si>
  <si>
    <t>Sep</t>
  </si>
  <si>
    <t>Oct</t>
  </si>
  <si>
    <t>Nov</t>
  </si>
  <si>
    <t>Dec</t>
  </si>
  <si>
    <t>* fuel card &amp; km values above represent separate activities. Separate data values may occur where a mix of fuel  data &amp; travel log data (km) is entered in monthly tabs</t>
  </si>
  <si>
    <t>Electricity line losses</t>
  </si>
  <si>
    <r>
      <t xml:space="preserve"> * NB</t>
    </r>
    <r>
      <rPr>
        <i/>
        <sz val="12"/>
        <rFont val="Arial"/>
        <family val="2"/>
      </rPr>
      <t xml:space="preserve"> If you </t>
    </r>
    <r>
      <rPr>
        <b/>
        <i/>
        <sz val="12"/>
        <rFont val="Arial"/>
        <family val="2"/>
      </rPr>
      <t>DO NOT</t>
    </r>
    <r>
      <rPr>
        <i/>
        <sz val="12"/>
        <rFont val="Arial"/>
        <family val="2"/>
      </rPr>
      <t xml:space="preserve"> wish to have electricity line loss emissions included in your annual analysis chose </t>
    </r>
    <r>
      <rPr>
        <b/>
        <i/>
        <sz val="12"/>
        <rFont val="Arial"/>
        <family val="2"/>
      </rPr>
      <t>NO</t>
    </r>
    <r>
      <rPr>
        <i/>
        <sz val="12"/>
        <rFont val="Arial"/>
        <family val="2"/>
      </rPr>
      <t xml:space="preserve"> in the orange cell</t>
    </r>
  </si>
  <si>
    <t>** Data to be entered manually</t>
  </si>
  <si>
    <t>ROAD CALCULATOR</t>
  </si>
  <si>
    <t>North Island</t>
  </si>
  <si>
    <t>Auckland</t>
  </si>
  <si>
    <t>Gisborne</t>
  </si>
  <si>
    <t>Hamilton</t>
  </si>
  <si>
    <t>Kaitaia</t>
  </si>
  <si>
    <t>Masterton</t>
  </si>
  <si>
    <t>Napier</t>
  </si>
  <si>
    <t>New Plymouth</t>
  </si>
  <si>
    <t>Paihia</t>
  </si>
  <si>
    <t>Palmerston N</t>
  </si>
  <si>
    <t>Rotorua</t>
  </si>
  <si>
    <t>Taupo</t>
  </si>
  <si>
    <t>Taumarunui</t>
  </si>
  <si>
    <t>Tauranga</t>
  </si>
  <si>
    <t>Wellington</t>
  </si>
  <si>
    <t>Whanganui</t>
  </si>
  <si>
    <t>Whangarei</t>
  </si>
  <si>
    <t>South Island</t>
  </si>
  <si>
    <t>Westport</t>
  </si>
  <si>
    <t>Wanaka</t>
  </si>
  <si>
    <t>Tekapo</t>
  </si>
  <si>
    <t>Te Anau</t>
  </si>
  <si>
    <t>Queenstown</t>
  </si>
  <si>
    <t>Picton</t>
  </si>
  <si>
    <t>Oamaru</t>
  </si>
  <si>
    <t>Nelson</t>
  </si>
  <si>
    <t>Kaikoura</t>
  </si>
  <si>
    <t>Invercargill</t>
  </si>
  <si>
    <t>Greymouth</t>
  </si>
  <si>
    <t>Franz Josef</t>
  </si>
  <si>
    <t>Dunedin</t>
  </si>
  <si>
    <t>Christchurch</t>
  </si>
  <si>
    <t>Blenheim</t>
  </si>
  <si>
    <t>Alexandria</t>
  </si>
  <si>
    <t>Select locations from the drop down menus</t>
  </si>
  <si>
    <t>Franz Joseph</t>
  </si>
  <si>
    <t>from</t>
  </si>
  <si>
    <t>to</t>
  </si>
  <si>
    <t>No. trips</t>
  </si>
  <si>
    <t xml:space="preserve"> total km</t>
  </si>
  <si>
    <t>total km</t>
  </si>
  <si>
    <r>
      <rPr>
        <b/>
        <i/>
        <sz val="11"/>
        <rFont val="Arial"/>
        <family val="2"/>
      </rPr>
      <t>Calculated values require manual transfer to monthly tab input cells</t>
    </r>
    <r>
      <rPr>
        <i/>
        <sz val="11"/>
        <rFont val="Arial"/>
        <family val="2"/>
      </rPr>
      <t xml:space="preserve">
Ferry distance between Wellington and Picton is 102 km, manual entry in monthly tab input cell is needed to model an inter-island journey
Distance for a One-way journey, double the number of trips if you want to calculate a Return journey</t>
    </r>
  </si>
  <si>
    <t>Other North Island road travel</t>
  </si>
  <si>
    <t>Other South Island road travel</t>
  </si>
  <si>
    <t>Customise with frequent journeys</t>
  </si>
  <si>
    <t>Katikati</t>
  </si>
  <si>
    <t>Tauranga CBD</t>
  </si>
  <si>
    <t>Akaroa</t>
  </si>
  <si>
    <t>Distance for specific travel has to be sourced externally (e.g. GoogleMaps)</t>
  </si>
  <si>
    <t>Total NI distance travelled</t>
  </si>
  <si>
    <t>Total SI distance travelled</t>
  </si>
  <si>
    <t>Total distance travelled</t>
  </si>
  <si>
    <t>Default driving distances</t>
  </si>
  <si>
    <t xml:space="preserve">North Island </t>
  </si>
  <si>
    <t>Wanganui</t>
  </si>
  <si>
    <t xml:space="preserve">South Island </t>
  </si>
  <si>
    <t>Hokitika</t>
  </si>
  <si>
    <t>Ashburton</t>
  </si>
  <si>
    <t>MATERIALS</t>
  </si>
  <si>
    <t>Packaging materials</t>
  </si>
  <si>
    <t>Materials</t>
  </si>
  <si>
    <t>tCO2</t>
  </si>
  <si>
    <t xml:space="preserve">Select the material(s) your organisation consumed in any particular month and enter amount consumed/used
</t>
  </si>
  <si>
    <t>Cardboard - 85% recycled</t>
  </si>
  <si>
    <t>kg CO2e/kg</t>
  </si>
  <si>
    <t xml:space="preserve">FEFCO </t>
  </si>
  <si>
    <t>PET bottle</t>
  </si>
  <si>
    <t>Calculated values require manual transfer to monthly tab input cells</t>
  </si>
  <si>
    <t>Glass - 100% recycled content</t>
  </si>
  <si>
    <t>Environmental Protection Agency (EPA)</t>
  </si>
  <si>
    <t>Glass - virgin</t>
  </si>
  <si>
    <t>Plasticseurope Eco-Profile</t>
  </si>
  <si>
    <t>PP</t>
  </si>
  <si>
    <t>Steel packaging</t>
  </si>
  <si>
    <t>WorldSteel (LCI of packaging steel - 2012)</t>
  </si>
  <si>
    <t>Aggregates</t>
  </si>
  <si>
    <t>kgCO2/tonne</t>
  </si>
  <si>
    <t>Defra 2016</t>
  </si>
  <si>
    <t>Average construction</t>
  </si>
  <si>
    <t>Asbestos</t>
  </si>
  <si>
    <t>Asphalt</t>
  </si>
  <si>
    <t>Bricks</t>
  </si>
  <si>
    <t>Concrete</t>
  </si>
  <si>
    <t>Insulation</t>
  </si>
  <si>
    <t>Construction materials</t>
  </si>
  <si>
    <t>Metals</t>
  </si>
  <si>
    <t>Mineral oil</t>
  </si>
  <si>
    <t>Plasterboard</t>
  </si>
  <si>
    <t>Tyres</t>
  </si>
  <si>
    <t>Wood</t>
  </si>
  <si>
    <t>© Catalyst ® Ltd 2017</t>
  </si>
  <si>
    <t>FLIGHT CALCULATOR</t>
  </si>
  <si>
    <t>Radiative Force</t>
  </si>
  <si>
    <t xml:space="preserve">Radiative forcing (RF) is a measure of the additional environmental impact of aviation.  These include emissions of nitrous oxides and water vapour when emitted at high altitude. Inclusion of RF multiplies flight emissions by 1.89. </t>
  </si>
  <si>
    <t>No specific recommendation is provided by the MfE for the use or not of RF.
The UK Governement recommends that 'Organisations should include the influence of radiative forcing (RF) in air travel emissions to capture the maximum climate impact of organisations’ travel habits.  However, it should be noted that there is very significant scientific uncertainty around the magnitude of the additional environmental impacts of aviation.' In absence of any New Zealand specific figure, an eight percent uplift factor has been applied to flight emission factors as per MfE voluntary guidance.</t>
  </si>
  <si>
    <t>Do you want to include Radiative Forcing (RF)?</t>
  </si>
  <si>
    <t>Domestic single flight</t>
  </si>
  <si>
    <t xml:space="preserve">Domestic flight distances </t>
  </si>
  <si>
    <t>From</t>
  </si>
  <si>
    <t>Total km</t>
  </si>
  <si>
    <t>tCO2/km</t>
  </si>
  <si>
    <r>
      <rPr>
        <b/>
        <i/>
        <sz val="11"/>
        <rFont val="Arial"/>
        <family val="2"/>
      </rPr>
      <t>Calculated values require manual transfer to monthly tab input cells.</t>
    </r>
    <r>
      <rPr>
        <i/>
        <sz val="11"/>
        <rFont val="Arial"/>
        <family val="2"/>
      </rPr>
      <t xml:space="preserve">
For journeys between non major centres, break down into component flights e.g. Tauranga to Palmerston North break down into Tauranga to Wellington, Wellington to Palmerston North. Likewise for international flights eg Christchurch to Perth break down to Christchurch to Auckland, Auckland to Perth.
</t>
    </r>
    <r>
      <rPr>
        <b/>
        <i/>
        <sz val="11"/>
        <rFont val="Arial"/>
        <family val="2"/>
      </rPr>
      <t>Distances are for a one-way journey. Double the number of trips if you want to calculate a return journey.</t>
    </r>
    <r>
      <rPr>
        <i/>
        <sz val="11"/>
        <rFont val="Arial"/>
        <family val="2"/>
      </rPr>
      <t xml:space="preserve">
International short haul flights are flights less than 3700km eg Auckland to east coast fof Australia and the Pacific.
International long haul flights are flights greater than 3700km eg Auckland to Los Angeles.
Flying distances were sourced from Great Circle Mapper calculator - http://www.greatcirclemapper.net/en/great-circle-mapper.html</t>
    </r>
  </si>
  <si>
    <t>International single flight</t>
  </si>
  <si>
    <t>Short haul</t>
  </si>
  <si>
    <t>Long haul</t>
  </si>
  <si>
    <t>Sydney</t>
  </si>
  <si>
    <t>Melbourne</t>
  </si>
  <si>
    <t>Singapore</t>
  </si>
  <si>
    <t>International</t>
  </si>
  <si>
    <t>Perth</t>
  </si>
  <si>
    <t>Brisbane</t>
  </si>
  <si>
    <t>Gold Coast</t>
  </si>
  <si>
    <t>Nadi</t>
  </si>
  <si>
    <t>Guangzhou</t>
  </si>
  <si>
    <t>Hong Kong</t>
  </si>
  <si>
    <t>Tokyo</t>
  </si>
  <si>
    <t>Dubai</t>
  </si>
  <si>
    <t>Buenos Aires</t>
  </si>
  <si>
    <t>Los Angeles</t>
  </si>
  <si>
    <t>London</t>
  </si>
  <si>
    <t>Other International single flight</t>
  </si>
  <si>
    <t>http://www.greatcirclemapper.net/en/great-circle-mapper.html?route=NZTG-NZWN&amp;aircraft=&amp;speed=</t>
  </si>
  <si>
    <t>Port Villa</t>
  </si>
  <si>
    <t>Distance for specific travel has to be sourced externally (i.e.. Flight travel distance calculator)</t>
  </si>
  <si>
    <t>Total km domestic flights</t>
  </si>
  <si>
    <t>Total km international short haul flights</t>
  </si>
  <si>
    <t>Total km international long haul flights</t>
  </si>
  <si>
    <t xml:space="preserve">Total km </t>
  </si>
  <si>
    <t>REFRIGERANT</t>
  </si>
  <si>
    <t>leakage rate</t>
  </si>
  <si>
    <t>kgCO2eq/kg</t>
  </si>
  <si>
    <t>small fridge or freezer &lt;150L</t>
  </si>
  <si>
    <t>R23</t>
  </si>
  <si>
    <t>Fridges, freezers &amp; chillers</t>
  </si>
  <si>
    <t>medium fridge or freezer &lt;300L</t>
  </si>
  <si>
    <t>R22</t>
  </si>
  <si>
    <t>large fridge or freezer &gt;300L</t>
  </si>
  <si>
    <t>R134a</t>
  </si>
  <si>
    <t>Appliances</t>
  </si>
  <si>
    <t>Annual losses (kg)</t>
  </si>
  <si>
    <t>Capacity (kg)</t>
  </si>
  <si>
    <t>Default losses (kg)</t>
  </si>
  <si>
    <t>Default capacity (kg)</t>
  </si>
  <si>
    <t>This function determines emissions as a result of refrigerant leakage, and/or refrigerant losses during servicing, in air conditioning units, freezers and chillers.
Step 1.Enter the type(s) of appliance
Step 2. Enter the refrigerant code for each appliance
Step 3. Enter quantity of refrigerant lost over the year. 
You will need to refer to service records to determine quantity of refills. If a service has not been performed then leave blank, instead entering a value for the refrigerant capacity of the appliance (refer to appliance manual). If capacity is unknown, a default value will be used (from MfE 2022). Enter power rating for aircon appliances</t>
  </si>
  <si>
    <t>small commercial chiller &lt;300L</t>
  </si>
  <si>
    <t>R403B</t>
  </si>
  <si>
    <t>large commercial chiller &gt;500L</t>
  </si>
  <si>
    <t>medium commercial chiller &lt;500L</t>
  </si>
  <si>
    <t>R404A</t>
  </si>
  <si>
    <t>large commercial freezer &gt;500L</t>
  </si>
  <si>
    <t>R407C</t>
  </si>
  <si>
    <t>small commercial freezer &lt;300L</t>
  </si>
  <si>
    <t>R408A</t>
  </si>
  <si>
    <t>medium commercial freezer &lt;500L</t>
  </si>
  <si>
    <t>R410A</t>
  </si>
  <si>
    <t>R413A</t>
  </si>
  <si>
    <t>R416A</t>
  </si>
  <si>
    <t>wall/window unit air con</t>
  </si>
  <si>
    <t>kg/kW</t>
  </si>
  <si>
    <t>R417A</t>
  </si>
  <si>
    <t>commercial air con &lt;20kW</t>
  </si>
  <si>
    <t>R422A</t>
  </si>
  <si>
    <t>R507A</t>
  </si>
  <si>
    <t>Air Con</t>
  </si>
  <si>
    <t>Power  (kW)</t>
  </si>
  <si>
    <t>EMISSION FACTORS</t>
  </si>
  <si>
    <t xml:space="preserve">The table below lists the emission factors used in this calculator. These factors were released by the New Zealand Ministry for the Environment (MfE) in guidelines published in May 2022.
</t>
  </si>
  <si>
    <t>Emission source</t>
  </si>
  <si>
    <t>Emission factor</t>
  </si>
  <si>
    <t>kg CO2e/kWh</t>
  </si>
  <si>
    <t>Electricity distribution and line losses</t>
  </si>
  <si>
    <t>Natural Gas</t>
  </si>
  <si>
    <t>kg CO2e/GJ</t>
  </si>
  <si>
    <t>kg CO2e/L</t>
  </si>
  <si>
    <t>Air travel</t>
  </si>
  <si>
    <t>kg CO2e/km</t>
  </si>
  <si>
    <t>International short haul (&lt;3700km)</t>
  </si>
  <si>
    <t>International long haul (&gt;3700km)</t>
  </si>
  <si>
    <t>Mixed waste (no gas recovery)</t>
  </si>
  <si>
    <t>Office waste (no gas recovery)</t>
  </si>
  <si>
    <t>Mixed waste (with gas recovery)</t>
  </si>
  <si>
    <t>Office waste (with gas recovery)</t>
  </si>
  <si>
    <t>Petrol vehicles</t>
  </si>
  <si>
    <t>kgCO2e/km</t>
  </si>
  <si>
    <t>Diesel vehicles</t>
  </si>
  <si>
    <t>EVs and hybrids</t>
  </si>
  <si>
    <t>Petrol hybrid (1600 - &lt;2000cc)</t>
  </si>
  <si>
    <t>Diesel hybrid (1600 - &lt;2000cc)</t>
  </si>
  <si>
    <t>Petrol PHEV (1600 - &lt;2000cc)</t>
  </si>
  <si>
    <t>fuel and electricity emissions included</t>
  </si>
  <si>
    <t>Diesel PHEV (1600 - &lt;2000cc)</t>
  </si>
  <si>
    <t>kgCO2e/$</t>
  </si>
  <si>
    <t>Bus (national average)</t>
  </si>
  <si>
    <t>Train (average)</t>
  </si>
  <si>
    <t>Ferry (average passenger)</t>
  </si>
  <si>
    <t>DBEIS / DEFRA factor</t>
  </si>
  <si>
    <t>Working from home (average)</t>
  </si>
  <si>
    <t>kgCO2e/day</t>
  </si>
  <si>
    <t>ACE History</t>
  </si>
  <si>
    <t>version number</t>
  </si>
  <si>
    <t>commercial name</t>
  </si>
  <si>
    <t>release date</t>
  </si>
  <si>
    <t>notes</t>
  </si>
  <si>
    <t>ACE 1.01</t>
  </si>
  <si>
    <t>March 2006</t>
  </si>
  <si>
    <t>Initial release</t>
  </si>
  <si>
    <t>ACE 2.0</t>
  </si>
  <si>
    <t>ACE 2008</t>
  </si>
  <si>
    <t>May 2008</t>
  </si>
  <si>
    <t>1. Emission factors updated (taken from Ministry for Environment guidelines released 2008 for 2006 data)</t>
  </si>
  <si>
    <t>2. Vehicle efficiency data reviewed and updated (MfE guidelines and DEFRA 2007)</t>
  </si>
  <si>
    <t>3. Option incorporated to enter both kms travelled and fuel consumption (for situations where a mix of data exists)</t>
  </si>
  <si>
    <t>4. Offroad vehicles and utes/light trucks removed from fuel conversion calculator</t>
  </si>
  <si>
    <t>5. Flight options changed from short, medium and long haul to domestic, short international and long international</t>
  </si>
  <si>
    <t>(in line with MfE guidelines)</t>
  </si>
  <si>
    <t>6. Taxi calculator incorporated</t>
  </si>
  <si>
    <t>7. Waste calculator incorporated</t>
  </si>
  <si>
    <t>8. CATALYST™ replaced with CATALYST®</t>
  </si>
  <si>
    <t>9. Version History tab added to track changes</t>
  </si>
  <si>
    <t>10. Introduction page updated to explain where emission factor and vehicle efficiency data have been sourced</t>
  </si>
  <si>
    <t>June 2008</t>
  </si>
  <si>
    <t>1. each worksheet formatted to fit a single page for printing</t>
  </si>
  <si>
    <t>2. version created for June 1 - May 31 year</t>
  </si>
  <si>
    <t>3. version created for July 1 - June 30 year</t>
  </si>
  <si>
    <t>July 2008</t>
  </si>
  <si>
    <t>1. error in flight calculator brought to our attention and corrected</t>
  </si>
  <si>
    <t>2. all flight distances reviewed and amended in line with Air New Zealand routes (domestic and international)</t>
  </si>
  <si>
    <t>3. road travel distances reviewed and ammended in line with AA published data</t>
  </si>
  <si>
    <t>ACE 3.0</t>
  </si>
  <si>
    <t>ACE 2009</t>
  </si>
  <si>
    <t>March 2009</t>
  </si>
  <si>
    <t>1. Emission factors updated (taken from Ministry for Environment guidelines released late 2008 for 2007 data)</t>
  </si>
  <si>
    <t>2. Vehicle efficiency data reviewed and updated (late 2008 MfE guidelines and DEFRA 2008)</t>
  </si>
  <si>
    <t>3. Volume input option added for Mixed waste</t>
  </si>
  <si>
    <t xml:space="preserve">4. Refrigerant losses tab added to calculate emissions from refirgerant losses that carries through to summary </t>
  </si>
  <si>
    <t>tab</t>
  </si>
  <si>
    <t>5. Option added to calculate emissions from electricty line losses in summary tab</t>
  </si>
  <si>
    <t>6. Emmision Factors tab created to list emission factors in use in the calculator - these values feed into the</t>
  </si>
  <si>
    <t>calculator to facilitate a simple one tab update as new factors role out</t>
  </si>
  <si>
    <t>ACE 4.0</t>
  </si>
  <si>
    <t>ACE 2010</t>
  </si>
  <si>
    <t>March 2010</t>
  </si>
  <si>
    <t>1. Emission factors updated (taken from Ministry for Environment guidelines released late 2009 for 2008 data)</t>
  </si>
  <si>
    <t>3. R22 added to Refrigerant Calculator</t>
  </si>
  <si>
    <t>4. New Plymouth added to Flight Calculator</t>
  </si>
  <si>
    <t>ACE 5.0</t>
  </si>
  <si>
    <t>ACE 2011</t>
  </si>
  <si>
    <t>July 2011</t>
  </si>
  <si>
    <t>1. Emission factors updated (taken from Ministry for Environment guidelines released 2011 for 2009 data)</t>
  </si>
  <si>
    <t xml:space="preserve">3. choice of reporting period options added as follows </t>
  </si>
  <si>
    <t>1  Jan - 31 Dec</t>
  </si>
  <si>
    <t>1 Apr - 31 Mar</t>
  </si>
  <si>
    <t>1 Jun - 31 May</t>
  </si>
  <si>
    <t>1 Jul - 30 Jun</t>
  </si>
  <si>
    <t>ACE 6.0</t>
  </si>
  <si>
    <t>ACE 2016</t>
  </si>
  <si>
    <t>July 2016</t>
  </si>
  <si>
    <t>1. Update ACE Look &amp; Feel</t>
  </si>
  <si>
    <t>2. Add Full EV, Train, Bus, Ferry and Materials to monthly tab</t>
  </si>
  <si>
    <t>3. Add Radiative Force option for flight emissions</t>
  </si>
  <si>
    <t>4. Create a road calculator</t>
  </si>
  <si>
    <t>5. Update Flight calculator with new airports for both domestic and international</t>
  </si>
  <si>
    <t xml:space="preserve">6. Revamp the Summary calculations </t>
  </si>
  <si>
    <t>7. Create a Materials tab</t>
  </si>
  <si>
    <t>8. Revamp Refrigerent calculator</t>
  </si>
  <si>
    <t>9. Source and add new Emission Factors from new sources, mostly from DEFRA 2015</t>
  </si>
  <si>
    <t>ACE 7.0</t>
  </si>
  <si>
    <t>ACE 2017</t>
  </si>
  <si>
    <t>January 2017</t>
  </si>
  <si>
    <t>1. Update ACE with MfE new emission factors</t>
  </si>
  <si>
    <t>2. Uplift factor of 8% added for flight emission factors</t>
  </si>
  <si>
    <t>3. More petrol car categories for passenger car</t>
  </si>
  <si>
    <t>ACE 8.0</t>
  </si>
  <si>
    <t>ACE 2019</t>
  </si>
  <si>
    <t>July 2019</t>
  </si>
  <si>
    <t>1. Update ACE with  new emission factors from MfE released May 2019</t>
  </si>
  <si>
    <t>2. More EV vehicle options added</t>
  </si>
  <si>
    <t>3. Materials removed from Scope and Materials tab hidden</t>
  </si>
  <si>
    <t>4. In monthly tabs option added to specificy if landfills recover emitted gases or not</t>
  </si>
  <si>
    <t>ACE2019 v2</t>
  </si>
  <si>
    <t>Aug 2019</t>
  </si>
  <si>
    <t>Locked data entry cells unlocked</t>
  </si>
  <si>
    <t>ACE 9.0</t>
  </si>
  <si>
    <t>ACE2020</t>
  </si>
  <si>
    <t>May 2021</t>
  </si>
  <si>
    <t>emission factor update (MfE release Dec2020)</t>
  </si>
  <si>
    <t>new emissions source added - Working from Home</t>
  </si>
  <si>
    <t>Locked cells in the Refrigerent tab unlocked</t>
  </si>
  <si>
    <t>Total energy consumption</t>
  </si>
  <si>
    <t>(excluding flights)</t>
  </si>
  <si>
    <t>Energy consumed (GJ)</t>
  </si>
  <si>
    <t>electricity</t>
  </si>
  <si>
    <t>gas</t>
  </si>
  <si>
    <t>coal</t>
  </si>
  <si>
    <t>petrol</t>
  </si>
  <si>
    <t>diesel</t>
  </si>
  <si>
    <r>
      <t>© CATALYST</t>
    </r>
    <r>
      <rPr>
        <sz val="9"/>
        <rFont val="Arial"/>
        <family val="2"/>
      </rPr>
      <t>®</t>
    </r>
    <r>
      <rPr>
        <sz val="9"/>
        <rFont val="Arial"/>
        <family val="2"/>
      </rPr>
      <t xml:space="preserve"> R&amp;D LTD 2009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</si>
</sst>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0.0"/>
    <numFmt numFmtId="165" formatCode="_-* #,##0_-;\-* #,##0_-;_-* &quot;-&quot;??_-;_-@_-"/>
    <numFmt numFmtId="166" formatCode="0.000"/>
    <numFmt numFmtId="167" formatCode="0.00000"/>
    <numFmt numFmtId="168" formatCode="_-* #,##0.0_-;\-* #,##0.0_-;_-* &quot;-&quot;??_-;_-@_-"/>
    <numFmt numFmtId="169" formatCode="??0.0?????"/>
    <numFmt numFmtId="170" formatCode="_-* #,##0.000_-;\-* #,##0.000_-;_-* &quot;-&quot;??_-;_-@_-"/>
    <numFmt numFmtId="171" formatCode="#,##0.0_ ;\-#,##0.0\ "/>
  </numFmts>
  <fonts count="30">
    <font>
      <sz val="10"/>
      <name val="Arial"/>
    </font>
    <font>
      <sz val="10"/>
      <name val="Arial"/>
      <family val="2"/>
    </font>
    <font>
      <u/>
      <sz val="10"/>
      <color indexed="12"/>
      <name val="Arial"/>
      <family val="2"/>
    </font>
    <font>
      <b/>
      <sz val="10"/>
      <name val="Arial"/>
      <family val="2"/>
    </font>
    <font>
      <sz val="10"/>
      <color indexed="10"/>
      <name val="Arial"/>
      <family val="2"/>
    </font>
    <font>
      <sz val="10"/>
      <color indexed="9"/>
      <name val="Arial"/>
      <family val="2"/>
    </font>
    <font>
      <sz val="10"/>
      <name val="Arial"/>
      <family val="2"/>
    </font>
    <font>
      <sz val="9"/>
      <name val="Arial"/>
      <family val="2"/>
    </font>
    <font>
      <b/>
      <sz val="12"/>
      <name val="Arial"/>
      <family val="2"/>
    </font>
    <font>
      <b/>
      <sz val="16"/>
      <name val="Arial"/>
      <family val="2"/>
    </font>
    <font>
      <b/>
      <sz val="12"/>
      <color indexed="51"/>
      <name val="Arial"/>
      <family val="2"/>
    </font>
    <font>
      <b/>
      <sz val="14"/>
      <name val="Arial"/>
      <family val="2"/>
    </font>
    <font>
      <sz val="8"/>
      <name val="Arial"/>
      <family val="2"/>
    </font>
    <font>
      <i/>
      <sz val="10"/>
      <name val="Arial"/>
      <family val="2"/>
    </font>
    <font>
      <u/>
      <sz val="10"/>
      <color indexed="12"/>
      <name val="Arial"/>
      <family val="2"/>
    </font>
    <font>
      <sz val="11"/>
      <name val="Arial"/>
      <family val="2"/>
    </font>
    <font>
      <sz val="12"/>
      <name val="Arial"/>
      <family val="2"/>
    </font>
    <font>
      <sz val="12"/>
      <color theme="1"/>
      <name val="Arial"/>
      <family val="2"/>
    </font>
    <font>
      <i/>
      <sz val="11"/>
      <name val="Arial"/>
      <family val="2"/>
    </font>
    <font>
      <i/>
      <sz val="12"/>
      <name val="Arial"/>
      <family val="2"/>
    </font>
    <font>
      <i/>
      <u/>
      <sz val="12"/>
      <name val="Arial"/>
      <family val="2"/>
    </font>
    <font>
      <u/>
      <sz val="12"/>
      <color indexed="12"/>
      <name val="Arial"/>
      <family val="2"/>
    </font>
    <font>
      <sz val="11"/>
      <name val="Calibri"/>
      <family val="2"/>
      <scheme val="minor"/>
    </font>
    <font>
      <b/>
      <sz val="8"/>
      <name val="Tahoma"/>
      <family val="2"/>
    </font>
    <font>
      <sz val="12"/>
      <color indexed="10"/>
      <name val="Arial"/>
      <family val="2"/>
    </font>
    <font>
      <sz val="12"/>
      <color rgb="FFFCCA13"/>
      <name val="Arial"/>
      <family val="2"/>
    </font>
    <font>
      <b/>
      <sz val="11"/>
      <name val="Arial"/>
      <family val="2"/>
    </font>
    <font>
      <b/>
      <i/>
      <sz val="11"/>
      <name val="Arial"/>
      <family val="2"/>
    </font>
    <font>
      <b/>
      <i/>
      <sz val="12"/>
      <name val="Arial"/>
      <family val="2"/>
    </font>
    <font>
      <sz val="14"/>
      <name val="Arial"/>
      <family val="2"/>
    </font>
  </fonts>
  <fills count="12">
    <fill>
      <patternFill patternType="none"/>
    </fill>
    <fill>
      <patternFill patternType="gray125"/>
    </fill>
    <fill>
      <patternFill patternType="solid">
        <fgColor indexed="65"/>
        <bgColor indexed="64"/>
      </patternFill>
    </fill>
    <fill>
      <patternFill patternType="solid">
        <fgColor rgb="FFFEE690"/>
        <bgColor indexed="64"/>
      </patternFill>
    </fill>
    <fill>
      <patternFill patternType="solid">
        <fgColor rgb="FFD4F983"/>
        <bgColor indexed="64"/>
      </patternFill>
    </fill>
    <fill>
      <patternFill patternType="solid">
        <fgColor rgb="FFFBCA81"/>
        <bgColor indexed="64"/>
      </patternFill>
    </fill>
    <fill>
      <patternFill patternType="solid">
        <fgColor rgb="FF81EAFF"/>
        <bgColor indexed="64"/>
      </patternFill>
    </fill>
    <fill>
      <patternFill patternType="solid">
        <fgColor theme="0"/>
        <bgColor indexed="64"/>
      </patternFill>
    </fill>
    <fill>
      <patternFill patternType="solid">
        <fgColor theme="2"/>
        <bgColor indexed="64"/>
      </patternFill>
    </fill>
    <fill>
      <patternFill patternType="solid">
        <fgColor rgb="FF00D3A7"/>
        <bgColor indexed="64"/>
      </patternFill>
    </fill>
    <fill>
      <patternFill patternType="solid">
        <fgColor rgb="FFF4FB93"/>
        <bgColor indexed="64"/>
      </patternFill>
    </fill>
    <fill>
      <patternFill patternType="solid">
        <fgColor rgb="FF3FDFFF"/>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7">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6" fillId="0" borderId="0"/>
    <xf numFmtId="0" fontId="14" fillId="0" borderId="0" applyNumberFormat="0" applyFill="0" applyBorder="0" applyAlignment="0" applyProtection="0">
      <alignment vertical="top"/>
      <protection locked="0"/>
    </xf>
    <xf numFmtId="0" fontId="1" fillId="0" borderId="0"/>
  </cellStyleXfs>
  <cellXfs count="323">
    <xf numFmtId="0" fontId="0" fillId="0" borderId="0" xfId="0"/>
    <xf numFmtId="0" fontId="4" fillId="0" borderId="0" xfId="0" applyFont="1"/>
    <xf numFmtId="0" fontId="5" fillId="0" borderId="0" xfId="0" applyFont="1"/>
    <xf numFmtId="0" fontId="7" fillId="0" borderId="0" xfId="0" applyFont="1" applyAlignment="1">
      <alignment horizontal="right"/>
    </xf>
    <xf numFmtId="0" fontId="0" fillId="0" borderId="0" xfId="0" applyProtection="1">
      <protection locked="0"/>
    </xf>
    <xf numFmtId="0" fontId="0" fillId="0" borderId="3"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Alignment="1">
      <alignment horizontal="right"/>
    </xf>
    <xf numFmtId="164" fontId="0" fillId="0" borderId="1" xfId="0" applyNumberFormat="1" applyBorder="1"/>
    <xf numFmtId="0" fontId="3" fillId="0" borderId="0" xfId="0" applyFont="1"/>
    <xf numFmtId="0" fontId="0" fillId="0" borderId="0" xfId="0" applyAlignment="1">
      <alignment textRotation="90"/>
    </xf>
    <xf numFmtId="0" fontId="0" fillId="0" borderId="10" xfId="0" applyBorder="1"/>
    <xf numFmtId="0" fontId="0" fillId="0" borderId="0" xfId="0" applyAlignment="1">
      <alignment horizontal="center"/>
    </xf>
    <xf numFmtId="43" fontId="0" fillId="0" borderId="0" xfId="0" applyNumberFormat="1"/>
    <xf numFmtId="0" fontId="1" fillId="0" borderId="0" xfId="0" applyFont="1"/>
    <xf numFmtId="0" fontId="8" fillId="0" borderId="0" xfId="0" applyFont="1"/>
    <xf numFmtId="0" fontId="0" fillId="0" borderId="1" xfId="0" applyBorder="1" applyProtection="1">
      <protection locked="0"/>
    </xf>
    <xf numFmtId="0" fontId="3" fillId="0" borderId="1" xfId="0" applyFont="1" applyBorder="1" applyAlignment="1" applyProtection="1">
      <alignment vertical="center"/>
      <protection locked="0"/>
    </xf>
    <xf numFmtId="0" fontId="0" fillId="0" borderId="1" xfId="0" applyBorder="1" applyAlignment="1" applyProtection="1">
      <alignment textRotation="90"/>
      <protection locked="0"/>
    </xf>
    <xf numFmtId="0" fontId="0" fillId="2" borderId="0" xfId="0" applyFill="1"/>
    <xf numFmtId="164" fontId="0" fillId="0" borderId="0" xfId="0" applyNumberFormat="1"/>
    <xf numFmtId="0" fontId="7" fillId="0" borderId="6" xfId="0" applyFont="1" applyBorder="1"/>
    <xf numFmtId="0" fontId="0" fillId="0" borderId="8" xfId="0" applyBorder="1"/>
    <xf numFmtId="0" fontId="0" fillId="0" borderId="2" xfId="0" applyBorder="1"/>
    <xf numFmtId="0" fontId="0" fillId="0" borderId="9" xfId="0" applyBorder="1"/>
    <xf numFmtId="0" fontId="0" fillId="0" borderId="12" xfId="0" applyBorder="1" applyAlignment="1" applyProtection="1">
      <alignment textRotation="90"/>
      <protection locked="0"/>
    </xf>
    <xf numFmtId="0" fontId="0" fillId="0" borderId="12" xfId="0" applyBorder="1" applyProtection="1">
      <protection locked="0"/>
    </xf>
    <xf numFmtId="0" fontId="0" fillId="0" borderId="13" xfId="0" applyBorder="1" applyProtection="1">
      <protection locked="0"/>
    </xf>
    <xf numFmtId="0" fontId="0" fillId="0" borderId="14" xfId="0" applyBorder="1" applyProtection="1">
      <protection locked="0"/>
    </xf>
    <xf numFmtId="0" fontId="3" fillId="0" borderId="11" xfId="0" applyFont="1" applyBorder="1" applyAlignment="1" applyProtection="1">
      <alignment vertical="center"/>
      <protection locked="0"/>
    </xf>
    <xf numFmtId="0" fontId="0" fillId="0" borderId="11" xfId="0" applyBorder="1" applyProtection="1">
      <protection locked="0"/>
    </xf>
    <xf numFmtId="0" fontId="0" fillId="0" borderId="15" xfId="0" applyBorder="1" applyProtection="1">
      <protection locked="0"/>
    </xf>
    <xf numFmtId="0" fontId="3" fillId="0" borderId="0" xfId="0" applyFont="1" applyAlignment="1">
      <alignment horizontal="center"/>
    </xf>
    <xf numFmtId="9" fontId="11" fillId="0" borderId="8" xfId="3" applyFont="1" applyBorder="1" applyAlignment="1">
      <alignment vertical="center"/>
    </xf>
    <xf numFmtId="9" fontId="11" fillId="0" borderId="2" xfId="3" applyFont="1" applyBorder="1" applyAlignment="1">
      <alignment vertical="center"/>
    </xf>
    <xf numFmtId="0" fontId="0" fillId="0" borderId="18" xfId="0" applyBorder="1"/>
    <xf numFmtId="49" fontId="0" fillId="0" borderId="0" xfId="0" applyNumberFormat="1"/>
    <xf numFmtId="49" fontId="1" fillId="0" borderId="0" xfId="0" applyNumberFormat="1" applyFont="1"/>
    <xf numFmtId="0" fontId="3" fillId="2" borderId="0" xfId="0" applyFont="1" applyFill="1" applyAlignment="1">
      <alignment horizontal="center"/>
    </xf>
    <xf numFmtId="0" fontId="11"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49" fontId="0" fillId="2" borderId="0" xfId="0" applyNumberFormat="1" applyFill="1" applyAlignment="1">
      <alignment horizontal="center"/>
    </xf>
    <xf numFmtId="49" fontId="3" fillId="0" borderId="0" xfId="0" applyNumberFormat="1" applyFont="1" applyAlignment="1">
      <alignment horizontal="center"/>
    </xf>
    <xf numFmtId="49" fontId="1" fillId="0" borderId="0" xfId="0" applyNumberFormat="1" applyFont="1" applyAlignment="1">
      <alignment horizontal="center"/>
    </xf>
    <xf numFmtId="0" fontId="3" fillId="0" borderId="18" xfId="0" applyFont="1" applyBorder="1" applyAlignment="1">
      <alignment horizontal="center"/>
    </xf>
    <xf numFmtId="0" fontId="0" fillId="0" borderId="18" xfId="0" applyBorder="1" applyAlignment="1">
      <alignment horizontal="center"/>
    </xf>
    <xf numFmtId="49" fontId="0" fillId="0" borderId="18" xfId="0" applyNumberFormat="1" applyBorder="1" applyAlignment="1">
      <alignment horizontal="center"/>
    </xf>
    <xf numFmtId="49" fontId="1" fillId="0" borderId="18" xfId="0" applyNumberFormat="1" applyFont="1" applyBorder="1" applyAlignment="1">
      <alignment horizontal="center"/>
    </xf>
    <xf numFmtId="0" fontId="0" fillId="0" borderId="0" xfId="0" applyAlignment="1" applyProtection="1">
      <alignment horizontal="left"/>
      <protection locked="0"/>
    </xf>
    <xf numFmtId="49" fontId="0" fillId="0" borderId="0" xfId="0" applyNumberFormat="1" applyAlignment="1">
      <alignment horizontal="left"/>
    </xf>
    <xf numFmtId="0" fontId="6" fillId="0" borderId="0" xfId="4"/>
    <xf numFmtId="0" fontId="6" fillId="2" borderId="0" xfId="4" applyFill="1"/>
    <xf numFmtId="0" fontId="11" fillId="2" borderId="0" xfId="4" applyFont="1" applyFill="1"/>
    <xf numFmtId="0" fontId="6" fillId="0" borderId="0" xfId="4" applyProtection="1">
      <protection locked="0"/>
    </xf>
    <xf numFmtId="0" fontId="6" fillId="0" borderId="0" xfId="4" applyAlignment="1">
      <alignment wrapText="1"/>
    </xf>
    <xf numFmtId="0" fontId="16" fillId="0" borderId="0" xfId="0" applyFont="1" applyAlignment="1" applyProtection="1">
      <alignment horizontal="center" vertical="center"/>
      <protection locked="0"/>
    </xf>
    <xf numFmtId="0" fontId="16" fillId="0" borderId="0" xfId="0" applyFont="1" applyProtection="1">
      <protection locked="0"/>
    </xf>
    <xf numFmtId="0" fontId="16" fillId="0" borderId="0" xfId="0" applyFont="1"/>
    <xf numFmtId="0" fontId="16" fillId="0" borderId="1" xfId="0" applyFont="1" applyBorder="1" applyAlignment="1">
      <alignment horizontal="center" vertical="center"/>
    </xf>
    <xf numFmtId="0" fontId="16" fillId="0" borderId="1" xfId="0" applyFont="1" applyBorder="1" applyAlignment="1" applyProtection="1">
      <alignment horizontal="center" vertical="center"/>
      <protection locked="0"/>
    </xf>
    <xf numFmtId="0" fontId="8" fillId="0" borderId="0" xfId="0" applyFont="1" applyAlignment="1" applyProtection="1">
      <alignment horizontal="center" vertical="center"/>
      <protection locked="0"/>
    </xf>
    <xf numFmtId="0" fontId="9" fillId="0" borderId="0" xfId="0" applyFont="1" applyAlignment="1">
      <alignment horizontal="center" vertical="center"/>
    </xf>
    <xf numFmtId="0" fontId="18" fillId="0" borderId="0" xfId="0" applyFont="1" applyAlignment="1">
      <alignment vertical="center" wrapText="1"/>
    </xf>
    <xf numFmtId="0" fontId="16" fillId="0" borderId="1" xfId="0" applyFont="1" applyBorder="1" applyAlignment="1">
      <alignment horizontal="left" vertical="center"/>
    </xf>
    <xf numFmtId="0" fontId="16" fillId="0" borderId="1" xfId="0" applyFont="1" applyBorder="1" applyAlignment="1" applyProtection="1">
      <alignment horizontal="left" vertical="center"/>
      <protection locked="0"/>
    </xf>
    <xf numFmtId="0" fontId="0" fillId="0" borderId="0" xfId="0" applyAlignment="1">
      <alignment vertical="center"/>
    </xf>
    <xf numFmtId="0" fontId="0" fillId="0" borderId="0" xfId="0" applyAlignment="1" applyProtection="1">
      <alignment vertical="center"/>
      <protection locked="0"/>
    </xf>
    <xf numFmtId="0" fontId="16" fillId="0" borderId="0" xfId="0" applyFont="1" applyAlignment="1" applyProtection="1">
      <alignment vertical="center"/>
      <protection locked="0"/>
    </xf>
    <xf numFmtId="0" fontId="16" fillId="0" borderId="0" xfId="0" applyFont="1" applyAlignment="1">
      <alignment vertical="center"/>
    </xf>
    <xf numFmtId="0" fontId="8" fillId="0" borderId="0" xfId="0" applyFont="1" applyAlignment="1" applyProtection="1">
      <alignment vertical="center"/>
      <protection locked="0"/>
    </xf>
    <xf numFmtId="0" fontId="16" fillId="0" borderId="0" xfId="0" applyFont="1" applyAlignment="1">
      <alignment horizontal="left" vertical="center"/>
    </xf>
    <xf numFmtId="164" fontId="16" fillId="0" borderId="0" xfId="1" applyNumberFormat="1" applyFont="1" applyAlignment="1">
      <alignment vertical="center"/>
    </xf>
    <xf numFmtId="2" fontId="16" fillId="0" borderId="0" xfId="0" applyNumberFormat="1" applyFont="1" applyAlignment="1">
      <alignment vertical="center"/>
    </xf>
    <xf numFmtId="0" fontId="16" fillId="0" borderId="0" xfId="0" applyFont="1" applyAlignment="1">
      <alignment horizontal="center" vertical="center"/>
    </xf>
    <xf numFmtId="0" fontId="20" fillId="0" borderId="0" xfId="0" applyFont="1" applyAlignment="1">
      <alignment vertical="center"/>
    </xf>
    <xf numFmtId="0" fontId="16" fillId="0" borderId="0" xfId="0" applyFont="1" applyAlignment="1">
      <alignment textRotation="90"/>
    </xf>
    <xf numFmtId="0" fontId="19" fillId="0" borderId="0" xfId="0" applyFont="1" applyAlignment="1">
      <alignment horizontal="center" vertical="center"/>
    </xf>
    <xf numFmtId="0" fontId="16" fillId="0" borderId="0" xfId="0" applyFont="1" applyAlignment="1">
      <alignment horizontal="center" vertical="center" textRotation="90"/>
    </xf>
    <xf numFmtId="0" fontId="0" fillId="0" borderId="0" xfId="0" applyAlignment="1">
      <alignment horizontal="center" vertical="center"/>
    </xf>
    <xf numFmtId="0" fontId="16" fillId="0" borderId="0" xfId="0" applyFont="1" applyAlignment="1">
      <alignment vertical="center" textRotation="90"/>
    </xf>
    <xf numFmtId="0" fontId="19" fillId="0" borderId="0" xfId="0" applyFont="1"/>
    <xf numFmtId="0" fontId="16" fillId="0" borderId="1" xfId="0" applyFont="1" applyBorder="1"/>
    <xf numFmtId="0" fontId="20" fillId="0" borderId="0" xfId="0" applyFont="1"/>
    <xf numFmtId="0" fontId="16" fillId="0" borderId="1" xfId="0" applyFont="1" applyBorder="1" applyAlignment="1">
      <alignment horizontal="right"/>
    </xf>
    <xf numFmtId="0" fontId="2" fillId="0" borderId="0" xfId="2" applyAlignment="1" applyProtection="1"/>
    <xf numFmtId="0" fontId="1" fillId="0" borderId="1" xfId="0" applyFont="1" applyBorder="1"/>
    <xf numFmtId="0" fontId="16" fillId="5" borderId="1" xfId="0" applyFont="1" applyFill="1" applyBorder="1" applyProtection="1">
      <protection locked="0"/>
    </xf>
    <xf numFmtId="0" fontId="16" fillId="0" borderId="1" xfId="0" applyFont="1" applyBorder="1" applyAlignment="1">
      <alignment horizontal="center" vertical="center" wrapText="1"/>
    </xf>
    <xf numFmtId="0" fontId="9" fillId="2" borderId="0" xfId="0" applyFont="1" applyFill="1" applyAlignment="1">
      <alignment horizontal="center" vertical="center"/>
    </xf>
    <xf numFmtId="0" fontId="13" fillId="0" borderId="0" xfId="0" applyFont="1" applyAlignment="1">
      <alignment vertical="center" wrapText="1"/>
    </xf>
    <xf numFmtId="2" fontId="16" fillId="4" borderId="1" xfId="0" applyNumberFormat="1" applyFont="1" applyFill="1" applyBorder="1" applyAlignment="1" applyProtection="1">
      <alignment horizontal="center" vertical="center"/>
      <protection locked="0"/>
    </xf>
    <xf numFmtId="0" fontId="18" fillId="0" borderId="0" xfId="0" applyFont="1" applyAlignment="1">
      <alignment horizontal="left" vertical="center" wrapText="1"/>
    </xf>
    <xf numFmtId="0" fontId="16" fillId="0" borderId="0" xfId="0" applyFont="1" applyAlignment="1" applyProtection="1">
      <alignment horizontal="left" vertical="center"/>
      <protection locked="0"/>
    </xf>
    <xf numFmtId="165" fontId="16" fillId="7" borderId="0" xfId="1" applyNumberFormat="1" applyFont="1" applyFill="1" applyAlignment="1">
      <alignment horizontal="center" vertical="center"/>
    </xf>
    <xf numFmtId="2" fontId="16" fillId="7" borderId="0" xfId="0" applyNumberFormat="1" applyFont="1" applyFill="1" applyAlignment="1">
      <alignment horizontal="center" vertical="center"/>
    </xf>
    <xf numFmtId="0" fontId="21" fillId="0" borderId="0" xfId="2" applyFont="1" applyAlignment="1">
      <alignment vertical="center"/>
      <protection locked="0"/>
    </xf>
    <xf numFmtId="0" fontId="16" fillId="7" borderId="0" xfId="0" applyFont="1" applyFill="1" applyAlignment="1">
      <alignment horizontal="center" vertical="center"/>
    </xf>
    <xf numFmtId="0" fontId="16" fillId="7" borderId="0" xfId="0" applyFont="1" applyFill="1" applyAlignment="1" applyProtection="1">
      <alignment horizontal="center" vertical="center"/>
      <protection locked="0"/>
    </xf>
    <xf numFmtId="0" fontId="1" fillId="0" borderId="1" xfId="0" applyFont="1" applyBorder="1" applyAlignment="1">
      <alignment horizontal="center" vertical="top" wrapText="1"/>
    </xf>
    <xf numFmtId="9" fontId="1" fillId="0" borderId="1" xfId="0" applyNumberFormat="1" applyFont="1" applyBorder="1" applyAlignment="1">
      <alignment horizontal="center" vertical="top" wrapText="1"/>
    </xf>
    <xf numFmtId="9" fontId="1" fillId="0" borderId="1" xfId="0" applyNumberFormat="1" applyFont="1" applyBorder="1" applyAlignment="1">
      <alignment vertical="top" wrapText="1"/>
    </xf>
    <xf numFmtId="0" fontId="12" fillId="0" borderId="1" xfId="0" applyFont="1" applyBorder="1" applyAlignment="1">
      <alignment vertical="top" wrapText="1"/>
    </xf>
    <xf numFmtId="0" fontId="18" fillId="0" borderId="0" xfId="0" applyFont="1" applyAlignment="1">
      <alignment vertical="center"/>
    </xf>
    <xf numFmtId="0" fontId="16" fillId="3" borderId="1" xfId="0" applyFont="1" applyFill="1" applyBorder="1" applyAlignment="1">
      <alignment horizontal="center" vertical="center" wrapText="1"/>
    </xf>
    <xf numFmtId="0" fontId="1" fillId="0" borderId="24" xfId="0" applyFont="1" applyBorder="1"/>
    <xf numFmtId="0" fontId="1" fillId="0" borderId="25" xfId="0" applyFont="1" applyBorder="1"/>
    <xf numFmtId="167" fontId="1" fillId="0" borderId="26" xfId="0" applyNumberFormat="1" applyFont="1" applyBorder="1"/>
    <xf numFmtId="0" fontId="22" fillId="0" borderId="1" xfId="0" applyFont="1" applyBorder="1"/>
    <xf numFmtId="169" fontId="22" fillId="0" borderId="1" xfId="0" applyNumberFormat="1" applyFont="1" applyBorder="1"/>
    <xf numFmtId="167" fontId="1" fillId="0" borderId="1" xfId="0" applyNumberFormat="1" applyFont="1" applyBorder="1"/>
    <xf numFmtId="0" fontId="21" fillId="0" borderId="1" xfId="2" applyFont="1" applyBorder="1" applyAlignment="1" applyProtection="1"/>
    <xf numFmtId="0" fontId="8" fillId="0" borderId="1" xfId="0" applyFont="1" applyBorder="1"/>
    <xf numFmtId="0" fontId="16" fillId="0" borderId="0" xfId="0" applyFont="1" applyAlignment="1">
      <alignment horizontal="right" wrapText="1"/>
    </xf>
    <xf numFmtId="167" fontId="16" fillId="0" borderId="0" xfId="0" applyNumberFormat="1" applyFont="1"/>
    <xf numFmtId="167" fontId="16" fillId="0" borderId="1" xfId="0" applyNumberFormat="1" applyFont="1" applyBorder="1"/>
    <xf numFmtId="164" fontId="16" fillId="6" borderId="19" xfId="0" applyNumberFormat="1" applyFont="1" applyFill="1" applyBorder="1"/>
    <xf numFmtId="166" fontId="16" fillId="6" borderId="19" xfId="0" applyNumberFormat="1" applyFont="1" applyFill="1" applyBorder="1"/>
    <xf numFmtId="0" fontId="16" fillId="0" borderId="20" xfId="0" applyFont="1" applyBorder="1"/>
    <xf numFmtId="0" fontId="16" fillId="0" borderId="22" xfId="0" applyFont="1" applyBorder="1" applyAlignment="1">
      <alignment vertical="center"/>
    </xf>
    <xf numFmtId="0" fontId="16" fillId="0" borderId="28" xfId="0" applyFont="1" applyBorder="1" applyAlignment="1">
      <alignment horizontal="center" vertical="center" wrapText="1"/>
    </xf>
    <xf numFmtId="0" fontId="0" fillId="0" borderId="0" xfId="0" applyAlignment="1">
      <alignment vertical="center" textRotation="90"/>
    </xf>
    <xf numFmtId="0" fontId="1" fillId="0" borderId="0" xfId="0" applyFont="1" applyAlignment="1">
      <alignment vertical="center" textRotation="90"/>
    </xf>
    <xf numFmtId="0" fontId="1"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16" fillId="0" borderId="0" xfId="4" applyFont="1"/>
    <xf numFmtId="0" fontId="16" fillId="2" borderId="0" xfId="4" applyFont="1" applyFill="1"/>
    <xf numFmtId="0" fontId="8" fillId="2" borderId="0" xfId="4" applyFont="1" applyFill="1"/>
    <xf numFmtId="0" fontId="8" fillId="0" borderId="0" xfId="4" applyFont="1"/>
    <xf numFmtId="0" fontId="16" fillId="2" borderId="0" xfId="4" applyFont="1" applyFill="1" applyAlignment="1">
      <alignment horizontal="right"/>
    </xf>
    <xf numFmtId="0" fontId="16" fillId="0" borderId="0" xfId="4" applyFont="1" applyAlignment="1">
      <alignment wrapText="1"/>
    </xf>
    <xf numFmtId="0" fontId="24" fillId="0" borderId="0" xfId="4" applyFont="1"/>
    <xf numFmtId="0" fontId="24" fillId="0" borderId="0" xfId="4" applyFont="1" applyAlignment="1">
      <alignment wrapText="1"/>
    </xf>
    <xf numFmtId="0" fontId="19" fillId="0" borderId="0" xfId="4" applyFont="1"/>
    <xf numFmtId="0" fontId="16" fillId="2" borderId="0" xfId="4" applyFont="1" applyFill="1" applyAlignment="1">
      <alignment horizontal="left"/>
    </xf>
    <xf numFmtId="0" fontId="16" fillId="0" borderId="0" xfId="4" applyFont="1" applyProtection="1">
      <protection locked="0"/>
    </xf>
    <xf numFmtId="0" fontId="16" fillId="5" borderId="1" xfId="4" applyFont="1" applyFill="1" applyBorder="1"/>
    <xf numFmtId="0" fontId="16" fillId="0" borderId="0" xfId="4" applyFont="1" applyAlignment="1">
      <alignment vertical="center" wrapText="1"/>
    </xf>
    <xf numFmtId="0" fontId="16" fillId="2" borderId="22" xfId="4" applyFont="1" applyFill="1" applyBorder="1"/>
    <xf numFmtId="0" fontId="16" fillId="0" borderId="22" xfId="4" applyFont="1" applyBorder="1"/>
    <xf numFmtId="0" fontId="21" fillId="0" borderId="0" xfId="2" applyFont="1" applyAlignment="1" applyProtection="1"/>
    <xf numFmtId="0" fontId="21" fillId="2" borderId="0" xfId="2" applyFont="1" applyFill="1" applyAlignment="1" applyProtection="1"/>
    <xf numFmtId="0" fontId="25" fillId="2" borderId="0" xfId="4" applyFont="1" applyFill="1" applyAlignment="1">
      <alignment horizontal="right"/>
    </xf>
    <xf numFmtId="0" fontId="1" fillId="0" borderId="0" xfId="0" applyFont="1" applyAlignment="1">
      <alignment horizontal="center"/>
    </xf>
    <xf numFmtId="0" fontId="27" fillId="0" borderId="0" xfId="0" applyFont="1" applyAlignment="1">
      <alignment vertical="center"/>
    </xf>
    <xf numFmtId="0" fontId="27" fillId="0" borderId="0" xfId="0" applyFont="1"/>
    <xf numFmtId="1" fontId="16" fillId="8" borderId="1" xfId="0" applyNumberFormat="1" applyFont="1" applyFill="1" applyBorder="1"/>
    <xf numFmtId="0" fontId="16" fillId="0" borderId="1" xfId="0" applyFont="1" applyBorder="1" applyAlignment="1">
      <alignment horizontal="center"/>
    </xf>
    <xf numFmtId="0" fontId="16" fillId="0" borderId="21" xfId="0" applyFont="1" applyBorder="1" applyAlignment="1">
      <alignment horizontal="center" vertical="center" wrapText="1"/>
    </xf>
    <xf numFmtId="0" fontId="16" fillId="5" borderId="1" xfId="0" applyFont="1" applyFill="1" applyBorder="1" applyAlignment="1" applyProtection="1">
      <alignment horizontal="center" vertical="center"/>
      <protection locked="0"/>
    </xf>
    <xf numFmtId="0" fontId="16" fillId="0" borderId="1" xfId="0" applyFont="1" applyBorder="1" applyAlignment="1">
      <alignment horizontal="left"/>
    </xf>
    <xf numFmtId="166" fontId="16" fillId="6" borderId="1" xfId="0" applyNumberFormat="1" applyFont="1" applyFill="1" applyBorder="1"/>
    <xf numFmtId="0" fontId="0" fillId="0" borderId="27" xfId="0" applyBorder="1"/>
    <xf numFmtId="0" fontId="0" fillId="0" borderId="17" xfId="0" applyBorder="1"/>
    <xf numFmtId="0" fontId="0" fillId="0" borderId="29" xfId="0" applyBorder="1"/>
    <xf numFmtId="0" fontId="0" fillId="0" borderId="30" xfId="0" applyBorder="1"/>
    <xf numFmtId="0" fontId="0" fillId="0" borderId="22" xfId="0" applyBorder="1"/>
    <xf numFmtId="0" fontId="0" fillId="2" borderId="30" xfId="0" applyFill="1" applyBorder="1"/>
    <xf numFmtId="0" fontId="0" fillId="2" borderId="22" xfId="0" applyFill="1" applyBorder="1"/>
    <xf numFmtId="0" fontId="16" fillId="0" borderId="30" xfId="0" applyFont="1" applyBorder="1"/>
    <xf numFmtId="0" fontId="16" fillId="0" borderId="22" xfId="0" applyFont="1" applyBorder="1"/>
    <xf numFmtId="0" fontId="8" fillId="0" borderId="22" xfId="0" applyFont="1" applyBorder="1"/>
    <xf numFmtId="0" fontId="19" fillId="0" borderId="22" xfId="0" applyFont="1" applyBorder="1"/>
    <xf numFmtId="0" fontId="16" fillId="0" borderId="31" xfId="0" applyFont="1" applyBorder="1"/>
    <xf numFmtId="0" fontId="16" fillId="0" borderId="18" xfId="0" applyFont="1" applyBorder="1"/>
    <xf numFmtId="0" fontId="9" fillId="0" borderId="0" xfId="0" applyFont="1" applyProtection="1">
      <protection locked="0"/>
    </xf>
    <xf numFmtId="0" fontId="18" fillId="0" borderId="0" xfId="0" applyFont="1" applyAlignment="1" applyProtection="1">
      <alignment horizontal="left" vertical="center"/>
      <protection locked="0"/>
    </xf>
    <xf numFmtId="0" fontId="8" fillId="0" borderId="0" xfId="0" applyFont="1" applyProtection="1">
      <protection locked="0"/>
    </xf>
    <xf numFmtId="0" fontId="0" fillId="0" borderId="30" xfId="0" applyBorder="1" applyAlignment="1">
      <alignment vertical="center"/>
    </xf>
    <xf numFmtId="0" fontId="16" fillId="0" borderId="22" xfId="0" applyFont="1" applyBorder="1" applyAlignment="1">
      <alignment vertical="center" textRotation="90"/>
    </xf>
    <xf numFmtId="0" fontId="16" fillId="0" borderId="22" xfId="0" applyFont="1" applyBorder="1" applyAlignment="1">
      <alignment horizontal="right"/>
    </xf>
    <xf numFmtId="0" fontId="19" fillId="0" borderId="30" xfId="0" applyFont="1" applyBorder="1" applyAlignment="1">
      <alignment vertical="center"/>
    </xf>
    <xf numFmtId="0" fontId="19" fillId="0" borderId="0" xfId="0" applyFont="1" applyAlignment="1">
      <alignment vertical="center"/>
    </xf>
    <xf numFmtId="0" fontId="19" fillId="0" borderId="30" xfId="0" applyFont="1" applyBorder="1"/>
    <xf numFmtId="0" fontId="16" fillId="0" borderId="22" xfId="0" applyFont="1" applyBorder="1" applyAlignment="1">
      <alignment horizontal="center"/>
    </xf>
    <xf numFmtId="1" fontId="16" fillId="0" borderId="0" xfId="0" applyNumberFormat="1" applyFont="1"/>
    <xf numFmtId="0" fontId="0" fillId="0" borderId="31" xfId="0" applyBorder="1"/>
    <xf numFmtId="0" fontId="16" fillId="0" borderId="0" xfId="4" applyFont="1" applyAlignment="1">
      <alignment vertical="top" wrapText="1"/>
    </xf>
    <xf numFmtId="0" fontId="1" fillId="0" borderId="0" xfId="6"/>
    <xf numFmtId="0" fontId="9" fillId="0" borderId="0" xfId="6" applyFont="1" applyAlignment="1">
      <alignment horizontal="center" vertical="center"/>
    </xf>
    <xf numFmtId="0" fontId="8" fillId="0" borderId="0" xfId="6" applyFont="1"/>
    <xf numFmtId="0" fontId="20" fillId="0" borderId="0" xfId="6" applyFont="1"/>
    <xf numFmtId="0" fontId="19" fillId="0" borderId="0" xfId="6" applyFont="1"/>
    <xf numFmtId="0" fontId="16" fillId="0" borderId="1" xfId="6" applyFont="1" applyBorder="1"/>
    <xf numFmtId="0" fontId="16" fillId="0" borderId="1" xfId="6" applyFont="1" applyBorder="1" applyAlignment="1">
      <alignment horizontal="center" vertical="center"/>
    </xf>
    <xf numFmtId="0" fontId="16" fillId="0" borderId="1" xfId="6" applyFont="1" applyBorder="1" applyAlignment="1">
      <alignment horizontal="right"/>
    </xf>
    <xf numFmtId="0" fontId="1" fillId="0" borderId="1" xfId="6" applyBorder="1" applyProtection="1">
      <protection locked="0"/>
    </xf>
    <xf numFmtId="0" fontId="1" fillId="0" borderId="1" xfId="6" applyBorder="1"/>
    <xf numFmtId="0" fontId="16" fillId="5" borderId="1" xfId="6" applyFont="1" applyFill="1" applyBorder="1" applyProtection="1">
      <protection locked="0"/>
    </xf>
    <xf numFmtId="0" fontId="1" fillId="4" borderId="1" xfId="6" applyFill="1" applyBorder="1" applyProtection="1">
      <protection locked="0"/>
    </xf>
    <xf numFmtId="0" fontId="1" fillId="4" borderId="1" xfId="6" applyFill="1" applyBorder="1"/>
    <xf numFmtId="0" fontId="1" fillId="7" borderId="1" xfId="6" applyFill="1" applyBorder="1"/>
    <xf numFmtId="0" fontId="1" fillId="7" borderId="1" xfId="6" applyFill="1" applyBorder="1" applyProtection="1">
      <protection locked="0"/>
    </xf>
    <xf numFmtId="0" fontId="16" fillId="0" borderId="0" xfId="6" applyFont="1"/>
    <xf numFmtId="0" fontId="8" fillId="0" borderId="0" xfId="6" applyFont="1" applyAlignment="1">
      <alignment horizontal="left" vertical="center"/>
    </xf>
    <xf numFmtId="0" fontId="8" fillId="0" borderId="0" xfId="6" applyFont="1" applyAlignment="1">
      <alignment horizontal="center" vertical="center"/>
    </xf>
    <xf numFmtId="0" fontId="1" fillId="0" borderId="0" xfId="6" applyAlignment="1">
      <alignment textRotation="90"/>
    </xf>
    <xf numFmtId="0" fontId="10" fillId="0" borderId="0" xfId="6" applyFont="1"/>
    <xf numFmtId="0" fontId="1" fillId="0" borderId="0" xfId="6" applyAlignment="1">
      <alignment horizontal="right"/>
    </xf>
    <xf numFmtId="0" fontId="22" fillId="0" borderId="0" xfId="6" applyFont="1"/>
    <xf numFmtId="166" fontId="1" fillId="0" borderId="0" xfId="6" applyNumberFormat="1"/>
    <xf numFmtId="0" fontId="5" fillId="0" borderId="0" xfId="6" applyFont="1"/>
    <xf numFmtId="0" fontId="3" fillId="0" borderId="0" xfId="6" applyFont="1"/>
    <xf numFmtId="0" fontId="16" fillId="5" borderId="1" xfId="6" applyFont="1" applyFill="1" applyBorder="1" applyAlignment="1" applyProtection="1">
      <alignment horizontal="center" vertical="center"/>
      <protection locked="0"/>
    </xf>
    <xf numFmtId="0" fontId="16" fillId="5" borderId="1" xfId="0" applyFont="1" applyFill="1" applyBorder="1" applyAlignment="1" applyProtection="1">
      <alignment horizontal="left" vertical="center"/>
      <protection locked="0"/>
    </xf>
    <xf numFmtId="0" fontId="16" fillId="9" borderId="1" xfId="4" applyFont="1" applyFill="1" applyBorder="1"/>
    <xf numFmtId="2" fontId="16" fillId="9" borderId="1" xfId="0" applyNumberFormat="1" applyFont="1" applyFill="1" applyBorder="1" applyAlignment="1">
      <alignment horizontal="center" vertical="center"/>
    </xf>
    <xf numFmtId="0" fontId="16" fillId="9" borderId="1" xfId="0" applyFont="1" applyFill="1" applyBorder="1" applyAlignment="1">
      <alignment horizontal="center" vertical="center"/>
    </xf>
    <xf numFmtId="165" fontId="16" fillId="9" borderId="1" xfId="1" applyNumberFormat="1" applyFont="1" applyFill="1" applyBorder="1" applyAlignment="1">
      <alignment horizontal="center" vertical="center"/>
    </xf>
    <xf numFmtId="1" fontId="16" fillId="9" borderId="1" xfId="0" applyNumberFormat="1" applyFont="1" applyFill="1" applyBorder="1"/>
    <xf numFmtId="166" fontId="16" fillId="9" borderId="1" xfId="0" applyNumberFormat="1" applyFont="1" applyFill="1" applyBorder="1"/>
    <xf numFmtId="2" fontId="16" fillId="9" borderId="1" xfId="0" applyNumberFormat="1" applyFont="1" applyFill="1" applyBorder="1"/>
    <xf numFmtId="0" fontId="8" fillId="9" borderId="1" xfId="0" applyFont="1" applyFill="1" applyBorder="1" applyAlignment="1">
      <alignment horizontal="center" vertical="center"/>
    </xf>
    <xf numFmtId="166" fontId="16" fillId="9" borderId="1" xfId="0" applyNumberFormat="1" applyFont="1" applyFill="1" applyBorder="1" applyAlignment="1">
      <alignment horizontal="center" vertical="center"/>
    </xf>
    <xf numFmtId="0" fontId="16" fillId="10" borderId="1" xfId="4" applyFont="1" applyFill="1" applyBorder="1"/>
    <xf numFmtId="0" fontId="17" fillId="10" borderId="1" xfId="0" applyFont="1" applyFill="1" applyBorder="1" applyAlignment="1" applyProtection="1">
      <alignment horizontal="center" vertical="center"/>
      <protection locked="0"/>
    </xf>
    <xf numFmtId="0" fontId="16" fillId="10" borderId="1" xfId="0" applyFont="1" applyFill="1" applyBorder="1" applyAlignment="1" applyProtection="1">
      <alignment horizontal="center" vertical="center"/>
      <protection locked="0"/>
    </xf>
    <xf numFmtId="165" fontId="16" fillId="10" borderId="1" xfId="1" applyNumberFormat="1" applyFont="1" applyFill="1" applyBorder="1" applyAlignment="1" applyProtection="1">
      <alignment horizontal="center" vertical="center"/>
      <protection locked="0"/>
    </xf>
    <xf numFmtId="0" fontId="16" fillId="10" borderId="1" xfId="1" applyNumberFormat="1" applyFont="1" applyFill="1" applyBorder="1" applyAlignment="1" applyProtection="1">
      <alignment horizontal="center" vertical="center"/>
      <protection locked="0"/>
    </xf>
    <xf numFmtId="0" fontId="16" fillId="10" borderId="1" xfId="0" applyFont="1" applyFill="1" applyBorder="1" applyAlignment="1" applyProtection="1">
      <alignment horizontal="left" vertical="center"/>
      <protection locked="0"/>
    </xf>
    <xf numFmtId="0" fontId="16" fillId="10" borderId="1" xfId="6" applyFont="1" applyFill="1" applyBorder="1" applyProtection="1">
      <protection locked="0"/>
    </xf>
    <xf numFmtId="165" fontId="8" fillId="9" borderId="1" xfId="1" applyNumberFormat="1" applyFont="1" applyFill="1" applyBorder="1" applyAlignment="1">
      <alignment horizontal="center" vertical="center"/>
    </xf>
    <xf numFmtId="164" fontId="8" fillId="9" borderId="1" xfId="6" applyNumberFormat="1" applyFont="1" applyFill="1" applyBorder="1" applyAlignment="1">
      <alignment horizontal="center" vertical="center"/>
    </xf>
    <xf numFmtId="2" fontId="16" fillId="10" borderId="1" xfId="0" applyNumberFormat="1" applyFont="1" applyFill="1" applyBorder="1" applyAlignment="1" applyProtection="1">
      <alignment horizontal="center" vertical="center"/>
      <protection locked="0"/>
    </xf>
    <xf numFmtId="0" fontId="16" fillId="11" borderId="1" xfId="4" applyFont="1" applyFill="1" applyBorder="1"/>
    <xf numFmtId="0" fontId="21" fillId="0" borderId="0" xfId="2" applyFont="1" applyFill="1" applyAlignment="1" applyProtection="1"/>
    <xf numFmtId="0" fontId="16" fillId="0" borderId="0" xfId="6" applyFont="1" applyProtection="1">
      <protection locked="0"/>
    </xf>
    <xf numFmtId="1" fontId="16" fillId="0" borderId="0" xfId="6" applyNumberFormat="1" applyFont="1"/>
    <xf numFmtId="166" fontId="16" fillId="9" borderId="1" xfId="6" applyNumberFormat="1" applyFont="1" applyFill="1" applyBorder="1" applyAlignment="1">
      <alignment horizontal="right" vertical="center"/>
    </xf>
    <xf numFmtId="0" fontId="16" fillId="0" borderId="0" xfId="6" applyFont="1" applyAlignment="1">
      <alignment horizontal="center" vertical="center"/>
    </xf>
    <xf numFmtId="0" fontId="16" fillId="9" borderId="1" xfId="6" applyFont="1" applyFill="1" applyBorder="1" applyAlignment="1">
      <alignment horizontal="right" vertical="center"/>
    </xf>
    <xf numFmtId="0" fontId="16" fillId="6" borderId="1" xfId="6" applyFont="1" applyFill="1" applyBorder="1" applyAlignment="1">
      <alignment horizontal="right" vertical="center"/>
    </xf>
    <xf numFmtId="0" fontId="16" fillId="10" borderId="1" xfId="6" applyFont="1" applyFill="1" applyBorder="1" applyAlignment="1" applyProtection="1">
      <alignment horizontal="right"/>
      <protection locked="0"/>
    </xf>
    <xf numFmtId="165" fontId="16" fillId="9" borderId="1" xfId="1" applyNumberFormat="1" applyFont="1" applyFill="1" applyBorder="1" applyAlignment="1">
      <alignment horizontal="right" vertical="center"/>
    </xf>
    <xf numFmtId="170" fontId="16" fillId="9" borderId="1" xfId="1" applyNumberFormat="1" applyFont="1" applyFill="1" applyBorder="1" applyAlignment="1">
      <alignment horizontal="right" vertical="center"/>
    </xf>
    <xf numFmtId="0" fontId="16" fillId="11" borderId="1" xfId="6" applyFont="1" applyFill="1" applyBorder="1" applyAlignment="1">
      <alignment horizontal="right" vertical="center"/>
    </xf>
    <xf numFmtId="165" fontId="8" fillId="0" borderId="0" xfId="1" applyNumberFormat="1" applyFont="1" applyFill="1" applyBorder="1" applyAlignment="1">
      <alignment horizontal="center" vertical="center"/>
    </xf>
    <xf numFmtId="0" fontId="8" fillId="9" borderId="10" xfId="6" applyFont="1" applyFill="1" applyBorder="1" applyAlignment="1">
      <alignment horizontal="center" vertical="center"/>
    </xf>
    <xf numFmtId="2" fontId="8" fillId="9" borderId="10" xfId="6" applyNumberFormat="1" applyFont="1" applyFill="1" applyBorder="1" applyAlignment="1">
      <alignment horizontal="right" vertical="center"/>
    </xf>
    <xf numFmtId="0" fontId="16" fillId="9" borderId="32" xfId="6" applyFont="1" applyFill="1" applyBorder="1" applyAlignment="1">
      <alignment horizontal="right" vertical="center"/>
    </xf>
    <xf numFmtId="0" fontId="16" fillId="6" borderId="13" xfId="6" applyFont="1" applyFill="1" applyBorder="1" applyAlignment="1">
      <alignment horizontal="right" vertical="center"/>
    </xf>
    <xf numFmtId="166" fontId="16" fillId="9" borderId="33" xfId="6" applyNumberFormat="1" applyFont="1" applyFill="1" applyBorder="1" applyAlignment="1">
      <alignment horizontal="right" vertical="center"/>
    </xf>
    <xf numFmtId="0" fontId="8" fillId="0" borderId="0" xfId="6" applyFont="1" applyAlignment="1">
      <alignment horizontal="center"/>
    </xf>
    <xf numFmtId="0" fontId="16" fillId="9" borderId="13" xfId="6" applyFont="1" applyFill="1" applyBorder="1" applyAlignment="1">
      <alignment horizontal="right" vertical="center"/>
    </xf>
    <xf numFmtId="165" fontId="16" fillId="9" borderId="10" xfId="1" applyNumberFormat="1" applyFont="1" applyFill="1" applyBorder="1" applyAlignment="1">
      <alignment horizontal="center" vertical="center"/>
    </xf>
    <xf numFmtId="165" fontId="8" fillId="9" borderId="31" xfId="6" applyNumberFormat="1" applyFont="1" applyFill="1" applyBorder="1" applyAlignment="1">
      <alignment horizontal="center" vertical="center"/>
    </xf>
    <xf numFmtId="165" fontId="8" fillId="9" borderId="10" xfId="6" applyNumberFormat="1" applyFont="1" applyFill="1" applyBorder="1" applyAlignment="1">
      <alignment horizontal="center" vertical="center"/>
    </xf>
    <xf numFmtId="168" fontId="8" fillId="9" borderId="10" xfId="1" applyNumberFormat="1" applyFont="1" applyFill="1" applyBorder="1" applyAlignment="1">
      <alignment horizontal="center" vertical="center"/>
    </xf>
    <xf numFmtId="165" fontId="16" fillId="9" borderId="13" xfId="1" applyNumberFormat="1" applyFont="1" applyFill="1" applyBorder="1" applyAlignment="1">
      <alignment horizontal="right" vertical="center"/>
    </xf>
    <xf numFmtId="170" fontId="16" fillId="9" borderId="13" xfId="1" applyNumberFormat="1" applyFont="1" applyFill="1" applyBorder="1" applyAlignment="1">
      <alignment horizontal="right" vertical="center"/>
    </xf>
    <xf numFmtId="165" fontId="8" fillId="9" borderId="10" xfId="1" applyNumberFormat="1" applyFont="1" applyFill="1" applyBorder="1" applyAlignment="1">
      <alignment horizontal="center" vertical="center"/>
    </xf>
    <xf numFmtId="171" fontId="8" fillId="9" borderId="10" xfId="1" applyNumberFormat="1" applyFont="1" applyFill="1" applyBorder="1" applyAlignment="1">
      <alignment horizontal="right" vertical="center"/>
    </xf>
    <xf numFmtId="0" fontId="16" fillId="10" borderId="32" xfId="6" applyFont="1" applyFill="1" applyBorder="1" applyAlignment="1" applyProtection="1">
      <alignment horizontal="right"/>
      <protection locked="0"/>
    </xf>
    <xf numFmtId="165" fontId="16" fillId="9" borderId="32" xfId="1" applyNumberFormat="1" applyFont="1" applyFill="1" applyBorder="1" applyAlignment="1">
      <alignment horizontal="right" vertical="center"/>
    </xf>
    <xf numFmtId="0" fontId="16" fillId="11" borderId="13" xfId="6" applyFont="1" applyFill="1" applyBorder="1" applyAlignment="1">
      <alignment horizontal="right" vertical="center"/>
    </xf>
    <xf numFmtId="170" fontId="16" fillId="9" borderId="33" xfId="1" applyNumberFormat="1" applyFont="1" applyFill="1" applyBorder="1" applyAlignment="1">
      <alignment horizontal="right" vertical="center"/>
    </xf>
    <xf numFmtId="0" fontId="16" fillId="0" borderId="0" xfId="0" applyFont="1" applyAlignment="1">
      <alignment vertical="center" wrapText="1"/>
    </xf>
    <xf numFmtId="0" fontId="25" fillId="0" borderId="0" xfId="4" applyFont="1" applyAlignment="1">
      <alignment horizontal="right"/>
    </xf>
    <xf numFmtId="0" fontId="11" fillId="2" borderId="0" xfId="4" applyFont="1" applyFill="1" applyAlignment="1">
      <alignment horizontal="center" vertical="center"/>
    </xf>
    <xf numFmtId="0" fontId="2" fillId="0" borderId="0" xfId="2" applyFill="1" applyAlignment="1" applyProtection="1"/>
    <xf numFmtId="0" fontId="8" fillId="0" borderId="0" xfId="0" applyFont="1" applyAlignment="1">
      <alignment horizontal="center"/>
    </xf>
    <xf numFmtId="166" fontId="16" fillId="9" borderId="13" xfId="0" applyNumberFormat="1" applyFont="1" applyFill="1" applyBorder="1" applyAlignment="1">
      <alignment horizontal="center" vertical="center"/>
    </xf>
    <xf numFmtId="166" fontId="8" fillId="9" borderId="10" xfId="0" applyNumberFormat="1" applyFont="1" applyFill="1" applyBorder="1" applyAlignment="1">
      <alignment horizontal="center"/>
    </xf>
    <xf numFmtId="17" fontId="16" fillId="0" borderId="0" xfId="4" applyNumberFormat="1" applyFont="1" applyAlignment="1">
      <alignment horizontal="right"/>
    </xf>
    <xf numFmtId="0" fontId="16" fillId="0" borderId="0" xfId="4" applyFont="1" applyAlignment="1">
      <alignment horizontal="right"/>
    </xf>
    <xf numFmtId="0" fontId="1" fillId="0" borderId="1" xfId="0" applyFont="1" applyBorder="1" applyAlignment="1" applyProtection="1">
      <alignment vertical="center"/>
      <protection locked="0"/>
    </xf>
    <xf numFmtId="0" fontId="16" fillId="0" borderId="0" xfId="4" applyFont="1" applyAlignment="1">
      <alignment horizontal="left" vertical="top" wrapText="1"/>
    </xf>
    <xf numFmtId="0" fontId="16" fillId="2" borderId="0" xfId="4" applyFont="1" applyFill="1" applyAlignment="1">
      <alignment horizontal="left" vertical="top" wrapText="1"/>
    </xf>
    <xf numFmtId="0" fontId="19" fillId="2" borderId="0" xfId="4" applyFont="1" applyFill="1" applyAlignment="1">
      <alignment horizontal="left" vertical="center" wrapText="1"/>
    </xf>
    <xf numFmtId="0" fontId="16" fillId="0" borderId="0" xfId="4" applyFont="1" applyAlignment="1">
      <alignment horizontal="left" wrapText="1"/>
    </xf>
    <xf numFmtId="0" fontId="18" fillId="0" borderId="0" xfId="0" applyFont="1" applyAlignment="1">
      <alignment horizontal="left" vertical="center" wrapText="1"/>
    </xf>
    <xf numFmtId="0" fontId="8" fillId="0" borderId="0" xfId="0" applyFont="1" applyAlignment="1">
      <alignment horizontal="left" vertical="center"/>
    </xf>
    <xf numFmtId="0" fontId="16" fillId="0" borderId="0" xfId="0" applyFont="1" applyAlignment="1">
      <alignment horizontal="left" vertical="center"/>
    </xf>
    <xf numFmtId="0" fontId="18" fillId="0" borderId="0" xfId="0" applyFont="1" applyAlignment="1" applyProtection="1">
      <alignment horizontal="left" vertical="center"/>
      <protection locked="0"/>
    </xf>
    <xf numFmtId="0" fontId="18" fillId="0" borderId="0" xfId="0" applyFont="1" applyAlignment="1" applyProtection="1">
      <alignment vertical="center"/>
      <protection locked="0"/>
    </xf>
    <xf numFmtId="0" fontId="16" fillId="0" borderId="0" xfId="0" applyFont="1" applyAlignment="1" applyProtection="1">
      <alignment horizontal="center" vertical="center"/>
      <protection locked="0"/>
    </xf>
    <xf numFmtId="0" fontId="16" fillId="0" borderId="0" xfId="0" applyFont="1" applyAlignment="1" applyProtection="1">
      <alignment vertical="center"/>
      <protection locked="0"/>
    </xf>
    <xf numFmtId="0" fontId="16" fillId="0" borderId="1" xfId="0" applyFont="1" applyBorder="1" applyAlignment="1" applyProtection="1">
      <alignment horizontal="center" vertical="center"/>
      <protection locked="0"/>
    </xf>
    <xf numFmtId="0" fontId="18" fillId="0" borderId="0" xfId="0" applyFont="1" applyAlignment="1" applyProtection="1">
      <alignment horizontal="left" vertical="center" wrapText="1"/>
      <protection locked="0"/>
    </xf>
    <xf numFmtId="0" fontId="26" fillId="0" borderId="0" xfId="0" applyFont="1" applyAlignment="1">
      <alignment horizontal="center" wrapText="1"/>
    </xf>
    <xf numFmtId="0" fontId="15" fillId="0" borderId="0" xfId="0" applyFont="1" applyAlignment="1">
      <alignment horizontal="center" wrapText="1"/>
    </xf>
    <xf numFmtId="0" fontId="8" fillId="0" borderId="19" xfId="0" applyFont="1" applyBorder="1" applyAlignment="1">
      <alignment horizontal="center"/>
    </xf>
    <xf numFmtId="0" fontId="8" fillId="0" borderId="27" xfId="0" applyFont="1" applyBorder="1" applyAlignment="1">
      <alignment horizontal="center"/>
    </xf>
    <xf numFmtId="0" fontId="9" fillId="0" borderId="0" xfId="0" applyFont="1" applyAlignment="1">
      <alignment horizontal="center"/>
    </xf>
    <xf numFmtId="0" fontId="29" fillId="5" borderId="30" xfId="0" applyFont="1" applyFill="1" applyBorder="1" applyAlignment="1" applyProtection="1">
      <alignment horizontal="center" vertical="center"/>
      <protection locked="0"/>
    </xf>
    <xf numFmtId="0" fontId="29" fillId="5" borderId="0" xfId="0" applyFont="1" applyFill="1" applyAlignment="1" applyProtection="1">
      <alignment horizontal="center" vertical="center"/>
      <protection locked="0"/>
    </xf>
    <xf numFmtId="0" fontId="16" fillId="10" borderId="30" xfId="0" applyFont="1" applyFill="1" applyBorder="1" applyAlignment="1" applyProtection="1">
      <alignment horizontal="center" vertical="center" wrapText="1"/>
      <protection locked="0"/>
    </xf>
    <xf numFmtId="0" fontId="16" fillId="10" borderId="0" xfId="0" applyFont="1" applyFill="1" applyAlignment="1" applyProtection="1">
      <alignment horizontal="center" vertical="center" wrapText="1"/>
      <protection locked="0"/>
    </xf>
    <xf numFmtId="0" fontId="16" fillId="0" borderId="1" xfId="0" applyFont="1" applyBorder="1" applyAlignment="1">
      <alignment horizontal="center"/>
    </xf>
    <xf numFmtId="0" fontId="28" fillId="0" borderId="0" xfId="0" applyFont="1" applyAlignment="1" applyProtection="1">
      <alignment horizontal="left" vertical="center" wrapText="1"/>
      <protection locked="0"/>
    </xf>
    <xf numFmtId="0" fontId="16" fillId="0" borderId="21"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0" xfId="0" applyFont="1" applyAlignment="1">
      <alignment horizontal="center"/>
    </xf>
    <xf numFmtId="0" fontId="16" fillId="0" borderId="22" xfId="0" applyFont="1" applyBorder="1" applyAlignment="1">
      <alignment horizontal="center"/>
    </xf>
    <xf numFmtId="0" fontId="8" fillId="0" borderId="1" xfId="0" applyFont="1" applyBorder="1" applyAlignment="1">
      <alignment horizontal="center"/>
    </xf>
    <xf numFmtId="0" fontId="8" fillId="0" borderId="21" xfId="0" applyFont="1" applyBorder="1" applyAlignment="1">
      <alignment horizontal="center" vertical="center"/>
    </xf>
    <xf numFmtId="0" fontId="8" fillId="0" borderId="28" xfId="0" applyFont="1" applyBorder="1" applyAlignment="1">
      <alignment horizontal="center" vertical="center"/>
    </xf>
    <xf numFmtId="0" fontId="8" fillId="0" borderId="10" xfId="0" applyFont="1" applyBorder="1" applyAlignment="1">
      <alignment horizontal="center" vertical="center"/>
    </xf>
    <xf numFmtId="0" fontId="8" fillId="0" borderId="23" xfId="0" applyFont="1" applyBorder="1" applyAlignment="1">
      <alignment horizontal="center"/>
    </xf>
    <xf numFmtId="0" fontId="8" fillId="0" borderId="16" xfId="0" applyFont="1" applyBorder="1" applyAlignment="1">
      <alignment horizontal="center"/>
    </xf>
    <xf numFmtId="0" fontId="8" fillId="0" borderId="1" xfId="0" applyFont="1" applyBorder="1" applyAlignment="1">
      <alignment horizontal="left" vertical="center"/>
    </xf>
    <xf numFmtId="0" fontId="8" fillId="0" borderId="1" xfId="6" applyFont="1" applyBorder="1" applyAlignment="1">
      <alignment horizontal="left"/>
    </xf>
    <xf numFmtId="0" fontId="16" fillId="0" borderId="1" xfId="6" applyFont="1" applyBorder="1" applyAlignment="1">
      <alignment horizontal="left" vertical="center" wrapText="1"/>
    </xf>
    <xf numFmtId="0" fontId="18" fillId="0" borderId="0" xfId="6" applyFont="1" applyAlignment="1">
      <alignment horizontal="left" vertical="center" wrapText="1"/>
    </xf>
    <xf numFmtId="0" fontId="16" fillId="0" borderId="1" xfId="6" applyFont="1" applyBorder="1" applyAlignment="1">
      <alignment horizontal="center"/>
    </xf>
    <xf numFmtId="0" fontId="18" fillId="0" borderId="0" xfId="6" applyFont="1" applyAlignment="1">
      <alignment horizontal="left" vertical="center"/>
    </xf>
    <xf numFmtId="0" fontId="8" fillId="0" borderId="19" xfId="0" applyFont="1" applyBorder="1" applyAlignment="1">
      <alignment horizontal="left" wrapText="1"/>
    </xf>
    <xf numFmtId="0" fontId="9" fillId="0" borderId="0" xfId="0" applyFont="1" applyAlignment="1">
      <alignment horizontal="center" vertical="center"/>
    </xf>
    <xf numFmtId="0" fontId="16" fillId="0" borderId="30" xfId="0" applyFont="1" applyBorder="1" applyAlignment="1">
      <alignment horizontal="center" vertical="center" wrapText="1"/>
    </xf>
    <xf numFmtId="0" fontId="16" fillId="0" borderId="0" xfId="0" applyFont="1" applyAlignment="1">
      <alignment horizontal="center" vertical="center" wrapText="1"/>
    </xf>
    <xf numFmtId="0" fontId="16" fillId="0" borderId="22" xfId="0" applyFont="1" applyBorder="1" applyAlignment="1">
      <alignment horizontal="center" vertical="center" wrapText="1"/>
    </xf>
    <xf numFmtId="0" fontId="0" fillId="0" borderId="19" xfId="0" applyBorder="1" applyAlignment="1">
      <alignment horizontal="center"/>
    </xf>
    <xf numFmtId="0" fontId="0" fillId="0" borderId="23" xfId="0" applyBorder="1" applyAlignment="1">
      <alignment horizontal="center"/>
    </xf>
    <xf numFmtId="0" fontId="0" fillId="0" borderId="16" xfId="0" applyBorder="1" applyAlignment="1">
      <alignment horizontal="center"/>
    </xf>
    <xf numFmtId="0" fontId="0" fillId="0" borderId="0" xfId="0" applyAlignment="1">
      <alignment horizontal="center"/>
    </xf>
    <xf numFmtId="0" fontId="16" fillId="0" borderId="17" xfId="0" applyFont="1" applyBorder="1" applyAlignment="1"/>
    <xf numFmtId="0" fontId="16" fillId="0" borderId="23" xfId="0" applyFont="1" applyBorder="1" applyAlignment="1"/>
    <xf numFmtId="0" fontId="16" fillId="0" borderId="16" xfId="0" applyFont="1" applyBorder="1" applyAlignment="1"/>
  </cellXfs>
  <cellStyles count="7">
    <cellStyle name="Comma" xfId="1" builtinId="3"/>
    <cellStyle name="Hyperlink" xfId="2" builtinId="8"/>
    <cellStyle name="Hyperlink 2" xfId="5" xr:uid="{00000000-0005-0000-0000-000002000000}"/>
    <cellStyle name="Normal" xfId="0" builtinId="0"/>
    <cellStyle name="Normal 2" xfId="4" xr:uid="{00000000-0005-0000-0000-000004000000}"/>
    <cellStyle name="Normal 3" xfId="6" xr:uid="{15F3F7E2-84BB-494C-B019-3A227CC38CB1}"/>
    <cellStyle name="Per cent" xfId="3" builtinId="5"/>
  </cellStyles>
  <dxfs count="0"/>
  <tableStyles count="0" defaultTableStyle="TableStyleMedium2" defaultPivotStyle="PivotStyleLight16"/>
  <colors>
    <mruColors>
      <color rgb="FF00D3A7"/>
      <color rgb="FFE955C9"/>
      <color rgb="FF3FDFFF"/>
      <color rgb="FFF4FB93"/>
      <color rgb="FF006966"/>
      <color rgb="FFFEE690"/>
      <color rgb="FFD4F983"/>
      <color rgb="FFFBCA81"/>
      <color rgb="FFFCCA13"/>
      <color rgb="FF81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GB" sz="1400"/>
              <a:t>Monthly emission breakdown</a:t>
            </a:r>
          </a:p>
          <a:p>
            <a:pPr>
              <a:defRPr sz="1400" b="1" i="0" u="none" strike="noStrike" baseline="0">
                <a:solidFill>
                  <a:srgbClr val="000000"/>
                </a:solidFill>
                <a:latin typeface="Arial"/>
                <a:ea typeface="Arial"/>
                <a:cs typeface="Arial"/>
              </a:defRPr>
            </a:pPr>
            <a:endParaRPr lang="en-GB" sz="1400"/>
          </a:p>
        </c:rich>
      </c:tx>
      <c:layout>
        <c:manualLayout>
          <c:xMode val="edge"/>
          <c:yMode val="edge"/>
          <c:x val="0.41653600921835993"/>
          <c:y val="3.0237571406515361E-2"/>
        </c:manualLayout>
      </c:layout>
      <c:overlay val="0"/>
      <c:spPr>
        <a:noFill/>
        <a:ln w="25400">
          <a:noFill/>
        </a:ln>
      </c:spPr>
    </c:title>
    <c:autoTitleDeleted val="0"/>
    <c:plotArea>
      <c:layout>
        <c:manualLayout>
          <c:layoutTarget val="inner"/>
          <c:xMode val="edge"/>
          <c:yMode val="edge"/>
          <c:x val="0.106703146374829"/>
          <c:y val="0.19870431322589729"/>
          <c:w val="0.86183310533515733"/>
          <c:h val="0.53131805493011663"/>
        </c:manualLayout>
      </c:layout>
      <c:barChart>
        <c:barDir val="col"/>
        <c:grouping val="stacked"/>
        <c:varyColors val="0"/>
        <c:ser>
          <c:idx val="0"/>
          <c:order val="0"/>
          <c:tx>
            <c:strRef>
              <c:f>Summary!$U$10</c:f>
              <c:strCache>
                <c:ptCount val="1"/>
                <c:pt idx="0">
                  <c:v>Electricity</c:v>
                </c:pt>
              </c:strCache>
            </c:strRef>
          </c:tx>
          <c:spPr>
            <a:solidFill>
              <a:srgbClr val="FCCA13"/>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Summary!$U$12:$U$23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E1A-4A33-989F-5B1A9C194901}"/>
            </c:ext>
          </c:extLst>
        </c:ser>
        <c:ser>
          <c:idx val="2"/>
          <c:order val="1"/>
          <c:tx>
            <c:strRef>
              <c:f>Summary!$V$10</c:f>
              <c:strCache>
                <c:ptCount val="1"/>
                <c:pt idx="0">
                  <c:v>Natural gas</c:v>
                </c:pt>
              </c:strCache>
            </c:strRef>
          </c:tx>
          <c:spPr>
            <a:solidFill>
              <a:srgbClr val="95D30B"/>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Summary!$V$12:$V$23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7E1A-4A33-989F-5B1A9C194901}"/>
            </c:ext>
          </c:extLst>
        </c:ser>
        <c:ser>
          <c:idx val="3"/>
          <c:order val="2"/>
          <c:tx>
            <c:strRef>
              <c:f>Summary!$W$10</c:f>
              <c:strCache>
                <c:ptCount val="1"/>
                <c:pt idx="0">
                  <c:v>Coal</c:v>
                </c:pt>
              </c:strCache>
            </c:strRef>
          </c:tx>
          <c:spPr>
            <a:solidFill>
              <a:schemeClr val="tx1"/>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Summary!$W$12:$W$23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7E1A-4A33-989F-5B1A9C194901}"/>
            </c:ext>
          </c:extLst>
        </c:ser>
        <c:ser>
          <c:idx val="4"/>
          <c:order val="3"/>
          <c:tx>
            <c:strRef>
              <c:f>Summary!$X$10</c:f>
              <c:strCache>
                <c:ptCount val="1"/>
                <c:pt idx="0">
                  <c:v>Petrol</c:v>
                </c:pt>
              </c:strCache>
            </c:strRef>
          </c:tx>
          <c:spPr>
            <a:solidFill>
              <a:srgbClr val="F7980D"/>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Summary!$X$12:$X$23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7E1A-4A33-989F-5B1A9C194901}"/>
            </c:ext>
          </c:extLst>
        </c:ser>
        <c:ser>
          <c:idx val="5"/>
          <c:order val="4"/>
          <c:tx>
            <c:strRef>
              <c:f>Summary!$Y$10</c:f>
              <c:strCache>
                <c:ptCount val="1"/>
                <c:pt idx="0">
                  <c:v>Diesel</c:v>
                </c:pt>
              </c:strCache>
            </c:strRef>
          </c:tx>
          <c:spPr>
            <a:solidFill>
              <a:srgbClr val="81EAFF"/>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Summary!$Y$12:$Y$23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7E1A-4A33-989F-5B1A9C194901}"/>
            </c:ext>
          </c:extLst>
        </c:ser>
        <c:ser>
          <c:idx val="1"/>
          <c:order val="5"/>
          <c:tx>
            <c:strRef>
              <c:f>Summary!$Z$10</c:f>
              <c:strCache>
                <c:ptCount val="1"/>
                <c:pt idx="0">
                  <c:v>LPG</c:v>
                </c:pt>
              </c:strCache>
            </c:strRef>
          </c:tx>
          <c:spPr>
            <a:solidFill>
              <a:srgbClr val="7030A0"/>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Summary!$Z$12:$Z$23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7E1A-4A33-989F-5B1A9C194901}"/>
            </c:ext>
          </c:extLst>
        </c:ser>
        <c:ser>
          <c:idx val="9"/>
          <c:order val="6"/>
          <c:tx>
            <c:strRef>
              <c:f>Summary!$AA$10</c:f>
              <c:strCache>
                <c:ptCount val="1"/>
                <c:pt idx="0">
                  <c:v>Road</c:v>
                </c:pt>
              </c:strCache>
            </c:strRef>
          </c:tx>
          <c:spPr>
            <a:solidFill>
              <a:srgbClr val="FEE690"/>
            </a:solidFill>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Summary!$AA$12:$AA$23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7E1A-4A33-989F-5B1A9C194901}"/>
            </c:ext>
          </c:extLst>
        </c:ser>
        <c:ser>
          <c:idx val="7"/>
          <c:order val="7"/>
          <c:tx>
            <c:strRef>
              <c:f>Summary!$AC$10</c:f>
              <c:strCache>
                <c:ptCount val="1"/>
                <c:pt idx="0">
                  <c:v>Flights</c:v>
                </c:pt>
              </c:strCache>
            </c:strRef>
          </c:tx>
          <c:spPr>
            <a:solidFill>
              <a:srgbClr val="D4F983"/>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Summary!$AC$12:$AC$23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7E1A-4A33-989F-5B1A9C194901}"/>
            </c:ext>
          </c:extLst>
        </c:ser>
        <c:ser>
          <c:idx val="10"/>
          <c:order val="8"/>
          <c:tx>
            <c:strRef>
              <c:f>Summary!$AB$10</c:f>
              <c:strCache>
                <c:ptCount val="1"/>
                <c:pt idx="0">
                  <c:v>Ferry</c:v>
                </c:pt>
              </c:strCache>
            </c:strRef>
          </c:tx>
          <c:spPr>
            <a:solidFill>
              <a:srgbClr val="BDF4FF"/>
            </a:solidFill>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Summary!$AB$12:$AB$23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7E1A-4A33-989F-5B1A9C194901}"/>
            </c:ext>
          </c:extLst>
        </c:ser>
        <c:ser>
          <c:idx val="6"/>
          <c:order val="9"/>
          <c:tx>
            <c:v>Waste</c:v>
          </c:tx>
          <c:spPr>
            <a:solidFill>
              <a:schemeClr val="bg1">
                <a:lumMod val="75000"/>
              </a:schemeClr>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Summary!$AD$12:$AD$23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7E1A-4A33-989F-5B1A9C194901}"/>
            </c:ext>
          </c:extLst>
        </c:ser>
        <c:ser>
          <c:idx val="8"/>
          <c:order val="10"/>
          <c:tx>
            <c:v>Refrigerant losses</c:v>
          </c:tx>
          <c:spPr>
            <a:solidFill>
              <a:srgbClr val="FF9797"/>
            </a:solidFill>
            <a:ln w="12700">
              <a:noFill/>
              <a:prstDash val="solid"/>
            </a:ln>
          </c:spPr>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Summary!$AF$12:$AF$23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7E1A-4A33-989F-5B1A9C194901}"/>
            </c:ext>
          </c:extLst>
        </c:ser>
        <c:ser>
          <c:idx val="11"/>
          <c:order val="11"/>
          <c:tx>
            <c:strRef>
              <c:f>Summary!$AE$10</c:f>
              <c:strCache>
                <c:ptCount val="1"/>
                <c:pt idx="0">
                  <c:v>Working from Home</c:v>
                </c:pt>
              </c:strCache>
            </c:strRef>
          </c:tx>
          <c:invertIfNegative val="0"/>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Summary!$AE$12:$AE$23</c:f>
              <c:numCache>
                <c:formatCode>0.000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4F1C-4D7E-AD10-154FF578699E}"/>
            </c:ext>
          </c:extLst>
        </c:ser>
        <c:dLbls>
          <c:showLegendKey val="0"/>
          <c:showVal val="0"/>
          <c:showCatName val="0"/>
          <c:showSerName val="0"/>
          <c:showPercent val="0"/>
          <c:showBubbleSize val="0"/>
        </c:dLbls>
        <c:gapWidth val="30"/>
        <c:overlap val="100"/>
        <c:axId val="97559680"/>
        <c:axId val="97561216"/>
      </c:barChart>
      <c:catAx>
        <c:axId val="97559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175" b="0" i="0" u="none" strike="noStrike" baseline="0">
                <a:solidFill>
                  <a:srgbClr val="000000"/>
                </a:solidFill>
                <a:latin typeface="Arial"/>
                <a:ea typeface="Arial"/>
                <a:cs typeface="Arial"/>
              </a:defRPr>
            </a:pPr>
            <a:endParaRPr lang="en-US"/>
          </a:p>
        </c:txPr>
        <c:crossAx val="97561216"/>
        <c:crosses val="autoZero"/>
        <c:auto val="1"/>
        <c:lblAlgn val="ctr"/>
        <c:lblOffset val="100"/>
        <c:tickLblSkip val="1"/>
        <c:tickMarkSkip val="1"/>
        <c:noMultiLvlLbl val="0"/>
      </c:catAx>
      <c:valAx>
        <c:axId val="97561216"/>
        <c:scaling>
          <c:orientation val="minMax"/>
        </c:scaling>
        <c:delete val="0"/>
        <c:axPos val="l"/>
        <c:majorGridlines>
          <c:spPr>
            <a:ln w="3175">
              <a:solidFill>
                <a:srgbClr val="C0C0C0"/>
              </a:solidFill>
              <a:prstDash val="solid"/>
            </a:ln>
          </c:spPr>
        </c:majorGridlines>
        <c:title>
          <c:tx>
            <c:rich>
              <a:bodyPr/>
              <a:lstStyle/>
              <a:p>
                <a:pPr>
                  <a:defRPr sz="1175" b="0" i="0" u="none" strike="noStrike" baseline="0">
                    <a:solidFill>
                      <a:srgbClr val="000000"/>
                    </a:solidFill>
                    <a:latin typeface="Arial"/>
                    <a:ea typeface="Arial"/>
                    <a:cs typeface="Arial"/>
                  </a:defRPr>
                </a:pPr>
                <a:r>
                  <a:rPr lang="en-GB"/>
                  <a:t>t CO2e</a:t>
                </a:r>
              </a:p>
            </c:rich>
          </c:tx>
          <c:layout>
            <c:manualLayout>
              <c:xMode val="edge"/>
              <c:yMode val="edge"/>
              <c:x val="1.9151846785225718E-2"/>
              <c:y val="0.40388811492655208"/>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en-US"/>
          </a:p>
        </c:txPr>
        <c:crossAx val="97559680"/>
        <c:crosses val="autoZero"/>
        <c:crossBetween val="between"/>
      </c:valAx>
      <c:spPr>
        <a:noFill/>
        <a:ln w="25400">
          <a:noFill/>
        </a:ln>
      </c:spPr>
    </c:plotArea>
    <c:legend>
      <c:legendPos val="t"/>
      <c:layout>
        <c:manualLayout>
          <c:xMode val="edge"/>
          <c:yMode val="edge"/>
          <c:x val="1.4153617519370785E-2"/>
          <c:y val="0.11630733900007587"/>
          <c:w val="0.97567559006684523"/>
          <c:h val="4.4766024225004176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GB" sz="1400"/>
              <a:t>Cumulative emissions</a:t>
            </a:r>
          </a:p>
        </c:rich>
      </c:tx>
      <c:layout>
        <c:manualLayout>
          <c:xMode val="edge"/>
          <c:yMode val="edge"/>
          <c:x val="0.39412673879443588"/>
          <c:y val="1.1990435753980615E-2"/>
        </c:manualLayout>
      </c:layout>
      <c:overlay val="0"/>
      <c:spPr>
        <a:noFill/>
        <a:ln w="25400">
          <a:noFill/>
        </a:ln>
      </c:spPr>
    </c:title>
    <c:autoTitleDeleted val="0"/>
    <c:plotArea>
      <c:layout>
        <c:manualLayout>
          <c:layoutTarget val="inner"/>
          <c:xMode val="edge"/>
          <c:yMode val="edge"/>
          <c:x val="0.10664605873261206"/>
          <c:y val="0.14388522904776738"/>
          <c:w val="0.87017001545595052"/>
          <c:h val="0.59472561339743846"/>
        </c:manualLayout>
      </c:layout>
      <c:lineChart>
        <c:grouping val="standard"/>
        <c:varyColors val="0"/>
        <c:ser>
          <c:idx val="0"/>
          <c:order val="0"/>
          <c:spPr>
            <a:ln w="12700">
              <a:solidFill>
                <a:srgbClr val="000080"/>
              </a:solidFill>
              <a:prstDash val="solid"/>
            </a:ln>
          </c:spPr>
          <c:marker>
            <c:symbol val="none"/>
          </c:marker>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Summary!$X$31:$X$42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467-4EBF-8126-8A98DF114BDC}"/>
            </c:ext>
          </c:extLst>
        </c:ser>
        <c:ser>
          <c:idx val="1"/>
          <c:order val="1"/>
          <c:spPr>
            <a:ln w="25400">
              <a:solidFill>
                <a:srgbClr val="FCCA13"/>
              </a:solidFill>
              <a:prstDash val="solid"/>
            </a:ln>
          </c:spPr>
          <c:marker>
            <c:symbol val="none"/>
          </c:marker>
          <c:dLbls>
            <c:numFmt formatCode="0.00" sourceLinked="0"/>
            <c:spPr>
              <a:noFill/>
              <a:ln w="25400">
                <a:noFill/>
              </a:ln>
            </c:spPr>
            <c:txPr>
              <a:bodyPr/>
              <a:lstStyle/>
              <a:p>
                <a:pPr>
                  <a:defRPr sz="95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Summary!$D$12:$D$23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Summary!$X$31:$X$42</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B467-4EBF-8126-8A98DF114BDC}"/>
            </c:ext>
          </c:extLst>
        </c:ser>
        <c:dLbls>
          <c:showLegendKey val="0"/>
          <c:showVal val="0"/>
          <c:showCatName val="0"/>
          <c:showSerName val="0"/>
          <c:showPercent val="0"/>
          <c:showBubbleSize val="0"/>
        </c:dLbls>
        <c:smooth val="0"/>
        <c:axId val="97580160"/>
        <c:axId val="97581696"/>
      </c:lineChart>
      <c:catAx>
        <c:axId val="9758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200" b="0" i="0" u="none" strike="noStrike" baseline="0">
                <a:solidFill>
                  <a:srgbClr val="000000"/>
                </a:solidFill>
                <a:latin typeface="Arial"/>
                <a:ea typeface="Arial"/>
                <a:cs typeface="Arial"/>
              </a:defRPr>
            </a:pPr>
            <a:endParaRPr lang="en-US"/>
          </a:p>
        </c:txPr>
        <c:crossAx val="97581696"/>
        <c:crosses val="autoZero"/>
        <c:auto val="1"/>
        <c:lblAlgn val="ctr"/>
        <c:lblOffset val="100"/>
        <c:tickLblSkip val="1"/>
        <c:tickMarkSkip val="1"/>
        <c:noMultiLvlLbl val="0"/>
      </c:catAx>
      <c:valAx>
        <c:axId val="97581696"/>
        <c:scaling>
          <c:orientation val="minMax"/>
        </c:scaling>
        <c:delete val="0"/>
        <c:axPos val="l"/>
        <c:majorGridlines>
          <c:spPr>
            <a:ln w="3175">
              <a:solidFill>
                <a:srgbClr val="C0C0C0"/>
              </a:solidFill>
              <a:prstDash val="solid"/>
            </a:ln>
          </c:spPr>
        </c:majorGridlines>
        <c:title>
          <c:tx>
            <c:rich>
              <a:bodyPr/>
              <a:lstStyle/>
              <a:p>
                <a:pPr>
                  <a:defRPr sz="1200" b="0" i="0" u="none" strike="noStrike" baseline="0">
                    <a:solidFill>
                      <a:srgbClr val="000000"/>
                    </a:solidFill>
                    <a:latin typeface="Arial"/>
                    <a:ea typeface="Arial"/>
                    <a:cs typeface="Arial"/>
                  </a:defRPr>
                </a:pPr>
                <a:r>
                  <a:rPr lang="en-GB"/>
                  <a:t>t CO2e</a:t>
                </a:r>
              </a:p>
            </c:rich>
          </c:tx>
          <c:layout>
            <c:manualLayout>
              <c:xMode val="edge"/>
              <c:yMode val="edge"/>
              <c:x val="2.7820710973724884E-2"/>
              <c:y val="0.37410159552419514"/>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97580160"/>
        <c:crosses val="autoZero"/>
        <c:crossBetween val="between"/>
      </c:valAx>
      <c:spPr>
        <a:noFill/>
        <a:ln w="25400">
          <a:no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2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620853080568724E-2"/>
          <c:y val="7.2013093289689037E-2"/>
          <c:w val="0.84834123222748814"/>
          <c:h val="0.646481178396072"/>
        </c:manualLayout>
      </c:layout>
      <c:barChart>
        <c:barDir val="col"/>
        <c:grouping val="stacked"/>
        <c:varyColors val="0"/>
        <c:ser>
          <c:idx val="0"/>
          <c:order val="0"/>
          <c:tx>
            <c:strRef>
              <c:f>'Energy graph'!$F$11</c:f>
              <c:strCache>
                <c:ptCount val="1"/>
                <c:pt idx="0">
                  <c:v>electricity</c:v>
                </c:pt>
              </c:strCache>
            </c:strRef>
          </c:tx>
          <c:spPr>
            <a:solidFill>
              <a:srgbClr val="9999FF"/>
            </a:solidFill>
            <a:ln w="38100">
              <a:solidFill>
                <a:srgbClr val="000080"/>
              </a:solidFill>
              <a:prstDash val="solid"/>
            </a:ln>
          </c:spPr>
          <c:invertIfNegative val="0"/>
          <c:cat>
            <c:strRef>
              <c:f>'Energy graph'!$E$12:$E$23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'Energy graph'!$F$12:$F$23</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DE0B-438D-9954-44B895D6AB51}"/>
            </c:ext>
          </c:extLst>
        </c:ser>
        <c:ser>
          <c:idx val="1"/>
          <c:order val="1"/>
          <c:tx>
            <c:strRef>
              <c:f>'Energy graph'!$G$11</c:f>
              <c:strCache>
                <c:ptCount val="1"/>
                <c:pt idx="0">
                  <c:v>gas</c:v>
                </c:pt>
              </c:strCache>
            </c:strRef>
          </c:tx>
          <c:spPr>
            <a:solidFill>
              <a:srgbClr val="993366"/>
            </a:solidFill>
            <a:ln w="38100">
              <a:solidFill>
                <a:srgbClr val="FF00FF"/>
              </a:solidFill>
              <a:prstDash val="solid"/>
            </a:ln>
          </c:spPr>
          <c:invertIfNegative val="0"/>
          <c:cat>
            <c:strRef>
              <c:f>'Energy graph'!$E$12:$E$23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'Energy graph'!$G$12:$G$23</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DE0B-438D-9954-44B895D6AB51}"/>
            </c:ext>
          </c:extLst>
        </c:ser>
        <c:ser>
          <c:idx val="2"/>
          <c:order val="2"/>
          <c:tx>
            <c:strRef>
              <c:f>'Energy graph'!$H$11</c:f>
              <c:strCache>
                <c:ptCount val="1"/>
                <c:pt idx="0">
                  <c:v>coal</c:v>
                </c:pt>
              </c:strCache>
            </c:strRef>
          </c:tx>
          <c:spPr>
            <a:solidFill>
              <a:srgbClr val="FFFFCC"/>
            </a:solidFill>
            <a:ln w="38100">
              <a:solidFill>
                <a:srgbClr val="00FF00"/>
              </a:solidFill>
              <a:prstDash val="solid"/>
            </a:ln>
          </c:spPr>
          <c:invertIfNegative val="0"/>
          <c:cat>
            <c:strRef>
              <c:f>'Energy graph'!$E$12:$E$23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'Energy graph'!$H$12:$H$23</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DE0B-438D-9954-44B895D6AB51}"/>
            </c:ext>
          </c:extLst>
        </c:ser>
        <c:ser>
          <c:idx val="3"/>
          <c:order val="3"/>
          <c:tx>
            <c:strRef>
              <c:f>'Energy graph'!$I$11</c:f>
              <c:strCache>
                <c:ptCount val="1"/>
                <c:pt idx="0">
                  <c:v>petrol</c:v>
                </c:pt>
              </c:strCache>
            </c:strRef>
          </c:tx>
          <c:spPr>
            <a:solidFill>
              <a:srgbClr val="CCFFFF"/>
            </a:solidFill>
            <a:ln w="38100">
              <a:solidFill>
                <a:srgbClr val="00FFFF"/>
              </a:solidFill>
              <a:prstDash val="solid"/>
            </a:ln>
          </c:spPr>
          <c:invertIfNegative val="0"/>
          <c:cat>
            <c:strRef>
              <c:f>'Energy graph'!$E$12:$E$23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'Energy graph'!$I$12:$I$23</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DE0B-438D-9954-44B895D6AB51}"/>
            </c:ext>
          </c:extLst>
        </c:ser>
        <c:ser>
          <c:idx val="4"/>
          <c:order val="4"/>
          <c:tx>
            <c:strRef>
              <c:f>'Energy graph'!$J$11</c:f>
              <c:strCache>
                <c:ptCount val="1"/>
                <c:pt idx="0">
                  <c:v>diesel</c:v>
                </c:pt>
              </c:strCache>
            </c:strRef>
          </c:tx>
          <c:spPr>
            <a:solidFill>
              <a:srgbClr val="660066"/>
            </a:solidFill>
            <a:ln w="38100">
              <a:solidFill>
                <a:srgbClr val="800080"/>
              </a:solidFill>
              <a:prstDash val="solid"/>
            </a:ln>
          </c:spPr>
          <c:invertIfNegative val="0"/>
          <c:cat>
            <c:strRef>
              <c:f>'Energy graph'!$E$12:$E$23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'Energy graph'!$J$12:$J$23</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DE0B-438D-9954-44B895D6AB51}"/>
            </c:ext>
          </c:extLst>
        </c:ser>
        <c:dLbls>
          <c:showLegendKey val="0"/>
          <c:showVal val="0"/>
          <c:showCatName val="0"/>
          <c:showSerName val="0"/>
          <c:showPercent val="0"/>
          <c:showBubbleSize val="0"/>
        </c:dLbls>
        <c:gapWidth val="150"/>
        <c:overlap val="100"/>
        <c:axId val="100931072"/>
        <c:axId val="100932608"/>
      </c:barChart>
      <c:lineChart>
        <c:grouping val="standard"/>
        <c:varyColors val="0"/>
        <c:ser>
          <c:idx val="5"/>
          <c:order val="5"/>
          <c:tx>
            <c:strRef>
              <c:f>'Energy graph'!$K$11</c:f>
              <c:strCache>
                <c:ptCount val="1"/>
                <c:pt idx="0">
                  <c:v>Total</c:v>
                </c:pt>
              </c:strCache>
            </c:strRef>
          </c:tx>
          <c:spPr>
            <a:ln w="38100">
              <a:solidFill>
                <a:srgbClr val="FFCC00"/>
              </a:solidFill>
              <a:prstDash val="solid"/>
            </a:ln>
          </c:spPr>
          <c:marker>
            <c:symbol val="none"/>
          </c:marker>
          <c:cat>
            <c:strRef>
              <c:f>'Energy graph'!$E$12:$E$23</c:f>
              <c:strCache>
                <c:ptCount val="12"/>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strCache>
            </c:strRef>
          </c:cat>
          <c:val>
            <c:numRef>
              <c:f>'Energy graph'!$L$12:$L$23</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E0B-438D-9954-44B895D6AB51}"/>
            </c:ext>
          </c:extLst>
        </c:ser>
        <c:dLbls>
          <c:showLegendKey val="0"/>
          <c:showVal val="0"/>
          <c:showCatName val="0"/>
          <c:showSerName val="0"/>
          <c:showPercent val="0"/>
          <c:showBubbleSize val="0"/>
        </c:dLbls>
        <c:marker val="1"/>
        <c:smooth val="0"/>
        <c:axId val="100955264"/>
        <c:axId val="100956800"/>
      </c:lineChart>
      <c:catAx>
        <c:axId val="100931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675" b="0" i="0" u="none" strike="noStrike" baseline="0">
                <a:solidFill>
                  <a:srgbClr val="000000"/>
                </a:solidFill>
                <a:latin typeface="Arial"/>
                <a:ea typeface="Arial"/>
                <a:cs typeface="Arial"/>
              </a:defRPr>
            </a:pPr>
            <a:endParaRPr lang="en-US"/>
          </a:p>
        </c:txPr>
        <c:crossAx val="100932608"/>
        <c:crosses val="autoZero"/>
        <c:auto val="1"/>
        <c:lblAlgn val="ctr"/>
        <c:lblOffset val="100"/>
        <c:tickLblSkip val="1"/>
        <c:tickMarkSkip val="1"/>
        <c:noMultiLvlLbl val="0"/>
      </c:catAx>
      <c:valAx>
        <c:axId val="100932608"/>
        <c:scaling>
          <c:orientation val="minMax"/>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GB"/>
                  <a:t>GJ/month</a:t>
                </a:r>
              </a:p>
            </c:rich>
          </c:tx>
          <c:layout>
            <c:manualLayout>
              <c:xMode val="edge"/>
              <c:yMode val="edge"/>
              <c:x val="1.3270142180094787E-2"/>
              <c:y val="0.3076923076923077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00931072"/>
        <c:crosses val="autoZero"/>
        <c:crossBetween val="between"/>
      </c:valAx>
      <c:catAx>
        <c:axId val="100955264"/>
        <c:scaling>
          <c:orientation val="minMax"/>
        </c:scaling>
        <c:delete val="1"/>
        <c:axPos val="b"/>
        <c:numFmt formatCode="General" sourceLinked="1"/>
        <c:majorTickMark val="out"/>
        <c:minorTickMark val="none"/>
        <c:tickLblPos val="nextTo"/>
        <c:crossAx val="100956800"/>
        <c:crosses val="autoZero"/>
        <c:auto val="1"/>
        <c:lblAlgn val="ctr"/>
        <c:lblOffset val="100"/>
        <c:noMultiLvlLbl val="0"/>
      </c:catAx>
      <c:valAx>
        <c:axId val="100956800"/>
        <c:scaling>
          <c:orientation val="minMax"/>
        </c:scaling>
        <c:delete val="0"/>
        <c:axPos val="r"/>
        <c:title>
          <c:tx>
            <c:rich>
              <a:bodyPr rot="5400000" vert="horz"/>
              <a:lstStyle/>
              <a:p>
                <a:pPr algn="ctr">
                  <a:defRPr sz="1450" b="1" i="0" u="none" strike="noStrike" baseline="0">
                    <a:solidFill>
                      <a:srgbClr val="000000"/>
                    </a:solidFill>
                    <a:latin typeface="Arial"/>
                    <a:ea typeface="Arial"/>
                    <a:cs typeface="Arial"/>
                  </a:defRPr>
                </a:pPr>
                <a:r>
                  <a:rPr lang="en-GB"/>
                  <a:t>Cummulative GJ</a:t>
                </a:r>
              </a:p>
            </c:rich>
          </c:tx>
          <c:layout>
            <c:manualLayout>
              <c:xMode val="edge"/>
              <c:yMode val="edge"/>
              <c:x val="0.95829383886255926"/>
              <c:y val="0.26513911620294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00955264"/>
        <c:crosses val="max"/>
        <c:crossBetween val="between"/>
      </c:valAx>
      <c:spPr>
        <a:noFill/>
        <a:ln w="12700">
          <a:solidFill>
            <a:srgbClr val="CCCCFF"/>
          </a:solidFill>
          <a:prstDash val="solid"/>
        </a:ln>
      </c:spPr>
    </c:plotArea>
    <c:legend>
      <c:legendPos val="b"/>
      <c:layout>
        <c:manualLayout>
          <c:xMode val="edge"/>
          <c:yMode val="edge"/>
          <c:x val="2.843601895734597E-2"/>
          <c:y val="0.9345335515548282"/>
          <c:w val="0.90142180094786728"/>
          <c:h val="5.5646481178396073E-2"/>
        </c:manualLayout>
      </c:layout>
      <c:overlay val="0"/>
      <c:spPr>
        <a:solidFill>
          <a:srgbClr val="FFFFFF"/>
        </a:solidFill>
        <a:ln w="3175">
          <a:solidFill>
            <a:srgbClr val="000000"/>
          </a:solidFill>
          <a:prstDash val="solid"/>
        </a:ln>
      </c:spPr>
      <c:txPr>
        <a:bodyPr/>
        <a:lstStyle/>
        <a:p>
          <a:pPr>
            <a:defRPr sz="151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00" verticalDpi="30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Wayne's%20HDD:Users:Wayne:Documents:%20%20JOB%20NO'S:%20Catalyst:B1068%20Catalyst%20rebrand:Links%20(generic):Catalyst%20LH_pg1_logo.jpg" TargetMode="External"/><Relationship Id="rId1" Type="http://schemas.openxmlformats.org/officeDocument/2006/relationships/image" Target="../media/image5.png"/></Relationships>
</file>

<file path=xl/drawings/_rels/drawing21.xml.rels><?xml version="1.0" encoding="UTF-8" standalone="yes"?>
<Relationships xmlns="http://schemas.openxmlformats.org/package/2006/relationships"><Relationship Id="rId3" Type="http://schemas.openxmlformats.org/officeDocument/2006/relationships/image" Target="Wayne's%20HDD:Users:Wayne:Documents:%20%20JOB%20NO'S:%20Catalyst:B1068%20Catalyst%20rebrand:Links%20(generic):Catalyst%20LH_pg1_logo.jpg" TargetMode="External"/><Relationship Id="rId2" Type="http://schemas.openxmlformats.org/officeDocument/2006/relationships/image" Target="../media/image5.png"/><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60960</xdr:colOff>
      <xdr:row>1</xdr:row>
      <xdr:rowOff>121920</xdr:rowOff>
    </xdr:from>
    <xdr:to>
      <xdr:col>5</xdr:col>
      <xdr:colOff>452638</xdr:colOff>
      <xdr:row>2</xdr:row>
      <xdr:rowOff>10160</xdr:rowOff>
    </xdr:to>
    <xdr:pic>
      <xdr:nvPicPr>
        <xdr:cNvPr id="4" name="Picture 3" descr="Tadpole - Sustainability strategy &amp; engagement underpinned by science">
          <a:extLst>
            <a:ext uri="{FF2B5EF4-FFF2-40B4-BE49-F238E27FC236}">
              <a16:creationId xmlns:a16="http://schemas.microsoft.com/office/drawing/2014/main" id="{D79A9EF6-55B9-12DA-0EE7-73E919FBCE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0" y="26416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9</xdr:col>
      <xdr:colOff>650240</xdr:colOff>
      <xdr:row>2</xdr:row>
      <xdr:rowOff>10160</xdr:rowOff>
    </xdr:from>
    <xdr:to>
      <xdr:col>12</xdr:col>
      <xdr:colOff>310398</xdr:colOff>
      <xdr:row>6</xdr:row>
      <xdr:rowOff>101600</xdr:rowOff>
    </xdr:to>
    <xdr:pic>
      <xdr:nvPicPr>
        <xdr:cNvPr id="3" name="Picture 2" descr="Tadpole - Sustainability strategy &amp; engagement underpinned by science">
          <a:extLst>
            <a:ext uri="{FF2B5EF4-FFF2-40B4-BE49-F238E27FC236}">
              <a16:creationId xmlns:a16="http://schemas.microsoft.com/office/drawing/2014/main" id="{A20A7483-FD5B-4B1B-BAD6-A1B358459E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79280" y="35560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9</xdr:col>
      <xdr:colOff>640080</xdr:colOff>
      <xdr:row>2</xdr:row>
      <xdr:rowOff>71120</xdr:rowOff>
    </xdr:from>
    <xdr:to>
      <xdr:col>12</xdr:col>
      <xdr:colOff>300238</xdr:colOff>
      <xdr:row>6</xdr:row>
      <xdr:rowOff>162560</xdr:rowOff>
    </xdr:to>
    <xdr:pic>
      <xdr:nvPicPr>
        <xdr:cNvPr id="3" name="Picture 2" descr="Tadpole - Sustainability strategy &amp; engagement underpinned by science">
          <a:extLst>
            <a:ext uri="{FF2B5EF4-FFF2-40B4-BE49-F238E27FC236}">
              <a16:creationId xmlns:a16="http://schemas.microsoft.com/office/drawing/2014/main" id="{4AC26C11-B9A5-4906-B94A-4984FDC05D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9120" y="41656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10</xdr:col>
      <xdr:colOff>30480</xdr:colOff>
      <xdr:row>2</xdr:row>
      <xdr:rowOff>111760</xdr:rowOff>
    </xdr:from>
    <xdr:to>
      <xdr:col>12</xdr:col>
      <xdr:colOff>351038</xdr:colOff>
      <xdr:row>7</xdr:row>
      <xdr:rowOff>10160</xdr:rowOff>
    </xdr:to>
    <xdr:pic>
      <xdr:nvPicPr>
        <xdr:cNvPr id="3" name="Picture 2" descr="Tadpole - Sustainability strategy &amp; engagement underpinned by science">
          <a:extLst>
            <a:ext uri="{FF2B5EF4-FFF2-40B4-BE49-F238E27FC236}">
              <a16:creationId xmlns:a16="http://schemas.microsoft.com/office/drawing/2014/main" id="{B3AB0EEC-994F-4218-A2A9-81F2260B6B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19920" y="45720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629920</xdr:colOff>
      <xdr:row>2</xdr:row>
      <xdr:rowOff>0</xdr:rowOff>
    </xdr:from>
    <xdr:to>
      <xdr:col>12</xdr:col>
      <xdr:colOff>290078</xdr:colOff>
      <xdr:row>6</xdr:row>
      <xdr:rowOff>91440</xdr:rowOff>
    </xdr:to>
    <xdr:pic>
      <xdr:nvPicPr>
        <xdr:cNvPr id="3" name="Picture 2" descr="Tadpole - Sustainability strategy &amp; engagement underpinned by science">
          <a:extLst>
            <a:ext uri="{FF2B5EF4-FFF2-40B4-BE49-F238E27FC236}">
              <a16:creationId xmlns:a16="http://schemas.microsoft.com/office/drawing/2014/main" id="{49524A54-8DC1-49CE-BE5E-062D3D6CB1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58960" y="34544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95250</xdr:colOff>
      <xdr:row>28</xdr:row>
      <xdr:rowOff>68034</xdr:rowOff>
    </xdr:from>
    <xdr:to>
      <xdr:col>32</xdr:col>
      <xdr:colOff>721180</xdr:colOff>
      <xdr:row>55</xdr:row>
      <xdr:rowOff>78465</xdr:rowOff>
    </xdr:to>
    <xdr:graphicFrame macro="">
      <xdr:nvGraphicFramePr>
        <xdr:cNvPr id="1025" name="Chart 1">
          <a:extLst>
            <a:ext uri="{FF2B5EF4-FFF2-40B4-BE49-F238E27FC236}">
              <a16:creationId xmlns:a16="http://schemas.microsoft.com/office/drawing/2014/main" id="{00000000-0008-0000-0D00-00000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620033</xdr:colOff>
      <xdr:row>28</xdr:row>
      <xdr:rowOff>115207</xdr:rowOff>
    </xdr:from>
    <xdr:to>
      <xdr:col>17</xdr:col>
      <xdr:colOff>344714</xdr:colOff>
      <xdr:row>54</xdr:row>
      <xdr:rowOff>45357</xdr:rowOff>
    </xdr:to>
    <xdr:graphicFrame macro="">
      <xdr:nvGraphicFramePr>
        <xdr:cNvPr id="1026" name="Chart 2">
          <a:extLst>
            <a:ext uri="{FF2B5EF4-FFF2-40B4-BE49-F238E27FC236}">
              <a16:creationId xmlns:a16="http://schemas.microsoft.com/office/drawing/2014/main" id="{00000000-0008-0000-0D00-000002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239486</xdr:colOff>
      <xdr:row>2</xdr:row>
      <xdr:rowOff>32658</xdr:rowOff>
    </xdr:from>
    <xdr:to>
      <xdr:col>31</xdr:col>
      <xdr:colOff>356844</xdr:colOff>
      <xdr:row>5</xdr:row>
      <xdr:rowOff>154578</xdr:rowOff>
    </xdr:to>
    <xdr:pic>
      <xdr:nvPicPr>
        <xdr:cNvPr id="6" name="Picture 5" descr="Tadpole - Sustainability strategy &amp; engagement underpinned by science">
          <a:extLst>
            <a:ext uri="{FF2B5EF4-FFF2-40B4-BE49-F238E27FC236}">
              <a16:creationId xmlns:a16="http://schemas.microsoft.com/office/drawing/2014/main" id="{16D1231A-9B0E-4876-A530-19B73555D01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82657" y="359229"/>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914400</xdr:colOff>
      <xdr:row>1</xdr:row>
      <xdr:rowOff>81280</xdr:rowOff>
    </xdr:from>
    <xdr:to>
      <xdr:col>2</xdr:col>
      <xdr:colOff>411998</xdr:colOff>
      <xdr:row>2</xdr:row>
      <xdr:rowOff>10160</xdr:rowOff>
    </xdr:to>
    <xdr:pic>
      <xdr:nvPicPr>
        <xdr:cNvPr id="3" name="Picture 2" descr="Tadpole - Sustainability strategy &amp; engagement underpinned by science">
          <a:extLst>
            <a:ext uri="{FF2B5EF4-FFF2-40B4-BE49-F238E27FC236}">
              <a16:creationId xmlns:a16="http://schemas.microsoft.com/office/drawing/2014/main" id="{AF7655EC-EDF2-41D6-90CE-55187300A5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400" y="25400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101600</xdr:colOff>
      <xdr:row>1</xdr:row>
      <xdr:rowOff>139700</xdr:rowOff>
    </xdr:from>
    <xdr:to>
      <xdr:col>2</xdr:col>
      <xdr:colOff>57277</xdr:colOff>
      <xdr:row>2</xdr:row>
      <xdr:rowOff>63500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1200" y="301625"/>
          <a:ext cx="2232152" cy="85725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1</xdr:row>
      <xdr:rowOff>142240</xdr:rowOff>
    </xdr:from>
    <xdr:to>
      <xdr:col>2</xdr:col>
      <xdr:colOff>432318</xdr:colOff>
      <xdr:row>2</xdr:row>
      <xdr:rowOff>71120</xdr:rowOff>
    </xdr:to>
    <xdr:pic>
      <xdr:nvPicPr>
        <xdr:cNvPr id="3" name="Picture 2" descr="Tadpole - Sustainability strategy &amp; engagement underpinned by science">
          <a:extLst>
            <a:ext uri="{FF2B5EF4-FFF2-40B4-BE49-F238E27FC236}">
              <a16:creationId xmlns:a16="http://schemas.microsoft.com/office/drawing/2014/main" id="{00714650-4F62-4112-AF0C-BEEF46C554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4560" y="31496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579120</xdr:colOff>
      <xdr:row>1</xdr:row>
      <xdr:rowOff>152400</xdr:rowOff>
    </xdr:from>
    <xdr:to>
      <xdr:col>1</xdr:col>
      <xdr:colOff>1610878</xdr:colOff>
      <xdr:row>2</xdr:row>
      <xdr:rowOff>101600</xdr:rowOff>
    </xdr:to>
    <xdr:pic>
      <xdr:nvPicPr>
        <xdr:cNvPr id="3" name="Picture 2" descr="Tadpole - Sustainability strategy &amp; engagement underpinned by science">
          <a:extLst>
            <a:ext uri="{FF2B5EF4-FFF2-40B4-BE49-F238E27FC236}">
              <a16:creationId xmlns:a16="http://schemas.microsoft.com/office/drawing/2014/main" id="{DD39FD56-3497-41A5-A9BB-BA08D56CA7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9120" y="32512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203200</xdr:colOff>
      <xdr:row>1</xdr:row>
      <xdr:rowOff>132080</xdr:rowOff>
    </xdr:from>
    <xdr:to>
      <xdr:col>3</xdr:col>
      <xdr:colOff>97038</xdr:colOff>
      <xdr:row>5</xdr:row>
      <xdr:rowOff>233680</xdr:rowOff>
    </xdr:to>
    <xdr:pic>
      <xdr:nvPicPr>
        <xdr:cNvPr id="4" name="Picture 3" descr="Tadpole - Sustainability strategy &amp; engagement underpinned by science">
          <a:extLst>
            <a:ext uri="{FF2B5EF4-FFF2-40B4-BE49-F238E27FC236}">
              <a16:creationId xmlns:a16="http://schemas.microsoft.com/office/drawing/2014/main" id="{2AC8F2E0-CE27-47F5-A17C-94EA3C8321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2800" y="30480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111761</xdr:rowOff>
    </xdr:from>
    <xdr:to>
      <xdr:col>12</xdr:col>
      <xdr:colOff>348215</xdr:colOff>
      <xdr:row>6</xdr:row>
      <xdr:rowOff>46561</xdr:rowOff>
    </xdr:to>
    <xdr:pic>
      <xdr:nvPicPr>
        <xdr:cNvPr id="3" name="Picture 2" descr="Tadpole - Sustainability strategy &amp; engagement underpinned by science">
          <a:extLst>
            <a:ext uri="{FF2B5EF4-FFF2-40B4-BE49-F238E27FC236}">
              <a16:creationId xmlns:a16="http://schemas.microsoft.com/office/drawing/2014/main" id="{E84649FB-4C97-46A5-8712-67EB033BA1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89440" y="284481"/>
          <a:ext cx="1669015" cy="90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457200</xdr:colOff>
      <xdr:row>2</xdr:row>
      <xdr:rowOff>9525</xdr:rowOff>
    </xdr:from>
    <xdr:to>
      <xdr:col>17</xdr:col>
      <xdr:colOff>581025</xdr:colOff>
      <xdr:row>8</xdr:row>
      <xdr:rowOff>28575</xdr:rowOff>
    </xdr:to>
    <xdr:pic>
      <xdr:nvPicPr>
        <xdr:cNvPr id="20486" name="Picture 6" descr="Wayne's HDD:Users:Wayne:Documents:  JOB NO'S: Catalyst:B1068 Catalyst rebrand:Links (generic):Catalyst LH_pg1_logo.jpg">
          <a:extLst>
            <a:ext uri="{FF2B5EF4-FFF2-40B4-BE49-F238E27FC236}">
              <a16:creationId xmlns:a16="http://schemas.microsoft.com/office/drawing/2014/main" id="{00000000-0008-0000-1400-0000065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9172575" y="352425"/>
          <a:ext cx="25622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457200</xdr:colOff>
      <xdr:row>2</xdr:row>
      <xdr:rowOff>9525</xdr:rowOff>
    </xdr:from>
    <xdr:to>
      <xdr:col>17</xdr:col>
      <xdr:colOff>581025</xdr:colOff>
      <xdr:row>8</xdr:row>
      <xdr:rowOff>28575</xdr:rowOff>
    </xdr:to>
    <xdr:pic>
      <xdr:nvPicPr>
        <xdr:cNvPr id="20487" name="Picture 7" descr="Wayne's HDD:Users:Wayne:Documents:  JOB NO'S: Catalyst:B1068 Catalyst rebrand:Links (generic):Catalyst LH_pg1_logo.jpg">
          <a:extLst>
            <a:ext uri="{FF2B5EF4-FFF2-40B4-BE49-F238E27FC236}">
              <a16:creationId xmlns:a16="http://schemas.microsoft.com/office/drawing/2014/main" id="{00000000-0008-0000-1400-0000075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172575" y="352425"/>
          <a:ext cx="2562225" cy="107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3</xdr:col>
      <xdr:colOff>47625</xdr:colOff>
      <xdr:row>8</xdr:row>
      <xdr:rowOff>152400</xdr:rowOff>
    </xdr:from>
    <xdr:to>
      <xdr:col>19</xdr:col>
      <xdr:colOff>47625</xdr:colOff>
      <xdr:row>44</xdr:row>
      <xdr:rowOff>142875</xdr:rowOff>
    </xdr:to>
    <xdr:graphicFrame macro="">
      <xdr:nvGraphicFramePr>
        <xdr:cNvPr id="5121" name="Chart 1">
          <a:extLst>
            <a:ext uri="{FF2B5EF4-FFF2-40B4-BE49-F238E27FC236}">
              <a16:creationId xmlns:a16="http://schemas.microsoft.com/office/drawing/2014/main" id="{00000000-0008-0000-1500-000001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200025</xdr:colOff>
      <xdr:row>1</xdr:row>
      <xdr:rowOff>28575</xdr:rowOff>
    </xdr:from>
    <xdr:to>
      <xdr:col>19</xdr:col>
      <xdr:colOff>600075</xdr:colOff>
      <xdr:row>7</xdr:row>
      <xdr:rowOff>95250</xdr:rowOff>
    </xdr:to>
    <xdr:pic>
      <xdr:nvPicPr>
        <xdr:cNvPr id="5124" name="Picture 4" descr="Wayne's HDD:Users:Wayne:Documents:  JOB NO'S: Catalyst:B1068 Catalyst rebrand:Links (generic):Catalyst LH_pg1_logo.jpg">
          <a:extLst>
            <a:ext uri="{FF2B5EF4-FFF2-40B4-BE49-F238E27FC236}">
              <a16:creationId xmlns:a16="http://schemas.microsoft.com/office/drawing/2014/main" id="{00000000-0008-0000-1500-00000414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9772650" y="123825"/>
          <a:ext cx="287655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640080</xdr:colOff>
      <xdr:row>1</xdr:row>
      <xdr:rowOff>162560</xdr:rowOff>
    </xdr:from>
    <xdr:to>
      <xdr:col>12</xdr:col>
      <xdr:colOff>300238</xdr:colOff>
      <xdr:row>6</xdr:row>
      <xdr:rowOff>81280</xdr:rowOff>
    </xdr:to>
    <xdr:pic>
      <xdr:nvPicPr>
        <xdr:cNvPr id="3" name="Picture 2" descr="Tadpole - Sustainability strategy &amp; engagement underpinned by science">
          <a:extLst>
            <a:ext uri="{FF2B5EF4-FFF2-40B4-BE49-F238E27FC236}">
              <a16:creationId xmlns:a16="http://schemas.microsoft.com/office/drawing/2014/main" id="{46D1C58B-547A-4427-A52B-B19AC3E938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69120" y="33528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20320</xdr:colOff>
      <xdr:row>2</xdr:row>
      <xdr:rowOff>50800</xdr:rowOff>
    </xdr:from>
    <xdr:to>
      <xdr:col>12</xdr:col>
      <xdr:colOff>340878</xdr:colOff>
      <xdr:row>6</xdr:row>
      <xdr:rowOff>142240</xdr:rowOff>
    </xdr:to>
    <xdr:pic>
      <xdr:nvPicPr>
        <xdr:cNvPr id="3" name="Picture 2" descr="Tadpole - Sustainability strategy &amp; engagement underpinned by science">
          <a:extLst>
            <a:ext uri="{FF2B5EF4-FFF2-40B4-BE49-F238E27FC236}">
              <a16:creationId xmlns:a16="http://schemas.microsoft.com/office/drawing/2014/main" id="{4916422E-3F0C-477B-AC7F-6D9C41F820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09760" y="39624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650240</xdr:colOff>
      <xdr:row>2</xdr:row>
      <xdr:rowOff>121920</xdr:rowOff>
    </xdr:from>
    <xdr:to>
      <xdr:col>12</xdr:col>
      <xdr:colOff>310398</xdr:colOff>
      <xdr:row>7</xdr:row>
      <xdr:rowOff>20320</xdr:rowOff>
    </xdr:to>
    <xdr:pic>
      <xdr:nvPicPr>
        <xdr:cNvPr id="3" name="Picture 2" descr="Tadpole - Sustainability strategy &amp; engagement underpinned by science">
          <a:extLst>
            <a:ext uri="{FF2B5EF4-FFF2-40B4-BE49-F238E27FC236}">
              <a16:creationId xmlns:a16="http://schemas.microsoft.com/office/drawing/2014/main" id="{CC35CAC3-B602-4E31-853B-2EE5C33E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79280" y="46736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20320</xdr:colOff>
      <xdr:row>2</xdr:row>
      <xdr:rowOff>0</xdr:rowOff>
    </xdr:from>
    <xdr:to>
      <xdr:col>12</xdr:col>
      <xdr:colOff>340878</xdr:colOff>
      <xdr:row>6</xdr:row>
      <xdr:rowOff>91440</xdr:rowOff>
    </xdr:to>
    <xdr:pic>
      <xdr:nvPicPr>
        <xdr:cNvPr id="3" name="Picture 2" descr="Tadpole - Sustainability strategy &amp; engagement underpinned by science">
          <a:extLst>
            <a:ext uri="{FF2B5EF4-FFF2-40B4-BE49-F238E27FC236}">
              <a16:creationId xmlns:a16="http://schemas.microsoft.com/office/drawing/2014/main" id="{814664BC-C1D5-4FF6-8DC3-674F983898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09760" y="34544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10160</xdr:colOff>
      <xdr:row>2</xdr:row>
      <xdr:rowOff>20320</xdr:rowOff>
    </xdr:from>
    <xdr:to>
      <xdr:col>12</xdr:col>
      <xdr:colOff>330718</xdr:colOff>
      <xdr:row>6</xdr:row>
      <xdr:rowOff>111760</xdr:rowOff>
    </xdr:to>
    <xdr:pic>
      <xdr:nvPicPr>
        <xdr:cNvPr id="3" name="Picture 2" descr="Tadpole - Sustainability strategy &amp; engagement underpinned by science">
          <a:extLst>
            <a:ext uri="{FF2B5EF4-FFF2-40B4-BE49-F238E27FC236}">
              <a16:creationId xmlns:a16="http://schemas.microsoft.com/office/drawing/2014/main" id="{8BB9F9C5-6D20-4462-AF0B-22152A8A0E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99600" y="36576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0</xdr:colOff>
      <xdr:row>1</xdr:row>
      <xdr:rowOff>152400</xdr:rowOff>
    </xdr:from>
    <xdr:to>
      <xdr:col>12</xdr:col>
      <xdr:colOff>320558</xdr:colOff>
      <xdr:row>6</xdr:row>
      <xdr:rowOff>71120</xdr:rowOff>
    </xdr:to>
    <xdr:pic>
      <xdr:nvPicPr>
        <xdr:cNvPr id="3" name="Picture 2" descr="Tadpole - Sustainability strategy &amp; engagement underpinned by science">
          <a:extLst>
            <a:ext uri="{FF2B5EF4-FFF2-40B4-BE49-F238E27FC236}">
              <a16:creationId xmlns:a16="http://schemas.microsoft.com/office/drawing/2014/main" id="{A74D4703-3A42-4190-B2E3-2ADEF7F50C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89440" y="32512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9</xdr:col>
      <xdr:colOff>629920</xdr:colOff>
      <xdr:row>2</xdr:row>
      <xdr:rowOff>101600</xdr:rowOff>
    </xdr:from>
    <xdr:to>
      <xdr:col>12</xdr:col>
      <xdr:colOff>290078</xdr:colOff>
      <xdr:row>7</xdr:row>
      <xdr:rowOff>0</xdr:rowOff>
    </xdr:to>
    <xdr:pic>
      <xdr:nvPicPr>
        <xdr:cNvPr id="3" name="Picture 2" descr="Tadpole - Sustainability strategy &amp; engagement underpinned by science">
          <a:extLst>
            <a:ext uri="{FF2B5EF4-FFF2-40B4-BE49-F238E27FC236}">
              <a16:creationId xmlns:a16="http://schemas.microsoft.com/office/drawing/2014/main" id="{F858A916-0AFF-4C02-81C6-18149934D1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58960" y="447040"/>
          <a:ext cx="1641358"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ce@tadpole.co.nz" TargetMode="External"/><Relationship Id="rId1" Type="http://schemas.openxmlformats.org/officeDocument/2006/relationships/hyperlink" Target="http://www.tadpole.co.nz/ace-carbon-calculator"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6.xml"/><Relationship Id="rId1" Type="http://schemas.openxmlformats.org/officeDocument/2006/relationships/printerSettings" Target="../printerSettings/printerSettings16.bin"/><Relationship Id="rId4"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greatcirclemapper.net/en/great-circle-mapper.html?route=NZTG-NZWN&amp;aircraft=&amp;speed="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mailto:activate@catalystnz.co.nz" TargetMode="Externa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D69"/>
  <sheetViews>
    <sheetView showGridLines="0" showRowColHeaders="0" zoomScale="75" zoomScaleNormal="75" workbookViewId="0"/>
  </sheetViews>
  <sheetFormatPr defaultRowHeight="13.15"/>
  <cols>
    <col min="1" max="1" width="4.140625" style="55" customWidth="1"/>
    <col min="2" max="2" width="6" style="55" customWidth="1"/>
    <col min="3" max="3" width="7.140625" style="55" customWidth="1"/>
    <col min="4" max="4" width="5" style="55" customWidth="1"/>
    <col min="5" max="5" width="6.140625" style="55" customWidth="1"/>
    <col min="6" max="6" width="8.85546875" style="55" customWidth="1"/>
    <col min="7" max="7" width="5.5703125" style="55" customWidth="1"/>
    <col min="8" max="8" width="13.42578125" style="55" customWidth="1"/>
    <col min="9" max="9" width="7.42578125" style="55" customWidth="1"/>
    <col min="10" max="10" width="9.140625" style="55"/>
    <col min="11" max="11" width="18.7109375" style="55" customWidth="1"/>
    <col min="12" max="12" width="9.140625" style="55"/>
    <col min="13" max="13" width="37.28515625" style="55" customWidth="1"/>
    <col min="14" max="14" width="3.140625" style="55" customWidth="1"/>
    <col min="15" max="15" width="2.5703125" style="55" customWidth="1"/>
    <col min="16" max="16" width="6.7109375" style="55" customWidth="1"/>
    <col min="17" max="17" width="6.28515625" style="55" customWidth="1"/>
    <col min="18" max="18" width="7.140625" style="55" customWidth="1"/>
    <col min="19" max="19" width="6.140625" style="55" customWidth="1"/>
    <col min="20" max="20" width="9" style="55" customWidth="1"/>
    <col min="21" max="21" width="5.5703125" style="55" customWidth="1"/>
    <col min="22" max="22" width="13.5703125" style="55" customWidth="1"/>
    <col min="23" max="23" width="7.42578125" style="55" customWidth="1"/>
    <col min="24" max="24" width="9.140625" style="55"/>
    <col min="25" max="25" width="28.85546875" style="55" customWidth="1"/>
    <col min="26" max="26" width="9.140625" style="55"/>
    <col min="27" max="27" width="23.140625" style="55" customWidth="1"/>
    <col min="28" max="28" width="2.28515625" style="55" customWidth="1"/>
    <col min="29" max="256" width="9.140625" style="55"/>
    <col min="257" max="257" width="0.7109375" style="55" customWidth="1"/>
    <col min="258" max="258" width="1.28515625" style="55" customWidth="1"/>
    <col min="259" max="259" width="3" style="55" customWidth="1"/>
    <col min="260" max="260" width="22.5703125" style="55" customWidth="1"/>
    <col min="261" max="261" width="1" style="55" customWidth="1"/>
    <col min="262" max="262" width="6.140625" style="55" customWidth="1"/>
    <col min="263" max="263" width="8.85546875" style="55" customWidth="1"/>
    <col min="264" max="264" width="5.5703125" style="55" customWidth="1"/>
    <col min="265" max="265" width="13.42578125" style="55" customWidth="1"/>
    <col min="266" max="266" width="7.42578125" style="55" customWidth="1"/>
    <col min="267" max="267" width="9.140625" style="55"/>
    <col min="268" max="268" width="18.7109375" style="55" customWidth="1"/>
    <col min="269" max="269" width="9.140625" style="55"/>
    <col min="270" max="270" width="12.7109375" style="55" customWidth="1"/>
    <col min="271" max="271" width="1.42578125" style="55" customWidth="1"/>
    <col min="272" max="272" width="2.85546875" style="55" customWidth="1"/>
    <col min="273" max="273" width="22" style="55" customWidth="1"/>
    <col min="274" max="274" width="1" style="55" customWidth="1"/>
    <col min="275" max="275" width="6.140625" style="55" customWidth="1"/>
    <col min="276" max="276" width="9" style="55" customWidth="1"/>
    <col min="277" max="277" width="5.5703125" style="55" customWidth="1"/>
    <col min="278" max="278" width="13.5703125" style="55" customWidth="1"/>
    <col min="279" max="279" width="7.42578125" style="55" customWidth="1"/>
    <col min="280" max="280" width="9.140625" style="55"/>
    <col min="281" max="281" width="18.7109375" style="55" customWidth="1"/>
    <col min="282" max="282" width="9.140625" style="55"/>
    <col min="283" max="283" width="10.85546875" style="55" customWidth="1"/>
    <col min="284" max="284" width="2.28515625" style="55" customWidth="1"/>
    <col min="285" max="512" width="9.140625" style="55"/>
    <col min="513" max="513" width="0.7109375" style="55" customWidth="1"/>
    <col min="514" max="514" width="1.28515625" style="55" customWidth="1"/>
    <col min="515" max="515" width="3" style="55" customWidth="1"/>
    <col min="516" max="516" width="22.5703125" style="55" customWidth="1"/>
    <col min="517" max="517" width="1" style="55" customWidth="1"/>
    <col min="518" max="518" width="6.140625" style="55" customWidth="1"/>
    <col min="519" max="519" width="8.85546875" style="55" customWidth="1"/>
    <col min="520" max="520" width="5.5703125" style="55" customWidth="1"/>
    <col min="521" max="521" width="13.42578125" style="55" customWidth="1"/>
    <col min="522" max="522" width="7.42578125" style="55" customWidth="1"/>
    <col min="523" max="523" width="9.140625" style="55"/>
    <col min="524" max="524" width="18.7109375" style="55" customWidth="1"/>
    <col min="525" max="525" width="9.140625" style="55"/>
    <col min="526" max="526" width="12.7109375" style="55" customWidth="1"/>
    <col min="527" max="527" width="1.42578125" style="55" customWidth="1"/>
    <col min="528" max="528" width="2.85546875" style="55" customWidth="1"/>
    <col min="529" max="529" width="22" style="55" customWidth="1"/>
    <col min="530" max="530" width="1" style="55" customWidth="1"/>
    <col min="531" max="531" width="6.140625" style="55" customWidth="1"/>
    <col min="532" max="532" width="9" style="55" customWidth="1"/>
    <col min="533" max="533" width="5.5703125" style="55" customWidth="1"/>
    <col min="534" max="534" width="13.5703125" style="55" customWidth="1"/>
    <col min="535" max="535" width="7.42578125" style="55" customWidth="1"/>
    <col min="536" max="536" width="9.140625" style="55"/>
    <col min="537" max="537" width="18.7109375" style="55" customWidth="1"/>
    <col min="538" max="538" width="9.140625" style="55"/>
    <col min="539" max="539" width="10.85546875" style="55" customWidth="1"/>
    <col min="540" max="540" width="2.28515625" style="55" customWidth="1"/>
    <col min="541" max="768" width="9.140625" style="55"/>
    <col min="769" max="769" width="0.7109375" style="55" customWidth="1"/>
    <col min="770" max="770" width="1.28515625" style="55" customWidth="1"/>
    <col min="771" max="771" width="3" style="55" customWidth="1"/>
    <col min="772" max="772" width="22.5703125" style="55" customWidth="1"/>
    <col min="773" max="773" width="1" style="55" customWidth="1"/>
    <col min="774" max="774" width="6.140625" style="55" customWidth="1"/>
    <col min="775" max="775" width="8.85546875" style="55" customWidth="1"/>
    <col min="776" max="776" width="5.5703125" style="55" customWidth="1"/>
    <col min="777" max="777" width="13.42578125" style="55" customWidth="1"/>
    <col min="778" max="778" width="7.42578125" style="55" customWidth="1"/>
    <col min="779" max="779" width="9.140625" style="55"/>
    <col min="780" max="780" width="18.7109375" style="55" customWidth="1"/>
    <col min="781" max="781" width="9.140625" style="55"/>
    <col min="782" max="782" width="12.7109375" style="55" customWidth="1"/>
    <col min="783" max="783" width="1.42578125" style="55" customWidth="1"/>
    <col min="784" max="784" width="2.85546875" style="55" customWidth="1"/>
    <col min="785" max="785" width="22" style="55" customWidth="1"/>
    <col min="786" max="786" width="1" style="55" customWidth="1"/>
    <col min="787" max="787" width="6.140625" style="55" customWidth="1"/>
    <col min="788" max="788" width="9" style="55" customWidth="1"/>
    <col min="789" max="789" width="5.5703125" style="55" customWidth="1"/>
    <col min="790" max="790" width="13.5703125" style="55" customWidth="1"/>
    <col min="791" max="791" width="7.42578125" style="55" customWidth="1"/>
    <col min="792" max="792" width="9.140625" style="55"/>
    <col min="793" max="793" width="18.7109375" style="55" customWidth="1"/>
    <col min="794" max="794" width="9.140625" style="55"/>
    <col min="795" max="795" width="10.85546875" style="55" customWidth="1"/>
    <col min="796" max="796" width="2.28515625" style="55" customWidth="1"/>
    <col min="797" max="1024" width="9.140625" style="55"/>
    <col min="1025" max="1025" width="0.7109375" style="55" customWidth="1"/>
    <col min="1026" max="1026" width="1.28515625" style="55" customWidth="1"/>
    <col min="1027" max="1027" width="3" style="55" customWidth="1"/>
    <col min="1028" max="1028" width="22.5703125" style="55" customWidth="1"/>
    <col min="1029" max="1029" width="1" style="55" customWidth="1"/>
    <col min="1030" max="1030" width="6.140625" style="55" customWidth="1"/>
    <col min="1031" max="1031" width="8.85546875" style="55" customWidth="1"/>
    <col min="1032" max="1032" width="5.5703125" style="55" customWidth="1"/>
    <col min="1033" max="1033" width="13.42578125" style="55" customWidth="1"/>
    <col min="1034" max="1034" width="7.42578125" style="55" customWidth="1"/>
    <col min="1035" max="1035" width="9.140625" style="55"/>
    <col min="1036" max="1036" width="18.7109375" style="55" customWidth="1"/>
    <col min="1037" max="1037" width="9.140625" style="55"/>
    <col min="1038" max="1038" width="12.7109375" style="55" customWidth="1"/>
    <col min="1039" max="1039" width="1.42578125" style="55" customWidth="1"/>
    <col min="1040" max="1040" width="2.85546875" style="55" customWidth="1"/>
    <col min="1041" max="1041" width="22" style="55" customWidth="1"/>
    <col min="1042" max="1042" width="1" style="55" customWidth="1"/>
    <col min="1043" max="1043" width="6.140625" style="55" customWidth="1"/>
    <col min="1044" max="1044" width="9" style="55" customWidth="1"/>
    <col min="1045" max="1045" width="5.5703125" style="55" customWidth="1"/>
    <col min="1046" max="1046" width="13.5703125" style="55" customWidth="1"/>
    <col min="1047" max="1047" width="7.42578125" style="55" customWidth="1"/>
    <col min="1048" max="1048" width="9.140625" style="55"/>
    <col min="1049" max="1049" width="18.7109375" style="55" customWidth="1"/>
    <col min="1050" max="1050" width="9.140625" style="55"/>
    <col min="1051" max="1051" width="10.85546875" style="55" customWidth="1"/>
    <col min="1052" max="1052" width="2.28515625" style="55" customWidth="1"/>
    <col min="1053" max="1280" width="9.140625" style="55"/>
    <col min="1281" max="1281" width="0.7109375" style="55" customWidth="1"/>
    <col min="1282" max="1282" width="1.28515625" style="55" customWidth="1"/>
    <col min="1283" max="1283" width="3" style="55" customWidth="1"/>
    <col min="1284" max="1284" width="22.5703125" style="55" customWidth="1"/>
    <col min="1285" max="1285" width="1" style="55" customWidth="1"/>
    <col min="1286" max="1286" width="6.140625" style="55" customWidth="1"/>
    <col min="1287" max="1287" width="8.85546875" style="55" customWidth="1"/>
    <col min="1288" max="1288" width="5.5703125" style="55" customWidth="1"/>
    <col min="1289" max="1289" width="13.42578125" style="55" customWidth="1"/>
    <col min="1290" max="1290" width="7.42578125" style="55" customWidth="1"/>
    <col min="1291" max="1291" width="9.140625" style="55"/>
    <col min="1292" max="1292" width="18.7109375" style="55" customWidth="1"/>
    <col min="1293" max="1293" width="9.140625" style="55"/>
    <col min="1294" max="1294" width="12.7109375" style="55" customWidth="1"/>
    <col min="1295" max="1295" width="1.42578125" style="55" customWidth="1"/>
    <col min="1296" max="1296" width="2.85546875" style="55" customWidth="1"/>
    <col min="1297" max="1297" width="22" style="55" customWidth="1"/>
    <col min="1298" max="1298" width="1" style="55" customWidth="1"/>
    <col min="1299" max="1299" width="6.140625" style="55" customWidth="1"/>
    <col min="1300" max="1300" width="9" style="55" customWidth="1"/>
    <col min="1301" max="1301" width="5.5703125" style="55" customWidth="1"/>
    <col min="1302" max="1302" width="13.5703125" style="55" customWidth="1"/>
    <col min="1303" max="1303" width="7.42578125" style="55" customWidth="1"/>
    <col min="1304" max="1304" width="9.140625" style="55"/>
    <col min="1305" max="1305" width="18.7109375" style="55" customWidth="1"/>
    <col min="1306" max="1306" width="9.140625" style="55"/>
    <col min="1307" max="1307" width="10.85546875" style="55" customWidth="1"/>
    <col min="1308" max="1308" width="2.28515625" style="55" customWidth="1"/>
    <col min="1309" max="1536" width="9.140625" style="55"/>
    <col min="1537" max="1537" width="0.7109375" style="55" customWidth="1"/>
    <col min="1538" max="1538" width="1.28515625" style="55" customWidth="1"/>
    <col min="1539" max="1539" width="3" style="55" customWidth="1"/>
    <col min="1540" max="1540" width="22.5703125" style="55" customWidth="1"/>
    <col min="1541" max="1541" width="1" style="55" customWidth="1"/>
    <col min="1542" max="1542" width="6.140625" style="55" customWidth="1"/>
    <col min="1543" max="1543" width="8.85546875" style="55" customWidth="1"/>
    <col min="1544" max="1544" width="5.5703125" style="55" customWidth="1"/>
    <col min="1545" max="1545" width="13.42578125" style="55" customWidth="1"/>
    <col min="1546" max="1546" width="7.42578125" style="55" customWidth="1"/>
    <col min="1547" max="1547" width="9.140625" style="55"/>
    <col min="1548" max="1548" width="18.7109375" style="55" customWidth="1"/>
    <col min="1549" max="1549" width="9.140625" style="55"/>
    <col min="1550" max="1550" width="12.7109375" style="55" customWidth="1"/>
    <col min="1551" max="1551" width="1.42578125" style="55" customWidth="1"/>
    <col min="1552" max="1552" width="2.85546875" style="55" customWidth="1"/>
    <col min="1553" max="1553" width="22" style="55" customWidth="1"/>
    <col min="1554" max="1554" width="1" style="55" customWidth="1"/>
    <col min="1555" max="1555" width="6.140625" style="55" customWidth="1"/>
    <col min="1556" max="1556" width="9" style="55" customWidth="1"/>
    <col min="1557" max="1557" width="5.5703125" style="55" customWidth="1"/>
    <col min="1558" max="1558" width="13.5703125" style="55" customWidth="1"/>
    <col min="1559" max="1559" width="7.42578125" style="55" customWidth="1"/>
    <col min="1560" max="1560" width="9.140625" style="55"/>
    <col min="1561" max="1561" width="18.7109375" style="55" customWidth="1"/>
    <col min="1562" max="1562" width="9.140625" style="55"/>
    <col min="1563" max="1563" width="10.85546875" style="55" customWidth="1"/>
    <col min="1564" max="1564" width="2.28515625" style="55" customWidth="1"/>
    <col min="1565" max="1792" width="9.140625" style="55"/>
    <col min="1793" max="1793" width="0.7109375" style="55" customWidth="1"/>
    <col min="1794" max="1794" width="1.28515625" style="55" customWidth="1"/>
    <col min="1795" max="1795" width="3" style="55" customWidth="1"/>
    <col min="1796" max="1796" width="22.5703125" style="55" customWidth="1"/>
    <col min="1797" max="1797" width="1" style="55" customWidth="1"/>
    <col min="1798" max="1798" width="6.140625" style="55" customWidth="1"/>
    <col min="1799" max="1799" width="8.85546875" style="55" customWidth="1"/>
    <col min="1800" max="1800" width="5.5703125" style="55" customWidth="1"/>
    <col min="1801" max="1801" width="13.42578125" style="55" customWidth="1"/>
    <col min="1802" max="1802" width="7.42578125" style="55" customWidth="1"/>
    <col min="1803" max="1803" width="9.140625" style="55"/>
    <col min="1804" max="1804" width="18.7109375" style="55" customWidth="1"/>
    <col min="1805" max="1805" width="9.140625" style="55"/>
    <col min="1806" max="1806" width="12.7109375" style="55" customWidth="1"/>
    <col min="1807" max="1807" width="1.42578125" style="55" customWidth="1"/>
    <col min="1808" max="1808" width="2.85546875" style="55" customWidth="1"/>
    <col min="1809" max="1809" width="22" style="55" customWidth="1"/>
    <col min="1810" max="1810" width="1" style="55" customWidth="1"/>
    <col min="1811" max="1811" width="6.140625" style="55" customWidth="1"/>
    <col min="1812" max="1812" width="9" style="55" customWidth="1"/>
    <col min="1813" max="1813" width="5.5703125" style="55" customWidth="1"/>
    <col min="1814" max="1814" width="13.5703125" style="55" customWidth="1"/>
    <col min="1815" max="1815" width="7.42578125" style="55" customWidth="1"/>
    <col min="1816" max="1816" width="9.140625" style="55"/>
    <col min="1817" max="1817" width="18.7109375" style="55" customWidth="1"/>
    <col min="1818" max="1818" width="9.140625" style="55"/>
    <col min="1819" max="1819" width="10.85546875" style="55" customWidth="1"/>
    <col min="1820" max="1820" width="2.28515625" style="55" customWidth="1"/>
    <col min="1821" max="2048" width="9.140625" style="55"/>
    <col min="2049" max="2049" width="0.7109375" style="55" customWidth="1"/>
    <col min="2050" max="2050" width="1.28515625" style="55" customWidth="1"/>
    <col min="2051" max="2051" width="3" style="55" customWidth="1"/>
    <col min="2052" max="2052" width="22.5703125" style="55" customWidth="1"/>
    <col min="2053" max="2053" width="1" style="55" customWidth="1"/>
    <col min="2054" max="2054" width="6.140625" style="55" customWidth="1"/>
    <col min="2055" max="2055" width="8.85546875" style="55" customWidth="1"/>
    <col min="2056" max="2056" width="5.5703125" style="55" customWidth="1"/>
    <col min="2057" max="2057" width="13.42578125" style="55" customWidth="1"/>
    <col min="2058" max="2058" width="7.42578125" style="55" customWidth="1"/>
    <col min="2059" max="2059" width="9.140625" style="55"/>
    <col min="2060" max="2060" width="18.7109375" style="55" customWidth="1"/>
    <col min="2061" max="2061" width="9.140625" style="55"/>
    <col min="2062" max="2062" width="12.7109375" style="55" customWidth="1"/>
    <col min="2063" max="2063" width="1.42578125" style="55" customWidth="1"/>
    <col min="2064" max="2064" width="2.85546875" style="55" customWidth="1"/>
    <col min="2065" max="2065" width="22" style="55" customWidth="1"/>
    <col min="2066" max="2066" width="1" style="55" customWidth="1"/>
    <col min="2067" max="2067" width="6.140625" style="55" customWidth="1"/>
    <col min="2068" max="2068" width="9" style="55" customWidth="1"/>
    <col min="2069" max="2069" width="5.5703125" style="55" customWidth="1"/>
    <col min="2070" max="2070" width="13.5703125" style="55" customWidth="1"/>
    <col min="2071" max="2071" width="7.42578125" style="55" customWidth="1"/>
    <col min="2072" max="2072" width="9.140625" style="55"/>
    <col min="2073" max="2073" width="18.7109375" style="55" customWidth="1"/>
    <col min="2074" max="2074" width="9.140625" style="55"/>
    <col min="2075" max="2075" width="10.85546875" style="55" customWidth="1"/>
    <col min="2076" max="2076" width="2.28515625" style="55" customWidth="1"/>
    <col min="2077" max="2304" width="9.140625" style="55"/>
    <col min="2305" max="2305" width="0.7109375" style="55" customWidth="1"/>
    <col min="2306" max="2306" width="1.28515625" style="55" customWidth="1"/>
    <col min="2307" max="2307" width="3" style="55" customWidth="1"/>
    <col min="2308" max="2308" width="22.5703125" style="55" customWidth="1"/>
    <col min="2309" max="2309" width="1" style="55" customWidth="1"/>
    <col min="2310" max="2310" width="6.140625" style="55" customWidth="1"/>
    <col min="2311" max="2311" width="8.85546875" style="55" customWidth="1"/>
    <col min="2312" max="2312" width="5.5703125" style="55" customWidth="1"/>
    <col min="2313" max="2313" width="13.42578125" style="55" customWidth="1"/>
    <col min="2314" max="2314" width="7.42578125" style="55" customWidth="1"/>
    <col min="2315" max="2315" width="9.140625" style="55"/>
    <col min="2316" max="2316" width="18.7109375" style="55" customWidth="1"/>
    <col min="2317" max="2317" width="9.140625" style="55"/>
    <col min="2318" max="2318" width="12.7109375" style="55" customWidth="1"/>
    <col min="2319" max="2319" width="1.42578125" style="55" customWidth="1"/>
    <col min="2320" max="2320" width="2.85546875" style="55" customWidth="1"/>
    <col min="2321" max="2321" width="22" style="55" customWidth="1"/>
    <col min="2322" max="2322" width="1" style="55" customWidth="1"/>
    <col min="2323" max="2323" width="6.140625" style="55" customWidth="1"/>
    <col min="2324" max="2324" width="9" style="55" customWidth="1"/>
    <col min="2325" max="2325" width="5.5703125" style="55" customWidth="1"/>
    <col min="2326" max="2326" width="13.5703125" style="55" customWidth="1"/>
    <col min="2327" max="2327" width="7.42578125" style="55" customWidth="1"/>
    <col min="2328" max="2328" width="9.140625" style="55"/>
    <col min="2329" max="2329" width="18.7109375" style="55" customWidth="1"/>
    <col min="2330" max="2330" width="9.140625" style="55"/>
    <col min="2331" max="2331" width="10.85546875" style="55" customWidth="1"/>
    <col min="2332" max="2332" width="2.28515625" style="55" customWidth="1"/>
    <col min="2333" max="2560" width="9.140625" style="55"/>
    <col min="2561" max="2561" width="0.7109375" style="55" customWidth="1"/>
    <col min="2562" max="2562" width="1.28515625" style="55" customWidth="1"/>
    <col min="2563" max="2563" width="3" style="55" customWidth="1"/>
    <col min="2564" max="2564" width="22.5703125" style="55" customWidth="1"/>
    <col min="2565" max="2565" width="1" style="55" customWidth="1"/>
    <col min="2566" max="2566" width="6.140625" style="55" customWidth="1"/>
    <col min="2567" max="2567" width="8.85546875" style="55" customWidth="1"/>
    <col min="2568" max="2568" width="5.5703125" style="55" customWidth="1"/>
    <col min="2569" max="2569" width="13.42578125" style="55" customWidth="1"/>
    <col min="2570" max="2570" width="7.42578125" style="55" customWidth="1"/>
    <col min="2571" max="2571" width="9.140625" style="55"/>
    <col min="2572" max="2572" width="18.7109375" style="55" customWidth="1"/>
    <col min="2573" max="2573" width="9.140625" style="55"/>
    <col min="2574" max="2574" width="12.7109375" style="55" customWidth="1"/>
    <col min="2575" max="2575" width="1.42578125" style="55" customWidth="1"/>
    <col min="2576" max="2576" width="2.85546875" style="55" customWidth="1"/>
    <col min="2577" max="2577" width="22" style="55" customWidth="1"/>
    <col min="2578" max="2578" width="1" style="55" customWidth="1"/>
    <col min="2579" max="2579" width="6.140625" style="55" customWidth="1"/>
    <col min="2580" max="2580" width="9" style="55" customWidth="1"/>
    <col min="2581" max="2581" width="5.5703125" style="55" customWidth="1"/>
    <col min="2582" max="2582" width="13.5703125" style="55" customWidth="1"/>
    <col min="2583" max="2583" width="7.42578125" style="55" customWidth="1"/>
    <col min="2584" max="2584" width="9.140625" style="55"/>
    <col min="2585" max="2585" width="18.7109375" style="55" customWidth="1"/>
    <col min="2586" max="2586" width="9.140625" style="55"/>
    <col min="2587" max="2587" width="10.85546875" style="55" customWidth="1"/>
    <col min="2588" max="2588" width="2.28515625" style="55" customWidth="1"/>
    <col min="2589" max="2816" width="9.140625" style="55"/>
    <col min="2817" max="2817" width="0.7109375" style="55" customWidth="1"/>
    <col min="2818" max="2818" width="1.28515625" style="55" customWidth="1"/>
    <col min="2819" max="2819" width="3" style="55" customWidth="1"/>
    <col min="2820" max="2820" width="22.5703125" style="55" customWidth="1"/>
    <col min="2821" max="2821" width="1" style="55" customWidth="1"/>
    <col min="2822" max="2822" width="6.140625" style="55" customWidth="1"/>
    <col min="2823" max="2823" width="8.85546875" style="55" customWidth="1"/>
    <col min="2824" max="2824" width="5.5703125" style="55" customWidth="1"/>
    <col min="2825" max="2825" width="13.42578125" style="55" customWidth="1"/>
    <col min="2826" max="2826" width="7.42578125" style="55" customWidth="1"/>
    <col min="2827" max="2827" width="9.140625" style="55"/>
    <col min="2828" max="2828" width="18.7109375" style="55" customWidth="1"/>
    <col min="2829" max="2829" width="9.140625" style="55"/>
    <col min="2830" max="2830" width="12.7109375" style="55" customWidth="1"/>
    <col min="2831" max="2831" width="1.42578125" style="55" customWidth="1"/>
    <col min="2832" max="2832" width="2.85546875" style="55" customWidth="1"/>
    <col min="2833" max="2833" width="22" style="55" customWidth="1"/>
    <col min="2834" max="2834" width="1" style="55" customWidth="1"/>
    <col min="2835" max="2835" width="6.140625" style="55" customWidth="1"/>
    <col min="2836" max="2836" width="9" style="55" customWidth="1"/>
    <col min="2837" max="2837" width="5.5703125" style="55" customWidth="1"/>
    <col min="2838" max="2838" width="13.5703125" style="55" customWidth="1"/>
    <col min="2839" max="2839" width="7.42578125" style="55" customWidth="1"/>
    <col min="2840" max="2840" width="9.140625" style="55"/>
    <col min="2841" max="2841" width="18.7109375" style="55" customWidth="1"/>
    <col min="2842" max="2842" width="9.140625" style="55"/>
    <col min="2843" max="2843" width="10.85546875" style="55" customWidth="1"/>
    <col min="2844" max="2844" width="2.28515625" style="55" customWidth="1"/>
    <col min="2845" max="3072" width="9.140625" style="55"/>
    <col min="3073" max="3073" width="0.7109375" style="55" customWidth="1"/>
    <col min="3074" max="3074" width="1.28515625" style="55" customWidth="1"/>
    <col min="3075" max="3075" width="3" style="55" customWidth="1"/>
    <col min="3076" max="3076" width="22.5703125" style="55" customWidth="1"/>
    <col min="3077" max="3077" width="1" style="55" customWidth="1"/>
    <col min="3078" max="3078" width="6.140625" style="55" customWidth="1"/>
    <col min="3079" max="3079" width="8.85546875" style="55" customWidth="1"/>
    <col min="3080" max="3080" width="5.5703125" style="55" customWidth="1"/>
    <col min="3081" max="3081" width="13.42578125" style="55" customWidth="1"/>
    <col min="3082" max="3082" width="7.42578125" style="55" customWidth="1"/>
    <col min="3083" max="3083" width="9.140625" style="55"/>
    <col min="3084" max="3084" width="18.7109375" style="55" customWidth="1"/>
    <col min="3085" max="3085" width="9.140625" style="55"/>
    <col min="3086" max="3086" width="12.7109375" style="55" customWidth="1"/>
    <col min="3087" max="3087" width="1.42578125" style="55" customWidth="1"/>
    <col min="3088" max="3088" width="2.85546875" style="55" customWidth="1"/>
    <col min="3089" max="3089" width="22" style="55" customWidth="1"/>
    <col min="3090" max="3090" width="1" style="55" customWidth="1"/>
    <col min="3091" max="3091" width="6.140625" style="55" customWidth="1"/>
    <col min="3092" max="3092" width="9" style="55" customWidth="1"/>
    <col min="3093" max="3093" width="5.5703125" style="55" customWidth="1"/>
    <col min="3094" max="3094" width="13.5703125" style="55" customWidth="1"/>
    <col min="3095" max="3095" width="7.42578125" style="55" customWidth="1"/>
    <col min="3096" max="3096" width="9.140625" style="55"/>
    <col min="3097" max="3097" width="18.7109375" style="55" customWidth="1"/>
    <col min="3098" max="3098" width="9.140625" style="55"/>
    <col min="3099" max="3099" width="10.85546875" style="55" customWidth="1"/>
    <col min="3100" max="3100" width="2.28515625" style="55" customWidth="1"/>
    <col min="3101" max="3328" width="9.140625" style="55"/>
    <col min="3329" max="3329" width="0.7109375" style="55" customWidth="1"/>
    <col min="3330" max="3330" width="1.28515625" style="55" customWidth="1"/>
    <col min="3331" max="3331" width="3" style="55" customWidth="1"/>
    <col min="3332" max="3332" width="22.5703125" style="55" customWidth="1"/>
    <col min="3333" max="3333" width="1" style="55" customWidth="1"/>
    <col min="3334" max="3334" width="6.140625" style="55" customWidth="1"/>
    <col min="3335" max="3335" width="8.85546875" style="55" customWidth="1"/>
    <col min="3336" max="3336" width="5.5703125" style="55" customWidth="1"/>
    <col min="3337" max="3337" width="13.42578125" style="55" customWidth="1"/>
    <col min="3338" max="3338" width="7.42578125" style="55" customWidth="1"/>
    <col min="3339" max="3339" width="9.140625" style="55"/>
    <col min="3340" max="3340" width="18.7109375" style="55" customWidth="1"/>
    <col min="3341" max="3341" width="9.140625" style="55"/>
    <col min="3342" max="3342" width="12.7109375" style="55" customWidth="1"/>
    <col min="3343" max="3343" width="1.42578125" style="55" customWidth="1"/>
    <col min="3344" max="3344" width="2.85546875" style="55" customWidth="1"/>
    <col min="3345" max="3345" width="22" style="55" customWidth="1"/>
    <col min="3346" max="3346" width="1" style="55" customWidth="1"/>
    <col min="3347" max="3347" width="6.140625" style="55" customWidth="1"/>
    <col min="3348" max="3348" width="9" style="55" customWidth="1"/>
    <col min="3349" max="3349" width="5.5703125" style="55" customWidth="1"/>
    <col min="3350" max="3350" width="13.5703125" style="55" customWidth="1"/>
    <col min="3351" max="3351" width="7.42578125" style="55" customWidth="1"/>
    <col min="3352" max="3352" width="9.140625" style="55"/>
    <col min="3353" max="3353" width="18.7109375" style="55" customWidth="1"/>
    <col min="3354" max="3354" width="9.140625" style="55"/>
    <col min="3355" max="3355" width="10.85546875" style="55" customWidth="1"/>
    <col min="3356" max="3356" width="2.28515625" style="55" customWidth="1"/>
    <col min="3357" max="3584" width="9.140625" style="55"/>
    <col min="3585" max="3585" width="0.7109375" style="55" customWidth="1"/>
    <col min="3586" max="3586" width="1.28515625" style="55" customWidth="1"/>
    <col min="3587" max="3587" width="3" style="55" customWidth="1"/>
    <col min="3588" max="3588" width="22.5703125" style="55" customWidth="1"/>
    <col min="3589" max="3589" width="1" style="55" customWidth="1"/>
    <col min="3590" max="3590" width="6.140625" style="55" customWidth="1"/>
    <col min="3591" max="3591" width="8.85546875" style="55" customWidth="1"/>
    <col min="3592" max="3592" width="5.5703125" style="55" customWidth="1"/>
    <col min="3593" max="3593" width="13.42578125" style="55" customWidth="1"/>
    <col min="3594" max="3594" width="7.42578125" style="55" customWidth="1"/>
    <col min="3595" max="3595" width="9.140625" style="55"/>
    <col min="3596" max="3596" width="18.7109375" style="55" customWidth="1"/>
    <col min="3597" max="3597" width="9.140625" style="55"/>
    <col min="3598" max="3598" width="12.7109375" style="55" customWidth="1"/>
    <col min="3599" max="3599" width="1.42578125" style="55" customWidth="1"/>
    <col min="3600" max="3600" width="2.85546875" style="55" customWidth="1"/>
    <col min="3601" max="3601" width="22" style="55" customWidth="1"/>
    <col min="3602" max="3602" width="1" style="55" customWidth="1"/>
    <col min="3603" max="3603" width="6.140625" style="55" customWidth="1"/>
    <col min="3604" max="3604" width="9" style="55" customWidth="1"/>
    <col min="3605" max="3605" width="5.5703125" style="55" customWidth="1"/>
    <col min="3606" max="3606" width="13.5703125" style="55" customWidth="1"/>
    <col min="3607" max="3607" width="7.42578125" style="55" customWidth="1"/>
    <col min="3608" max="3608" width="9.140625" style="55"/>
    <col min="3609" max="3609" width="18.7109375" style="55" customWidth="1"/>
    <col min="3610" max="3610" width="9.140625" style="55"/>
    <col min="3611" max="3611" width="10.85546875" style="55" customWidth="1"/>
    <col min="3612" max="3612" width="2.28515625" style="55" customWidth="1"/>
    <col min="3613" max="3840" width="9.140625" style="55"/>
    <col min="3841" max="3841" width="0.7109375" style="55" customWidth="1"/>
    <col min="3842" max="3842" width="1.28515625" style="55" customWidth="1"/>
    <col min="3843" max="3843" width="3" style="55" customWidth="1"/>
    <col min="3844" max="3844" width="22.5703125" style="55" customWidth="1"/>
    <col min="3845" max="3845" width="1" style="55" customWidth="1"/>
    <col min="3846" max="3846" width="6.140625" style="55" customWidth="1"/>
    <col min="3847" max="3847" width="8.85546875" style="55" customWidth="1"/>
    <col min="3848" max="3848" width="5.5703125" style="55" customWidth="1"/>
    <col min="3849" max="3849" width="13.42578125" style="55" customWidth="1"/>
    <col min="3850" max="3850" width="7.42578125" style="55" customWidth="1"/>
    <col min="3851" max="3851" width="9.140625" style="55"/>
    <col min="3852" max="3852" width="18.7109375" style="55" customWidth="1"/>
    <col min="3853" max="3853" width="9.140625" style="55"/>
    <col min="3854" max="3854" width="12.7109375" style="55" customWidth="1"/>
    <col min="3855" max="3855" width="1.42578125" style="55" customWidth="1"/>
    <col min="3856" max="3856" width="2.85546875" style="55" customWidth="1"/>
    <col min="3857" max="3857" width="22" style="55" customWidth="1"/>
    <col min="3858" max="3858" width="1" style="55" customWidth="1"/>
    <col min="3859" max="3859" width="6.140625" style="55" customWidth="1"/>
    <col min="3860" max="3860" width="9" style="55" customWidth="1"/>
    <col min="3861" max="3861" width="5.5703125" style="55" customWidth="1"/>
    <col min="3862" max="3862" width="13.5703125" style="55" customWidth="1"/>
    <col min="3863" max="3863" width="7.42578125" style="55" customWidth="1"/>
    <col min="3864" max="3864" width="9.140625" style="55"/>
    <col min="3865" max="3865" width="18.7109375" style="55" customWidth="1"/>
    <col min="3866" max="3866" width="9.140625" style="55"/>
    <col min="3867" max="3867" width="10.85546875" style="55" customWidth="1"/>
    <col min="3868" max="3868" width="2.28515625" style="55" customWidth="1"/>
    <col min="3869" max="4096" width="9.140625" style="55"/>
    <col min="4097" max="4097" width="0.7109375" style="55" customWidth="1"/>
    <col min="4098" max="4098" width="1.28515625" style="55" customWidth="1"/>
    <col min="4099" max="4099" width="3" style="55" customWidth="1"/>
    <col min="4100" max="4100" width="22.5703125" style="55" customWidth="1"/>
    <col min="4101" max="4101" width="1" style="55" customWidth="1"/>
    <col min="4102" max="4102" width="6.140625" style="55" customWidth="1"/>
    <col min="4103" max="4103" width="8.85546875" style="55" customWidth="1"/>
    <col min="4104" max="4104" width="5.5703125" style="55" customWidth="1"/>
    <col min="4105" max="4105" width="13.42578125" style="55" customWidth="1"/>
    <col min="4106" max="4106" width="7.42578125" style="55" customWidth="1"/>
    <col min="4107" max="4107" width="9.140625" style="55"/>
    <col min="4108" max="4108" width="18.7109375" style="55" customWidth="1"/>
    <col min="4109" max="4109" width="9.140625" style="55"/>
    <col min="4110" max="4110" width="12.7109375" style="55" customWidth="1"/>
    <col min="4111" max="4111" width="1.42578125" style="55" customWidth="1"/>
    <col min="4112" max="4112" width="2.85546875" style="55" customWidth="1"/>
    <col min="4113" max="4113" width="22" style="55" customWidth="1"/>
    <col min="4114" max="4114" width="1" style="55" customWidth="1"/>
    <col min="4115" max="4115" width="6.140625" style="55" customWidth="1"/>
    <col min="4116" max="4116" width="9" style="55" customWidth="1"/>
    <col min="4117" max="4117" width="5.5703125" style="55" customWidth="1"/>
    <col min="4118" max="4118" width="13.5703125" style="55" customWidth="1"/>
    <col min="4119" max="4119" width="7.42578125" style="55" customWidth="1"/>
    <col min="4120" max="4120" width="9.140625" style="55"/>
    <col min="4121" max="4121" width="18.7109375" style="55" customWidth="1"/>
    <col min="4122" max="4122" width="9.140625" style="55"/>
    <col min="4123" max="4123" width="10.85546875" style="55" customWidth="1"/>
    <col min="4124" max="4124" width="2.28515625" style="55" customWidth="1"/>
    <col min="4125" max="4352" width="9.140625" style="55"/>
    <col min="4353" max="4353" width="0.7109375" style="55" customWidth="1"/>
    <col min="4354" max="4354" width="1.28515625" style="55" customWidth="1"/>
    <col min="4355" max="4355" width="3" style="55" customWidth="1"/>
    <col min="4356" max="4356" width="22.5703125" style="55" customWidth="1"/>
    <col min="4357" max="4357" width="1" style="55" customWidth="1"/>
    <col min="4358" max="4358" width="6.140625" style="55" customWidth="1"/>
    <col min="4359" max="4359" width="8.85546875" style="55" customWidth="1"/>
    <col min="4360" max="4360" width="5.5703125" style="55" customWidth="1"/>
    <col min="4361" max="4361" width="13.42578125" style="55" customWidth="1"/>
    <col min="4362" max="4362" width="7.42578125" style="55" customWidth="1"/>
    <col min="4363" max="4363" width="9.140625" style="55"/>
    <col min="4364" max="4364" width="18.7109375" style="55" customWidth="1"/>
    <col min="4365" max="4365" width="9.140625" style="55"/>
    <col min="4366" max="4366" width="12.7109375" style="55" customWidth="1"/>
    <col min="4367" max="4367" width="1.42578125" style="55" customWidth="1"/>
    <col min="4368" max="4368" width="2.85546875" style="55" customWidth="1"/>
    <col min="4369" max="4369" width="22" style="55" customWidth="1"/>
    <col min="4370" max="4370" width="1" style="55" customWidth="1"/>
    <col min="4371" max="4371" width="6.140625" style="55" customWidth="1"/>
    <col min="4372" max="4372" width="9" style="55" customWidth="1"/>
    <col min="4373" max="4373" width="5.5703125" style="55" customWidth="1"/>
    <col min="4374" max="4374" width="13.5703125" style="55" customWidth="1"/>
    <col min="4375" max="4375" width="7.42578125" style="55" customWidth="1"/>
    <col min="4376" max="4376" width="9.140625" style="55"/>
    <col min="4377" max="4377" width="18.7109375" style="55" customWidth="1"/>
    <col min="4378" max="4378" width="9.140625" style="55"/>
    <col min="4379" max="4379" width="10.85546875" style="55" customWidth="1"/>
    <col min="4380" max="4380" width="2.28515625" style="55" customWidth="1"/>
    <col min="4381" max="4608" width="9.140625" style="55"/>
    <col min="4609" max="4609" width="0.7109375" style="55" customWidth="1"/>
    <col min="4610" max="4610" width="1.28515625" style="55" customWidth="1"/>
    <col min="4611" max="4611" width="3" style="55" customWidth="1"/>
    <col min="4612" max="4612" width="22.5703125" style="55" customWidth="1"/>
    <col min="4613" max="4613" width="1" style="55" customWidth="1"/>
    <col min="4614" max="4614" width="6.140625" style="55" customWidth="1"/>
    <col min="4615" max="4615" width="8.85546875" style="55" customWidth="1"/>
    <col min="4616" max="4616" width="5.5703125" style="55" customWidth="1"/>
    <col min="4617" max="4617" width="13.42578125" style="55" customWidth="1"/>
    <col min="4618" max="4618" width="7.42578125" style="55" customWidth="1"/>
    <col min="4619" max="4619" width="9.140625" style="55"/>
    <col min="4620" max="4620" width="18.7109375" style="55" customWidth="1"/>
    <col min="4621" max="4621" width="9.140625" style="55"/>
    <col min="4622" max="4622" width="12.7109375" style="55" customWidth="1"/>
    <col min="4623" max="4623" width="1.42578125" style="55" customWidth="1"/>
    <col min="4624" max="4624" width="2.85546875" style="55" customWidth="1"/>
    <col min="4625" max="4625" width="22" style="55" customWidth="1"/>
    <col min="4626" max="4626" width="1" style="55" customWidth="1"/>
    <col min="4627" max="4627" width="6.140625" style="55" customWidth="1"/>
    <col min="4628" max="4628" width="9" style="55" customWidth="1"/>
    <col min="4629" max="4629" width="5.5703125" style="55" customWidth="1"/>
    <col min="4630" max="4630" width="13.5703125" style="55" customWidth="1"/>
    <col min="4631" max="4631" width="7.42578125" style="55" customWidth="1"/>
    <col min="4632" max="4632" width="9.140625" style="55"/>
    <col min="4633" max="4633" width="18.7109375" style="55" customWidth="1"/>
    <col min="4634" max="4634" width="9.140625" style="55"/>
    <col min="4635" max="4635" width="10.85546875" style="55" customWidth="1"/>
    <col min="4636" max="4636" width="2.28515625" style="55" customWidth="1"/>
    <col min="4637" max="4864" width="9.140625" style="55"/>
    <col min="4865" max="4865" width="0.7109375" style="55" customWidth="1"/>
    <col min="4866" max="4866" width="1.28515625" style="55" customWidth="1"/>
    <col min="4867" max="4867" width="3" style="55" customWidth="1"/>
    <col min="4868" max="4868" width="22.5703125" style="55" customWidth="1"/>
    <col min="4869" max="4869" width="1" style="55" customWidth="1"/>
    <col min="4870" max="4870" width="6.140625" style="55" customWidth="1"/>
    <col min="4871" max="4871" width="8.85546875" style="55" customWidth="1"/>
    <col min="4872" max="4872" width="5.5703125" style="55" customWidth="1"/>
    <col min="4873" max="4873" width="13.42578125" style="55" customWidth="1"/>
    <col min="4874" max="4874" width="7.42578125" style="55" customWidth="1"/>
    <col min="4875" max="4875" width="9.140625" style="55"/>
    <col min="4876" max="4876" width="18.7109375" style="55" customWidth="1"/>
    <col min="4877" max="4877" width="9.140625" style="55"/>
    <col min="4878" max="4878" width="12.7109375" style="55" customWidth="1"/>
    <col min="4879" max="4879" width="1.42578125" style="55" customWidth="1"/>
    <col min="4880" max="4880" width="2.85546875" style="55" customWidth="1"/>
    <col min="4881" max="4881" width="22" style="55" customWidth="1"/>
    <col min="4882" max="4882" width="1" style="55" customWidth="1"/>
    <col min="4883" max="4883" width="6.140625" style="55" customWidth="1"/>
    <col min="4884" max="4884" width="9" style="55" customWidth="1"/>
    <col min="4885" max="4885" width="5.5703125" style="55" customWidth="1"/>
    <col min="4886" max="4886" width="13.5703125" style="55" customWidth="1"/>
    <col min="4887" max="4887" width="7.42578125" style="55" customWidth="1"/>
    <col min="4888" max="4888" width="9.140625" style="55"/>
    <col min="4889" max="4889" width="18.7109375" style="55" customWidth="1"/>
    <col min="4890" max="4890" width="9.140625" style="55"/>
    <col min="4891" max="4891" width="10.85546875" style="55" customWidth="1"/>
    <col min="4892" max="4892" width="2.28515625" style="55" customWidth="1"/>
    <col min="4893" max="5120" width="9.140625" style="55"/>
    <col min="5121" max="5121" width="0.7109375" style="55" customWidth="1"/>
    <col min="5122" max="5122" width="1.28515625" style="55" customWidth="1"/>
    <col min="5123" max="5123" width="3" style="55" customWidth="1"/>
    <col min="5124" max="5124" width="22.5703125" style="55" customWidth="1"/>
    <col min="5125" max="5125" width="1" style="55" customWidth="1"/>
    <col min="5126" max="5126" width="6.140625" style="55" customWidth="1"/>
    <col min="5127" max="5127" width="8.85546875" style="55" customWidth="1"/>
    <col min="5128" max="5128" width="5.5703125" style="55" customWidth="1"/>
    <col min="5129" max="5129" width="13.42578125" style="55" customWidth="1"/>
    <col min="5130" max="5130" width="7.42578125" style="55" customWidth="1"/>
    <col min="5131" max="5131" width="9.140625" style="55"/>
    <col min="5132" max="5132" width="18.7109375" style="55" customWidth="1"/>
    <col min="5133" max="5133" width="9.140625" style="55"/>
    <col min="5134" max="5134" width="12.7109375" style="55" customWidth="1"/>
    <col min="5135" max="5135" width="1.42578125" style="55" customWidth="1"/>
    <col min="5136" max="5136" width="2.85546875" style="55" customWidth="1"/>
    <col min="5137" max="5137" width="22" style="55" customWidth="1"/>
    <col min="5138" max="5138" width="1" style="55" customWidth="1"/>
    <col min="5139" max="5139" width="6.140625" style="55" customWidth="1"/>
    <col min="5140" max="5140" width="9" style="55" customWidth="1"/>
    <col min="5141" max="5141" width="5.5703125" style="55" customWidth="1"/>
    <col min="5142" max="5142" width="13.5703125" style="55" customWidth="1"/>
    <col min="5143" max="5143" width="7.42578125" style="55" customWidth="1"/>
    <col min="5144" max="5144" width="9.140625" style="55"/>
    <col min="5145" max="5145" width="18.7109375" style="55" customWidth="1"/>
    <col min="5146" max="5146" width="9.140625" style="55"/>
    <col min="5147" max="5147" width="10.85546875" style="55" customWidth="1"/>
    <col min="5148" max="5148" width="2.28515625" style="55" customWidth="1"/>
    <col min="5149" max="5376" width="9.140625" style="55"/>
    <col min="5377" max="5377" width="0.7109375" style="55" customWidth="1"/>
    <col min="5378" max="5378" width="1.28515625" style="55" customWidth="1"/>
    <col min="5379" max="5379" width="3" style="55" customWidth="1"/>
    <col min="5380" max="5380" width="22.5703125" style="55" customWidth="1"/>
    <col min="5381" max="5381" width="1" style="55" customWidth="1"/>
    <col min="5382" max="5382" width="6.140625" style="55" customWidth="1"/>
    <col min="5383" max="5383" width="8.85546875" style="55" customWidth="1"/>
    <col min="5384" max="5384" width="5.5703125" style="55" customWidth="1"/>
    <col min="5385" max="5385" width="13.42578125" style="55" customWidth="1"/>
    <col min="5386" max="5386" width="7.42578125" style="55" customWidth="1"/>
    <col min="5387" max="5387" width="9.140625" style="55"/>
    <col min="5388" max="5388" width="18.7109375" style="55" customWidth="1"/>
    <col min="5389" max="5389" width="9.140625" style="55"/>
    <col min="5390" max="5390" width="12.7109375" style="55" customWidth="1"/>
    <col min="5391" max="5391" width="1.42578125" style="55" customWidth="1"/>
    <col min="5392" max="5392" width="2.85546875" style="55" customWidth="1"/>
    <col min="5393" max="5393" width="22" style="55" customWidth="1"/>
    <col min="5394" max="5394" width="1" style="55" customWidth="1"/>
    <col min="5395" max="5395" width="6.140625" style="55" customWidth="1"/>
    <col min="5396" max="5396" width="9" style="55" customWidth="1"/>
    <col min="5397" max="5397" width="5.5703125" style="55" customWidth="1"/>
    <col min="5398" max="5398" width="13.5703125" style="55" customWidth="1"/>
    <col min="5399" max="5399" width="7.42578125" style="55" customWidth="1"/>
    <col min="5400" max="5400" width="9.140625" style="55"/>
    <col min="5401" max="5401" width="18.7109375" style="55" customWidth="1"/>
    <col min="5402" max="5402" width="9.140625" style="55"/>
    <col min="5403" max="5403" width="10.85546875" style="55" customWidth="1"/>
    <col min="5404" max="5404" width="2.28515625" style="55" customWidth="1"/>
    <col min="5405" max="5632" width="9.140625" style="55"/>
    <col min="5633" max="5633" width="0.7109375" style="55" customWidth="1"/>
    <col min="5634" max="5634" width="1.28515625" style="55" customWidth="1"/>
    <col min="5635" max="5635" width="3" style="55" customWidth="1"/>
    <col min="5636" max="5636" width="22.5703125" style="55" customWidth="1"/>
    <col min="5637" max="5637" width="1" style="55" customWidth="1"/>
    <col min="5638" max="5638" width="6.140625" style="55" customWidth="1"/>
    <col min="5639" max="5639" width="8.85546875" style="55" customWidth="1"/>
    <col min="5640" max="5640" width="5.5703125" style="55" customWidth="1"/>
    <col min="5641" max="5641" width="13.42578125" style="55" customWidth="1"/>
    <col min="5642" max="5642" width="7.42578125" style="55" customWidth="1"/>
    <col min="5643" max="5643" width="9.140625" style="55"/>
    <col min="5644" max="5644" width="18.7109375" style="55" customWidth="1"/>
    <col min="5645" max="5645" width="9.140625" style="55"/>
    <col min="5646" max="5646" width="12.7109375" style="55" customWidth="1"/>
    <col min="5647" max="5647" width="1.42578125" style="55" customWidth="1"/>
    <col min="5648" max="5648" width="2.85546875" style="55" customWidth="1"/>
    <col min="5649" max="5649" width="22" style="55" customWidth="1"/>
    <col min="5650" max="5650" width="1" style="55" customWidth="1"/>
    <col min="5651" max="5651" width="6.140625" style="55" customWidth="1"/>
    <col min="5652" max="5652" width="9" style="55" customWidth="1"/>
    <col min="5653" max="5653" width="5.5703125" style="55" customWidth="1"/>
    <col min="5654" max="5654" width="13.5703125" style="55" customWidth="1"/>
    <col min="5655" max="5655" width="7.42578125" style="55" customWidth="1"/>
    <col min="5656" max="5656" width="9.140625" style="55"/>
    <col min="5657" max="5657" width="18.7109375" style="55" customWidth="1"/>
    <col min="5658" max="5658" width="9.140625" style="55"/>
    <col min="5659" max="5659" width="10.85546875" style="55" customWidth="1"/>
    <col min="5660" max="5660" width="2.28515625" style="55" customWidth="1"/>
    <col min="5661" max="5888" width="9.140625" style="55"/>
    <col min="5889" max="5889" width="0.7109375" style="55" customWidth="1"/>
    <col min="5890" max="5890" width="1.28515625" style="55" customWidth="1"/>
    <col min="5891" max="5891" width="3" style="55" customWidth="1"/>
    <col min="5892" max="5892" width="22.5703125" style="55" customWidth="1"/>
    <col min="5893" max="5893" width="1" style="55" customWidth="1"/>
    <col min="5894" max="5894" width="6.140625" style="55" customWidth="1"/>
    <col min="5895" max="5895" width="8.85546875" style="55" customWidth="1"/>
    <col min="5896" max="5896" width="5.5703125" style="55" customWidth="1"/>
    <col min="5897" max="5897" width="13.42578125" style="55" customWidth="1"/>
    <col min="5898" max="5898" width="7.42578125" style="55" customWidth="1"/>
    <col min="5899" max="5899" width="9.140625" style="55"/>
    <col min="5900" max="5900" width="18.7109375" style="55" customWidth="1"/>
    <col min="5901" max="5901" width="9.140625" style="55"/>
    <col min="5902" max="5902" width="12.7109375" style="55" customWidth="1"/>
    <col min="5903" max="5903" width="1.42578125" style="55" customWidth="1"/>
    <col min="5904" max="5904" width="2.85546875" style="55" customWidth="1"/>
    <col min="5905" max="5905" width="22" style="55" customWidth="1"/>
    <col min="5906" max="5906" width="1" style="55" customWidth="1"/>
    <col min="5907" max="5907" width="6.140625" style="55" customWidth="1"/>
    <col min="5908" max="5908" width="9" style="55" customWidth="1"/>
    <col min="5909" max="5909" width="5.5703125" style="55" customWidth="1"/>
    <col min="5910" max="5910" width="13.5703125" style="55" customWidth="1"/>
    <col min="5911" max="5911" width="7.42578125" style="55" customWidth="1"/>
    <col min="5912" max="5912" width="9.140625" style="55"/>
    <col min="5913" max="5913" width="18.7109375" style="55" customWidth="1"/>
    <col min="5914" max="5914" width="9.140625" style="55"/>
    <col min="5915" max="5915" width="10.85546875" style="55" customWidth="1"/>
    <col min="5916" max="5916" width="2.28515625" style="55" customWidth="1"/>
    <col min="5917" max="6144" width="9.140625" style="55"/>
    <col min="6145" max="6145" width="0.7109375" style="55" customWidth="1"/>
    <col min="6146" max="6146" width="1.28515625" style="55" customWidth="1"/>
    <col min="6147" max="6147" width="3" style="55" customWidth="1"/>
    <col min="6148" max="6148" width="22.5703125" style="55" customWidth="1"/>
    <col min="6149" max="6149" width="1" style="55" customWidth="1"/>
    <col min="6150" max="6150" width="6.140625" style="55" customWidth="1"/>
    <col min="6151" max="6151" width="8.85546875" style="55" customWidth="1"/>
    <col min="6152" max="6152" width="5.5703125" style="55" customWidth="1"/>
    <col min="6153" max="6153" width="13.42578125" style="55" customWidth="1"/>
    <col min="6154" max="6154" width="7.42578125" style="55" customWidth="1"/>
    <col min="6155" max="6155" width="9.140625" style="55"/>
    <col min="6156" max="6156" width="18.7109375" style="55" customWidth="1"/>
    <col min="6157" max="6157" width="9.140625" style="55"/>
    <col min="6158" max="6158" width="12.7109375" style="55" customWidth="1"/>
    <col min="6159" max="6159" width="1.42578125" style="55" customWidth="1"/>
    <col min="6160" max="6160" width="2.85546875" style="55" customWidth="1"/>
    <col min="6161" max="6161" width="22" style="55" customWidth="1"/>
    <col min="6162" max="6162" width="1" style="55" customWidth="1"/>
    <col min="6163" max="6163" width="6.140625" style="55" customWidth="1"/>
    <col min="6164" max="6164" width="9" style="55" customWidth="1"/>
    <col min="6165" max="6165" width="5.5703125" style="55" customWidth="1"/>
    <col min="6166" max="6166" width="13.5703125" style="55" customWidth="1"/>
    <col min="6167" max="6167" width="7.42578125" style="55" customWidth="1"/>
    <col min="6168" max="6168" width="9.140625" style="55"/>
    <col min="6169" max="6169" width="18.7109375" style="55" customWidth="1"/>
    <col min="6170" max="6170" width="9.140625" style="55"/>
    <col min="6171" max="6171" width="10.85546875" style="55" customWidth="1"/>
    <col min="6172" max="6172" width="2.28515625" style="55" customWidth="1"/>
    <col min="6173" max="6400" width="9.140625" style="55"/>
    <col min="6401" max="6401" width="0.7109375" style="55" customWidth="1"/>
    <col min="6402" max="6402" width="1.28515625" style="55" customWidth="1"/>
    <col min="6403" max="6403" width="3" style="55" customWidth="1"/>
    <col min="6404" max="6404" width="22.5703125" style="55" customWidth="1"/>
    <col min="6405" max="6405" width="1" style="55" customWidth="1"/>
    <col min="6406" max="6406" width="6.140625" style="55" customWidth="1"/>
    <col min="6407" max="6407" width="8.85546875" style="55" customWidth="1"/>
    <col min="6408" max="6408" width="5.5703125" style="55" customWidth="1"/>
    <col min="6409" max="6409" width="13.42578125" style="55" customWidth="1"/>
    <col min="6410" max="6410" width="7.42578125" style="55" customWidth="1"/>
    <col min="6411" max="6411" width="9.140625" style="55"/>
    <col min="6412" max="6412" width="18.7109375" style="55" customWidth="1"/>
    <col min="6413" max="6413" width="9.140625" style="55"/>
    <col min="6414" max="6414" width="12.7109375" style="55" customWidth="1"/>
    <col min="6415" max="6415" width="1.42578125" style="55" customWidth="1"/>
    <col min="6416" max="6416" width="2.85546875" style="55" customWidth="1"/>
    <col min="6417" max="6417" width="22" style="55" customWidth="1"/>
    <col min="6418" max="6418" width="1" style="55" customWidth="1"/>
    <col min="6419" max="6419" width="6.140625" style="55" customWidth="1"/>
    <col min="6420" max="6420" width="9" style="55" customWidth="1"/>
    <col min="6421" max="6421" width="5.5703125" style="55" customWidth="1"/>
    <col min="6422" max="6422" width="13.5703125" style="55" customWidth="1"/>
    <col min="6423" max="6423" width="7.42578125" style="55" customWidth="1"/>
    <col min="6424" max="6424" width="9.140625" style="55"/>
    <col min="6425" max="6425" width="18.7109375" style="55" customWidth="1"/>
    <col min="6426" max="6426" width="9.140625" style="55"/>
    <col min="6427" max="6427" width="10.85546875" style="55" customWidth="1"/>
    <col min="6428" max="6428" width="2.28515625" style="55" customWidth="1"/>
    <col min="6429" max="6656" width="9.140625" style="55"/>
    <col min="6657" max="6657" width="0.7109375" style="55" customWidth="1"/>
    <col min="6658" max="6658" width="1.28515625" style="55" customWidth="1"/>
    <col min="6659" max="6659" width="3" style="55" customWidth="1"/>
    <col min="6660" max="6660" width="22.5703125" style="55" customWidth="1"/>
    <col min="6661" max="6661" width="1" style="55" customWidth="1"/>
    <col min="6662" max="6662" width="6.140625" style="55" customWidth="1"/>
    <col min="6663" max="6663" width="8.85546875" style="55" customWidth="1"/>
    <col min="6664" max="6664" width="5.5703125" style="55" customWidth="1"/>
    <col min="6665" max="6665" width="13.42578125" style="55" customWidth="1"/>
    <col min="6666" max="6666" width="7.42578125" style="55" customWidth="1"/>
    <col min="6667" max="6667" width="9.140625" style="55"/>
    <col min="6668" max="6668" width="18.7109375" style="55" customWidth="1"/>
    <col min="6669" max="6669" width="9.140625" style="55"/>
    <col min="6670" max="6670" width="12.7109375" style="55" customWidth="1"/>
    <col min="6671" max="6671" width="1.42578125" style="55" customWidth="1"/>
    <col min="6672" max="6672" width="2.85546875" style="55" customWidth="1"/>
    <col min="6673" max="6673" width="22" style="55" customWidth="1"/>
    <col min="6674" max="6674" width="1" style="55" customWidth="1"/>
    <col min="6675" max="6675" width="6.140625" style="55" customWidth="1"/>
    <col min="6676" max="6676" width="9" style="55" customWidth="1"/>
    <col min="6677" max="6677" width="5.5703125" style="55" customWidth="1"/>
    <col min="6678" max="6678" width="13.5703125" style="55" customWidth="1"/>
    <col min="6679" max="6679" width="7.42578125" style="55" customWidth="1"/>
    <col min="6680" max="6680" width="9.140625" style="55"/>
    <col min="6681" max="6681" width="18.7109375" style="55" customWidth="1"/>
    <col min="6682" max="6682" width="9.140625" style="55"/>
    <col min="6683" max="6683" width="10.85546875" style="55" customWidth="1"/>
    <col min="6684" max="6684" width="2.28515625" style="55" customWidth="1"/>
    <col min="6685" max="6912" width="9.140625" style="55"/>
    <col min="6913" max="6913" width="0.7109375" style="55" customWidth="1"/>
    <col min="6914" max="6914" width="1.28515625" style="55" customWidth="1"/>
    <col min="6915" max="6915" width="3" style="55" customWidth="1"/>
    <col min="6916" max="6916" width="22.5703125" style="55" customWidth="1"/>
    <col min="6917" max="6917" width="1" style="55" customWidth="1"/>
    <col min="6918" max="6918" width="6.140625" style="55" customWidth="1"/>
    <col min="6919" max="6919" width="8.85546875" style="55" customWidth="1"/>
    <col min="6920" max="6920" width="5.5703125" style="55" customWidth="1"/>
    <col min="6921" max="6921" width="13.42578125" style="55" customWidth="1"/>
    <col min="6922" max="6922" width="7.42578125" style="55" customWidth="1"/>
    <col min="6923" max="6923" width="9.140625" style="55"/>
    <col min="6924" max="6924" width="18.7109375" style="55" customWidth="1"/>
    <col min="6925" max="6925" width="9.140625" style="55"/>
    <col min="6926" max="6926" width="12.7109375" style="55" customWidth="1"/>
    <col min="6927" max="6927" width="1.42578125" style="55" customWidth="1"/>
    <col min="6928" max="6928" width="2.85546875" style="55" customWidth="1"/>
    <col min="6929" max="6929" width="22" style="55" customWidth="1"/>
    <col min="6930" max="6930" width="1" style="55" customWidth="1"/>
    <col min="6931" max="6931" width="6.140625" style="55" customWidth="1"/>
    <col min="6932" max="6932" width="9" style="55" customWidth="1"/>
    <col min="6933" max="6933" width="5.5703125" style="55" customWidth="1"/>
    <col min="6934" max="6934" width="13.5703125" style="55" customWidth="1"/>
    <col min="6935" max="6935" width="7.42578125" style="55" customWidth="1"/>
    <col min="6936" max="6936" width="9.140625" style="55"/>
    <col min="6937" max="6937" width="18.7109375" style="55" customWidth="1"/>
    <col min="6938" max="6938" width="9.140625" style="55"/>
    <col min="6939" max="6939" width="10.85546875" style="55" customWidth="1"/>
    <col min="6940" max="6940" width="2.28515625" style="55" customWidth="1"/>
    <col min="6941" max="7168" width="9.140625" style="55"/>
    <col min="7169" max="7169" width="0.7109375" style="55" customWidth="1"/>
    <col min="7170" max="7170" width="1.28515625" style="55" customWidth="1"/>
    <col min="7171" max="7171" width="3" style="55" customWidth="1"/>
    <col min="7172" max="7172" width="22.5703125" style="55" customWidth="1"/>
    <col min="7173" max="7173" width="1" style="55" customWidth="1"/>
    <col min="7174" max="7174" width="6.140625" style="55" customWidth="1"/>
    <col min="7175" max="7175" width="8.85546875" style="55" customWidth="1"/>
    <col min="7176" max="7176" width="5.5703125" style="55" customWidth="1"/>
    <col min="7177" max="7177" width="13.42578125" style="55" customWidth="1"/>
    <col min="7178" max="7178" width="7.42578125" style="55" customWidth="1"/>
    <col min="7179" max="7179" width="9.140625" style="55"/>
    <col min="7180" max="7180" width="18.7109375" style="55" customWidth="1"/>
    <col min="7181" max="7181" width="9.140625" style="55"/>
    <col min="7182" max="7182" width="12.7109375" style="55" customWidth="1"/>
    <col min="7183" max="7183" width="1.42578125" style="55" customWidth="1"/>
    <col min="7184" max="7184" width="2.85546875" style="55" customWidth="1"/>
    <col min="7185" max="7185" width="22" style="55" customWidth="1"/>
    <col min="7186" max="7186" width="1" style="55" customWidth="1"/>
    <col min="7187" max="7187" width="6.140625" style="55" customWidth="1"/>
    <col min="7188" max="7188" width="9" style="55" customWidth="1"/>
    <col min="7189" max="7189" width="5.5703125" style="55" customWidth="1"/>
    <col min="7190" max="7190" width="13.5703125" style="55" customWidth="1"/>
    <col min="7191" max="7191" width="7.42578125" style="55" customWidth="1"/>
    <col min="7192" max="7192" width="9.140625" style="55"/>
    <col min="7193" max="7193" width="18.7109375" style="55" customWidth="1"/>
    <col min="7194" max="7194" width="9.140625" style="55"/>
    <col min="7195" max="7195" width="10.85546875" style="55" customWidth="1"/>
    <col min="7196" max="7196" width="2.28515625" style="55" customWidth="1"/>
    <col min="7197" max="7424" width="9.140625" style="55"/>
    <col min="7425" max="7425" width="0.7109375" style="55" customWidth="1"/>
    <col min="7426" max="7426" width="1.28515625" style="55" customWidth="1"/>
    <col min="7427" max="7427" width="3" style="55" customWidth="1"/>
    <col min="7428" max="7428" width="22.5703125" style="55" customWidth="1"/>
    <col min="7429" max="7429" width="1" style="55" customWidth="1"/>
    <col min="7430" max="7430" width="6.140625" style="55" customWidth="1"/>
    <col min="7431" max="7431" width="8.85546875" style="55" customWidth="1"/>
    <col min="7432" max="7432" width="5.5703125" style="55" customWidth="1"/>
    <col min="7433" max="7433" width="13.42578125" style="55" customWidth="1"/>
    <col min="7434" max="7434" width="7.42578125" style="55" customWidth="1"/>
    <col min="7435" max="7435" width="9.140625" style="55"/>
    <col min="7436" max="7436" width="18.7109375" style="55" customWidth="1"/>
    <col min="7437" max="7437" width="9.140625" style="55"/>
    <col min="7438" max="7438" width="12.7109375" style="55" customWidth="1"/>
    <col min="7439" max="7439" width="1.42578125" style="55" customWidth="1"/>
    <col min="7440" max="7440" width="2.85546875" style="55" customWidth="1"/>
    <col min="7441" max="7441" width="22" style="55" customWidth="1"/>
    <col min="7442" max="7442" width="1" style="55" customWidth="1"/>
    <col min="7443" max="7443" width="6.140625" style="55" customWidth="1"/>
    <col min="7444" max="7444" width="9" style="55" customWidth="1"/>
    <col min="7445" max="7445" width="5.5703125" style="55" customWidth="1"/>
    <col min="7446" max="7446" width="13.5703125" style="55" customWidth="1"/>
    <col min="7447" max="7447" width="7.42578125" style="55" customWidth="1"/>
    <col min="7448" max="7448" width="9.140625" style="55"/>
    <col min="7449" max="7449" width="18.7109375" style="55" customWidth="1"/>
    <col min="7450" max="7450" width="9.140625" style="55"/>
    <col min="7451" max="7451" width="10.85546875" style="55" customWidth="1"/>
    <col min="7452" max="7452" width="2.28515625" style="55" customWidth="1"/>
    <col min="7453" max="7680" width="9.140625" style="55"/>
    <col min="7681" max="7681" width="0.7109375" style="55" customWidth="1"/>
    <col min="7682" max="7682" width="1.28515625" style="55" customWidth="1"/>
    <col min="7683" max="7683" width="3" style="55" customWidth="1"/>
    <col min="7684" max="7684" width="22.5703125" style="55" customWidth="1"/>
    <col min="7685" max="7685" width="1" style="55" customWidth="1"/>
    <col min="7686" max="7686" width="6.140625" style="55" customWidth="1"/>
    <col min="7687" max="7687" width="8.85546875" style="55" customWidth="1"/>
    <col min="7688" max="7688" width="5.5703125" style="55" customWidth="1"/>
    <col min="7689" max="7689" width="13.42578125" style="55" customWidth="1"/>
    <col min="7690" max="7690" width="7.42578125" style="55" customWidth="1"/>
    <col min="7691" max="7691" width="9.140625" style="55"/>
    <col min="7692" max="7692" width="18.7109375" style="55" customWidth="1"/>
    <col min="7693" max="7693" width="9.140625" style="55"/>
    <col min="7694" max="7694" width="12.7109375" style="55" customWidth="1"/>
    <col min="7695" max="7695" width="1.42578125" style="55" customWidth="1"/>
    <col min="7696" max="7696" width="2.85546875" style="55" customWidth="1"/>
    <col min="7697" max="7697" width="22" style="55" customWidth="1"/>
    <col min="7698" max="7698" width="1" style="55" customWidth="1"/>
    <col min="7699" max="7699" width="6.140625" style="55" customWidth="1"/>
    <col min="7700" max="7700" width="9" style="55" customWidth="1"/>
    <col min="7701" max="7701" width="5.5703125" style="55" customWidth="1"/>
    <col min="7702" max="7702" width="13.5703125" style="55" customWidth="1"/>
    <col min="7703" max="7703" width="7.42578125" style="55" customWidth="1"/>
    <col min="7704" max="7704" width="9.140625" style="55"/>
    <col min="7705" max="7705" width="18.7109375" style="55" customWidth="1"/>
    <col min="7706" max="7706" width="9.140625" style="55"/>
    <col min="7707" max="7707" width="10.85546875" style="55" customWidth="1"/>
    <col min="7708" max="7708" width="2.28515625" style="55" customWidth="1"/>
    <col min="7709" max="7936" width="9.140625" style="55"/>
    <col min="7937" max="7937" width="0.7109375" style="55" customWidth="1"/>
    <col min="7938" max="7938" width="1.28515625" style="55" customWidth="1"/>
    <col min="7939" max="7939" width="3" style="55" customWidth="1"/>
    <col min="7940" max="7940" width="22.5703125" style="55" customWidth="1"/>
    <col min="7941" max="7941" width="1" style="55" customWidth="1"/>
    <col min="7942" max="7942" width="6.140625" style="55" customWidth="1"/>
    <col min="7943" max="7943" width="8.85546875" style="55" customWidth="1"/>
    <col min="7944" max="7944" width="5.5703125" style="55" customWidth="1"/>
    <col min="7945" max="7945" width="13.42578125" style="55" customWidth="1"/>
    <col min="7946" max="7946" width="7.42578125" style="55" customWidth="1"/>
    <col min="7947" max="7947" width="9.140625" style="55"/>
    <col min="7948" max="7948" width="18.7109375" style="55" customWidth="1"/>
    <col min="7949" max="7949" width="9.140625" style="55"/>
    <col min="7950" max="7950" width="12.7109375" style="55" customWidth="1"/>
    <col min="7951" max="7951" width="1.42578125" style="55" customWidth="1"/>
    <col min="7952" max="7952" width="2.85546875" style="55" customWidth="1"/>
    <col min="7953" max="7953" width="22" style="55" customWidth="1"/>
    <col min="7954" max="7954" width="1" style="55" customWidth="1"/>
    <col min="7955" max="7955" width="6.140625" style="55" customWidth="1"/>
    <col min="7956" max="7956" width="9" style="55" customWidth="1"/>
    <col min="7957" max="7957" width="5.5703125" style="55" customWidth="1"/>
    <col min="7958" max="7958" width="13.5703125" style="55" customWidth="1"/>
    <col min="7959" max="7959" width="7.42578125" style="55" customWidth="1"/>
    <col min="7960" max="7960" width="9.140625" style="55"/>
    <col min="7961" max="7961" width="18.7109375" style="55" customWidth="1"/>
    <col min="7962" max="7962" width="9.140625" style="55"/>
    <col min="7963" max="7963" width="10.85546875" style="55" customWidth="1"/>
    <col min="7964" max="7964" width="2.28515625" style="55" customWidth="1"/>
    <col min="7965" max="8192" width="9.140625" style="55"/>
    <col min="8193" max="8193" width="0.7109375" style="55" customWidth="1"/>
    <col min="8194" max="8194" width="1.28515625" style="55" customWidth="1"/>
    <col min="8195" max="8195" width="3" style="55" customWidth="1"/>
    <col min="8196" max="8196" width="22.5703125" style="55" customWidth="1"/>
    <col min="8197" max="8197" width="1" style="55" customWidth="1"/>
    <col min="8198" max="8198" width="6.140625" style="55" customWidth="1"/>
    <col min="8199" max="8199" width="8.85546875" style="55" customWidth="1"/>
    <col min="8200" max="8200" width="5.5703125" style="55" customWidth="1"/>
    <col min="8201" max="8201" width="13.42578125" style="55" customWidth="1"/>
    <col min="8202" max="8202" width="7.42578125" style="55" customWidth="1"/>
    <col min="8203" max="8203" width="9.140625" style="55"/>
    <col min="8204" max="8204" width="18.7109375" style="55" customWidth="1"/>
    <col min="8205" max="8205" width="9.140625" style="55"/>
    <col min="8206" max="8206" width="12.7109375" style="55" customWidth="1"/>
    <col min="8207" max="8207" width="1.42578125" style="55" customWidth="1"/>
    <col min="8208" max="8208" width="2.85546875" style="55" customWidth="1"/>
    <col min="8209" max="8209" width="22" style="55" customWidth="1"/>
    <col min="8210" max="8210" width="1" style="55" customWidth="1"/>
    <col min="8211" max="8211" width="6.140625" style="55" customWidth="1"/>
    <col min="8212" max="8212" width="9" style="55" customWidth="1"/>
    <col min="8213" max="8213" width="5.5703125" style="55" customWidth="1"/>
    <col min="8214" max="8214" width="13.5703125" style="55" customWidth="1"/>
    <col min="8215" max="8215" width="7.42578125" style="55" customWidth="1"/>
    <col min="8216" max="8216" width="9.140625" style="55"/>
    <col min="8217" max="8217" width="18.7109375" style="55" customWidth="1"/>
    <col min="8218" max="8218" width="9.140625" style="55"/>
    <col min="8219" max="8219" width="10.85546875" style="55" customWidth="1"/>
    <col min="8220" max="8220" width="2.28515625" style="55" customWidth="1"/>
    <col min="8221" max="8448" width="9.140625" style="55"/>
    <col min="8449" max="8449" width="0.7109375" style="55" customWidth="1"/>
    <col min="8450" max="8450" width="1.28515625" style="55" customWidth="1"/>
    <col min="8451" max="8451" width="3" style="55" customWidth="1"/>
    <col min="8452" max="8452" width="22.5703125" style="55" customWidth="1"/>
    <col min="8453" max="8453" width="1" style="55" customWidth="1"/>
    <col min="8454" max="8454" width="6.140625" style="55" customWidth="1"/>
    <col min="8455" max="8455" width="8.85546875" style="55" customWidth="1"/>
    <col min="8456" max="8456" width="5.5703125" style="55" customWidth="1"/>
    <col min="8457" max="8457" width="13.42578125" style="55" customWidth="1"/>
    <col min="8458" max="8458" width="7.42578125" style="55" customWidth="1"/>
    <col min="8459" max="8459" width="9.140625" style="55"/>
    <col min="8460" max="8460" width="18.7109375" style="55" customWidth="1"/>
    <col min="8461" max="8461" width="9.140625" style="55"/>
    <col min="8462" max="8462" width="12.7109375" style="55" customWidth="1"/>
    <col min="8463" max="8463" width="1.42578125" style="55" customWidth="1"/>
    <col min="8464" max="8464" width="2.85546875" style="55" customWidth="1"/>
    <col min="8465" max="8465" width="22" style="55" customWidth="1"/>
    <col min="8466" max="8466" width="1" style="55" customWidth="1"/>
    <col min="8467" max="8467" width="6.140625" style="55" customWidth="1"/>
    <col min="8468" max="8468" width="9" style="55" customWidth="1"/>
    <col min="8469" max="8469" width="5.5703125" style="55" customWidth="1"/>
    <col min="8470" max="8470" width="13.5703125" style="55" customWidth="1"/>
    <col min="8471" max="8471" width="7.42578125" style="55" customWidth="1"/>
    <col min="8472" max="8472" width="9.140625" style="55"/>
    <col min="8473" max="8473" width="18.7109375" style="55" customWidth="1"/>
    <col min="8474" max="8474" width="9.140625" style="55"/>
    <col min="8475" max="8475" width="10.85546875" style="55" customWidth="1"/>
    <col min="8476" max="8476" width="2.28515625" style="55" customWidth="1"/>
    <col min="8477" max="8704" width="9.140625" style="55"/>
    <col min="8705" max="8705" width="0.7109375" style="55" customWidth="1"/>
    <col min="8706" max="8706" width="1.28515625" style="55" customWidth="1"/>
    <col min="8707" max="8707" width="3" style="55" customWidth="1"/>
    <col min="8708" max="8708" width="22.5703125" style="55" customWidth="1"/>
    <col min="8709" max="8709" width="1" style="55" customWidth="1"/>
    <col min="8710" max="8710" width="6.140625" style="55" customWidth="1"/>
    <col min="8711" max="8711" width="8.85546875" style="55" customWidth="1"/>
    <col min="8712" max="8712" width="5.5703125" style="55" customWidth="1"/>
    <col min="8713" max="8713" width="13.42578125" style="55" customWidth="1"/>
    <col min="8714" max="8714" width="7.42578125" style="55" customWidth="1"/>
    <col min="8715" max="8715" width="9.140625" style="55"/>
    <col min="8716" max="8716" width="18.7109375" style="55" customWidth="1"/>
    <col min="8717" max="8717" width="9.140625" style="55"/>
    <col min="8718" max="8718" width="12.7109375" style="55" customWidth="1"/>
    <col min="8719" max="8719" width="1.42578125" style="55" customWidth="1"/>
    <col min="8720" max="8720" width="2.85546875" style="55" customWidth="1"/>
    <col min="8721" max="8721" width="22" style="55" customWidth="1"/>
    <col min="8722" max="8722" width="1" style="55" customWidth="1"/>
    <col min="8723" max="8723" width="6.140625" style="55" customWidth="1"/>
    <col min="8724" max="8724" width="9" style="55" customWidth="1"/>
    <col min="8725" max="8725" width="5.5703125" style="55" customWidth="1"/>
    <col min="8726" max="8726" width="13.5703125" style="55" customWidth="1"/>
    <col min="8727" max="8727" width="7.42578125" style="55" customWidth="1"/>
    <col min="8728" max="8728" width="9.140625" style="55"/>
    <col min="8729" max="8729" width="18.7109375" style="55" customWidth="1"/>
    <col min="8730" max="8730" width="9.140625" style="55"/>
    <col min="8731" max="8731" width="10.85546875" style="55" customWidth="1"/>
    <col min="8732" max="8732" width="2.28515625" style="55" customWidth="1"/>
    <col min="8733" max="8960" width="9.140625" style="55"/>
    <col min="8961" max="8961" width="0.7109375" style="55" customWidth="1"/>
    <col min="8962" max="8962" width="1.28515625" style="55" customWidth="1"/>
    <col min="8963" max="8963" width="3" style="55" customWidth="1"/>
    <col min="8964" max="8964" width="22.5703125" style="55" customWidth="1"/>
    <col min="8965" max="8965" width="1" style="55" customWidth="1"/>
    <col min="8966" max="8966" width="6.140625" style="55" customWidth="1"/>
    <col min="8967" max="8967" width="8.85546875" style="55" customWidth="1"/>
    <col min="8968" max="8968" width="5.5703125" style="55" customWidth="1"/>
    <col min="8969" max="8969" width="13.42578125" style="55" customWidth="1"/>
    <col min="8970" max="8970" width="7.42578125" style="55" customWidth="1"/>
    <col min="8971" max="8971" width="9.140625" style="55"/>
    <col min="8972" max="8972" width="18.7109375" style="55" customWidth="1"/>
    <col min="8973" max="8973" width="9.140625" style="55"/>
    <col min="8974" max="8974" width="12.7109375" style="55" customWidth="1"/>
    <col min="8975" max="8975" width="1.42578125" style="55" customWidth="1"/>
    <col min="8976" max="8976" width="2.85546875" style="55" customWidth="1"/>
    <col min="8977" max="8977" width="22" style="55" customWidth="1"/>
    <col min="8978" max="8978" width="1" style="55" customWidth="1"/>
    <col min="8979" max="8979" width="6.140625" style="55" customWidth="1"/>
    <col min="8980" max="8980" width="9" style="55" customWidth="1"/>
    <col min="8981" max="8981" width="5.5703125" style="55" customWidth="1"/>
    <col min="8982" max="8982" width="13.5703125" style="55" customWidth="1"/>
    <col min="8983" max="8983" width="7.42578125" style="55" customWidth="1"/>
    <col min="8984" max="8984" width="9.140625" style="55"/>
    <col min="8985" max="8985" width="18.7109375" style="55" customWidth="1"/>
    <col min="8986" max="8986" width="9.140625" style="55"/>
    <col min="8987" max="8987" width="10.85546875" style="55" customWidth="1"/>
    <col min="8988" max="8988" width="2.28515625" style="55" customWidth="1"/>
    <col min="8989" max="9216" width="9.140625" style="55"/>
    <col min="9217" max="9217" width="0.7109375" style="55" customWidth="1"/>
    <col min="9218" max="9218" width="1.28515625" style="55" customWidth="1"/>
    <col min="9219" max="9219" width="3" style="55" customWidth="1"/>
    <col min="9220" max="9220" width="22.5703125" style="55" customWidth="1"/>
    <col min="9221" max="9221" width="1" style="55" customWidth="1"/>
    <col min="9222" max="9222" width="6.140625" style="55" customWidth="1"/>
    <col min="9223" max="9223" width="8.85546875" style="55" customWidth="1"/>
    <col min="9224" max="9224" width="5.5703125" style="55" customWidth="1"/>
    <col min="9225" max="9225" width="13.42578125" style="55" customWidth="1"/>
    <col min="9226" max="9226" width="7.42578125" style="55" customWidth="1"/>
    <col min="9227" max="9227" width="9.140625" style="55"/>
    <col min="9228" max="9228" width="18.7109375" style="55" customWidth="1"/>
    <col min="9229" max="9229" width="9.140625" style="55"/>
    <col min="9230" max="9230" width="12.7109375" style="55" customWidth="1"/>
    <col min="9231" max="9231" width="1.42578125" style="55" customWidth="1"/>
    <col min="9232" max="9232" width="2.85546875" style="55" customWidth="1"/>
    <col min="9233" max="9233" width="22" style="55" customWidth="1"/>
    <col min="9234" max="9234" width="1" style="55" customWidth="1"/>
    <col min="9235" max="9235" width="6.140625" style="55" customWidth="1"/>
    <col min="9236" max="9236" width="9" style="55" customWidth="1"/>
    <col min="9237" max="9237" width="5.5703125" style="55" customWidth="1"/>
    <col min="9238" max="9238" width="13.5703125" style="55" customWidth="1"/>
    <col min="9239" max="9239" width="7.42578125" style="55" customWidth="1"/>
    <col min="9240" max="9240" width="9.140625" style="55"/>
    <col min="9241" max="9241" width="18.7109375" style="55" customWidth="1"/>
    <col min="9242" max="9242" width="9.140625" style="55"/>
    <col min="9243" max="9243" width="10.85546875" style="55" customWidth="1"/>
    <col min="9244" max="9244" width="2.28515625" style="55" customWidth="1"/>
    <col min="9245" max="9472" width="9.140625" style="55"/>
    <col min="9473" max="9473" width="0.7109375" style="55" customWidth="1"/>
    <col min="9474" max="9474" width="1.28515625" style="55" customWidth="1"/>
    <col min="9475" max="9475" width="3" style="55" customWidth="1"/>
    <col min="9476" max="9476" width="22.5703125" style="55" customWidth="1"/>
    <col min="9477" max="9477" width="1" style="55" customWidth="1"/>
    <col min="9478" max="9478" width="6.140625" style="55" customWidth="1"/>
    <col min="9479" max="9479" width="8.85546875" style="55" customWidth="1"/>
    <col min="9480" max="9480" width="5.5703125" style="55" customWidth="1"/>
    <col min="9481" max="9481" width="13.42578125" style="55" customWidth="1"/>
    <col min="9482" max="9482" width="7.42578125" style="55" customWidth="1"/>
    <col min="9483" max="9483" width="9.140625" style="55"/>
    <col min="9484" max="9484" width="18.7109375" style="55" customWidth="1"/>
    <col min="9485" max="9485" width="9.140625" style="55"/>
    <col min="9486" max="9486" width="12.7109375" style="55" customWidth="1"/>
    <col min="9487" max="9487" width="1.42578125" style="55" customWidth="1"/>
    <col min="9488" max="9488" width="2.85546875" style="55" customWidth="1"/>
    <col min="9489" max="9489" width="22" style="55" customWidth="1"/>
    <col min="9490" max="9490" width="1" style="55" customWidth="1"/>
    <col min="9491" max="9491" width="6.140625" style="55" customWidth="1"/>
    <col min="9492" max="9492" width="9" style="55" customWidth="1"/>
    <col min="9493" max="9493" width="5.5703125" style="55" customWidth="1"/>
    <col min="9494" max="9494" width="13.5703125" style="55" customWidth="1"/>
    <col min="9495" max="9495" width="7.42578125" style="55" customWidth="1"/>
    <col min="9496" max="9496" width="9.140625" style="55"/>
    <col min="9497" max="9497" width="18.7109375" style="55" customWidth="1"/>
    <col min="9498" max="9498" width="9.140625" style="55"/>
    <col min="9499" max="9499" width="10.85546875" style="55" customWidth="1"/>
    <col min="9500" max="9500" width="2.28515625" style="55" customWidth="1"/>
    <col min="9501" max="9728" width="9.140625" style="55"/>
    <col min="9729" max="9729" width="0.7109375" style="55" customWidth="1"/>
    <col min="9730" max="9730" width="1.28515625" style="55" customWidth="1"/>
    <col min="9731" max="9731" width="3" style="55" customWidth="1"/>
    <col min="9732" max="9732" width="22.5703125" style="55" customWidth="1"/>
    <col min="9733" max="9733" width="1" style="55" customWidth="1"/>
    <col min="9734" max="9734" width="6.140625" style="55" customWidth="1"/>
    <col min="9735" max="9735" width="8.85546875" style="55" customWidth="1"/>
    <col min="9736" max="9736" width="5.5703125" style="55" customWidth="1"/>
    <col min="9737" max="9737" width="13.42578125" style="55" customWidth="1"/>
    <col min="9738" max="9738" width="7.42578125" style="55" customWidth="1"/>
    <col min="9739" max="9739" width="9.140625" style="55"/>
    <col min="9740" max="9740" width="18.7109375" style="55" customWidth="1"/>
    <col min="9741" max="9741" width="9.140625" style="55"/>
    <col min="9742" max="9742" width="12.7109375" style="55" customWidth="1"/>
    <col min="9743" max="9743" width="1.42578125" style="55" customWidth="1"/>
    <col min="9744" max="9744" width="2.85546875" style="55" customWidth="1"/>
    <col min="9745" max="9745" width="22" style="55" customWidth="1"/>
    <col min="9746" max="9746" width="1" style="55" customWidth="1"/>
    <col min="9747" max="9747" width="6.140625" style="55" customWidth="1"/>
    <col min="9748" max="9748" width="9" style="55" customWidth="1"/>
    <col min="9749" max="9749" width="5.5703125" style="55" customWidth="1"/>
    <col min="9750" max="9750" width="13.5703125" style="55" customWidth="1"/>
    <col min="9751" max="9751" width="7.42578125" style="55" customWidth="1"/>
    <col min="9752" max="9752" width="9.140625" style="55"/>
    <col min="9753" max="9753" width="18.7109375" style="55" customWidth="1"/>
    <col min="9754" max="9754" width="9.140625" style="55"/>
    <col min="9755" max="9755" width="10.85546875" style="55" customWidth="1"/>
    <col min="9756" max="9756" width="2.28515625" style="55" customWidth="1"/>
    <col min="9757" max="9984" width="9.140625" style="55"/>
    <col min="9985" max="9985" width="0.7109375" style="55" customWidth="1"/>
    <col min="9986" max="9986" width="1.28515625" style="55" customWidth="1"/>
    <col min="9987" max="9987" width="3" style="55" customWidth="1"/>
    <col min="9988" max="9988" width="22.5703125" style="55" customWidth="1"/>
    <col min="9989" max="9989" width="1" style="55" customWidth="1"/>
    <col min="9990" max="9990" width="6.140625" style="55" customWidth="1"/>
    <col min="9991" max="9991" width="8.85546875" style="55" customWidth="1"/>
    <col min="9992" max="9992" width="5.5703125" style="55" customWidth="1"/>
    <col min="9993" max="9993" width="13.42578125" style="55" customWidth="1"/>
    <col min="9994" max="9994" width="7.42578125" style="55" customWidth="1"/>
    <col min="9995" max="9995" width="9.140625" style="55"/>
    <col min="9996" max="9996" width="18.7109375" style="55" customWidth="1"/>
    <col min="9997" max="9997" width="9.140625" style="55"/>
    <col min="9998" max="9998" width="12.7109375" style="55" customWidth="1"/>
    <col min="9999" max="9999" width="1.42578125" style="55" customWidth="1"/>
    <col min="10000" max="10000" width="2.85546875" style="55" customWidth="1"/>
    <col min="10001" max="10001" width="22" style="55" customWidth="1"/>
    <col min="10002" max="10002" width="1" style="55" customWidth="1"/>
    <col min="10003" max="10003" width="6.140625" style="55" customWidth="1"/>
    <col min="10004" max="10004" width="9" style="55" customWidth="1"/>
    <col min="10005" max="10005" width="5.5703125" style="55" customWidth="1"/>
    <col min="10006" max="10006" width="13.5703125" style="55" customWidth="1"/>
    <col min="10007" max="10007" width="7.42578125" style="55" customWidth="1"/>
    <col min="10008" max="10008" width="9.140625" style="55"/>
    <col min="10009" max="10009" width="18.7109375" style="55" customWidth="1"/>
    <col min="10010" max="10010" width="9.140625" style="55"/>
    <col min="10011" max="10011" width="10.85546875" style="55" customWidth="1"/>
    <col min="10012" max="10012" width="2.28515625" style="55" customWidth="1"/>
    <col min="10013" max="10240" width="9.140625" style="55"/>
    <col min="10241" max="10241" width="0.7109375" style="55" customWidth="1"/>
    <col min="10242" max="10242" width="1.28515625" style="55" customWidth="1"/>
    <col min="10243" max="10243" width="3" style="55" customWidth="1"/>
    <col min="10244" max="10244" width="22.5703125" style="55" customWidth="1"/>
    <col min="10245" max="10245" width="1" style="55" customWidth="1"/>
    <col min="10246" max="10246" width="6.140625" style="55" customWidth="1"/>
    <col min="10247" max="10247" width="8.85546875" style="55" customWidth="1"/>
    <col min="10248" max="10248" width="5.5703125" style="55" customWidth="1"/>
    <col min="10249" max="10249" width="13.42578125" style="55" customWidth="1"/>
    <col min="10250" max="10250" width="7.42578125" style="55" customWidth="1"/>
    <col min="10251" max="10251" width="9.140625" style="55"/>
    <col min="10252" max="10252" width="18.7109375" style="55" customWidth="1"/>
    <col min="10253" max="10253" width="9.140625" style="55"/>
    <col min="10254" max="10254" width="12.7109375" style="55" customWidth="1"/>
    <col min="10255" max="10255" width="1.42578125" style="55" customWidth="1"/>
    <col min="10256" max="10256" width="2.85546875" style="55" customWidth="1"/>
    <col min="10257" max="10257" width="22" style="55" customWidth="1"/>
    <col min="10258" max="10258" width="1" style="55" customWidth="1"/>
    <col min="10259" max="10259" width="6.140625" style="55" customWidth="1"/>
    <col min="10260" max="10260" width="9" style="55" customWidth="1"/>
    <col min="10261" max="10261" width="5.5703125" style="55" customWidth="1"/>
    <col min="10262" max="10262" width="13.5703125" style="55" customWidth="1"/>
    <col min="10263" max="10263" width="7.42578125" style="55" customWidth="1"/>
    <col min="10264" max="10264" width="9.140625" style="55"/>
    <col min="10265" max="10265" width="18.7109375" style="55" customWidth="1"/>
    <col min="10266" max="10266" width="9.140625" style="55"/>
    <col min="10267" max="10267" width="10.85546875" style="55" customWidth="1"/>
    <col min="10268" max="10268" width="2.28515625" style="55" customWidth="1"/>
    <col min="10269" max="10496" width="9.140625" style="55"/>
    <col min="10497" max="10497" width="0.7109375" style="55" customWidth="1"/>
    <col min="10498" max="10498" width="1.28515625" style="55" customWidth="1"/>
    <col min="10499" max="10499" width="3" style="55" customWidth="1"/>
    <col min="10500" max="10500" width="22.5703125" style="55" customWidth="1"/>
    <col min="10501" max="10501" width="1" style="55" customWidth="1"/>
    <col min="10502" max="10502" width="6.140625" style="55" customWidth="1"/>
    <col min="10503" max="10503" width="8.85546875" style="55" customWidth="1"/>
    <col min="10504" max="10504" width="5.5703125" style="55" customWidth="1"/>
    <col min="10505" max="10505" width="13.42578125" style="55" customWidth="1"/>
    <col min="10506" max="10506" width="7.42578125" style="55" customWidth="1"/>
    <col min="10507" max="10507" width="9.140625" style="55"/>
    <col min="10508" max="10508" width="18.7109375" style="55" customWidth="1"/>
    <col min="10509" max="10509" width="9.140625" style="55"/>
    <col min="10510" max="10510" width="12.7109375" style="55" customWidth="1"/>
    <col min="10511" max="10511" width="1.42578125" style="55" customWidth="1"/>
    <col min="10512" max="10512" width="2.85546875" style="55" customWidth="1"/>
    <col min="10513" max="10513" width="22" style="55" customWidth="1"/>
    <col min="10514" max="10514" width="1" style="55" customWidth="1"/>
    <col min="10515" max="10515" width="6.140625" style="55" customWidth="1"/>
    <col min="10516" max="10516" width="9" style="55" customWidth="1"/>
    <col min="10517" max="10517" width="5.5703125" style="55" customWidth="1"/>
    <col min="10518" max="10518" width="13.5703125" style="55" customWidth="1"/>
    <col min="10519" max="10519" width="7.42578125" style="55" customWidth="1"/>
    <col min="10520" max="10520" width="9.140625" style="55"/>
    <col min="10521" max="10521" width="18.7109375" style="55" customWidth="1"/>
    <col min="10522" max="10522" width="9.140625" style="55"/>
    <col min="10523" max="10523" width="10.85546875" style="55" customWidth="1"/>
    <col min="10524" max="10524" width="2.28515625" style="55" customWidth="1"/>
    <col min="10525" max="10752" width="9.140625" style="55"/>
    <col min="10753" max="10753" width="0.7109375" style="55" customWidth="1"/>
    <col min="10754" max="10754" width="1.28515625" style="55" customWidth="1"/>
    <col min="10755" max="10755" width="3" style="55" customWidth="1"/>
    <col min="10756" max="10756" width="22.5703125" style="55" customWidth="1"/>
    <col min="10757" max="10757" width="1" style="55" customWidth="1"/>
    <col min="10758" max="10758" width="6.140625" style="55" customWidth="1"/>
    <col min="10759" max="10759" width="8.85546875" style="55" customWidth="1"/>
    <col min="10760" max="10760" width="5.5703125" style="55" customWidth="1"/>
    <col min="10761" max="10761" width="13.42578125" style="55" customWidth="1"/>
    <col min="10762" max="10762" width="7.42578125" style="55" customWidth="1"/>
    <col min="10763" max="10763" width="9.140625" style="55"/>
    <col min="10764" max="10764" width="18.7109375" style="55" customWidth="1"/>
    <col min="10765" max="10765" width="9.140625" style="55"/>
    <col min="10766" max="10766" width="12.7109375" style="55" customWidth="1"/>
    <col min="10767" max="10767" width="1.42578125" style="55" customWidth="1"/>
    <col min="10768" max="10768" width="2.85546875" style="55" customWidth="1"/>
    <col min="10769" max="10769" width="22" style="55" customWidth="1"/>
    <col min="10770" max="10770" width="1" style="55" customWidth="1"/>
    <col min="10771" max="10771" width="6.140625" style="55" customWidth="1"/>
    <col min="10772" max="10772" width="9" style="55" customWidth="1"/>
    <col min="10773" max="10773" width="5.5703125" style="55" customWidth="1"/>
    <col min="10774" max="10774" width="13.5703125" style="55" customWidth="1"/>
    <col min="10775" max="10775" width="7.42578125" style="55" customWidth="1"/>
    <col min="10776" max="10776" width="9.140625" style="55"/>
    <col min="10777" max="10777" width="18.7109375" style="55" customWidth="1"/>
    <col min="10778" max="10778" width="9.140625" style="55"/>
    <col min="10779" max="10779" width="10.85546875" style="55" customWidth="1"/>
    <col min="10780" max="10780" width="2.28515625" style="55" customWidth="1"/>
    <col min="10781" max="11008" width="9.140625" style="55"/>
    <col min="11009" max="11009" width="0.7109375" style="55" customWidth="1"/>
    <col min="11010" max="11010" width="1.28515625" style="55" customWidth="1"/>
    <col min="11011" max="11011" width="3" style="55" customWidth="1"/>
    <col min="11012" max="11012" width="22.5703125" style="55" customWidth="1"/>
    <col min="11013" max="11013" width="1" style="55" customWidth="1"/>
    <col min="11014" max="11014" width="6.140625" style="55" customWidth="1"/>
    <col min="11015" max="11015" width="8.85546875" style="55" customWidth="1"/>
    <col min="11016" max="11016" width="5.5703125" style="55" customWidth="1"/>
    <col min="11017" max="11017" width="13.42578125" style="55" customWidth="1"/>
    <col min="11018" max="11018" width="7.42578125" style="55" customWidth="1"/>
    <col min="11019" max="11019" width="9.140625" style="55"/>
    <col min="11020" max="11020" width="18.7109375" style="55" customWidth="1"/>
    <col min="11021" max="11021" width="9.140625" style="55"/>
    <col min="11022" max="11022" width="12.7109375" style="55" customWidth="1"/>
    <col min="11023" max="11023" width="1.42578125" style="55" customWidth="1"/>
    <col min="11024" max="11024" width="2.85546875" style="55" customWidth="1"/>
    <col min="11025" max="11025" width="22" style="55" customWidth="1"/>
    <col min="11026" max="11026" width="1" style="55" customWidth="1"/>
    <col min="11027" max="11027" width="6.140625" style="55" customWidth="1"/>
    <col min="11028" max="11028" width="9" style="55" customWidth="1"/>
    <col min="11029" max="11029" width="5.5703125" style="55" customWidth="1"/>
    <col min="11030" max="11030" width="13.5703125" style="55" customWidth="1"/>
    <col min="11031" max="11031" width="7.42578125" style="55" customWidth="1"/>
    <col min="11032" max="11032" width="9.140625" style="55"/>
    <col min="11033" max="11033" width="18.7109375" style="55" customWidth="1"/>
    <col min="11034" max="11034" width="9.140625" style="55"/>
    <col min="11035" max="11035" width="10.85546875" style="55" customWidth="1"/>
    <col min="11036" max="11036" width="2.28515625" style="55" customWidth="1"/>
    <col min="11037" max="11264" width="9.140625" style="55"/>
    <col min="11265" max="11265" width="0.7109375" style="55" customWidth="1"/>
    <col min="11266" max="11266" width="1.28515625" style="55" customWidth="1"/>
    <col min="11267" max="11267" width="3" style="55" customWidth="1"/>
    <col min="11268" max="11268" width="22.5703125" style="55" customWidth="1"/>
    <col min="11269" max="11269" width="1" style="55" customWidth="1"/>
    <col min="11270" max="11270" width="6.140625" style="55" customWidth="1"/>
    <col min="11271" max="11271" width="8.85546875" style="55" customWidth="1"/>
    <col min="11272" max="11272" width="5.5703125" style="55" customWidth="1"/>
    <col min="11273" max="11273" width="13.42578125" style="55" customWidth="1"/>
    <col min="11274" max="11274" width="7.42578125" style="55" customWidth="1"/>
    <col min="11275" max="11275" width="9.140625" style="55"/>
    <col min="11276" max="11276" width="18.7109375" style="55" customWidth="1"/>
    <col min="11277" max="11277" width="9.140625" style="55"/>
    <col min="11278" max="11278" width="12.7109375" style="55" customWidth="1"/>
    <col min="11279" max="11279" width="1.42578125" style="55" customWidth="1"/>
    <col min="11280" max="11280" width="2.85546875" style="55" customWidth="1"/>
    <col min="11281" max="11281" width="22" style="55" customWidth="1"/>
    <col min="11282" max="11282" width="1" style="55" customWidth="1"/>
    <col min="11283" max="11283" width="6.140625" style="55" customWidth="1"/>
    <col min="11284" max="11284" width="9" style="55" customWidth="1"/>
    <col min="11285" max="11285" width="5.5703125" style="55" customWidth="1"/>
    <col min="11286" max="11286" width="13.5703125" style="55" customWidth="1"/>
    <col min="11287" max="11287" width="7.42578125" style="55" customWidth="1"/>
    <col min="11288" max="11288" width="9.140625" style="55"/>
    <col min="11289" max="11289" width="18.7109375" style="55" customWidth="1"/>
    <col min="11290" max="11290" width="9.140625" style="55"/>
    <col min="11291" max="11291" width="10.85546875" style="55" customWidth="1"/>
    <col min="11292" max="11292" width="2.28515625" style="55" customWidth="1"/>
    <col min="11293" max="11520" width="9.140625" style="55"/>
    <col min="11521" max="11521" width="0.7109375" style="55" customWidth="1"/>
    <col min="11522" max="11522" width="1.28515625" style="55" customWidth="1"/>
    <col min="11523" max="11523" width="3" style="55" customWidth="1"/>
    <col min="11524" max="11524" width="22.5703125" style="55" customWidth="1"/>
    <col min="11525" max="11525" width="1" style="55" customWidth="1"/>
    <col min="11526" max="11526" width="6.140625" style="55" customWidth="1"/>
    <col min="11527" max="11527" width="8.85546875" style="55" customWidth="1"/>
    <col min="11528" max="11528" width="5.5703125" style="55" customWidth="1"/>
    <col min="11529" max="11529" width="13.42578125" style="55" customWidth="1"/>
    <col min="11530" max="11530" width="7.42578125" style="55" customWidth="1"/>
    <col min="11531" max="11531" width="9.140625" style="55"/>
    <col min="11532" max="11532" width="18.7109375" style="55" customWidth="1"/>
    <col min="11533" max="11533" width="9.140625" style="55"/>
    <col min="11534" max="11534" width="12.7109375" style="55" customWidth="1"/>
    <col min="11535" max="11535" width="1.42578125" style="55" customWidth="1"/>
    <col min="11536" max="11536" width="2.85546875" style="55" customWidth="1"/>
    <col min="11537" max="11537" width="22" style="55" customWidth="1"/>
    <col min="11538" max="11538" width="1" style="55" customWidth="1"/>
    <col min="11539" max="11539" width="6.140625" style="55" customWidth="1"/>
    <col min="11540" max="11540" width="9" style="55" customWidth="1"/>
    <col min="11541" max="11541" width="5.5703125" style="55" customWidth="1"/>
    <col min="11542" max="11542" width="13.5703125" style="55" customWidth="1"/>
    <col min="11543" max="11543" width="7.42578125" style="55" customWidth="1"/>
    <col min="11544" max="11544" width="9.140625" style="55"/>
    <col min="11545" max="11545" width="18.7109375" style="55" customWidth="1"/>
    <col min="11546" max="11546" width="9.140625" style="55"/>
    <col min="11547" max="11547" width="10.85546875" style="55" customWidth="1"/>
    <col min="11548" max="11548" width="2.28515625" style="55" customWidth="1"/>
    <col min="11549" max="11776" width="9.140625" style="55"/>
    <col min="11777" max="11777" width="0.7109375" style="55" customWidth="1"/>
    <col min="11778" max="11778" width="1.28515625" style="55" customWidth="1"/>
    <col min="11779" max="11779" width="3" style="55" customWidth="1"/>
    <col min="11780" max="11780" width="22.5703125" style="55" customWidth="1"/>
    <col min="11781" max="11781" width="1" style="55" customWidth="1"/>
    <col min="11782" max="11782" width="6.140625" style="55" customWidth="1"/>
    <col min="11783" max="11783" width="8.85546875" style="55" customWidth="1"/>
    <col min="11784" max="11784" width="5.5703125" style="55" customWidth="1"/>
    <col min="11785" max="11785" width="13.42578125" style="55" customWidth="1"/>
    <col min="11786" max="11786" width="7.42578125" style="55" customWidth="1"/>
    <col min="11787" max="11787" width="9.140625" style="55"/>
    <col min="11788" max="11788" width="18.7109375" style="55" customWidth="1"/>
    <col min="11789" max="11789" width="9.140625" style="55"/>
    <col min="11790" max="11790" width="12.7109375" style="55" customWidth="1"/>
    <col min="11791" max="11791" width="1.42578125" style="55" customWidth="1"/>
    <col min="11792" max="11792" width="2.85546875" style="55" customWidth="1"/>
    <col min="11793" max="11793" width="22" style="55" customWidth="1"/>
    <col min="11794" max="11794" width="1" style="55" customWidth="1"/>
    <col min="11795" max="11795" width="6.140625" style="55" customWidth="1"/>
    <col min="11796" max="11796" width="9" style="55" customWidth="1"/>
    <col min="11797" max="11797" width="5.5703125" style="55" customWidth="1"/>
    <col min="11798" max="11798" width="13.5703125" style="55" customWidth="1"/>
    <col min="11799" max="11799" width="7.42578125" style="55" customWidth="1"/>
    <col min="11800" max="11800" width="9.140625" style="55"/>
    <col min="11801" max="11801" width="18.7109375" style="55" customWidth="1"/>
    <col min="11802" max="11802" width="9.140625" style="55"/>
    <col min="11803" max="11803" width="10.85546875" style="55" customWidth="1"/>
    <col min="11804" max="11804" width="2.28515625" style="55" customWidth="1"/>
    <col min="11805" max="12032" width="9.140625" style="55"/>
    <col min="12033" max="12033" width="0.7109375" style="55" customWidth="1"/>
    <col min="12034" max="12034" width="1.28515625" style="55" customWidth="1"/>
    <col min="12035" max="12035" width="3" style="55" customWidth="1"/>
    <col min="12036" max="12036" width="22.5703125" style="55" customWidth="1"/>
    <col min="12037" max="12037" width="1" style="55" customWidth="1"/>
    <col min="12038" max="12038" width="6.140625" style="55" customWidth="1"/>
    <col min="12039" max="12039" width="8.85546875" style="55" customWidth="1"/>
    <col min="12040" max="12040" width="5.5703125" style="55" customWidth="1"/>
    <col min="12041" max="12041" width="13.42578125" style="55" customWidth="1"/>
    <col min="12042" max="12042" width="7.42578125" style="55" customWidth="1"/>
    <col min="12043" max="12043" width="9.140625" style="55"/>
    <col min="12044" max="12044" width="18.7109375" style="55" customWidth="1"/>
    <col min="12045" max="12045" width="9.140625" style="55"/>
    <col min="12046" max="12046" width="12.7109375" style="55" customWidth="1"/>
    <col min="12047" max="12047" width="1.42578125" style="55" customWidth="1"/>
    <col min="12048" max="12048" width="2.85546875" style="55" customWidth="1"/>
    <col min="12049" max="12049" width="22" style="55" customWidth="1"/>
    <col min="12050" max="12050" width="1" style="55" customWidth="1"/>
    <col min="12051" max="12051" width="6.140625" style="55" customWidth="1"/>
    <col min="12052" max="12052" width="9" style="55" customWidth="1"/>
    <col min="12053" max="12053" width="5.5703125" style="55" customWidth="1"/>
    <col min="12054" max="12054" width="13.5703125" style="55" customWidth="1"/>
    <col min="12055" max="12055" width="7.42578125" style="55" customWidth="1"/>
    <col min="12056" max="12056" width="9.140625" style="55"/>
    <col min="12057" max="12057" width="18.7109375" style="55" customWidth="1"/>
    <col min="12058" max="12058" width="9.140625" style="55"/>
    <col min="12059" max="12059" width="10.85546875" style="55" customWidth="1"/>
    <col min="12060" max="12060" width="2.28515625" style="55" customWidth="1"/>
    <col min="12061" max="12288" width="9.140625" style="55"/>
    <col min="12289" max="12289" width="0.7109375" style="55" customWidth="1"/>
    <col min="12290" max="12290" width="1.28515625" style="55" customWidth="1"/>
    <col min="12291" max="12291" width="3" style="55" customWidth="1"/>
    <col min="12292" max="12292" width="22.5703125" style="55" customWidth="1"/>
    <col min="12293" max="12293" width="1" style="55" customWidth="1"/>
    <col min="12294" max="12294" width="6.140625" style="55" customWidth="1"/>
    <col min="12295" max="12295" width="8.85546875" style="55" customWidth="1"/>
    <col min="12296" max="12296" width="5.5703125" style="55" customWidth="1"/>
    <col min="12297" max="12297" width="13.42578125" style="55" customWidth="1"/>
    <col min="12298" max="12298" width="7.42578125" style="55" customWidth="1"/>
    <col min="12299" max="12299" width="9.140625" style="55"/>
    <col min="12300" max="12300" width="18.7109375" style="55" customWidth="1"/>
    <col min="12301" max="12301" width="9.140625" style="55"/>
    <col min="12302" max="12302" width="12.7109375" style="55" customWidth="1"/>
    <col min="12303" max="12303" width="1.42578125" style="55" customWidth="1"/>
    <col min="12304" max="12304" width="2.85546875" style="55" customWidth="1"/>
    <col min="12305" max="12305" width="22" style="55" customWidth="1"/>
    <col min="12306" max="12306" width="1" style="55" customWidth="1"/>
    <col min="12307" max="12307" width="6.140625" style="55" customWidth="1"/>
    <col min="12308" max="12308" width="9" style="55" customWidth="1"/>
    <col min="12309" max="12309" width="5.5703125" style="55" customWidth="1"/>
    <col min="12310" max="12310" width="13.5703125" style="55" customWidth="1"/>
    <col min="12311" max="12311" width="7.42578125" style="55" customWidth="1"/>
    <col min="12312" max="12312" width="9.140625" style="55"/>
    <col min="12313" max="12313" width="18.7109375" style="55" customWidth="1"/>
    <col min="12314" max="12314" width="9.140625" style="55"/>
    <col min="12315" max="12315" width="10.85546875" style="55" customWidth="1"/>
    <col min="12316" max="12316" width="2.28515625" style="55" customWidth="1"/>
    <col min="12317" max="12544" width="9.140625" style="55"/>
    <col min="12545" max="12545" width="0.7109375" style="55" customWidth="1"/>
    <col min="12546" max="12546" width="1.28515625" style="55" customWidth="1"/>
    <col min="12547" max="12547" width="3" style="55" customWidth="1"/>
    <col min="12548" max="12548" width="22.5703125" style="55" customWidth="1"/>
    <col min="12549" max="12549" width="1" style="55" customWidth="1"/>
    <col min="12550" max="12550" width="6.140625" style="55" customWidth="1"/>
    <col min="12551" max="12551" width="8.85546875" style="55" customWidth="1"/>
    <col min="12552" max="12552" width="5.5703125" style="55" customWidth="1"/>
    <col min="12553" max="12553" width="13.42578125" style="55" customWidth="1"/>
    <col min="12554" max="12554" width="7.42578125" style="55" customWidth="1"/>
    <col min="12555" max="12555" width="9.140625" style="55"/>
    <col min="12556" max="12556" width="18.7109375" style="55" customWidth="1"/>
    <col min="12557" max="12557" width="9.140625" style="55"/>
    <col min="12558" max="12558" width="12.7109375" style="55" customWidth="1"/>
    <col min="12559" max="12559" width="1.42578125" style="55" customWidth="1"/>
    <col min="12560" max="12560" width="2.85546875" style="55" customWidth="1"/>
    <col min="12561" max="12561" width="22" style="55" customWidth="1"/>
    <col min="12562" max="12562" width="1" style="55" customWidth="1"/>
    <col min="12563" max="12563" width="6.140625" style="55" customWidth="1"/>
    <col min="12564" max="12564" width="9" style="55" customWidth="1"/>
    <col min="12565" max="12565" width="5.5703125" style="55" customWidth="1"/>
    <col min="12566" max="12566" width="13.5703125" style="55" customWidth="1"/>
    <col min="12567" max="12567" width="7.42578125" style="55" customWidth="1"/>
    <col min="12568" max="12568" width="9.140625" style="55"/>
    <col min="12569" max="12569" width="18.7109375" style="55" customWidth="1"/>
    <col min="12570" max="12570" width="9.140625" style="55"/>
    <col min="12571" max="12571" width="10.85546875" style="55" customWidth="1"/>
    <col min="12572" max="12572" width="2.28515625" style="55" customWidth="1"/>
    <col min="12573" max="12800" width="9.140625" style="55"/>
    <col min="12801" max="12801" width="0.7109375" style="55" customWidth="1"/>
    <col min="12802" max="12802" width="1.28515625" style="55" customWidth="1"/>
    <col min="12803" max="12803" width="3" style="55" customWidth="1"/>
    <col min="12804" max="12804" width="22.5703125" style="55" customWidth="1"/>
    <col min="12805" max="12805" width="1" style="55" customWidth="1"/>
    <col min="12806" max="12806" width="6.140625" style="55" customWidth="1"/>
    <col min="12807" max="12807" width="8.85546875" style="55" customWidth="1"/>
    <col min="12808" max="12808" width="5.5703125" style="55" customWidth="1"/>
    <col min="12809" max="12809" width="13.42578125" style="55" customWidth="1"/>
    <col min="12810" max="12810" width="7.42578125" style="55" customWidth="1"/>
    <col min="12811" max="12811" width="9.140625" style="55"/>
    <col min="12812" max="12812" width="18.7109375" style="55" customWidth="1"/>
    <col min="12813" max="12813" width="9.140625" style="55"/>
    <col min="12814" max="12814" width="12.7109375" style="55" customWidth="1"/>
    <col min="12815" max="12815" width="1.42578125" style="55" customWidth="1"/>
    <col min="12816" max="12816" width="2.85546875" style="55" customWidth="1"/>
    <col min="12817" max="12817" width="22" style="55" customWidth="1"/>
    <col min="12818" max="12818" width="1" style="55" customWidth="1"/>
    <col min="12819" max="12819" width="6.140625" style="55" customWidth="1"/>
    <col min="12820" max="12820" width="9" style="55" customWidth="1"/>
    <col min="12821" max="12821" width="5.5703125" style="55" customWidth="1"/>
    <col min="12822" max="12822" width="13.5703125" style="55" customWidth="1"/>
    <col min="12823" max="12823" width="7.42578125" style="55" customWidth="1"/>
    <col min="12824" max="12824" width="9.140625" style="55"/>
    <col min="12825" max="12825" width="18.7109375" style="55" customWidth="1"/>
    <col min="12826" max="12826" width="9.140625" style="55"/>
    <col min="12827" max="12827" width="10.85546875" style="55" customWidth="1"/>
    <col min="12828" max="12828" width="2.28515625" style="55" customWidth="1"/>
    <col min="12829" max="13056" width="9.140625" style="55"/>
    <col min="13057" max="13057" width="0.7109375" style="55" customWidth="1"/>
    <col min="13058" max="13058" width="1.28515625" style="55" customWidth="1"/>
    <col min="13059" max="13059" width="3" style="55" customWidth="1"/>
    <col min="13060" max="13060" width="22.5703125" style="55" customWidth="1"/>
    <col min="13061" max="13061" width="1" style="55" customWidth="1"/>
    <col min="13062" max="13062" width="6.140625" style="55" customWidth="1"/>
    <col min="13063" max="13063" width="8.85546875" style="55" customWidth="1"/>
    <col min="13064" max="13064" width="5.5703125" style="55" customWidth="1"/>
    <col min="13065" max="13065" width="13.42578125" style="55" customWidth="1"/>
    <col min="13066" max="13066" width="7.42578125" style="55" customWidth="1"/>
    <col min="13067" max="13067" width="9.140625" style="55"/>
    <col min="13068" max="13068" width="18.7109375" style="55" customWidth="1"/>
    <col min="13069" max="13069" width="9.140625" style="55"/>
    <col min="13070" max="13070" width="12.7109375" style="55" customWidth="1"/>
    <col min="13071" max="13071" width="1.42578125" style="55" customWidth="1"/>
    <col min="13072" max="13072" width="2.85546875" style="55" customWidth="1"/>
    <col min="13073" max="13073" width="22" style="55" customWidth="1"/>
    <col min="13074" max="13074" width="1" style="55" customWidth="1"/>
    <col min="13075" max="13075" width="6.140625" style="55" customWidth="1"/>
    <col min="13076" max="13076" width="9" style="55" customWidth="1"/>
    <col min="13077" max="13077" width="5.5703125" style="55" customWidth="1"/>
    <col min="13078" max="13078" width="13.5703125" style="55" customWidth="1"/>
    <col min="13079" max="13079" width="7.42578125" style="55" customWidth="1"/>
    <col min="13080" max="13080" width="9.140625" style="55"/>
    <col min="13081" max="13081" width="18.7109375" style="55" customWidth="1"/>
    <col min="13082" max="13082" width="9.140625" style="55"/>
    <col min="13083" max="13083" width="10.85546875" style="55" customWidth="1"/>
    <col min="13084" max="13084" width="2.28515625" style="55" customWidth="1"/>
    <col min="13085" max="13312" width="9.140625" style="55"/>
    <col min="13313" max="13313" width="0.7109375" style="55" customWidth="1"/>
    <col min="13314" max="13314" width="1.28515625" style="55" customWidth="1"/>
    <col min="13315" max="13315" width="3" style="55" customWidth="1"/>
    <col min="13316" max="13316" width="22.5703125" style="55" customWidth="1"/>
    <col min="13317" max="13317" width="1" style="55" customWidth="1"/>
    <col min="13318" max="13318" width="6.140625" style="55" customWidth="1"/>
    <col min="13319" max="13319" width="8.85546875" style="55" customWidth="1"/>
    <col min="13320" max="13320" width="5.5703125" style="55" customWidth="1"/>
    <col min="13321" max="13321" width="13.42578125" style="55" customWidth="1"/>
    <col min="13322" max="13322" width="7.42578125" style="55" customWidth="1"/>
    <col min="13323" max="13323" width="9.140625" style="55"/>
    <col min="13324" max="13324" width="18.7109375" style="55" customWidth="1"/>
    <col min="13325" max="13325" width="9.140625" style="55"/>
    <col min="13326" max="13326" width="12.7109375" style="55" customWidth="1"/>
    <col min="13327" max="13327" width="1.42578125" style="55" customWidth="1"/>
    <col min="13328" max="13328" width="2.85546875" style="55" customWidth="1"/>
    <col min="13329" max="13329" width="22" style="55" customWidth="1"/>
    <col min="13330" max="13330" width="1" style="55" customWidth="1"/>
    <col min="13331" max="13331" width="6.140625" style="55" customWidth="1"/>
    <col min="13332" max="13332" width="9" style="55" customWidth="1"/>
    <col min="13333" max="13333" width="5.5703125" style="55" customWidth="1"/>
    <col min="13334" max="13334" width="13.5703125" style="55" customWidth="1"/>
    <col min="13335" max="13335" width="7.42578125" style="55" customWidth="1"/>
    <col min="13336" max="13336" width="9.140625" style="55"/>
    <col min="13337" max="13337" width="18.7109375" style="55" customWidth="1"/>
    <col min="13338" max="13338" width="9.140625" style="55"/>
    <col min="13339" max="13339" width="10.85546875" style="55" customWidth="1"/>
    <col min="13340" max="13340" width="2.28515625" style="55" customWidth="1"/>
    <col min="13341" max="13568" width="9.140625" style="55"/>
    <col min="13569" max="13569" width="0.7109375" style="55" customWidth="1"/>
    <col min="13570" max="13570" width="1.28515625" style="55" customWidth="1"/>
    <col min="13571" max="13571" width="3" style="55" customWidth="1"/>
    <col min="13572" max="13572" width="22.5703125" style="55" customWidth="1"/>
    <col min="13573" max="13573" width="1" style="55" customWidth="1"/>
    <col min="13574" max="13574" width="6.140625" style="55" customWidth="1"/>
    <col min="13575" max="13575" width="8.85546875" style="55" customWidth="1"/>
    <col min="13576" max="13576" width="5.5703125" style="55" customWidth="1"/>
    <col min="13577" max="13577" width="13.42578125" style="55" customWidth="1"/>
    <col min="13578" max="13578" width="7.42578125" style="55" customWidth="1"/>
    <col min="13579" max="13579" width="9.140625" style="55"/>
    <col min="13580" max="13580" width="18.7109375" style="55" customWidth="1"/>
    <col min="13581" max="13581" width="9.140625" style="55"/>
    <col min="13582" max="13582" width="12.7109375" style="55" customWidth="1"/>
    <col min="13583" max="13583" width="1.42578125" style="55" customWidth="1"/>
    <col min="13584" max="13584" width="2.85546875" style="55" customWidth="1"/>
    <col min="13585" max="13585" width="22" style="55" customWidth="1"/>
    <col min="13586" max="13586" width="1" style="55" customWidth="1"/>
    <col min="13587" max="13587" width="6.140625" style="55" customWidth="1"/>
    <col min="13588" max="13588" width="9" style="55" customWidth="1"/>
    <col min="13589" max="13589" width="5.5703125" style="55" customWidth="1"/>
    <col min="13590" max="13590" width="13.5703125" style="55" customWidth="1"/>
    <col min="13591" max="13591" width="7.42578125" style="55" customWidth="1"/>
    <col min="13592" max="13592" width="9.140625" style="55"/>
    <col min="13593" max="13593" width="18.7109375" style="55" customWidth="1"/>
    <col min="13594" max="13594" width="9.140625" style="55"/>
    <col min="13595" max="13595" width="10.85546875" style="55" customWidth="1"/>
    <col min="13596" max="13596" width="2.28515625" style="55" customWidth="1"/>
    <col min="13597" max="13824" width="9.140625" style="55"/>
    <col min="13825" max="13825" width="0.7109375" style="55" customWidth="1"/>
    <col min="13826" max="13826" width="1.28515625" style="55" customWidth="1"/>
    <col min="13827" max="13827" width="3" style="55" customWidth="1"/>
    <col min="13828" max="13828" width="22.5703125" style="55" customWidth="1"/>
    <col min="13829" max="13829" width="1" style="55" customWidth="1"/>
    <col min="13830" max="13830" width="6.140625" style="55" customWidth="1"/>
    <col min="13831" max="13831" width="8.85546875" style="55" customWidth="1"/>
    <col min="13832" max="13832" width="5.5703125" style="55" customWidth="1"/>
    <col min="13833" max="13833" width="13.42578125" style="55" customWidth="1"/>
    <col min="13834" max="13834" width="7.42578125" style="55" customWidth="1"/>
    <col min="13835" max="13835" width="9.140625" style="55"/>
    <col min="13836" max="13836" width="18.7109375" style="55" customWidth="1"/>
    <col min="13837" max="13837" width="9.140625" style="55"/>
    <col min="13838" max="13838" width="12.7109375" style="55" customWidth="1"/>
    <col min="13839" max="13839" width="1.42578125" style="55" customWidth="1"/>
    <col min="13840" max="13840" width="2.85546875" style="55" customWidth="1"/>
    <col min="13841" max="13841" width="22" style="55" customWidth="1"/>
    <col min="13842" max="13842" width="1" style="55" customWidth="1"/>
    <col min="13843" max="13843" width="6.140625" style="55" customWidth="1"/>
    <col min="13844" max="13844" width="9" style="55" customWidth="1"/>
    <col min="13845" max="13845" width="5.5703125" style="55" customWidth="1"/>
    <col min="13846" max="13846" width="13.5703125" style="55" customWidth="1"/>
    <col min="13847" max="13847" width="7.42578125" style="55" customWidth="1"/>
    <col min="13848" max="13848" width="9.140625" style="55"/>
    <col min="13849" max="13849" width="18.7109375" style="55" customWidth="1"/>
    <col min="13850" max="13850" width="9.140625" style="55"/>
    <col min="13851" max="13851" width="10.85546875" style="55" customWidth="1"/>
    <col min="13852" max="13852" width="2.28515625" style="55" customWidth="1"/>
    <col min="13853" max="14080" width="9.140625" style="55"/>
    <col min="14081" max="14081" width="0.7109375" style="55" customWidth="1"/>
    <col min="14082" max="14082" width="1.28515625" style="55" customWidth="1"/>
    <col min="14083" max="14083" width="3" style="55" customWidth="1"/>
    <col min="14084" max="14084" width="22.5703125" style="55" customWidth="1"/>
    <col min="14085" max="14085" width="1" style="55" customWidth="1"/>
    <col min="14086" max="14086" width="6.140625" style="55" customWidth="1"/>
    <col min="14087" max="14087" width="8.85546875" style="55" customWidth="1"/>
    <col min="14088" max="14088" width="5.5703125" style="55" customWidth="1"/>
    <col min="14089" max="14089" width="13.42578125" style="55" customWidth="1"/>
    <col min="14090" max="14090" width="7.42578125" style="55" customWidth="1"/>
    <col min="14091" max="14091" width="9.140625" style="55"/>
    <col min="14092" max="14092" width="18.7109375" style="55" customWidth="1"/>
    <col min="14093" max="14093" width="9.140625" style="55"/>
    <col min="14094" max="14094" width="12.7109375" style="55" customWidth="1"/>
    <col min="14095" max="14095" width="1.42578125" style="55" customWidth="1"/>
    <col min="14096" max="14096" width="2.85546875" style="55" customWidth="1"/>
    <col min="14097" max="14097" width="22" style="55" customWidth="1"/>
    <col min="14098" max="14098" width="1" style="55" customWidth="1"/>
    <col min="14099" max="14099" width="6.140625" style="55" customWidth="1"/>
    <col min="14100" max="14100" width="9" style="55" customWidth="1"/>
    <col min="14101" max="14101" width="5.5703125" style="55" customWidth="1"/>
    <col min="14102" max="14102" width="13.5703125" style="55" customWidth="1"/>
    <col min="14103" max="14103" width="7.42578125" style="55" customWidth="1"/>
    <col min="14104" max="14104" width="9.140625" style="55"/>
    <col min="14105" max="14105" width="18.7109375" style="55" customWidth="1"/>
    <col min="14106" max="14106" width="9.140625" style="55"/>
    <col min="14107" max="14107" width="10.85546875" style="55" customWidth="1"/>
    <col min="14108" max="14108" width="2.28515625" style="55" customWidth="1"/>
    <col min="14109" max="14336" width="9.140625" style="55"/>
    <col min="14337" max="14337" width="0.7109375" style="55" customWidth="1"/>
    <col min="14338" max="14338" width="1.28515625" style="55" customWidth="1"/>
    <col min="14339" max="14339" width="3" style="55" customWidth="1"/>
    <col min="14340" max="14340" width="22.5703125" style="55" customWidth="1"/>
    <col min="14341" max="14341" width="1" style="55" customWidth="1"/>
    <col min="14342" max="14342" width="6.140625" style="55" customWidth="1"/>
    <col min="14343" max="14343" width="8.85546875" style="55" customWidth="1"/>
    <col min="14344" max="14344" width="5.5703125" style="55" customWidth="1"/>
    <col min="14345" max="14345" width="13.42578125" style="55" customWidth="1"/>
    <col min="14346" max="14346" width="7.42578125" style="55" customWidth="1"/>
    <col min="14347" max="14347" width="9.140625" style="55"/>
    <col min="14348" max="14348" width="18.7109375" style="55" customWidth="1"/>
    <col min="14349" max="14349" width="9.140625" style="55"/>
    <col min="14350" max="14350" width="12.7109375" style="55" customWidth="1"/>
    <col min="14351" max="14351" width="1.42578125" style="55" customWidth="1"/>
    <col min="14352" max="14352" width="2.85546875" style="55" customWidth="1"/>
    <col min="14353" max="14353" width="22" style="55" customWidth="1"/>
    <col min="14354" max="14354" width="1" style="55" customWidth="1"/>
    <col min="14355" max="14355" width="6.140625" style="55" customWidth="1"/>
    <col min="14356" max="14356" width="9" style="55" customWidth="1"/>
    <col min="14357" max="14357" width="5.5703125" style="55" customWidth="1"/>
    <col min="14358" max="14358" width="13.5703125" style="55" customWidth="1"/>
    <col min="14359" max="14359" width="7.42578125" style="55" customWidth="1"/>
    <col min="14360" max="14360" width="9.140625" style="55"/>
    <col min="14361" max="14361" width="18.7109375" style="55" customWidth="1"/>
    <col min="14362" max="14362" width="9.140625" style="55"/>
    <col min="14363" max="14363" width="10.85546875" style="55" customWidth="1"/>
    <col min="14364" max="14364" width="2.28515625" style="55" customWidth="1"/>
    <col min="14365" max="14592" width="9.140625" style="55"/>
    <col min="14593" max="14593" width="0.7109375" style="55" customWidth="1"/>
    <col min="14594" max="14594" width="1.28515625" style="55" customWidth="1"/>
    <col min="14595" max="14595" width="3" style="55" customWidth="1"/>
    <col min="14596" max="14596" width="22.5703125" style="55" customWidth="1"/>
    <col min="14597" max="14597" width="1" style="55" customWidth="1"/>
    <col min="14598" max="14598" width="6.140625" style="55" customWidth="1"/>
    <col min="14599" max="14599" width="8.85546875" style="55" customWidth="1"/>
    <col min="14600" max="14600" width="5.5703125" style="55" customWidth="1"/>
    <col min="14601" max="14601" width="13.42578125" style="55" customWidth="1"/>
    <col min="14602" max="14602" width="7.42578125" style="55" customWidth="1"/>
    <col min="14603" max="14603" width="9.140625" style="55"/>
    <col min="14604" max="14604" width="18.7109375" style="55" customWidth="1"/>
    <col min="14605" max="14605" width="9.140625" style="55"/>
    <col min="14606" max="14606" width="12.7109375" style="55" customWidth="1"/>
    <col min="14607" max="14607" width="1.42578125" style="55" customWidth="1"/>
    <col min="14608" max="14608" width="2.85546875" style="55" customWidth="1"/>
    <col min="14609" max="14609" width="22" style="55" customWidth="1"/>
    <col min="14610" max="14610" width="1" style="55" customWidth="1"/>
    <col min="14611" max="14611" width="6.140625" style="55" customWidth="1"/>
    <col min="14612" max="14612" width="9" style="55" customWidth="1"/>
    <col min="14613" max="14613" width="5.5703125" style="55" customWidth="1"/>
    <col min="14614" max="14614" width="13.5703125" style="55" customWidth="1"/>
    <col min="14615" max="14615" width="7.42578125" style="55" customWidth="1"/>
    <col min="14616" max="14616" width="9.140625" style="55"/>
    <col min="14617" max="14617" width="18.7109375" style="55" customWidth="1"/>
    <col min="14618" max="14618" width="9.140625" style="55"/>
    <col min="14619" max="14619" width="10.85546875" style="55" customWidth="1"/>
    <col min="14620" max="14620" width="2.28515625" style="55" customWidth="1"/>
    <col min="14621" max="14848" width="9.140625" style="55"/>
    <col min="14849" max="14849" width="0.7109375" style="55" customWidth="1"/>
    <col min="14850" max="14850" width="1.28515625" style="55" customWidth="1"/>
    <col min="14851" max="14851" width="3" style="55" customWidth="1"/>
    <col min="14852" max="14852" width="22.5703125" style="55" customWidth="1"/>
    <col min="14853" max="14853" width="1" style="55" customWidth="1"/>
    <col min="14854" max="14854" width="6.140625" style="55" customWidth="1"/>
    <col min="14855" max="14855" width="8.85546875" style="55" customWidth="1"/>
    <col min="14856" max="14856" width="5.5703125" style="55" customWidth="1"/>
    <col min="14857" max="14857" width="13.42578125" style="55" customWidth="1"/>
    <col min="14858" max="14858" width="7.42578125" style="55" customWidth="1"/>
    <col min="14859" max="14859" width="9.140625" style="55"/>
    <col min="14860" max="14860" width="18.7109375" style="55" customWidth="1"/>
    <col min="14861" max="14861" width="9.140625" style="55"/>
    <col min="14862" max="14862" width="12.7109375" style="55" customWidth="1"/>
    <col min="14863" max="14863" width="1.42578125" style="55" customWidth="1"/>
    <col min="14864" max="14864" width="2.85546875" style="55" customWidth="1"/>
    <col min="14865" max="14865" width="22" style="55" customWidth="1"/>
    <col min="14866" max="14866" width="1" style="55" customWidth="1"/>
    <col min="14867" max="14867" width="6.140625" style="55" customWidth="1"/>
    <col min="14868" max="14868" width="9" style="55" customWidth="1"/>
    <col min="14869" max="14869" width="5.5703125" style="55" customWidth="1"/>
    <col min="14870" max="14870" width="13.5703125" style="55" customWidth="1"/>
    <col min="14871" max="14871" width="7.42578125" style="55" customWidth="1"/>
    <col min="14872" max="14872" width="9.140625" style="55"/>
    <col min="14873" max="14873" width="18.7109375" style="55" customWidth="1"/>
    <col min="14874" max="14874" width="9.140625" style="55"/>
    <col min="14875" max="14875" width="10.85546875" style="55" customWidth="1"/>
    <col min="14876" max="14876" width="2.28515625" style="55" customWidth="1"/>
    <col min="14877" max="15104" width="9.140625" style="55"/>
    <col min="15105" max="15105" width="0.7109375" style="55" customWidth="1"/>
    <col min="15106" max="15106" width="1.28515625" style="55" customWidth="1"/>
    <col min="15107" max="15107" width="3" style="55" customWidth="1"/>
    <col min="15108" max="15108" width="22.5703125" style="55" customWidth="1"/>
    <col min="15109" max="15109" width="1" style="55" customWidth="1"/>
    <col min="15110" max="15110" width="6.140625" style="55" customWidth="1"/>
    <col min="15111" max="15111" width="8.85546875" style="55" customWidth="1"/>
    <col min="15112" max="15112" width="5.5703125" style="55" customWidth="1"/>
    <col min="15113" max="15113" width="13.42578125" style="55" customWidth="1"/>
    <col min="15114" max="15114" width="7.42578125" style="55" customWidth="1"/>
    <col min="15115" max="15115" width="9.140625" style="55"/>
    <col min="15116" max="15116" width="18.7109375" style="55" customWidth="1"/>
    <col min="15117" max="15117" width="9.140625" style="55"/>
    <col min="15118" max="15118" width="12.7109375" style="55" customWidth="1"/>
    <col min="15119" max="15119" width="1.42578125" style="55" customWidth="1"/>
    <col min="15120" max="15120" width="2.85546875" style="55" customWidth="1"/>
    <col min="15121" max="15121" width="22" style="55" customWidth="1"/>
    <col min="15122" max="15122" width="1" style="55" customWidth="1"/>
    <col min="15123" max="15123" width="6.140625" style="55" customWidth="1"/>
    <col min="15124" max="15124" width="9" style="55" customWidth="1"/>
    <col min="15125" max="15125" width="5.5703125" style="55" customWidth="1"/>
    <col min="15126" max="15126" width="13.5703125" style="55" customWidth="1"/>
    <col min="15127" max="15127" width="7.42578125" style="55" customWidth="1"/>
    <col min="15128" max="15128" width="9.140625" style="55"/>
    <col min="15129" max="15129" width="18.7109375" style="55" customWidth="1"/>
    <col min="15130" max="15130" width="9.140625" style="55"/>
    <col min="15131" max="15131" width="10.85546875" style="55" customWidth="1"/>
    <col min="15132" max="15132" width="2.28515625" style="55" customWidth="1"/>
    <col min="15133" max="15360" width="9.140625" style="55"/>
    <col min="15361" max="15361" width="0.7109375" style="55" customWidth="1"/>
    <col min="15362" max="15362" width="1.28515625" style="55" customWidth="1"/>
    <col min="15363" max="15363" width="3" style="55" customWidth="1"/>
    <col min="15364" max="15364" width="22.5703125" style="55" customWidth="1"/>
    <col min="15365" max="15365" width="1" style="55" customWidth="1"/>
    <col min="15366" max="15366" width="6.140625" style="55" customWidth="1"/>
    <col min="15367" max="15367" width="8.85546875" style="55" customWidth="1"/>
    <col min="15368" max="15368" width="5.5703125" style="55" customWidth="1"/>
    <col min="15369" max="15369" width="13.42578125" style="55" customWidth="1"/>
    <col min="15370" max="15370" width="7.42578125" style="55" customWidth="1"/>
    <col min="15371" max="15371" width="9.140625" style="55"/>
    <col min="15372" max="15372" width="18.7109375" style="55" customWidth="1"/>
    <col min="15373" max="15373" width="9.140625" style="55"/>
    <col min="15374" max="15374" width="12.7109375" style="55" customWidth="1"/>
    <col min="15375" max="15375" width="1.42578125" style="55" customWidth="1"/>
    <col min="15376" max="15376" width="2.85546875" style="55" customWidth="1"/>
    <col min="15377" max="15377" width="22" style="55" customWidth="1"/>
    <col min="15378" max="15378" width="1" style="55" customWidth="1"/>
    <col min="15379" max="15379" width="6.140625" style="55" customWidth="1"/>
    <col min="15380" max="15380" width="9" style="55" customWidth="1"/>
    <col min="15381" max="15381" width="5.5703125" style="55" customWidth="1"/>
    <col min="15382" max="15382" width="13.5703125" style="55" customWidth="1"/>
    <col min="15383" max="15383" width="7.42578125" style="55" customWidth="1"/>
    <col min="15384" max="15384" width="9.140625" style="55"/>
    <col min="15385" max="15385" width="18.7109375" style="55" customWidth="1"/>
    <col min="15386" max="15386" width="9.140625" style="55"/>
    <col min="15387" max="15387" width="10.85546875" style="55" customWidth="1"/>
    <col min="15388" max="15388" width="2.28515625" style="55" customWidth="1"/>
    <col min="15389" max="15616" width="9.140625" style="55"/>
    <col min="15617" max="15617" width="0.7109375" style="55" customWidth="1"/>
    <col min="15618" max="15618" width="1.28515625" style="55" customWidth="1"/>
    <col min="15619" max="15619" width="3" style="55" customWidth="1"/>
    <col min="15620" max="15620" width="22.5703125" style="55" customWidth="1"/>
    <col min="15621" max="15621" width="1" style="55" customWidth="1"/>
    <col min="15622" max="15622" width="6.140625" style="55" customWidth="1"/>
    <col min="15623" max="15623" width="8.85546875" style="55" customWidth="1"/>
    <col min="15624" max="15624" width="5.5703125" style="55" customWidth="1"/>
    <col min="15625" max="15625" width="13.42578125" style="55" customWidth="1"/>
    <col min="15626" max="15626" width="7.42578125" style="55" customWidth="1"/>
    <col min="15627" max="15627" width="9.140625" style="55"/>
    <col min="15628" max="15628" width="18.7109375" style="55" customWidth="1"/>
    <col min="15629" max="15629" width="9.140625" style="55"/>
    <col min="15630" max="15630" width="12.7109375" style="55" customWidth="1"/>
    <col min="15631" max="15631" width="1.42578125" style="55" customWidth="1"/>
    <col min="15632" max="15632" width="2.85546875" style="55" customWidth="1"/>
    <col min="15633" max="15633" width="22" style="55" customWidth="1"/>
    <col min="15634" max="15634" width="1" style="55" customWidth="1"/>
    <col min="15635" max="15635" width="6.140625" style="55" customWidth="1"/>
    <col min="15636" max="15636" width="9" style="55" customWidth="1"/>
    <col min="15637" max="15637" width="5.5703125" style="55" customWidth="1"/>
    <col min="15638" max="15638" width="13.5703125" style="55" customWidth="1"/>
    <col min="15639" max="15639" width="7.42578125" style="55" customWidth="1"/>
    <col min="15640" max="15640" width="9.140625" style="55"/>
    <col min="15641" max="15641" width="18.7109375" style="55" customWidth="1"/>
    <col min="15642" max="15642" width="9.140625" style="55"/>
    <col min="15643" max="15643" width="10.85546875" style="55" customWidth="1"/>
    <col min="15644" max="15644" width="2.28515625" style="55" customWidth="1"/>
    <col min="15645" max="15872" width="9.140625" style="55"/>
    <col min="15873" max="15873" width="0.7109375" style="55" customWidth="1"/>
    <col min="15874" max="15874" width="1.28515625" style="55" customWidth="1"/>
    <col min="15875" max="15875" width="3" style="55" customWidth="1"/>
    <col min="15876" max="15876" width="22.5703125" style="55" customWidth="1"/>
    <col min="15877" max="15877" width="1" style="55" customWidth="1"/>
    <col min="15878" max="15878" width="6.140625" style="55" customWidth="1"/>
    <col min="15879" max="15879" width="8.85546875" style="55" customWidth="1"/>
    <col min="15880" max="15880" width="5.5703125" style="55" customWidth="1"/>
    <col min="15881" max="15881" width="13.42578125" style="55" customWidth="1"/>
    <col min="15882" max="15882" width="7.42578125" style="55" customWidth="1"/>
    <col min="15883" max="15883" width="9.140625" style="55"/>
    <col min="15884" max="15884" width="18.7109375" style="55" customWidth="1"/>
    <col min="15885" max="15885" width="9.140625" style="55"/>
    <col min="15886" max="15886" width="12.7109375" style="55" customWidth="1"/>
    <col min="15887" max="15887" width="1.42578125" style="55" customWidth="1"/>
    <col min="15888" max="15888" width="2.85546875" style="55" customWidth="1"/>
    <col min="15889" max="15889" width="22" style="55" customWidth="1"/>
    <col min="15890" max="15890" width="1" style="55" customWidth="1"/>
    <col min="15891" max="15891" width="6.140625" style="55" customWidth="1"/>
    <col min="15892" max="15892" width="9" style="55" customWidth="1"/>
    <col min="15893" max="15893" width="5.5703125" style="55" customWidth="1"/>
    <col min="15894" max="15894" width="13.5703125" style="55" customWidth="1"/>
    <col min="15895" max="15895" width="7.42578125" style="55" customWidth="1"/>
    <col min="15896" max="15896" width="9.140625" style="55"/>
    <col min="15897" max="15897" width="18.7109375" style="55" customWidth="1"/>
    <col min="15898" max="15898" width="9.140625" style="55"/>
    <col min="15899" max="15899" width="10.85546875" style="55" customWidth="1"/>
    <col min="15900" max="15900" width="2.28515625" style="55" customWidth="1"/>
    <col min="15901" max="16128" width="9.140625" style="55"/>
    <col min="16129" max="16129" width="0.7109375" style="55" customWidth="1"/>
    <col min="16130" max="16130" width="1.28515625" style="55" customWidth="1"/>
    <col min="16131" max="16131" width="3" style="55" customWidth="1"/>
    <col min="16132" max="16132" width="22.5703125" style="55" customWidth="1"/>
    <col min="16133" max="16133" width="1" style="55" customWidth="1"/>
    <col min="16134" max="16134" width="6.140625" style="55" customWidth="1"/>
    <col min="16135" max="16135" width="8.85546875" style="55" customWidth="1"/>
    <col min="16136" max="16136" width="5.5703125" style="55" customWidth="1"/>
    <col min="16137" max="16137" width="13.42578125" style="55" customWidth="1"/>
    <col min="16138" max="16138" width="7.42578125" style="55" customWidth="1"/>
    <col min="16139" max="16139" width="9.140625" style="55"/>
    <col min="16140" max="16140" width="18.7109375" style="55" customWidth="1"/>
    <col min="16141" max="16141" width="9.140625" style="55"/>
    <col min="16142" max="16142" width="12.7109375" style="55" customWidth="1"/>
    <col min="16143" max="16143" width="1.42578125" style="55" customWidth="1"/>
    <col min="16144" max="16144" width="2.85546875" style="55" customWidth="1"/>
    <col min="16145" max="16145" width="22" style="55" customWidth="1"/>
    <col min="16146" max="16146" width="1" style="55" customWidth="1"/>
    <col min="16147" max="16147" width="6.140625" style="55" customWidth="1"/>
    <col min="16148" max="16148" width="9" style="55" customWidth="1"/>
    <col min="16149" max="16149" width="5.5703125" style="55" customWidth="1"/>
    <col min="16150" max="16150" width="13.5703125" style="55" customWidth="1"/>
    <col min="16151" max="16151" width="7.42578125" style="55" customWidth="1"/>
    <col min="16152" max="16152" width="9.140625" style="55"/>
    <col min="16153" max="16153" width="18.7109375" style="55" customWidth="1"/>
    <col min="16154" max="16154" width="9.140625" style="55"/>
    <col min="16155" max="16155" width="10.85546875" style="55" customWidth="1"/>
    <col min="16156" max="16156" width="2.28515625" style="55" customWidth="1"/>
    <col min="16157" max="16384" width="9.140625" style="55"/>
  </cols>
  <sheetData>
    <row r="1" spans="1:30" ht="11.25" customHeight="1"/>
    <row r="2" spans="1:30" s="56" customFormat="1" ht="78" customHeight="1">
      <c r="J2" s="263" t="s">
        <v>0</v>
      </c>
      <c r="M2" s="273" t="s">
        <v>1</v>
      </c>
      <c r="N2" s="273"/>
      <c r="O2" s="273"/>
      <c r="P2" s="273"/>
      <c r="Q2" s="273"/>
      <c r="R2" s="273"/>
      <c r="S2" s="273"/>
      <c r="T2" s="273"/>
      <c r="U2" s="273"/>
      <c r="V2" s="273"/>
      <c r="W2" s="273"/>
      <c r="X2" s="273"/>
      <c r="Y2" s="273"/>
      <c r="AA2" s="55"/>
    </row>
    <row r="3" spans="1:30" s="56" customFormat="1" ht="15" customHeight="1">
      <c r="B3" s="57"/>
      <c r="AA3" s="55"/>
    </row>
    <row r="4" spans="1:30" s="56" customFormat="1" ht="15" customHeight="1">
      <c r="C4" s="132" t="s">
        <v>2</v>
      </c>
      <c r="D4" s="130"/>
      <c r="E4" s="130"/>
      <c r="F4" s="130"/>
      <c r="G4" s="130"/>
      <c r="H4" s="130"/>
      <c r="I4" s="130"/>
      <c r="J4" s="130"/>
      <c r="K4" s="130"/>
      <c r="L4" s="130"/>
      <c r="M4" s="130"/>
      <c r="N4" s="130"/>
      <c r="O4" s="130"/>
      <c r="P4" s="132" t="s">
        <v>3</v>
      </c>
      <c r="Q4" s="130"/>
      <c r="R4" s="130"/>
      <c r="S4" s="130"/>
      <c r="T4" s="130"/>
      <c r="U4" s="130"/>
      <c r="V4" s="130"/>
      <c r="W4" s="130"/>
      <c r="X4" s="130"/>
      <c r="Y4" s="130"/>
      <c r="Z4" s="130"/>
      <c r="AA4" s="130"/>
    </row>
    <row r="5" spans="1:30" s="56" customFormat="1" ht="15" customHeight="1">
      <c r="C5" s="130"/>
      <c r="D5" s="130"/>
      <c r="E5" s="130"/>
      <c r="F5" s="130"/>
      <c r="G5" s="130"/>
      <c r="H5" s="130"/>
      <c r="I5" s="130"/>
      <c r="J5" s="130"/>
      <c r="K5" s="130"/>
      <c r="L5" s="130"/>
      <c r="M5" s="130"/>
      <c r="N5" s="130"/>
      <c r="O5" s="130"/>
      <c r="P5" s="130"/>
      <c r="Q5" s="130"/>
      <c r="R5" s="130"/>
      <c r="S5" s="130"/>
      <c r="T5" s="130"/>
      <c r="U5" s="130"/>
      <c r="V5" s="130"/>
      <c r="W5" s="130"/>
      <c r="X5" s="130"/>
      <c r="Y5" s="130"/>
      <c r="Z5" s="130"/>
      <c r="AA5" s="130"/>
    </row>
    <row r="6" spans="1:30" s="56" customFormat="1" ht="15" customHeight="1">
      <c r="B6" s="131"/>
      <c r="C6" s="147" t="s">
        <v>4</v>
      </c>
      <c r="D6" s="131" t="s">
        <v>5</v>
      </c>
      <c r="E6" s="131"/>
      <c r="F6" s="131"/>
      <c r="G6" s="131"/>
      <c r="H6" s="131"/>
      <c r="I6" s="131"/>
      <c r="J6" s="131"/>
      <c r="K6" s="131"/>
      <c r="L6" s="131"/>
      <c r="M6" s="131"/>
      <c r="N6" s="143"/>
      <c r="O6" s="131"/>
      <c r="P6" s="131"/>
      <c r="Q6" s="146" t="s">
        <v>6</v>
      </c>
      <c r="R6" s="131"/>
      <c r="S6" s="131"/>
      <c r="T6" s="131"/>
      <c r="U6" s="131"/>
      <c r="V6" s="131"/>
      <c r="W6" s="131"/>
      <c r="X6" s="131"/>
      <c r="Y6" s="131"/>
      <c r="Z6" s="131"/>
      <c r="AA6" s="130"/>
    </row>
    <row r="7" spans="1:30" s="56" customFormat="1" ht="15" customHeight="1">
      <c r="C7" s="147" t="s">
        <v>4</v>
      </c>
      <c r="D7" s="131" t="s">
        <v>7</v>
      </c>
      <c r="E7" s="131"/>
      <c r="F7" s="131"/>
      <c r="G7" s="131"/>
      <c r="H7" s="132"/>
      <c r="I7" s="131"/>
      <c r="J7" s="131"/>
      <c r="K7" s="131"/>
      <c r="L7" s="130"/>
      <c r="M7" s="131"/>
      <c r="N7" s="143"/>
      <c r="O7" s="131"/>
      <c r="R7" s="272" t="s">
        <v>8</v>
      </c>
      <c r="S7" s="272"/>
      <c r="T7" s="272"/>
      <c r="U7" s="272"/>
      <c r="V7" s="272"/>
      <c r="W7" s="272"/>
      <c r="X7" s="272"/>
      <c r="Y7" s="272"/>
    </row>
    <row r="8" spans="1:30" s="56" customFormat="1" ht="15" customHeight="1">
      <c r="C8" s="147"/>
      <c r="D8" s="131"/>
      <c r="E8" s="131"/>
      <c r="F8" s="131"/>
      <c r="G8" s="131"/>
      <c r="H8" s="132"/>
      <c r="I8" s="131"/>
      <c r="J8" s="131"/>
      <c r="K8" s="131"/>
      <c r="L8" s="130"/>
      <c r="M8" s="131"/>
      <c r="N8" s="143"/>
      <c r="O8" s="131"/>
      <c r="R8" s="272"/>
      <c r="S8" s="272"/>
      <c r="T8" s="272"/>
      <c r="U8" s="272"/>
      <c r="V8" s="272"/>
      <c r="W8" s="272"/>
      <c r="X8" s="272"/>
      <c r="Y8" s="272"/>
    </row>
    <row r="9" spans="1:30" s="56" customFormat="1" ht="15" customHeight="1">
      <c r="A9" s="131"/>
      <c r="C9" s="147"/>
      <c r="D9" s="131"/>
      <c r="E9" s="131"/>
      <c r="F9" s="131"/>
      <c r="G9" s="131"/>
      <c r="H9" s="131"/>
      <c r="I9" s="131"/>
      <c r="J9" s="131"/>
      <c r="K9" s="131"/>
      <c r="L9" s="131"/>
      <c r="M9" s="131"/>
      <c r="N9" s="143"/>
      <c r="O9" s="131"/>
      <c r="P9" s="131"/>
      <c r="R9" s="272"/>
      <c r="S9" s="272"/>
      <c r="T9" s="272"/>
      <c r="U9" s="272"/>
      <c r="V9" s="272"/>
      <c r="W9" s="272"/>
      <c r="X9" s="272"/>
      <c r="Y9" s="272"/>
      <c r="Z9" s="131"/>
      <c r="AA9" s="131"/>
      <c r="AB9" s="131"/>
      <c r="AC9" s="131"/>
      <c r="AD9" s="131"/>
    </row>
    <row r="10" spans="1:30" s="56" customFormat="1" ht="15" customHeight="1">
      <c r="A10" s="131"/>
      <c r="C10" s="132" t="s">
        <v>9</v>
      </c>
      <c r="D10" s="131"/>
      <c r="E10" s="131"/>
      <c r="F10" s="131"/>
      <c r="G10" s="131"/>
      <c r="H10" s="131"/>
      <c r="I10" s="131"/>
      <c r="J10" s="131"/>
      <c r="K10" s="131"/>
      <c r="L10" s="131"/>
      <c r="M10" s="131"/>
      <c r="N10" s="143"/>
      <c r="O10" s="131"/>
      <c r="P10" s="131"/>
      <c r="R10" s="272"/>
      <c r="S10" s="272"/>
      <c r="T10" s="272"/>
      <c r="U10" s="272"/>
      <c r="V10" s="272"/>
      <c r="W10" s="272"/>
      <c r="X10" s="272"/>
      <c r="Y10" s="272"/>
      <c r="Z10" s="131"/>
      <c r="AA10" s="131"/>
      <c r="AB10" s="131"/>
      <c r="AC10" s="131"/>
      <c r="AD10" s="131"/>
    </row>
    <row r="11" spans="1:30" ht="15" customHeight="1">
      <c r="A11" s="130"/>
      <c r="B11" s="130"/>
      <c r="C11" s="130"/>
      <c r="D11" s="130"/>
      <c r="E11" s="130"/>
      <c r="F11" s="130"/>
      <c r="G11" s="130"/>
      <c r="H11" s="133"/>
      <c r="I11" s="130"/>
      <c r="J11" s="130"/>
      <c r="K11" s="130"/>
      <c r="L11" s="130"/>
      <c r="M11" s="131"/>
      <c r="N11" s="143"/>
      <c r="O11" s="131"/>
      <c r="P11" s="131"/>
      <c r="V11" s="182"/>
      <c r="W11" s="182"/>
      <c r="X11" s="182"/>
      <c r="Y11" s="182"/>
      <c r="Z11" s="131"/>
      <c r="AA11" s="131"/>
      <c r="AB11" s="130"/>
      <c r="AC11" s="130"/>
      <c r="AD11" s="130"/>
    </row>
    <row r="12" spans="1:30" ht="15" customHeight="1">
      <c r="A12" s="130"/>
      <c r="B12" s="130"/>
      <c r="C12" s="130" t="s">
        <v>10</v>
      </c>
      <c r="D12" s="130"/>
      <c r="E12" s="130"/>
      <c r="F12" s="130"/>
      <c r="G12" s="130"/>
      <c r="H12" s="133"/>
      <c r="I12" s="130"/>
      <c r="J12" s="130"/>
      <c r="K12" s="130"/>
      <c r="L12" s="130"/>
      <c r="M12" s="131"/>
      <c r="N12" s="143"/>
      <c r="O12" s="131"/>
      <c r="P12" s="131"/>
      <c r="Q12" s="133" t="s">
        <v>11</v>
      </c>
      <c r="R12" s="142"/>
      <c r="S12" s="142"/>
      <c r="T12" s="142"/>
      <c r="U12" s="142"/>
      <c r="V12" s="182"/>
      <c r="W12" s="182"/>
      <c r="X12" s="182"/>
      <c r="Y12" s="182"/>
      <c r="Z12" s="131"/>
      <c r="AA12" s="131"/>
      <c r="AB12" s="130"/>
      <c r="AC12" s="130"/>
      <c r="AD12" s="130"/>
    </row>
    <row r="13" spans="1:30" ht="15" customHeight="1">
      <c r="A13" s="130"/>
      <c r="C13" s="130"/>
      <c r="D13" s="130"/>
      <c r="E13" s="130"/>
      <c r="F13" s="130"/>
      <c r="G13" s="130"/>
      <c r="H13" s="130"/>
      <c r="I13" s="136"/>
      <c r="J13" s="136"/>
      <c r="K13" s="136"/>
      <c r="L13" s="136"/>
      <c r="M13" s="130"/>
      <c r="N13" s="144"/>
      <c r="O13" s="130"/>
      <c r="P13" s="130"/>
      <c r="Q13" s="131"/>
      <c r="R13" s="271" t="s">
        <v>12</v>
      </c>
      <c r="S13" s="271"/>
      <c r="T13" s="271"/>
      <c r="U13" s="271"/>
      <c r="V13" s="271"/>
      <c r="W13" s="271"/>
      <c r="X13" s="271"/>
      <c r="Y13" s="271"/>
      <c r="Z13" s="130"/>
      <c r="AA13" s="130"/>
      <c r="AB13" s="130"/>
      <c r="AC13" s="130"/>
      <c r="AD13" s="130"/>
    </row>
    <row r="14" spans="1:30" ht="15" customHeight="1">
      <c r="A14" s="130"/>
      <c r="B14" s="130"/>
      <c r="D14" s="133" t="s">
        <v>13</v>
      </c>
      <c r="E14" s="130"/>
      <c r="G14" s="130"/>
      <c r="H14" s="130"/>
      <c r="I14" s="136"/>
      <c r="J14" s="136"/>
      <c r="K14" s="136"/>
      <c r="L14" s="136"/>
      <c r="M14" s="136"/>
      <c r="N14" s="144"/>
      <c r="O14" s="130"/>
      <c r="P14" s="130"/>
      <c r="Q14" s="131"/>
      <c r="R14" s="271"/>
      <c r="S14" s="271"/>
      <c r="T14" s="271"/>
      <c r="U14" s="271"/>
      <c r="V14" s="271"/>
      <c r="W14" s="271"/>
      <c r="X14" s="271"/>
      <c r="Y14" s="271"/>
      <c r="Z14" s="130"/>
      <c r="AA14" s="130"/>
      <c r="AB14" s="130"/>
      <c r="AC14" s="130"/>
      <c r="AD14" s="130"/>
    </row>
    <row r="15" spans="1:30" ht="15" customHeight="1">
      <c r="A15" s="130"/>
      <c r="B15" s="130"/>
      <c r="C15" s="131"/>
      <c r="D15" s="130"/>
      <c r="E15" s="274" t="s">
        <v>14</v>
      </c>
      <c r="F15" s="274"/>
      <c r="G15" s="274"/>
      <c r="H15" s="274"/>
      <c r="I15" s="274"/>
      <c r="J15" s="274"/>
      <c r="K15" s="274"/>
      <c r="L15" s="274"/>
      <c r="M15" s="274"/>
      <c r="N15" s="144"/>
      <c r="O15" s="130"/>
      <c r="P15" s="130"/>
      <c r="Q15" s="130"/>
      <c r="R15" s="271"/>
      <c r="S15" s="271"/>
      <c r="T15" s="271"/>
      <c r="U15" s="271"/>
      <c r="V15" s="271"/>
      <c r="W15" s="271"/>
      <c r="X15" s="271"/>
      <c r="Y15" s="271"/>
      <c r="Z15" s="130"/>
      <c r="AA15" s="130"/>
      <c r="AB15" s="130"/>
      <c r="AC15" s="130"/>
      <c r="AD15" s="130"/>
    </row>
    <row r="16" spans="1:30" ht="15" customHeight="1">
      <c r="A16" s="130"/>
      <c r="B16" s="130"/>
      <c r="C16" s="131"/>
      <c r="D16" s="130"/>
      <c r="E16" s="274"/>
      <c r="F16" s="274"/>
      <c r="G16" s="274"/>
      <c r="H16" s="274"/>
      <c r="I16" s="274"/>
      <c r="J16" s="274"/>
      <c r="K16" s="274"/>
      <c r="L16" s="274"/>
      <c r="M16" s="274"/>
      <c r="N16" s="144"/>
      <c r="O16" s="130"/>
      <c r="P16" s="130"/>
      <c r="Q16" s="130"/>
      <c r="R16" s="271"/>
      <c r="S16" s="271"/>
      <c r="T16" s="271"/>
      <c r="U16" s="271"/>
      <c r="V16" s="271"/>
      <c r="W16" s="271"/>
      <c r="X16" s="271"/>
      <c r="Y16" s="271"/>
      <c r="Z16" s="130"/>
      <c r="AA16" s="130"/>
      <c r="AB16" s="130"/>
      <c r="AC16" s="130"/>
      <c r="AD16" s="130"/>
    </row>
    <row r="17" spans="1:30" ht="15" customHeight="1">
      <c r="A17" s="130"/>
      <c r="B17" s="130"/>
      <c r="C17" s="131"/>
      <c r="D17" s="130"/>
      <c r="E17" s="130"/>
      <c r="F17" s="130"/>
      <c r="G17" s="130"/>
      <c r="H17" s="130"/>
      <c r="I17" s="130"/>
      <c r="J17" s="130"/>
      <c r="K17" s="130"/>
      <c r="L17" s="130"/>
      <c r="M17" s="130"/>
      <c r="N17" s="144"/>
      <c r="O17" s="130"/>
      <c r="P17" s="130"/>
      <c r="Q17" s="130"/>
      <c r="R17" s="271"/>
      <c r="S17" s="271"/>
      <c r="T17" s="271"/>
      <c r="U17" s="271"/>
      <c r="V17" s="271"/>
      <c r="W17" s="271"/>
      <c r="X17" s="271"/>
      <c r="Y17" s="271"/>
      <c r="Z17" s="130"/>
      <c r="AA17" s="130"/>
      <c r="AB17" s="130"/>
      <c r="AC17" s="130"/>
      <c r="AD17" s="130"/>
    </row>
    <row r="18" spans="1:30" ht="15" customHeight="1">
      <c r="A18" s="130"/>
      <c r="B18" s="130"/>
      <c r="D18" s="145" t="s">
        <v>15</v>
      </c>
      <c r="M18" s="130"/>
      <c r="N18" s="144"/>
      <c r="O18" s="130"/>
      <c r="P18" s="130"/>
      <c r="Q18" s="130"/>
      <c r="R18" s="271"/>
      <c r="S18" s="271"/>
      <c r="T18" s="271"/>
      <c r="U18" s="271"/>
      <c r="V18" s="271"/>
      <c r="W18" s="271"/>
      <c r="X18" s="271"/>
      <c r="Y18" s="271"/>
      <c r="Z18" s="130"/>
      <c r="AA18" s="130"/>
      <c r="AB18" s="130"/>
      <c r="AC18" s="130"/>
      <c r="AD18" s="130"/>
    </row>
    <row r="19" spans="1:30" ht="15" customHeight="1">
      <c r="A19" s="130"/>
      <c r="B19" s="130"/>
      <c r="D19" s="130"/>
      <c r="E19" s="274" t="s">
        <v>16</v>
      </c>
      <c r="F19" s="274"/>
      <c r="G19" s="274"/>
      <c r="H19" s="274"/>
      <c r="I19" s="274"/>
      <c r="J19" s="274"/>
      <c r="K19" s="274"/>
      <c r="L19" s="274"/>
      <c r="M19" s="274"/>
      <c r="N19" s="144"/>
      <c r="O19" s="130"/>
      <c r="P19" s="130"/>
      <c r="Q19" s="130"/>
      <c r="R19" s="271"/>
      <c r="S19" s="271"/>
      <c r="T19" s="271"/>
      <c r="U19" s="271"/>
      <c r="V19" s="271"/>
      <c r="W19" s="271"/>
      <c r="X19" s="271"/>
      <c r="Y19" s="271"/>
      <c r="Z19" s="130"/>
      <c r="AA19" s="130"/>
      <c r="AB19" s="130"/>
      <c r="AC19" s="130"/>
      <c r="AD19" s="130"/>
    </row>
    <row r="20" spans="1:30" ht="15" customHeight="1">
      <c r="A20" s="130"/>
      <c r="B20" s="130"/>
      <c r="D20" s="130"/>
      <c r="E20" s="274"/>
      <c r="F20" s="274"/>
      <c r="G20" s="274"/>
      <c r="H20" s="274"/>
      <c r="I20" s="274"/>
      <c r="J20" s="274"/>
      <c r="K20" s="274"/>
      <c r="L20" s="274"/>
      <c r="M20" s="274"/>
      <c r="N20" s="144"/>
      <c r="O20" s="130"/>
      <c r="P20" s="130"/>
      <c r="Q20" s="130"/>
      <c r="R20" s="182"/>
      <c r="S20" s="182"/>
      <c r="T20" s="182"/>
      <c r="U20" s="182"/>
      <c r="V20" s="182"/>
      <c r="W20" s="182"/>
      <c r="X20" s="182"/>
      <c r="Y20" s="182"/>
      <c r="Z20" s="130"/>
      <c r="AA20" s="130"/>
      <c r="AB20" s="130"/>
      <c r="AC20" s="130"/>
      <c r="AD20" s="130"/>
    </row>
    <row r="21" spans="1:30" ht="15" customHeight="1">
      <c r="A21" s="130"/>
      <c r="B21" s="130"/>
      <c r="D21" s="130"/>
      <c r="E21" s="274"/>
      <c r="F21" s="274"/>
      <c r="G21" s="274"/>
      <c r="H21" s="274"/>
      <c r="I21" s="274"/>
      <c r="J21" s="274"/>
      <c r="K21" s="274"/>
      <c r="L21" s="274"/>
      <c r="M21" s="274"/>
      <c r="N21" s="144"/>
      <c r="O21" s="130"/>
      <c r="P21" s="130"/>
      <c r="Q21" s="133" t="s">
        <v>17</v>
      </c>
      <c r="R21" s="182"/>
      <c r="S21" s="182"/>
      <c r="T21" s="182"/>
      <c r="U21" s="182"/>
      <c r="V21" s="182"/>
      <c r="W21" s="182"/>
      <c r="X21" s="182"/>
      <c r="Y21" s="182"/>
      <c r="Z21" s="130"/>
      <c r="AA21" s="130"/>
      <c r="AB21" s="130"/>
      <c r="AC21" s="130"/>
      <c r="AD21" s="130"/>
    </row>
    <row r="22" spans="1:30" ht="15" customHeight="1">
      <c r="A22" s="130"/>
      <c r="B22" s="130"/>
      <c r="C22" s="130"/>
      <c r="D22" s="130"/>
      <c r="M22" s="130"/>
      <c r="N22" s="144"/>
      <c r="O22" s="130"/>
      <c r="P22" s="130"/>
      <c r="R22" s="271" t="s">
        <v>18</v>
      </c>
      <c r="S22" s="271"/>
      <c r="T22" s="271"/>
      <c r="U22" s="271"/>
      <c r="V22" s="271"/>
      <c r="W22" s="271"/>
      <c r="X22" s="271"/>
      <c r="Y22" s="271"/>
      <c r="Z22" s="130"/>
      <c r="AA22" s="130"/>
      <c r="AB22" s="130"/>
      <c r="AC22" s="130"/>
      <c r="AD22" s="130"/>
    </row>
    <row r="23" spans="1:30" ht="15" customHeight="1">
      <c r="A23" s="130"/>
      <c r="B23" s="130"/>
      <c r="C23" s="130"/>
      <c r="D23" s="133" t="s">
        <v>19</v>
      </c>
      <c r="M23" s="130"/>
      <c r="N23" s="144"/>
      <c r="O23" s="130"/>
      <c r="P23" s="130"/>
      <c r="R23" s="271"/>
      <c r="S23" s="271"/>
      <c r="T23" s="271"/>
      <c r="U23" s="271"/>
      <c r="V23" s="271"/>
      <c r="W23" s="271"/>
      <c r="X23" s="271"/>
      <c r="Y23" s="271"/>
      <c r="Z23" s="130"/>
      <c r="AA23" s="130"/>
      <c r="AB23" s="130"/>
      <c r="AC23" s="130"/>
      <c r="AD23" s="130"/>
    </row>
    <row r="24" spans="1:30" ht="15" customHeight="1">
      <c r="A24" s="130"/>
      <c r="E24" s="130" t="s">
        <v>20</v>
      </c>
      <c r="N24" s="144"/>
      <c r="O24" s="130"/>
      <c r="P24" s="130"/>
      <c r="Q24" s="130"/>
      <c r="R24" s="271"/>
      <c r="S24" s="271"/>
      <c r="T24" s="271"/>
      <c r="U24" s="271"/>
      <c r="V24" s="271"/>
      <c r="W24" s="271"/>
      <c r="X24" s="271"/>
      <c r="Y24" s="271"/>
      <c r="Z24" s="130"/>
      <c r="AA24" s="130"/>
      <c r="AB24" s="130"/>
      <c r="AC24" s="130"/>
      <c r="AD24" s="130"/>
    </row>
    <row r="25" spans="1:30" ht="15" customHeight="1">
      <c r="A25" s="130"/>
      <c r="E25" s="147" t="s">
        <v>4</v>
      </c>
      <c r="F25" s="145" t="s">
        <v>21</v>
      </c>
      <c r="G25" s="130"/>
      <c r="H25" s="130"/>
      <c r="N25" s="144"/>
      <c r="O25" s="130"/>
      <c r="P25" s="131"/>
      <c r="Q25" s="130"/>
      <c r="R25" s="271"/>
      <c r="S25" s="271"/>
      <c r="T25" s="271"/>
      <c r="U25" s="271"/>
      <c r="V25" s="271"/>
      <c r="W25" s="271"/>
      <c r="X25" s="271"/>
      <c r="Y25" s="271"/>
      <c r="Z25" s="131"/>
      <c r="AA25" s="131"/>
      <c r="AB25" s="130"/>
      <c r="AC25" s="130"/>
      <c r="AD25" s="130"/>
    </row>
    <row r="26" spans="1:30" ht="15" customHeight="1">
      <c r="A26" s="130"/>
      <c r="E26" s="147" t="s">
        <v>4</v>
      </c>
      <c r="F26" s="145" t="s">
        <v>22</v>
      </c>
      <c r="G26" s="130"/>
      <c r="H26" s="130"/>
      <c r="N26" s="144"/>
      <c r="O26" s="130"/>
      <c r="P26" s="133"/>
      <c r="Q26" s="131"/>
      <c r="R26" s="271"/>
      <c r="S26" s="271"/>
      <c r="T26" s="271"/>
      <c r="U26" s="271"/>
      <c r="V26" s="271"/>
      <c r="W26" s="271"/>
      <c r="X26" s="271"/>
      <c r="Y26" s="271"/>
      <c r="Z26" s="131"/>
      <c r="AA26" s="130"/>
      <c r="AB26" s="130"/>
      <c r="AC26" s="130"/>
      <c r="AD26" s="130"/>
    </row>
    <row r="27" spans="1:30" ht="15" customHeight="1">
      <c r="A27" s="130"/>
      <c r="E27" s="147" t="s">
        <v>4</v>
      </c>
      <c r="F27" s="145" t="s">
        <v>23</v>
      </c>
      <c r="G27" s="130"/>
      <c r="H27" s="130"/>
      <c r="N27" s="144"/>
      <c r="O27" s="130"/>
      <c r="P27" s="133"/>
      <c r="Q27" s="136"/>
      <c r="R27" s="271"/>
      <c r="S27" s="271"/>
      <c r="T27" s="271"/>
      <c r="U27" s="271"/>
      <c r="V27" s="271"/>
      <c r="W27" s="271"/>
      <c r="X27" s="271"/>
      <c r="Y27" s="271"/>
      <c r="Z27" s="130"/>
      <c r="AA27" s="130"/>
      <c r="AB27" s="130"/>
      <c r="AC27" s="130"/>
      <c r="AD27" s="130"/>
    </row>
    <row r="28" spans="1:30" ht="15" customHeight="1">
      <c r="A28" s="130"/>
      <c r="F28" s="130"/>
      <c r="G28" s="130"/>
      <c r="H28" s="130"/>
      <c r="N28" s="144"/>
      <c r="O28" s="130"/>
      <c r="P28" s="130"/>
      <c r="Q28" s="130"/>
      <c r="U28" s="136"/>
      <c r="V28" s="130"/>
      <c r="W28" s="130"/>
      <c r="X28" s="130"/>
      <c r="Y28" s="130"/>
      <c r="Z28" s="130"/>
      <c r="AA28" s="130"/>
      <c r="AB28" s="130"/>
      <c r="AC28" s="130"/>
      <c r="AD28" s="130"/>
    </row>
    <row r="29" spans="1:30" ht="15" customHeight="1">
      <c r="A29" s="130"/>
      <c r="F29" s="130"/>
      <c r="G29" s="130"/>
      <c r="H29" s="130"/>
      <c r="N29" s="144"/>
      <c r="O29" s="130"/>
      <c r="P29" s="130"/>
      <c r="Q29" s="130"/>
      <c r="R29" s="136"/>
      <c r="S29" s="262" t="s">
        <v>4</v>
      </c>
      <c r="T29" s="230" t="s">
        <v>24</v>
      </c>
      <c r="U29" s="136"/>
      <c r="V29" s="130"/>
      <c r="W29" s="130"/>
      <c r="X29" s="130"/>
      <c r="Y29" s="130"/>
      <c r="Z29" s="130"/>
      <c r="AA29" s="130"/>
      <c r="AB29" s="130"/>
      <c r="AC29" s="130"/>
      <c r="AD29" s="130"/>
    </row>
    <row r="30" spans="1:30" ht="15" customHeight="1">
      <c r="A30" s="130"/>
      <c r="D30" s="133" t="s">
        <v>25</v>
      </c>
      <c r="E30" s="130"/>
      <c r="F30" s="130"/>
      <c r="G30" s="130"/>
      <c r="H30" s="130"/>
      <c r="I30" s="130"/>
      <c r="J30" s="130"/>
      <c r="K30" s="130"/>
      <c r="N30" s="144"/>
      <c r="O30" s="130"/>
      <c r="P30" s="130"/>
      <c r="Q30" s="130"/>
      <c r="R30" s="136"/>
      <c r="S30" s="262" t="s">
        <v>4</v>
      </c>
      <c r="T30" s="230" t="s">
        <v>26</v>
      </c>
      <c r="U30" s="130"/>
      <c r="V30" s="130"/>
      <c r="W30" s="130"/>
      <c r="X30" s="130"/>
      <c r="Y30" s="130"/>
      <c r="Z30" s="130"/>
      <c r="AA30" s="130"/>
      <c r="AB30" s="268"/>
      <c r="AC30" s="269"/>
      <c r="AD30" s="130"/>
    </row>
    <row r="31" spans="1:30" ht="15" customHeight="1">
      <c r="A31" s="130"/>
      <c r="D31" s="130"/>
      <c r="E31" s="219"/>
      <c r="F31" s="130" t="s">
        <v>27</v>
      </c>
      <c r="G31" s="130"/>
      <c r="H31" s="130"/>
      <c r="I31" s="130"/>
      <c r="J31" s="130"/>
      <c r="K31" s="130"/>
      <c r="N31" s="144"/>
      <c r="O31" s="130"/>
      <c r="P31" s="130"/>
      <c r="Q31" s="130"/>
      <c r="T31" s="130"/>
      <c r="U31" s="130"/>
      <c r="V31" s="130"/>
      <c r="W31" s="130"/>
      <c r="X31" s="130"/>
      <c r="Y31" s="130"/>
      <c r="Z31" s="130"/>
      <c r="AA31" s="130"/>
      <c r="AB31" s="130"/>
      <c r="AC31" s="130"/>
      <c r="AD31" s="130"/>
    </row>
    <row r="32" spans="1:30" ht="15" customHeight="1">
      <c r="A32" s="130"/>
      <c r="B32" s="130"/>
      <c r="C32" s="130"/>
      <c r="D32" s="133"/>
      <c r="E32" s="210"/>
      <c r="F32" s="130" t="s">
        <v>28</v>
      </c>
      <c r="G32" s="130"/>
      <c r="H32" s="130"/>
      <c r="I32" s="130"/>
      <c r="J32" s="130"/>
      <c r="K32" s="130"/>
      <c r="L32" s="130"/>
      <c r="M32" s="130"/>
      <c r="N32" s="144"/>
      <c r="O32" s="130"/>
      <c r="P32" s="133"/>
      <c r="Q32" s="130"/>
      <c r="R32" s="130"/>
      <c r="S32" s="130"/>
      <c r="T32" s="130"/>
      <c r="U32" s="130"/>
      <c r="Z32" s="130"/>
      <c r="AA32" s="130"/>
      <c r="AB32" s="130"/>
      <c r="AC32" s="130"/>
      <c r="AD32" s="130"/>
    </row>
    <row r="33" spans="1:30" ht="15" customHeight="1">
      <c r="A33" s="130"/>
      <c r="B33" s="130"/>
      <c r="C33" s="130"/>
      <c r="D33" s="130"/>
      <c r="E33" s="141"/>
      <c r="F33" s="130" t="s">
        <v>29</v>
      </c>
      <c r="G33" s="130"/>
      <c r="H33" s="130"/>
      <c r="I33" s="130"/>
      <c r="J33" s="130"/>
      <c r="K33" s="130"/>
      <c r="L33" s="130"/>
      <c r="M33" s="130"/>
      <c r="N33" s="144"/>
      <c r="O33" s="130"/>
      <c r="P33" s="130"/>
      <c r="Q33" s="130"/>
      <c r="S33" s="130"/>
      <c r="T33" s="130"/>
      <c r="U33" s="130"/>
      <c r="V33" s="130"/>
      <c r="W33" s="130"/>
      <c r="X33" s="130"/>
      <c r="Y33" s="130"/>
      <c r="Z33" s="130"/>
      <c r="AA33" s="130"/>
      <c r="AB33" s="130"/>
      <c r="AC33" s="130"/>
      <c r="AD33" s="130"/>
    </row>
    <row r="34" spans="1:30" ht="15" customHeight="1">
      <c r="A34" s="130"/>
      <c r="B34" s="130"/>
      <c r="C34" s="130"/>
      <c r="D34" s="130"/>
      <c r="E34" s="229"/>
      <c r="F34" s="130" t="s">
        <v>30</v>
      </c>
      <c r="G34" s="130"/>
      <c r="H34" s="130"/>
      <c r="I34" s="130"/>
      <c r="J34" s="130"/>
      <c r="K34" s="130"/>
      <c r="L34" s="130"/>
      <c r="M34" s="130"/>
      <c r="N34" s="144"/>
      <c r="O34" s="130"/>
      <c r="P34" s="130"/>
      <c r="R34" s="130" t="s">
        <v>31</v>
      </c>
      <c r="S34" s="130"/>
      <c r="V34" s="130"/>
      <c r="W34" s="130"/>
      <c r="X34" s="130"/>
      <c r="Y34" s="130"/>
      <c r="Z34" s="130"/>
      <c r="AA34" s="130"/>
      <c r="AB34" s="130"/>
      <c r="AC34" s="130"/>
      <c r="AD34" s="130"/>
    </row>
    <row r="35" spans="1:30" ht="15" customHeight="1">
      <c r="A35" s="130"/>
      <c r="B35" s="130"/>
      <c r="C35" s="130"/>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spans="1:30" ht="15" customHeight="1">
      <c r="A36" s="130"/>
      <c r="B36" s="130"/>
      <c r="C36" s="130"/>
      <c r="D36" s="130"/>
      <c r="E36" s="130"/>
      <c r="F36" s="130"/>
      <c r="G36" s="130"/>
      <c r="H36" s="130"/>
      <c r="I36" s="130"/>
      <c r="J36" s="130"/>
      <c r="K36" s="130"/>
      <c r="L36" s="130"/>
      <c r="M36" s="130"/>
      <c r="N36" s="130"/>
      <c r="O36" s="130"/>
      <c r="P36" s="130"/>
      <c r="Q36" s="130"/>
      <c r="U36" s="130"/>
      <c r="V36" s="130"/>
      <c r="W36" s="130"/>
      <c r="X36" s="130"/>
      <c r="Y36" s="130"/>
      <c r="Z36" s="130"/>
      <c r="AA36" s="130"/>
      <c r="AB36" s="130"/>
      <c r="AC36" s="130"/>
      <c r="AD36" s="130"/>
    </row>
    <row r="37" spans="1:30" ht="15" customHeight="1">
      <c r="A37" s="130"/>
      <c r="B37" s="130"/>
      <c r="C37" s="130"/>
      <c r="D37" s="130"/>
      <c r="E37" s="130"/>
      <c r="F37" s="130"/>
      <c r="G37" s="130"/>
      <c r="H37" s="130"/>
      <c r="I37" s="130"/>
      <c r="J37" s="130"/>
      <c r="K37" s="130"/>
      <c r="L37" s="130"/>
      <c r="M37" s="130"/>
      <c r="N37" s="130"/>
      <c r="O37" s="130"/>
      <c r="Q37" s="130"/>
      <c r="U37" s="130"/>
      <c r="V37" s="130"/>
      <c r="W37" s="130"/>
      <c r="X37" s="130"/>
      <c r="Y37" s="130"/>
      <c r="Z37" s="130"/>
      <c r="AA37" s="130"/>
      <c r="AB37" s="130"/>
      <c r="AC37" s="130"/>
      <c r="AD37" s="130"/>
    </row>
    <row r="38" spans="1:30" ht="15" customHeight="1">
      <c r="A38" s="130"/>
      <c r="B38" s="130"/>
      <c r="C38" s="130"/>
      <c r="D38" s="130"/>
      <c r="E38" s="130"/>
      <c r="F38" s="130"/>
      <c r="G38" s="130"/>
      <c r="H38" s="130"/>
      <c r="I38" s="130"/>
      <c r="J38" s="130"/>
      <c r="K38" s="130"/>
      <c r="L38" s="130"/>
      <c r="M38" s="130"/>
      <c r="N38" s="130"/>
      <c r="O38" s="130"/>
      <c r="P38" s="130"/>
      <c r="R38" s="130"/>
      <c r="S38" s="130"/>
      <c r="T38" s="130"/>
      <c r="U38" s="130"/>
      <c r="V38" s="130"/>
      <c r="W38" s="130"/>
      <c r="X38" s="130"/>
      <c r="Y38" s="130"/>
      <c r="Z38" s="130"/>
      <c r="AA38" s="130"/>
      <c r="AB38" s="130"/>
      <c r="AC38" s="130"/>
      <c r="AD38" s="130"/>
    </row>
    <row r="39" spans="1:30" ht="15" customHeight="1">
      <c r="A39" s="130"/>
      <c r="B39" s="130"/>
      <c r="C39" s="130"/>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spans="1:30" ht="15" customHeight="1">
      <c r="A40" s="130"/>
      <c r="B40" s="130"/>
      <c r="C40" s="130"/>
      <c r="D40" s="130"/>
      <c r="E40" s="130"/>
      <c r="F40" s="130"/>
      <c r="G40" s="130"/>
      <c r="H40" s="130"/>
      <c r="I40" s="130"/>
      <c r="J40" s="130"/>
      <c r="K40" s="130"/>
      <c r="L40" s="130"/>
      <c r="M40" s="130"/>
      <c r="N40" s="130"/>
      <c r="O40" s="130"/>
      <c r="P40" s="130"/>
      <c r="Q40" s="130"/>
      <c r="R40" s="130"/>
      <c r="S40" s="130"/>
      <c r="T40" s="130"/>
      <c r="U40" s="130"/>
      <c r="V40" s="130"/>
      <c r="W40" s="130"/>
      <c r="X40" s="130"/>
      <c r="Y40" s="130"/>
      <c r="Z40" s="130"/>
      <c r="AA40" s="130"/>
      <c r="AB40" s="130"/>
      <c r="AC40" s="133"/>
      <c r="AD40" s="130"/>
    </row>
    <row r="41" spans="1:30" ht="15" customHeight="1">
      <c r="A41" s="130"/>
      <c r="B41" s="130"/>
      <c r="C41" s="130"/>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spans="1:30" ht="15" customHeight="1">
      <c r="A42" s="130"/>
      <c r="B42" s="130"/>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spans="1:30" ht="15" customHeight="1">
      <c r="A43" s="130"/>
      <c r="B43" s="130"/>
      <c r="C43" s="130"/>
      <c r="D43" s="130"/>
      <c r="E43" s="130"/>
      <c r="F43" s="130"/>
      <c r="G43" s="130"/>
      <c r="H43" s="130"/>
      <c r="I43" s="130"/>
      <c r="J43" s="130"/>
      <c r="K43" s="130"/>
      <c r="L43" s="130"/>
      <c r="M43" s="130"/>
      <c r="N43" s="130"/>
      <c r="O43" s="130"/>
      <c r="P43" s="133"/>
      <c r="Q43" s="130"/>
      <c r="R43" s="130"/>
      <c r="S43" s="130"/>
      <c r="T43" s="130"/>
      <c r="U43" s="130"/>
      <c r="V43" s="130"/>
      <c r="W43" s="130"/>
      <c r="X43" s="130"/>
      <c r="Y43" s="130"/>
      <c r="Z43" s="130"/>
      <c r="AA43" s="130"/>
      <c r="AB43" s="130"/>
      <c r="AC43" s="130"/>
      <c r="AD43" s="130"/>
    </row>
    <row r="44" spans="1:30" ht="15" customHeight="1">
      <c r="A44" s="130"/>
      <c r="B44" s="130"/>
      <c r="C44" s="130"/>
      <c r="D44" s="130"/>
      <c r="E44" s="130"/>
      <c r="F44" s="130"/>
      <c r="G44" s="130"/>
      <c r="H44" s="130"/>
      <c r="I44" s="130"/>
      <c r="J44" s="130"/>
      <c r="K44" s="130"/>
      <c r="L44" s="130"/>
      <c r="M44" s="130"/>
      <c r="N44" s="130"/>
      <c r="O44" s="130"/>
      <c r="P44" s="130"/>
      <c r="Q44" s="130"/>
      <c r="R44" s="130"/>
      <c r="S44" s="130"/>
      <c r="T44" s="130"/>
      <c r="U44" s="130"/>
      <c r="V44" s="130"/>
      <c r="W44" s="130"/>
      <c r="X44" s="130"/>
      <c r="Y44" s="140"/>
      <c r="Z44" s="130"/>
      <c r="AA44" s="130"/>
      <c r="AB44" s="130"/>
      <c r="AC44" s="130"/>
      <c r="AD44" s="130"/>
    </row>
    <row r="45" spans="1:30" ht="15" customHeight="1">
      <c r="A45" s="130"/>
      <c r="B45" s="130"/>
      <c r="C45" s="130"/>
      <c r="D45" s="130"/>
      <c r="E45" s="130"/>
      <c r="F45" s="130"/>
      <c r="G45" s="130"/>
      <c r="H45" s="130"/>
      <c r="I45" s="130"/>
      <c r="J45" s="130"/>
      <c r="K45" s="130"/>
      <c r="L45" s="130"/>
      <c r="M45" s="130"/>
      <c r="N45" s="130"/>
      <c r="O45" s="130"/>
      <c r="P45" s="130"/>
      <c r="Q45" s="130"/>
      <c r="R45" s="130"/>
      <c r="S45" s="130"/>
      <c r="T45" s="130"/>
      <c r="U45" s="130"/>
      <c r="V45" s="130"/>
      <c r="W45" s="130"/>
      <c r="X45" s="130"/>
      <c r="Z45" s="130"/>
      <c r="AA45" s="130"/>
      <c r="AB45" s="130"/>
      <c r="AC45" s="130"/>
      <c r="AD45" s="130"/>
    </row>
    <row r="46" spans="1:30" ht="15" customHeight="1">
      <c r="A46" s="130"/>
      <c r="B46" s="130"/>
      <c r="C46" s="130"/>
      <c r="D46" s="130"/>
      <c r="E46" s="130"/>
      <c r="F46" s="130"/>
      <c r="G46" s="130"/>
      <c r="H46" s="130"/>
      <c r="I46" s="130"/>
      <c r="J46" s="130"/>
      <c r="K46" s="130"/>
      <c r="L46" s="130"/>
      <c r="M46" s="130"/>
      <c r="N46" s="130"/>
      <c r="O46" s="130"/>
      <c r="P46" s="130"/>
      <c r="Q46" s="130"/>
      <c r="R46" s="130"/>
      <c r="S46" s="130"/>
      <c r="T46" s="130"/>
      <c r="U46" s="130"/>
      <c r="V46" s="130"/>
      <c r="W46" s="130"/>
      <c r="X46" s="130"/>
      <c r="Z46" s="130"/>
      <c r="AA46" s="130"/>
      <c r="AB46" s="130"/>
      <c r="AC46" s="133"/>
      <c r="AD46" s="130"/>
    </row>
    <row r="47" spans="1:30" ht="15" customHeight="1">
      <c r="A47" s="130"/>
      <c r="B47" s="130"/>
      <c r="C47" s="130"/>
      <c r="D47" s="130"/>
      <c r="E47" s="137"/>
      <c r="F47" s="137"/>
      <c r="G47" s="137"/>
      <c r="H47" s="137"/>
      <c r="I47" s="137"/>
      <c r="J47" s="137"/>
      <c r="K47" s="137"/>
      <c r="L47" s="137"/>
      <c r="M47" s="137"/>
      <c r="N47" s="130"/>
      <c r="O47" s="130"/>
      <c r="P47" s="130"/>
      <c r="Q47" s="130"/>
      <c r="R47" s="130"/>
      <c r="S47" s="130"/>
      <c r="T47" s="130"/>
      <c r="U47" s="130"/>
      <c r="V47" s="130"/>
      <c r="W47" s="130"/>
      <c r="X47" s="130"/>
      <c r="Y47" s="140"/>
      <c r="Z47" s="130"/>
      <c r="AA47" s="130"/>
      <c r="AB47" s="130"/>
      <c r="AC47" s="130"/>
      <c r="AD47" s="130"/>
    </row>
    <row r="48" spans="1:30" ht="15" customHeight="1">
      <c r="A48" s="130"/>
      <c r="C48" s="130"/>
      <c r="D48" s="130"/>
      <c r="E48" s="130"/>
      <c r="F48" s="130"/>
      <c r="G48" s="130"/>
      <c r="H48" s="133"/>
      <c r="I48" s="130"/>
      <c r="J48" s="130"/>
      <c r="K48" s="130"/>
      <c r="L48" s="130"/>
      <c r="M48" s="130"/>
      <c r="N48" s="130"/>
      <c r="O48" s="130"/>
      <c r="P48" s="130"/>
      <c r="Q48" s="130"/>
      <c r="R48" s="130"/>
      <c r="S48" s="130"/>
      <c r="T48" s="130"/>
      <c r="U48" s="130"/>
      <c r="V48" s="130"/>
      <c r="X48" s="130"/>
      <c r="Y48" s="130"/>
      <c r="Z48" s="130"/>
      <c r="AA48" s="130"/>
      <c r="AB48" s="130"/>
      <c r="AC48" s="130"/>
      <c r="AD48" s="130"/>
    </row>
    <row r="49" spans="1:30" ht="15" customHeight="1">
      <c r="A49" s="130"/>
      <c r="B49" s="130"/>
      <c r="C49" s="130"/>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spans="1:30" ht="15" customHeight="1">
      <c r="A50" s="130"/>
      <c r="B50" s="130"/>
      <c r="C50" s="131"/>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spans="1:30" ht="15" customHeight="1"/>
    <row r="52" spans="1:30" ht="15" customHeight="1">
      <c r="B52" s="133"/>
      <c r="C52" s="130"/>
      <c r="D52" s="130"/>
      <c r="E52" s="130"/>
      <c r="F52" s="130"/>
      <c r="G52" s="130"/>
      <c r="H52" s="130"/>
      <c r="I52" s="130"/>
      <c r="J52" s="130"/>
      <c r="K52" s="130"/>
      <c r="L52" s="135"/>
      <c r="M52" s="135"/>
    </row>
    <row r="53" spans="1:30" ht="15" customHeight="1">
      <c r="B53" s="133"/>
      <c r="C53" s="130"/>
      <c r="D53" s="135"/>
      <c r="E53" s="135"/>
      <c r="F53" s="135"/>
      <c r="G53" s="135"/>
      <c r="H53" s="135"/>
      <c r="I53" s="135"/>
      <c r="J53" s="135"/>
      <c r="K53" s="130"/>
      <c r="L53" s="135"/>
      <c r="M53" s="135"/>
    </row>
    <row r="54" spans="1:30" ht="15" customHeight="1">
      <c r="B54" s="133"/>
      <c r="C54" s="130"/>
      <c r="D54" s="134"/>
      <c r="E54" s="138"/>
      <c r="F54" s="135"/>
      <c r="G54" s="135"/>
      <c r="H54" s="135"/>
      <c r="I54" s="135"/>
      <c r="J54" s="135"/>
      <c r="K54" s="130"/>
      <c r="L54" s="135"/>
      <c r="M54" s="135"/>
    </row>
    <row r="55" spans="1:30" ht="15" customHeight="1">
      <c r="B55" s="133"/>
      <c r="C55" s="130"/>
      <c r="D55" s="134"/>
      <c r="E55" s="138"/>
      <c r="F55" s="135"/>
      <c r="G55" s="135"/>
      <c r="H55" s="135"/>
      <c r="I55" s="135"/>
      <c r="J55" s="135"/>
      <c r="K55" s="130"/>
      <c r="L55" s="135"/>
      <c r="M55" s="135"/>
    </row>
    <row r="56" spans="1:30" ht="15" customHeight="1">
      <c r="B56" s="133"/>
      <c r="C56" s="134"/>
      <c r="D56" s="130"/>
      <c r="E56" s="130"/>
      <c r="F56" s="135"/>
      <c r="G56" s="135"/>
      <c r="H56" s="135"/>
      <c r="I56" s="135"/>
      <c r="J56" s="135"/>
      <c r="K56" s="135"/>
      <c r="L56" s="135"/>
      <c r="M56" s="135"/>
    </row>
    <row r="57" spans="1:30" ht="15" customHeight="1">
      <c r="B57" s="133"/>
      <c r="C57" s="130"/>
      <c r="D57" s="130"/>
      <c r="E57" s="130"/>
      <c r="F57" s="135"/>
      <c r="G57" s="135"/>
      <c r="H57" s="135"/>
      <c r="I57" s="135"/>
      <c r="J57" s="135"/>
      <c r="K57" s="135"/>
      <c r="L57" s="135"/>
      <c r="M57" s="135"/>
    </row>
    <row r="58" spans="1:30" ht="15" customHeight="1">
      <c r="B58" s="133"/>
      <c r="C58" s="139"/>
      <c r="D58" s="134"/>
      <c r="E58" s="130"/>
      <c r="F58" s="135"/>
      <c r="G58" s="135"/>
      <c r="H58" s="135"/>
      <c r="I58" s="135"/>
      <c r="J58" s="135"/>
      <c r="K58" s="135"/>
      <c r="L58" s="135"/>
      <c r="M58" s="135"/>
    </row>
    <row r="59" spans="1:30" ht="15" customHeight="1">
      <c r="B59" s="130"/>
      <c r="C59" s="130"/>
      <c r="D59" s="130"/>
      <c r="E59" s="130"/>
      <c r="F59" s="130"/>
      <c r="G59" s="130"/>
      <c r="H59" s="130"/>
      <c r="I59" s="130"/>
      <c r="J59" s="135"/>
      <c r="K59" s="135"/>
      <c r="L59" s="135"/>
      <c r="M59" s="135"/>
    </row>
    <row r="60" spans="1:30" ht="15" customHeight="1">
      <c r="B60" s="130"/>
      <c r="C60" s="130"/>
      <c r="D60" s="130"/>
      <c r="E60" s="130"/>
      <c r="F60" s="130"/>
      <c r="G60" s="130"/>
      <c r="H60" s="130"/>
      <c r="I60" s="130"/>
      <c r="J60" s="135"/>
      <c r="K60" s="135"/>
      <c r="L60" s="135"/>
      <c r="M60" s="135"/>
    </row>
    <row r="61" spans="1:30" ht="15" customHeight="1">
      <c r="B61" s="130"/>
      <c r="C61" s="130"/>
      <c r="D61" s="139"/>
      <c r="E61" s="135"/>
      <c r="F61" s="135"/>
      <c r="G61" s="135"/>
      <c r="H61" s="135"/>
      <c r="I61" s="135"/>
      <c r="J61" s="135"/>
      <c r="K61" s="135"/>
      <c r="L61" s="135"/>
      <c r="M61" s="135"/>
    </row>
    <row r="62" spans="1:30" ht="15" customHeight="1">
      <c r="B62" s="130"/>
      <c r="C62" s="130"/>
      <c r="D62" s="130"/>
      <c r="E62" s="135"/>
      <c r="F62" s="135"/>
      <c r="G62" s="135"/>
      <c r="H62" s="135"/>
      <c r="I62" s="135"/>
      <c r="J62" s="135"/>
      <c r="K62" s="135"/>
      <c r="L62" s="135"/>
      <c r="M62" s="137"/>
    </row>
    <row r="63" spans="1:30" ht="15" customHeight="1">
      <c r="B63" s="133"/>
      <c r="C63" s="130"/>
      <c r="D63" s="130"/>
      <c r="E63" s="137"/>
      <c r="F63" s="137"/>
      <c r="G63" s="137"/>
      <c r="H63" s="137"/>
      <c r="I63" s="137"/>
      <c r="J63" s="137"/>
      <c r="K63" s="137"/>
      <c r="L63" s="137"/>
      <c r="M63" s="137"/>
    </row>
    <row r="64" spans="1:30" s="58" customFormat="1" ht="15" customHeight="1">
      <c r="B64" s="130"/>
      <c r="C64" s="130"/>
      <c r="D64" s="130"/>
      <c r="E64" s="137"/>
      <c r="F64" s="137"/>
      <c r="G64" s="137"/>
      <c r="H64" s="137"/>
      <c r="I64" s="137"/>
      <c r="J64" s="137"/>
      <c r="K64" s="137"/>
      <c r="L64" s="137"/>
      <c r="M64" s="137"/>
    </row>
    <row r="65" spans="2:13" ht="15" customHeight="1">
      <c r="B65" s="130"/>
      <c r="C65" s="130"/>
      <c r="D65" s="130"/>
      <c r="E65" s="137"/>
      <c r="F65" s="137"/>
      <c r="G65" s="137"/>
      <c r="H65" s="137"/>
      <c r="I65" s="137"/>
      <c r="J65" s="137"/>
      <c r="K65" s="137"/>
      <c r="L65" s="137"/>
      <c r="M65" s="137"/>
    </row>
    <row r="66" spans="2:13" ht="15" customHeight="1">
      <c r="B66" s="130"/>
      <c r="C66" s="130"/>
      <c r="D66" s="130"/>
      <c r="E66" s="137"/>
      <c r="F66" s="137"/>
      <c r="G66" s="137"/>
      <c r="H66" s="137"/>
      <c r="I66" s="137"/>
      <c r="J66" s="137"/>
      <c r="K66" s="137"/>
      <c r="L66" s="137"/>
      <c r="M66" s="137"/>
    </row>
    <row r="67" spans="2:13" ht="15" customHeight="1">
      <c r="D67" s="59"/>
    </row>
    <row r="68" spans="2:13" ht="15" customHeight="1"/>
    <row r="69" spans="2:13" ht="15" customHeight="1"/>
  </sheetData>
  <sheetProtection algorithmName="SHA-512" hashValue="29j8lJe7GJ3l2PDZCnOTmIJMC0PJGp+xsbEc4pl6mJvk2BKNWfi9baNH1Z7fJTHvZ0KIBR2IXlJiSzpOFcrVcg==" saltValue="vXTeVRW/i0+cDxqtSBlyOw==" spinCount="100000" sheet="1" objects="1" scenarios="1"/>
  <mergeCells count="6">
    <mergeCell ref="R22:Y27"/>
    <mergeCell ref="R7:Y10"/>
    <mergeCell ref="M2:Y2"/>
    <mergeCell ref="E19:M21"/>
    <mergeCell ref="E15:M16"/>
    <mergeCell ref="R13:Y19"/>
  </mergeCells>
  <hyperlinks>
    <hyperlink ref="T30" r:id="rId1" xr:uid="{00000000-0004-0000-0000-000001000000}"/>
    <hyperlink ref="Q6" location="'Emission Factors'!A1" display="Emissions factors" xr:uid="{00000000-0004-0000-0000-000007000000}"/>
    <hyperlink ref="D18" location="Summary!A1" display="Summary tab" xr:uid="{00000000-0004-0000-0000-000006000000}"/>
    <hyperlink ref="F27" location="Refrigerant!A1" display="Refrigerent" xr:uid="{00000000-0004-0000-0000-000005000000}"/>
    <hyperlink ref="F26" location="'Flight calculator'!A1" display="Flight calculator" xr:uid="{00000000-0004-0000-0000-000003000000}"/>
    <hyperlink ref="F25" location="'Road calculator'!A1" display="Road calculator" xr:uid="{00000000-0004-0000-0000-000002000000}"/>
    <hyperlink ref="T29" r:id="rId2" xr:uid="{9CE1B5C3-4B89-4C06-8A8F-F169B18E2220}"/>
  </hyperlinks>
  <printOptions horizontalCentered="1"/>
  <pageMargins left="0.43307086614173229" right="0.43307086614173229" top="0.41" bottom="0.33" header="0.42" footer="0.34"/>
  <pageSetup paperSize="9" scale="58" orientation="landscape" horizontalDpi="300" verticalDpi="300"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68E52-2012-4925-B6AB-8FB9C76A6352}">
  <sheetPr codeName="Sheet13">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103</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6RiBy3x+1nJq4O6GTBQs+8UqIrbZQXOq0UiCnxPkGgvNRWChttcpCc3MzpYG0nlUIE8UUrV1TJ40454yNBkrZg==" saltValue="f1HhlyFxT0NFr7Oa6wTHKg=="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3928A673-0971-4313-8EE7-947F74FBC964}">
      <formula1>$AL$4:$AL$5</formula1>
    </dataValidation>
  </dataValidations>
  <hyperlinks>
    <hyperlink ref="I40" location="Refrigerant!A1" display="Refrigerant" xr:uid="{16EF2068-0FE6-454C-8FA3-7CA82738099D}"/>
    <hyperlink ref="G36" location="'Flight calculator'!B7" display="What is it?" xr:uid="{CB9A9847-18AE-4245-806C-12C9C718E3F5}"/>
  </hyperlinks>
  <pageMargins left="0.75" right="0.75" top="1" bottom="1" header="0.5" footer="0.5"/>
  <pageSetup paperSize="9" scale="68"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71530-0CF3-4631-A22D-7C85C9E118AE}">
  <sheetPr codeName="Sheet14">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104</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vTSCor56yNRsfJnbJh9mFB5JTY9x1g7Tn+n1oCPZMQ6fjFjCVcXkbylzLLv5Lp7J9r8LCbhh8tvPQf8fHrA6ng==" saltValue="tmNWCgm2UmKKXgoybZflIg=="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674DE778-2B27-47C8-8B06-BFD404836760}">
      <formula1>$AL$4:$AL$5</formula1>
    </dataValidation>
  </dataValidations>
  <hyperlinks>
    <hyperlink ref="I40" location="Refrigerant!A1" display="Refrigerant" xr:uid="{85BA1475-EED5-4622-9B1A-1102BFA9486E}"/>
    <hyperlink ref="G36" location="'Flight calculator'!B7" display="What is it?" xr:uid="{350FCDE5-87AB-4E6E-BA78-64FD52E34501}"/>
  </hyperlinks>
  <pageMargins left="0.75" right="0.75" top="1" bottom="1" header="0.5" footer="0.5"/>
  <pageSetup paperSize="9" scale="68"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CDB8-B452-4D14-8463-FB44F51BF709}">
  <sheetPr codeName="Sheet15">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105</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KoER+YUOxqTViSAwNqvlBqkuoAlsRKEZatXegJ+P2J5P2+d97J24eBUdy0hrg2O/xRM1pc6P5KujbNoyj6CQlw==" saltValue="fI8plBRZivPciV+JXnOpag=="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E772362B-7266-4650-8571-828F9F70EA8C}">
      <formula1>$AL$4:$AL$5</formula1>
    </dataValidation>
  </dataValidations>
  <hyperlinks>
    <hyperlink ref="I40" location="Refrigerant!A1" display="Refrigerant" xr:uid="{820C2A5D-2666-4B60-AE15-5516A2B99E11}"/>
    <hyperlink ref="G36" location="'Flight calculator'!B7" display="What is it?" xr:uid="{A2645F28-41BA-4B9D-8137-21C120A4D0BF}"/>
  </hyperlinks>
  <pageMargins left="0.75" right="0.75" top="1" bottom="1" header="0.5" footer="0.5"/>
  <pageSetup paperSize="9" scale="68"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8F32-48AD-4CA3-A752-EB9528DAFE94}">
  <sheetPr codeName="Sheet16">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106</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vpAqzd4B5YynaXPupgQXrXYB1tIRC+8I5jipPSogPhLri+GsM1BkkOUWeu7X7FLjyMPa0QELj1eWnftuXWnFWA==" saltValue="a3xChl8YC+Y4fQSrilNxFw=="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EA4AF13C-4575-4CBB-9DC3-317FB67A3BFC}">
      <formula1>$AL$4:$AL$5</formula1>
    </dataValidation>
  </dataValidations>
  <hyperlinks>
    <hyperlink ref="I40" location="Refrigerant!A1" display="Refrigerant" xr:uid="{C0231605-2FE3-4875-A361-25CFDAE558A0}"/>
    <hyperlink ref="G36" location="'Flight calculator'!B7" display="What is it?" xr:uid="{4A5E57AB-870A-4460-B5DD-B31BD3E17738}"/>
  </hyperlinks>
  <pageMargins left="0.75" right="0.75" top="1" bottom="1" header="0.5" footer="0.5"/>
  <pageSetup paperSize="9" scale="68"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
    <pageSetUpPr fitToPage="1"/>
  </sheetPr>
  <dimension ref="B2:BL60"/>
  <sheetViews>
    <sheetView showGridLines="0" showRowColHeaders="0" showZeros="0" zoomScale="70" zoomScaleNormal="70" workbookViewId="0">
      <selection activeCell="D3" sqref="D3"/>
    </sheetView>
  </sheetViews>
  <sheetFormatPr defaultRowHeight="13.15"/>
  <cols>
    <col min="1" max="2" width="2.5703125" customWidth="1"/>
    <col min="3" max="3" width="1.5703125" hidden="1" customWidth="1"/>
    <col min="4" max="4" width="13.28515625" customWidth="1"/>
    <col min="5" max="5" width="11.140625" customWidth="1"/>
    <col min="6" max="17" width="10.140625" customWidth="1"/>
    <col min="18" max="18" width="12" customWidth="1"/>
    <col min="19" max="19" width="12.85546875" customWidth="1"/>
    <col min="20" max="20" width="6.28515625" customWidth="1"/>
    <col min="21" max="21" width="10.7109375" customWidth="1"/>
    <col min="22" max="26" width="10.140625" customWidth="1"/>
    <col min="27" max="27" width="10.28515625" customWidth="1"/>
    <col min="28" max="30" width="10.140625" customWidth="1"/>
    <col min="31" max="31" width="12" customWidth="1"/>
    <col min="32" max="32" width="13" customWidth="1"/>
    <col min="33" max="33" width="12.28515625" customWidth="1"/>
    <col min="34" max="34" width="3.42578125" customWidth="1"/>
    <col min="39" max="46" width="9.140625" hidden="1" customWidth="1"/>
    <col min="47" max="47" width="18.5703125" hidden="1" customWidth="1"/>
    <col min="48" max="48" width="18.28515625" hidden="1" customWidth="1"/>
    <col min="49" max="49" width="16.5703125" hidden="1" customWidth="1"/>
    <col min="50" max="50" width="15.42578125" hidden="1" customWidth="1"/>
  </cols>
  <sheetData>
    <row r="2" spans="2:64">
      <c r="B2" s="157"/>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9"/>
    </row>
    <row r="3" spans="2:64" ht="21">
      <c r="B3" s="160"/>
      <c r="C3" s="4"/>
      <c r="D3" s="170"/>
      <c r="E3" s="4"/>
      <c r="F3" s="4"/>
      <c r="G3" s="4"/>
      <c r="H3" s="4"/>
      <c r="Q3" s="288" t="s">
        <v>107</v>
      </c>
      <c r="R3" s="288"/>
      <c r="S3" s="288"/>
      <c r="T3" s="288"/>
      <c r="U3" s="288"/>
      <c r="V3" s="288"/>
      <c r="W3" s="288"/>
      <c r="AH3" s="161"/>
    </row>
    <row r="4" spans="2:64" ht="17.45">
      <c r="B4" s="160"/>
      <c r="C4" s="4"/>
      <c r="D4" s="171" t="s">
        <v>35</v>
      </c>
      <c r="E4" s="4"/>
      <c r="F4" s="4"/>
      <c r="G4" s="4"/>
      <c r="H4" s="4"/>
      <c r="Q4" s="289" t="s">
        <v>108</v>
      </c>
      <c r="R4" s="290"/>
      <c r="S4" s="290"/>
      <c r="T4" s="290"/>
      <c r="U4" s="290"/>
      <c r="V4" s="290"/>
      <c r="W4" s="290"/>
      <c r="AH4" s="161"/>
      <c r="AJ4" s="18"/>
      <c r="AK4" s="18"/>
      <c r="AL4" s="18"/>
      <c r="AM4" s="18"/>
      <c r="AN4" s="18"/>
      <c r="AO4" s="18"/>
      <c r="AP4" s="18"/>
      <c r="AQ4" s="18"/>
      <c r="AR4" s="18"/>
      <c r="AS4" s="18"/>
      <c r="AT4" s="18"/>
      <c r="AU4" s="18"/>
      <c r="AV4" s="18"/>
      <c r="AW4" s="18"/>
      <c r="AX4" s="18"/>
      <c r="AY4" s="18"/>
      <c r="AZ4" s="18"/>
      <c r="BA4" s="18"/>
      <c r="BB4" s="18"/>
      <c r="BC4" s="18"/>
      <c r="BD4" s="18"/>
      <c r="BE4" s="18"/>
      <c r="BF4" s="18"/>
      <c r="BG4" s="18"/>
      <c r="BH4" s="18"/>
    </row>
    <row r="5" spans="2:64" ht="21" customHeight="1">
      <c r="B5" s="160"/>
      <c r="C5" s="4"/>
      <c r="E5" s="97"/>
      <c r="F5" s="97"/>
      <c r="G5" s="61"/>
      <c r="H5" s="61"/>
      <c r="I5" s="62"/>
      <c r="J5" s="62"/>
      <c r="K5" s="62"/>
      <c r="L5" s="62"/>
      <c r="M5" s="62"/>
      <c r="N5" s="62"/>
      <c r="O5" s="62"/>
      <c r="P5" s="62"/>
      <c r="Q5" s="291" t="s">
        <v>109</v>
      </c>
      <c r="R5" s="292"/>
      <c r="S5" s="292"/>
      <c r="T5" s="292"/>
      <c r="U5" s="292"/>
      <c r="V5" s="292"/>
      <c r="W5" s="292"/>
      <c r="X5" s="62"/>
      <c r="Y5" s="62"/>
      <c r="Z5" s="62"/>
      <c r="AA5" s="62"/>
      <c r="AB5" s="62"/>
      <c r="AC5" s="62"/>
      <c r="AD5" s="62"/>
      <c r="AE5" s="62"/>
      <c r="AF5" s="62"/>
      <c r="AG5" s="62"/>
      <c r="AH5" s="165"/>
      <c r="AJ5" s="18"/>
      <c r="AK5" s="18"/>
      <c r="AL5" s="18"/>
      <c r="AM5" s="18"/>
      <c r="AN5" s="18"/>
      <c r="AO5" s="18"/>
      <c r="AP5" s="18"/>
      <c r="AQ5" s="18"/>
      <c r="AR5" s="18"/>
      <c r="AS5" s="18"/>
      <c r="AT5" s="18"/>
      <c r="AU5" s="18"/>
      <c r="AV5" s="18"/>
      <c r="AW5" s="18"/>
      <c r="AX5" s="18"/>
      <c r="AY5" s="18"/>
      <c r="AZ5" s="18"/>
      <c r="BA5" s="18"/>
      <c r="BB5" s="18"/>
      <c r="BC5" s="18"/>
      <c r="BD5" s="18"/>
      <c r="BE5" s="18"/>
      <c r="BF5" s="18"/>
      <c r="BG5" s="18"/>
      <c r="BH5" s="18"/>
    </row>
    <row r="6" spans="2:64" ht="18" customHeight="1">
      <c r="B6" s="160"/>
      <c r="C6" s="4"/>
      <c r="D6" s="172"/>
      <c r="E6" s="61"/>
      <c r="F6" s="61"/>
      <c r="G6" s="61"/>
      <c r="H6" s="61"/>
      <c r="I6" s="284" t="s">
        <v>110</v>
      </c>
      <c r="J6" s="284"/>
      <c r="K6" s="284"/>
      <c r="L6" s="284"/>
      <c r="M6" s="284"/>
      <c r="N6" s="284"/>
      <c r="O6" s="285"/>
      <c r="P6" s="285"/>
      <c r="Q6" s="285"/>
      <c r="R6" s="285"/>
      <c r="S6" s="285"/>
      <c r="T6" s="285"/>
      <c r="U6" s="285"/>
      <c r="V6" s="285"/>
      <c r="W6" s="285"/>
      <c r="X6" s="285"/>
      <c r="Y6" s="285"/>
      <c r="Z6" s="285"/>
      <c r="AA6" s="285"/>
      <c r="AB6" s="285"/>
      <c r="AC6" s="285"/>
      <c r="AD6" s="62"/>
      <c r="AE6" s="62"/>
      <c r="AF6" s="62"/>
      <c r="AG6" s="62"/>
      <c r="AH6" s="165"/>
      <c r="AJ6" s="18"/>
      <c r="AK6" s="18"/>
      <c r="AL6" s="18"/>
      <c r="AM6" s="18"/>
      <c r="AN6" s="18"/>
      <c r="AO6" s="18"/>
      <c r="AP6" s="18"/>
      <c r="AQ6" s="18"/>
      <c r="AR6" s="18"/>
      <c r="AS6" s="18"/>
      <c r="AT6" s="18"/>
      <c r="AU6" s="18"/>
      <c r="AV6" s="18"/>
      <c r="AW6" s="18"/>
      <c r="AX6" s="18"/>
      <c r="AY6" s="18"/>
      <c r="AZ6" s="18"/>
      <c r="BA6" s="18"/>
      <c r="BB6" s="18"/>
      <c r="BC6" s="18"/>
      <c r="BD6" s="18"/>
      <c r="BE6" s="18"/>
      <c r="BF6" s="18"/>
      <c r="BG6" s="18"/>
      <c r="BH6" s="18"/>
    </row>
    <row r="7" spans="2:64" ht="15.6">
      <c r="B7" s="160"/>
      <c r="C7" s="4"/>
      <c r="D7" s="172"/>
      <c r="E7" s="61"/>
      <c r="F7" s="61"/>
      <c r="G7" s="61"/>
      <c r="H7" s="62"/>
      <c r="I7" s="62"/>
      <c r="J7" s="62"/>
      <c r="K7" s="62"/>
      <c r="L7" s="62"/>
      <c r="M7" s="62"/>
      <c r="N7" s="62"/>
      <c r="O7" s="62"/>
      <c r="P7" s="62"/>
      <c r="Q7" s="62"/>
      <c r="R7" s="62"/>
      <c r="S7" s="62"/>
      <c r="T7" s="62"/>
      <c r="U7" s="62"/>
      <c r="V7" s="62"/>
      <c r="W7" s="62"/>
      <c r="X7" s="62"/>
      <c r="Y7" s="62"/>
      <c r="Z7" s="62"/>
      <c r="AA7" s="62"/>
      <c r="AB7" s="62"/>
      <c r="AC7" s="62"/>
      <c r="AD7" s="62"/>
      <c r="AE7" s="62"/>
      <c r="AF7" s="62"/>
      <c r="AG7" s="62"/>
      <c r="AH7" s="165"/>
      <c r="AJ7" s="18"/>
      <c r="AK7" s="18"/>
      <c r="AL7" s="18"/>
      <c r="AM7" s="18"/>
      <c r="AN7" s="18"/>
      <c r="AO7" s="18"/>
      <c r="AP7" s="18"/>
      <c r="AQ7" s="18"/>
      <c r="AR7" s="18"/>
      <c r="AS7" s="18"/>
      <c r="AT7" s="18"/>
      <c r="AU7" s="18"/>
      <c r="AV7" s="18"/>
      <c r="AW7" s="18"/>
      <c r="AX7" s="18"/>
      <c r="AY7" s="18"/>
      <c r="AZ7" s="18"/>
      <c r="BA7" s="18"/>
      <c r="BB7" s="18"/>
      <c r="BC7" s="18"/>
      <c r="BD7" s="18"/>
      <c r="BE7" s="18"/>
      <c r="BF7" s="18"/>
      <c r="BG7" s="18"/>
      <c r="BH7" s="18"/>
    </row>
    <row r="8" spans="2:64" ht="15.6">
      <c r="B8" s="160"/>
      <c r="D8" s="62"/>
      <c r="E8" s="287" t="s">
        <v>111</v>
      </c>
      <c r="F8" s="320"/>
      <c r="G8" s="320"/>
      <c r="H8" s="320"/>
      <c r="I8" s="320"/>
      <c r="J8" s="320"/>
      <c r="K8" s="320"/>
      <c r="L8" s="320"/>
      <c r="M8" s="320"/>
      <c r="N8" s="320"/>
      <c r="O8" s="320"/>
      <c r="P8" s="321"/>
      <c r="Q8" s="321"/>
      <c r="R8" s="321"/>
      <c r="S8" s="322"/>
      <c r="T8" s="62"/>
      <c r="U8" s="286" t="s">
        <v>112</v>
      </c>
      <c r="V8" s="321"/>
      <c r="W8" s="321"/>
      <c r="X8" s="321"/>
      <c r="Y8" s="321"/>
      <c r="Z8" s="321"/>
      <c r="AA8" s="321"/>
      <c r="AB8" s="321"/>
      <c r="AC8" s="321"/>
      <c r="AD8" s="321"/>
      <c r="AE8" s="321"/>
      <c r="AF8" s="321"/>
      <c r="AG8" s="322"/>
      <c r="AH8" s="165"/>
      <c r="AJ8" s="18"/>
      <c r="AK8" s="18"/>
      <c r="AL8" s="18"/>
      <c r="AM8" s="18"/>
      <c r="AN8" s="18"/>
      <c r="AO8" s="18"/>
      <c r="AP8" s="18"/>
      <c r="AQ8" s="18"/>
      <c r="AR8" s="18"/>
      <c r="AS8" s="18"/>
      <c r="AT8" s="18"/>
      <c r="AU8" s="18"/>
      <c r="AV8" s="18"/>
      <c r="AW8" s="18"/>
      <c r="AX8" s="18"/>
      <c r="AY8" s="18"/>
      <c r="AZ8" s="18"/>
      <c r="BA8" s="18"/>
      <c r="BB8" s="18"/>
      <c r="BC8" s="18"/>
      <c r="BD8" s="18"/>
      <c r="BE8" s="18"/>
      <c r="BF8" s="18"/>
      <c r="BG8" s="18"/>
      <c r="BH8" s="18"/>
    </row>
    <row r="9" spans="2:64" ht="15.6">
      <c r="B9" s="160"/>
      <c r="D9" s="62"/>
      <c r="E9" s="299" t="s">
        <v>113</v>
      </c>
      <c r="F9" s="299"/>
      <c r="G9" s="299"/>
      <c r="H9" s="299"/>
      <c r="I9" s="299"/>
      <c r="J9" s="299"/>
      <c r="K9" s="286" t="s">
        <v>114</v>
      </c>
      <c r="L9" s="303"/>
      <c r="M9" s="303"/>
      <c r="N9" s="303"/>
      <c r="O9" s="304"/>
      <c r="P9" s="303" t="s">
        <v>73</v>
      </c>
      <c r="Q9" s="303"/>
      <c r="R9" s="303"/>
      <c r="S9" s="304"/>
      <c r="T9" s="62"/>
      <c r="U9" s="286" t="str">
        <f>E9</f>
        <v>Stationary energy</v>
      </c>
      <c r="V9" s="303"/>
      <c r="W9" s="303"/>
      <c r="X9" s="303"/>
      <c r="Y9" s="303"/>
      <c r="Z9" s="303"/>
      <c r="AA9" s="286" t="str">
        <f>K9</f>
        <v>Transport</v>
      </c>
      <c r="AB9" s="303"/>
      <c r="AC9" s="303"/>
      <c r="AD9" s="299" t="str">
        <f>P9</f>
        <v>Other</v>
      </c>
      <c r="AE9" s="299"/>
      <c r="AF9" s="299"/>
      <c r="AG9" s="300" t="s">
        <v>81</v>
      </c>
      <c r="AH9" s="165"/>
      <c r="AJ9" s="18"/>
      <c r="AK9" s="18"/>
      <c r="AL9" s="18"/>
      <c r="AM9" s="18"/>
      <c r="AN9" s="18"/>
      <c r="AO9" s="18"/>
      <c r="AP9" s="18"/>
      <c r="AQ9" s="18"/>
      <c r="AR9" s="18"/>
      <c r="AS9" s="18"/>
      <c r="AT9" s="18"/>
      <c r="AU9" s="18"/>
      <c r="AV9" s="18"/>
      <c r="AW9" s="18"/>
      <c r="AX9" s="18"/>
      <c r="AY9" s="18"/>
      <c r="AZ9" s="18"/>
      <c r="BA9" s="18"/>
      <c r="BB9" s="18"/>
      <c r="BC9" s="18"/>
      <c r="BD9" s="18"/>
      <c r="BE9" s="18"/>
      <c r="BF9" s="18"/>
      <c r="BG9" s="18"/>
      <c r="BH9" s="18"/>
    </row>
    <row r="10" spans="2:64" s="70" customFormat="1" ht="30.75" customHeight="1">
      <c r="B10" s="173"/>
      <c r="D10" s="123"/>
      <c r="E10" s="124" t="s">
        <v>49</v>
      </c>
      <c r="F10" s="124" t="s">
        <v>45</v>
      </c>
      <c r="G10" s="124" t="s">
        <v>39</v>
      </c>
      <c r="H10" s="124" t="s">
        <v>47</v>
      </c>
      <c r="I10" s="124" t="s">
        <v>51</v>
      </c>
      <c r="J10" s="124" t="s">
        <v>42</v>
      </c>
      <c r="K10" s="124" t="s">
        <v>115</v>
      </c>
      <c r="L10" s="124" t="s">
        <v>116</v>
      </c>
      <c r="M10" s="124" t="s">
        <v>117</v>
      </c>
      <c r="N10" s="124" t="s">
        <v>82</v>
      </c>
      <c r="O10" s="124" t="s">
        <v>72</v>
      </c>
      <c r="P10" s="153" t="s">
        <v>118</v>
      </c>
      <c r="Q10" s="153" t="s">
        <v>93</v>
      </c>
      <c r="R10" s="153" t="s">
        <v>119</v>
      </c>
      <c r="S10" s="153" t="s">
        <v>120</v>
      </c>
      <c r="T10" s="261"/>
      <c r="U10" s="295" t="str">
        <f>E10</f>
        <v>Electricity</v>
      </c>
      <c r="V10" s="295" t="s">
        <v>45</v>
      </c>
      <c r="W10" s="295" t="s">
        <v>39</v>
      </c>
      <c r="X10" s="295" t="s">
        <v>47</v>
      </c>
      <c r="Y10" s="295" t="s">
        <v>51</v>
      </c>
      <c r="Z10" s="295" t="s">
        <v>42</v>
      </c>
      <c r="AA10" s="295" t="s">
        <v>121</v>
      </c>
      <c r="AB10" s="295" t="s">
        <v>82</v>
      </c>
      <c r="AC10" s="295" t="s">
        <v>72</v>
      </c>
      <c r="AD10" s="295" t="s">
        <v>87</v>
      </c>
      <c r="AE10" s="295" t="s">
        <v>119</v>
      </c>
      <c r="AF10" s="295" t="s">
        <v>122</v>
      </c>
      <c r="AG10" s="301"/>
      <c r="AH10" s="174"/>
      <c r="AI10" s="125"/>
      <c r="AJ10" s="126"/>
      <c r="AK10" s="126"/>
      <c r="AL10" s="126"/>
      <c r="AM10" s="127"/>
      <c r="AN10" s="126"/>
      <c r="AO10" s="126"/>
      <c r="AP10" s="126"/>
      <c r="AQ10" s="126"/>
      <c r="AR10" s="126"/>
      <c r="AS10" s="126"/>
      <c r="AT10" s="126"/>
      <c r="AU10" s="126"/>
      <c r="AV10" s="126"/>
      <c r="AW10" s="126"/>
      <c r="AX10" s="126"/>
      <c r="AY10" s="126"/>
      <c r="AZ10" s="126"/>
      <c r="BA10" s="126"/>
      <c r="BB10" s="126"/>
      <c r="BC10" s="126"/>
      <c r="BD10" s="126"/>
      <c r="BE10" s="126"/>
      <c r="BF10" s="126"/>
      <c r="BG10" s="126"/>
      <c r="BH10" s="126"/>
      <c r="BI10" s="128"/>
      <c r="BJ10" s="129"/>
      <c r="BK10" s="129"/>
      <c r="BL10" s="129"/>
    </row>
    <row r="11" spans="2:64" ht="15.75" customHeight="1">
      <c r="B11" s="160"/>
      <c r="D11" s="122"/>
      <c r="E11" s="152" t="s">
        <v>50</v>
      </c>
      <c r="F11" s="152" t="s">
        <v>46</v>
      </c>
      <c r="G11" s="152" t="s">
        <v>40</v>
      </c>
      <c r="H11" s="152" t="s">
        <v>48</v>
      </c>
      <c r="I11" s="152" t="s">
        <v>48</v>
      </c>
      <c r="J11" s="152" t="s">
        <v>43</v>
      </c>
      <c r="K11" s="152" t="s">
        <v>55</v>
      </c>
      <c r="L11" s="152" t="s">
        <v>48</v>
      </c>
      <c r="M11" s="152" t="s">
        <v>48</v>
      </c>
      <c r="N11" s="152" t="s">
        <v>55</v>
      </c>
      <c r="O11" s="152" t="s">
        <v>55</v>
      </c>
      <c r="P11" s="152" t="s">
        <v>123</v>
      </c>
      <c r="Q11" s="152" t="s">
        <v>43</v>
      </c>
      <c r="R11" s="152"/>
      <c r="S11" s="152" t="s">
        <v>43</v>
      </c>
      <c r="T11" s="62"/>
      <c r="U11" s="296"/>
      <c r="V11" s="296"/>
      <c r="W11" s="296"/>
      <c r="X11" s="296"/>
      <c r="Y11" s="296"/>
      <c r="Z11" s="296"/>
      <c r="AA11" s="296"/>
      <c r="AB11" s="296"/>
      <c r="AC11" s="296"/>
      <c r="AD11" s="296"/>
      <c r="AE11" s="296"/>
      <c r="AF11" s="296"/>
      <c r="AG11" s="302"/>
      <c r="AH11" s="165"/>
      <c r="AJ11" s="18"/>
      <c r="AK11" s="18"/>
      <c r="AL11" s="18"/>
      <c r="AM11" s="18"/>
      <c r="AN11" s="18"/>
      <c r="AO11" s="18"/>
      <c r="AP11" s="18"/>
      <c r="AQ11" s="18"/>
      <c r="AR11" s="18"/>
      <c r="AS11" s="18"/>
      <c r="AT11" s="18"/>
      <c r="AU11" s="18" t="s">
        <v>124</v>
      </c>
      <c r="AV11" s="18" t="s">
        <v>108</v>
      </c>
      <c r="AW11" s="18" t="s">
        <v>125</v>
      </c>
      <c r="AX11" s="18" t="s">
        <v>126</v>
      </c>
      <c r="AY11" s="18"/>
      <c r="AZ11" s="18"/>
      <c r="BA11" s="18"/>
      <c r="BB11" s="18"/>
      <c r="BC11" s="18"/>
      <c r="BD11" s="18"/>
      <c r="BE11" s="18"/>
      <c r="BF11" s="18"/>
      <c r="BG11" s="18"/>
      <c r="BH11" s="18"/>
      <c r="BI11" s="1"/>
      <c r="BK11" s="3"/>
    </row>
    <row r="12" spans="2:64" ht="15">
      <c r="B12" s="160"/>
      <c r="C12" t="str">
        <f t="shared" ref="C12:C23" si="0">VLOOKUP($D12, $AP$12:$AQ$23, 2, FALSE)</f>
        <v>Apr</v>
      </c>
      <c r="D12" s="86" t="str">
        <f>HLOOKUP($Q$4, $AU$11:$AX$23, 2,FALSE)</f>
        <v>April</v>
      </c>
      <c r="E12" s="214">
        <f ca="1">INDIRECT("'"&amp;C12&amp;"'!$E$12")</f>
        <v>0</v>
      </c>
      <c r="F12" s="214">
        <f ca="1">INDIRECT("'"&amp;C12&amp;"'!$e$11")</f>
        <v>0</v>
      </c>
      <c r="G12" s="214">
        <f ca="1">INDIRECT("'"&amp;C12&amp;"'!$e$10")</f>
        <v>0</v>
      </c>
      <c r="H12" s="214">
        <f ca="1">INDIRECT("'"&amp;C12&amp;"'!$k$11")</f>
        <v>0</v>
      </c>
      <c r="I12" s="214">
        <f ca="1">INDIRECT("'"&amp;C12&amp;"'!$k$12")</f>
        <v>0</v>
      </c>
      <c r="J12" s="214">
        <f ca="1">INDIRECT("'"&amp;C12&amp;"'!$k$10")</f>
        <v>0</v>
      </c>
      <c r="K12" s="214">
        <f ca="1">SUM(INDIRECT("'"&amp;C12&amp;"'!$e$16"):INDIRECT("'"&amp;C12&amp;"'!$e$20"))+SUM(INDIRECT("'"&amp;C12&amp;"'!$k$16"):INDIRECT("'"&amp;C12&amp;"'!$k$18"))+SUM(INDIRECT("'"&amp;C12&amp;"'!$e$25"):INDIRECT("'"&amp;C12&amp;"'!$e$28"))+SUM(INDIRECT("'"&amp;C12&amp;"'!$k$31"):INDIRECT("'"&amp;C12&amp;"'!$k$33"))+INDIRECT("'"&amp;C12&amp;"'!$k$24")</f>
        <v>0</v>
      </c>
      <c r="L12" s="214">
        <f ca="1">INDIRECT("'"&amp;C12&amp;"'!$e$21")</f>
        <v>0</v>
      </c>
      <c r="M12" s="214">
        <f ca="1">INDIRECT("'"&amp;C12&amp;"'!$k$19")</f>
        <v>0</v>
      </c>
      <c r="N12" s="214">
        <f ca="1">INDIRECT("'"&amp;C12&amp;"'!$k$34")</f>
        <v>0</v>
      </c>
      <c r="O12" s="214">
        <f ca="1">SUM(INDIRECT("'"&amp;C12&amp;"'!$e$31"):INDIRECT("'"&amp;C12&amp;"'!$e$33"))</f>
        <v>0</v>
      </c>
      <c r="P12" s="214">
        <f ca="1">IF(INDIRECT("'"&amp;C12&amp;"'!$e$40")&lt;&gt;0,  INDIRECT("'"&amp;C12&amp;"'!$e$40"),  INDIRECT("'"&amp;C12&amp;"'!$e$41"))</f>
        <v>0</v>
      </c>
      <c r="Q12" s="214">
        <f ca="1">INDIRECT("'"&amp;C12&amp;"'!$e$42")</f>
        <v>0</v>
      </c>
      <c r="R12" s="214">
        <f ca="1">INDIRECT("'"&amp;C12&amp;"'!$k$41")</f>
        <v>0</v>
      </c>
      <c r="S12" s="151"/>
      <c r="T12" s="62"/>
      <c r="U12" s="215">
        <f ca="1">IF($X$26="Yes", E12*('Emission Factors'!$F$11+'Emission Factors'!$F$12)/1000, E12*'Emission Factors'!$F$11/1000)</f>
        <v>0</v>
      </c>
      <c r="V12" s="215">
        <f ca="1">(F12*'Emission Factors'!$F$13)/1000</f>
        <v>0</v>
      </c>
      <c r="W12" s="215">
        <f ca="1">(G12*'Emission Factors'!$F$14)/1000</f>
        <v>0</v>
      </c>
      <c r="X12" s="215">
        <f ca="1">(H12*'Emission Factors'!$F$15)/1000</f>
        <v>0</v>
      </c>
      <c r="Y12" s="215">
        <f ca="1">(I12*'Emission Factors'!$F$16)/1000</f>
        <v>0</v>
      </c>
      <c r="Z12" s="215">
        <f ca="1">(J12*'Emission Factors'!$F$17)/1000</f>
        <v>0</v>
      </c>
      <c r="AA12" s="215">
        <f ca="1">SUM(INDIRECT("'"&amp;C12&amp;"'!$f$16"):INDIRECT("'"&amp;C12&amp;"'!$f$21"))+SUM(INDIRECT("'"&amp;C12&amp;"'!$l$16"):INDIRECT("'"&amp;C12&amp;"'!$l$19"))+SUM(INDIRECT("'"&amp;C12&amp;"'!$f$24"):INDIRECT("'"&amp;C12&amp;"'!$f$28"))+SUM(INDIRECT("'"&amp;C12&amp;"'!$l$31"):INDIRECT("'"&amp;C12&amp;"'!$l$33"))+SUM(INDIRECT("'"&amp;C12&amp;"'!$l$24"):INDIRECT("'"&amp;C12&amp;"'!$l$25"))</f>
        <v>0</v>
      </c>
      <c r="AB12" s="215">
        <f ca="1">INDIRECT("'"&amp;C12&amp;"'!$l$34")</f>
        <v>0</v>
      </c>
      <c r="AC12" s="215">
        <f ca="1">INDIRECT("'"&amp;C12&amp;"'!$f$34")</f>
        <v>0</v>
      </c>
      <c r="AD12" s="215">
        <f ca="1">SUM(INDIRECT("'"&amp;C12&amp;"'!$f$40"):INDIRECT("'"&amp;C12&amp;"'!$f$42"))</f>
        <v>0</v>
      </c>
      <c r="AE12" s="215">
        <f ca="1">(R12*'Emission Factors'!$F$48)/1000</f>
        <v>0</v>
      </c>
      <c r="AF12" s="215">
        <f ca="1">INDIRECT("'"&amp;C12&amp;"'!$k$40")</f>
        <v>0</v>
      </c>
      <c r="AG12" s="215">
        <f ca="1">SUM(U12:AF12)</f>
        <v>0</v>
      </c>
      <c r="AH12" s="165"/>
      <c r="AJ12" s="18"/>
      <c r="AK12" s="18"/>
      <c r="AL12" s="18"/>
      <c r="AM12" s="62" t="s">
        <v>124</v>
      </c>
      <c r="AN12" s="18"/>
      <c r="AO12" s="18"/>
      <c r="AP12" s="18" t="s">
        <v>127</v>
      </c>
      <c r="AQ12" s="18" t="s">
        <v>128</v>
      </c>
      <c r="AR12" s="18"/>
      <c r="AS12" s="18"/>
      <c r="AT12" s="18">
        <v>1</v>
      </c>
      <c r="AU12" s="18" t="s">
        <v>127</v>
      </c>
      <c r="AV12" s="18" t="s">
        <v>129</v>
      </c>
      <c r="AW12" s="18" t="s">
        <v>130</v>
      </c>
      <c r="AX12" s="18" t="s">
        <v>131</v>
      </c>
      <c r="AY12" s="18"/>
      <c r="AZ12" s="18"/>
      <c r="BA12" s="18"/>
      <c r="BB12" s="18"/>
      <c r="BC12" s="18"/>
      <c r="BD12" s="18"/>
      <c r="BE12" s="18"/>
      <c r="BF12" s="18"/>
      <c r="BG12" s="18"/>
      <c r="BH12" s="18"/>
      <c r="BI12" s="1"/>
      <c r="BJ12" s="2"/>
      <c r="BK12" s="3"/>
    </row>
    <row r="13" spans="2:64" ht="15">
      <c r="B13" s="160"/>
      <c r="C13" t="str">
        <f t="shared" si="0"/>
        <v>May</v>
      </c>
      <c r="D13" s="86" t="str">
        <f>HLOOKUP($Q$4, $AU$11:$AX$23, 3,FALSE)</f>
        <v>May</v>
      </c>
      <c r="E13" s="214">
        <f t="shared" ref="E13:E23" ca="1" si="1">INDIRECT("'"&amp;C13&amp;"'!$E$12")</f>
        <v>0</v>
      </c>
      <c r="F13" s="214">
        <f t="shared" ref="F13:F23" ca="1" si="2">INDIRECT("'"&amp;C13&amp;"'!$e$11")</f>
        <v>0</v>
      </c>
      <c r="G13" s="214">
        <f t="shared" ref="G13:G23" ca="1" si="3">INDIRECT("'"&amp;C13&amp;"'!$e$10")</f>
        <v>0</v>
      </c>
      <c r="H13" s="214">
        <f t="shared" ref="H13:H23" ca="1" si="4">INDIRECT("'"&amp;C13&amp;"'!$k$11")</f>
        <v>0</v>
      </c>
      <c r="I13" s="214">
        <f t="shared" ref="I13:I23" ca="1" si="5">INDIRECT("'"&amp;C13&amp;"'!$k$12")</f>
        <v>0</v>
      </c>
      <c r="J13" s="214">
        <f t="shared" ref="J13:J23" ca="1" si="6">INDIRECT("'"&amp;C13&amp;"'!$k$10")</f>
        <v>0</v>
      </c>
      <c r="K13" s="214">
        <f ca="1">SUM(INDIRECT("'"&amp;C13&amp;"'!$e$16"):INDIRECT("'"&amp;C13&amp;"'!$e$20"))+SUM(INDIRECT("'"&amp;C13&amp;"'!$k$16"):INDIRECT("'"&amp;C13&amp;"'!$k$18"))+SUM(INDIRECT("'"&amp;C13&amp;"'!$e$25"):INDIRECT("'"&amp;C13&amp;"'!$e$28"))+SUM(INDIRECT("'"&amp;C13&amp;"'!$k$31"):INDIRECT("'"&amp;C13&amp;"'!$k$33"))+INDIRECT("'"&amp;C13&amp;"'!$k$24")</f>
        <v>0</v>
      </c>
      <c r="L13" s="214">
        <f t="shared" ref="L13:L23" ca="1" si="7">INDIRECT("'"&amp;C13&amp;"'!$e$21")</f>
        <v>0</v>
      </c>
      <c r="M13" s="214">
        <f t="shared" ref="M13:M23" ca="1" si="8">INDIRECT("'"&amp;C13&amp;"'!$k$19")</f>
        <v>0</v>
      </c>
      <c r="N13" s="214">
        <f t="shared" ref="N13:N23" ca="1" si="9">INDIRECT("'"&amp;C13&amp;"'!$k$34")</f>
        <v>0</v>
      </c>
      <c r="O13" s="214">
        <f ca="1">SUM(INDIRECT("'"&amp;C13&amp;"'!$e$31"):INDIRECT("'"&amp;C13&amp;"'!$e$33"))</f>
        <v>0</v>
      </c>
      <c r="P13" s="214">
        <f t="shared" ref="P13:P23" ca="1" si="10">IF(INDIRECT("'"&amp;C13&amp;"'!$e$40")&lt;&gt;0,  INDIRECT("'"&amp;C13&amp;"'!$e$40"),  INDIRECT("'"&amp;C13&amp;"'!$e$41"))</f>
        <v>0</v>
      </c>
      <c r="Q13" s="214">
        <f t="shared" ref="Q13:Q23" ca="1" si="11">INDIRECT("'"&amp;C13&amp;"'!$e$42")</f>
        <v>0</v>
      </c>
      <c r="R13" s="214">
        <f t="shared" ref="R13:R23" ca="1" si="12">INDIRECT("'"&amp;C13&amp;"'!$k$41")</f>
        <v>0</v>
      </c>
      <c r="S13" s="151"/>
      <c r="T13" s="62"/>
      <c r="U13" s="215">
        <f ca="1">IF($X$26="Yes", E13*('Emission Factors'!$F$11+'Emission Factors'!$F$12)/1000, E13*'Emission Factors'!$F$11/1000)</f>
        <v>0</v>
      </c>
      <c r="V13" s="215">
        <f ca="1">(F13*'Emission Factors'!$F$13)/1000</f>
        <v>0</v>
      </c>
      <c r="W13" s="215">
        <f ca="1">(G13*'Emission Factors'!$F$14)/1000</f>
        <v>0</v>
      </c>
      <c r="X13" s="215">
        <f ca="1">(H13*'Emission Factors'!$F$15)/1000</f>
        <v>0</v>
      </c>
      <c r="Y13" s="215">
        <f ca="1">(I13*'Emission Factors'!$F$16)/1000</f>
        <v>0</v>
      </c>
      <c r="Z13" s="215">
        <f ca="1">(J13*'Emission Factors'!$F$17)/1000</f>
        <v>0</v>
      </c>
      <c r="AA13" s="215">
        <f ca="1">SUM(INDIRECT("'"&amp;C13&amp;"'!$f$16"):INDIRECT("'"&amp;C13&amp;"'!$f$21"))+SUM(INDIRECT("'"&amp;C13&amp;"'!$l$16"):INDIRECT("'"&amp;C13&amp;"'!$l$19"))+SUM(INDIRECT("'"&amp;C13&amp;"'!$f$24"):INDIRECT("'"&amp;C13&amp;"'!$f$28"))+SUM(INDIRECT("'"&amp;C13&amp;"'!$l$31"):INDIRECT("'"&amp;C13&amp;"'!$l$33"))+SUM(INDIRECT("'"&amp;C13&amp;"'!$l$24"):INDIRECT("'"&amp;C13&amp;"'!$l$25"))</f>
        <v>0</v>
      </c>
      <c r="AB13" s="215">
        <f t="shared" ref="AB13:AB23" ca="1" si="13">INDIRECT("'"&amp;C13&amp;"'!$l$34")</f>
        <v>0</v>
      </c>
      <c r="AC13" s="215">
        <f t="shared" ref="AC13:AC23" ca="1" si="14">INDIRECT("'"&amp;C13&amp;"'!$f$34")</f>
        <v>0</v>
      </c>
      <c r="AD13" s="215">
        <f ca="1">SUM(INDIRECT("'"&amp;C13&amp;"'!$f$40"):INDIRECT("'"&amp;C13&amp;"'!$f$42"))</f>
        <v>0</v>
      </c>
      <c r="AE13" s="215">
        <f ca="1">(R13*'Emission Factors'!$F$48)/1000</f>
        <v>0</v>
      </c>
      <c r="AF13" s="215">
        <f t="shared" ref="AF13:AF23" ca="1" si="15">INDIRECT("'"&amp;C13&amp;"'!$k$40")</f>
        <v>0</v>
      </c>
      <c r="AG13" s="215">
        <f t="shared" ref="AG13:AG23" ca="1" si="16">SUM(U13:AF13)</f>
        <v>0</v>
      </c>
      <c r="AH13" s="165"/>
      <c r="AJ13" s="18"/>
      <c r="AK13" s="18"/>
      <c r="AL13" s="18"/>
      <c r="AM13" s="62" t="s">
        <v>108</v>
      </c>
      <c r="AN13" s="18"/>
      <c r="AO13" s="18"/>
      <c r="AP13" s="18" t="s">
        <v>132</v>
      </c>
      <c r="AQ13" s="18" t="s">
        <v>133</v>
      </c>
      <c r="AR13" s="18"/>
      <c r="AS13" s="18" t="s">
        <v>36</v>
      </c>
      <c r="AT13" s="18">
        <v>2</v>
      </c>
      <c r="AU13" s="18" t="s">
        <v>132</v>
      </c>
      <c r="AV13" s="18" t="s">
        <v>134</v>
      </c>
      <c r="AW13" s="18" t="s">
        <v>135</v>
      </c>
      <c r="AX13" s="18" t="s">
        <v>130</v>
      </c>
      <c r="AY13" s="18"/>
      <c r="AZ13" s="18"/>
      <c r="BA13" s="18"/>
      <c r="BB13" s="18"/>
      <c r="BC13" s="18"/>
      <c r="BD13" s="18"/>
      <c r="BE13" s="18"/>
      <c r="BF13" s="18"/>
      <c r="BG13" s="18"/>
      <c r="BH13" s="18"/>
      <c r="BI13" s="1"/>
      <c r="BJ13" s="2"/>
      <c r="BK13" s="2"/>
      <c r="BL13" s="2"/>
    </row>
    <row r="14" spans="2:64" ht="15">
      <c r="B14" s="160"/>
      <c r="C14" t="str">
        <f t="shared" si="0"/>
        <v>Jun</v>
      </c>
      <c r="D14" s="86" t="str">
        <f>HLOOKUP($Q$4, $AU$11:$AX$23, 4,FALSE)</f>
        <v>June</v>
      </c>
      <c r="E14" s="214">
        <f t="shared" ca="1" si="1"/>
        <v>0</v>
      </c>
      <c r="F14" s="214">
        <f t="shared" ca="1" si="2"/>
        <v>0</v>
      </c>
      <c r="G14" s="214">
        <f t="shared" ca="1" si="3"/>
        <v>0</v>
      </c>
      <c r="H14" s="214">
        <f t="shared" ca="1" si="4"/>
        <v>0</v>
      </c>
      <c r="I14" s="214">
        <f t="shared" ca="1" si="5"/>
        <v>0</v>
      </c>
      <c r="J14" s="214">
        <f t="shared" ca="1" si="6"/>
        <v>0</v>
      </c>
      <c r="K14" s="214">
        <f ca="1">SUM(INDIRECT("'"&amp;C14&amp;"'!$e$16"):INDIRECT("'"&amp;C14&amp;"'!$e$20"))+SUM(INDIRECT("'"&amp;C14&amp;"'!$k$16"):INDIRECT("'"&amp;C14&amp;"'!$k$18"))+SUM(INDIRECT("'"&amp;C14&amp;"'!$e$25"):INDIRECT("'"&amp;C14&amp;"'!$e$28"))+SUM(INDIRECT("'"&amp;C14&amp;"'!$k$31"):INDIRECT("'"&amp;C14&amp;"'!$k$33"))+INDIRECT("'"&amp;C14&amp;"'!$k$24")</f>
        <v>0</v>
      </c>
      <c r="L14" s="214">
        <f t="shared" ca="1" si="7"/>
        <v>0</v>
      </c>
      <c r="M14" s="214">
        <f t="shared" ca="1" si="8"/>
        <v>0</v>
      </c>
      <c r="N14" s="214">
        <f t="shared" ca="1" si="9"/>
        <v>0</v>
      </c>
      <c r="O14" s="214">
        <f ca="1">SUM(INDIRECT("'"&amp;C14&amp;"'!$e$31"):INDIRECT("'"&amp;C14&amp;"'!$e$33"))</f>
        <v>0</v>
      </c>
      <c r="P14" s="214">
        <f t="shared" ca="1" si="10"/>
        <v>0</v>
      </c>
      <c r="Q14" s="214">
        <f t="shared" ca="1" si="11"/>
        <v>0</v>
      </c>
      <c r="R14" s="214">
        <f t="shared" ca="1" si="12"/>
        <v>0</v>
      </c>
      <c r="S14" s="151"/>
      <c r="T14" s="62"/>
      <c r="U14" s="215">
        <f ca="1">IF($X$26="Yes", E14*('Emission Factors'!$F$11+'Emission Factors'!$F$12)/1000, E14*'Emission Factors'!$F$11/1000)</f>
        <v>0</v>
      </c>
      <c r="V14" s="215">
        <f ca="1">(F14*'Emission Factors'!$F$13)/1000</f>
        <v>0</v>
      </c>
      <c r="W14" s="215">
        <f ca="1">(G14*'Emission Factors'!$F$14)/1000</f>
        <v>0</v>
      </c>
      <c r="X14" s="215">
        <f ca="1">(H14*'Emission Factors'!$F$15)/1000</f>
        <v>0</v>
      </c>
      <c r="Y14" s="215">
        <f ca="1">(I14*'Emission Factors'!$F$16)/1000</f>
        <v>0</v>
      </c>
      <c r="Z14" s="215">
        <f ca="1">(J14*'Emission Factors'!$F$17)/1000</f>
        <v>0</v>
      </c>
      <c r="AA14" s="215">
        <f ca="1">SUM(INDIRECT("'"&amp;C14&amp;"'!$f$16"):INDIRECT("'"&amp;C14&amp;"'!$f$21"))+SUM(INDIRECT("'"&amp;C14&amp;"'!$l$16"):INDIRECT("'"&amp;C14&amp;"'!$l$19"))+SUM(INDIRECT("'"&amp;C14&amp;"'!$f$24"):INDIRECT("'"&amp;C14&amp;"'!$f$28"))+SUM(INDIRECT("'"&amp;C14&amp;"'!$l$31"):INDIRECT("'"&amp;C14&amp;"'!$l$33"))+SUM(INDIRECT("'"&amp;C14&amp;"'!$l$24"):INDIRECT("'"&amp;C14&amp;"'!$l$25"))</f>
        <v>0</v>
      </c>
      <c r="AB14" s="215">
        <f t="shared" ca="1" si="13"/>
        <v>0</v>
      </c>
      <c r="AC14" s="215">
        <f t="shared" ca="1" si="14"/>
        <v>0</v>
      </c>
      <c r="AD14" s="215">
        <f ca="1">SUM(INDIRECT("'"&amp;C14&amp;"'!$f$40"):INDIRECT("'"&amp;C14&amp;"'!$f$42"))</f>
        <v>0</v>
      </c>
      <c r="AE14" s="215">
        <f ca="1">(R14*'Emission Factors'!$F$48)/1000</f>
        <v>0</v>
      </c>
      <c r="AF14" s="215">
        <f t="shared" ca="1" si="15"/>
        <v>0</v>
      </c>
      <c r="AG14" s="215">
        <f t="shared" ca="1" si="16"/>
        <v>0</v>
      </c>
      <c r="AH14" s="175"/>
      <c r="AJ14" s="18"/>
      <c r="AK14" s="18"/>
      <c r="AL14" s="18"/>
      <c r="AM14" s="62" t="s">
        <v>125</v>
      </c>
      <c r="AN14" s="18"/>
      <c r="AO14" s="18"/>
      <c r="AP14" s="18" t="s">
        <v>136</v>
      </c>
      <c r="AQ14" s="18" t="s">
        <v>137</v>
      </c>
      <c r="AR14" s="18"/>
      <c r="AS14" s="18" t="s">
        <v>34</v>
      </c>
      <c r="AT14" s="18">
        <v>3</v>
      </c>
      <c r="AU14" s="18" t="s">
        <v>136</v>
      </c>
      <c r="AV14" s="18" t="s">
        <v>131</v>
      </c>
      <c r="AW14" s="18" t="s">
        <v>138</v>
      </c>
      <c r="AX14" s="18" t="s">
        <v>135</v>
      </c>
      <c r="AY14" s="18"/>
      <c r="AZ14" s="18"/>
      <c r="BA14" s="18"/>
      <c r="BB14" s="18"/>
      <c r="BC14" s="18"/>
      <c r="BD14" s="18"/>
      <c r="BE14" s="18"/>
      <c r="BF14" s="18"/>
      <c r="BG14" s="18"/>
      <c r="BH14" s="18"/>
    </row>
    <row r="15" spans="2:64" ht="15">
      <c r="B15" s="160"/>
      <c r="C15" t="str">
        <f t="shared" si="0"/>
        <v>Jul</v>
      </c>
      <c r="D15" s="86" t="str">
        <f>HLOOKUP($Q$4, $AU$11:$AX$23, 5,FALSE)</f>
        <v>July</v>
      </c>
      <c r="E15" s="214">
        <f t="shared" ca="1" si="1"/>
        <v>0</v>
      </c>
      <c r="F15" s="214">
        <f t="shared" ca="1" si="2"/>
        <v>0</v>
      </c>
      <c r="G15" s="214">
        <f t="shared" ca="1" si="3"/>
        <v>0</v>
      </c>
      <c r="H15" s="214">
        <f t="shared" ca="1" si="4"/>
        <v>0</v>
      </c>
      <c r="I15" s="214">
        <f t="shared" ca="1" si="5"/>
        <v>0</v>
      </c>
      <c r="J15" s="214">
        <f t="shared" ca="1" si="6"/>
        <v>0</v>
      </c>
      <c r="K15" s="214">
        <f ca="1">SUM(INDIRECT("'"&amp;C15&amp;"'!$e$16"):INDIRECT("'"&amp;C15&amp;"'!$e$20"))+SUM(INDIRECT("'"&amp;C15&amp;"'!$k$16"):INDIRECT("'"&amp;C15&amp;"'!$k$18"))+SUM(INDIRECT("'"&amp;C15&amp;"'!$e$25"):INDIRECT("'"&amp;C15&amp;"'!$e$28"))+SUM(INDIRECT("'"&amp;C15&amp;"'!$k$31"):INDIRECT("'"&amp;C15&amp;"'!$k$33"))+INDIRECT("'"&amp;C15&amp;"'!$k$24")</f>
        <v>0</v>
      </c>
      <c r="L15" s="214">
        <f t="shared" ca="1" si="7"/>
        <v>0</v>
      </c>
      <c r="M15" s="214">
        <f t="shared" ca="1" si="8"/>
        <v>0</v>
      </c>
      <c r="N15" s="214">
        <f t="shared" ca="1" si="9"/>
        <v>0</v>
      </c>
      <c r="O15" s="214">
        <f ca="1">SUM(INDIRECT("'"&amp;C15&amp;"'!$e$31"):INDIRECT("'"&amp;C15&amp;"'!$e$33"))</f>
        <v>0</v>
      </c>
      <c r="P15" s="214">
        <f t="shared" ca="1" si="10"/>
        <v>0</v>
      </c>
      <c r="Q15" s="214">
        <f t="shared" ca="1" si="11"/>
        <v>0</v>
      </c>
      <c r="R15" s="214">
        <f t="shared" ca="1" si="12"/>
        <v>0</v>
      </c>
      <c r="S15" s="151"/>
      <c r="T15" s="62"/>
      <c r="U15" s="215">
        <f ca="1">IF($X$26="Yes", E15*('Emission Factors'!$F$11+'Emission Factors'!$F$12)/1000, E15*'Emission Factors'!$F$11/1000)</f>
        <v>0</v>
      </c>
      <c r="V15" s="215">
        <f ca="1">(F15*'Emission Factors'!$F$13)/1000</f>
        <v>0</v>
      </c>
      <c r="W15" s="215">
        <f ca="1">(G15*'Emission Factors'!$F$14)/1000</f>
        <v>0</v>
      </c>
      <c r="X15" s="215">
        <f ca="1">(H15*'Emission Factors'!$F$15)/1000</f>
        <v>0</v>
      </c>
      <c r="Y15" s="215">
        <f ca="1">(I15*'Emission Factors'!$F$16)/1000</f>
        <v>0</v>
      </c>
      <c r="Z15" s="215">
        <f ca="1">(J15*'Emission Factors'!$F$17)/1000</f>
        <v>0</v>
      </c>
      <c r="AA15" s="215">
        <f ca="1">SUM(INDIRECT("'"&amp;C15&amp;"'!$f$16"):INDIRECT("'"&amp;C15&amp;"'!$f$21"))+SUM(INDIRECT("'"&amp;C15&amp;"'!$l$16"):INDIRECT("'"&amp;C15&amp;"'!$l$19"))+SUM(INDIRECT("'"&amp;C15&amp;"'!$f$24"):INDIRECT("'"&amp;C15&amp;"'!$f$28"))+SUM(INDIRECT("'"&amp;C15&amp;"'!$l$31"):INDIRECT("'"&amp;C15&amp;"'!$l$33"))+SUM(INDIRECT("'"&amp;C15&amp;"'!$l$24"):INDIRECT("'"&amp;C15&amp;"'!$l$25"))</f>
        <v>0</v>
      </c>
      <c r="AB15" s="215">
        <f t="shared" ca="1" si="13"/>
        <v>0</v>
      </c>
      <c r="AC15" s="215">
        <f t="shared" ca="1" si="14"/>
        <v>0</v>
      </c>
      <c r="AD15" s="215">
        <f ca="1">SUM(INDIRECT("'"&amp;C15&amp;"'!$f$40"):INDIRECT("'"&amp;C15&amp;"'!$f$42"))</f>
        <v>0</v>
      </c>
      <c r="AE15" s="215">
        <f ca="1">(R15*'Emission Factors'!$F$48)/1000</f>
        <v>0</v>
      </c>
      <c r="AF15" s="215">
        <f t="shared" ca="1" si="15"/>
        <v>0</v>
      </c>
      <c r="AG15" s="215">
        <f t="shared" ca="1" si="16"/>
        <v>0</v>
      </c>
      <c r="AH15" s="175"/>
      <c r="AJ15" s="18"/>
      <c r="AK15" s="18"/>
      <c r="AL15" s="18"/>
      <c r="AM15" s="62" t="s">
        <v>126</v>
      </c>
      <c r="AN15" s="18"/>
      <c r="AO15" s="18"/>
      <c r="AP15" s="18" t="s">
        <v>129</v>
      </c>
      <c r="AQ15" s="18" t="s">
        <v>139</v>
      </c>
      <c r="AR15" s="18"/>
      <c r="AS15" s="18"/>
      <c r="AT15" s="18">
        <v>4</v>
      </c>
      <c r="AU15" s="18" t="s">
        <v>129</v>
      </c>
      <c r="AV15" s="18" t="s">
        <v>130</v>
      </c>
      <c r="AW15" s="18" t="s">
        <v>140</v>
      </c>
      <c r="AX15" s="18" t="s">
        <v>138</v>
      </c>
      <c r="AY15" s="18"/>
      <c r="AZ15" s="18"/>
      <c r="BA15" s="18"/>
      <c r="BB15" s="18"/>
      <c r="BC15" s="18"/>
      <c r="BD15" s="18"/>
      <c r="BE15" s="18"/>
      <c r="BF15" s="18"/>
      <c r="BG15" s="18"/>
      <c r="BH15" s="18"/>
    </row>
    <row r="16" spans="2:64" ht="15">
      <c r="B16" s="160"/>
      <c r="C16" t="str">
        <f t="shared" si="0"/>
        <v>Aug</v>
      </c>
      <c r="D16" s="86" t="str">
        <f>HLOOKUP($Q$4, $AU$11:$AX$23, 6,FALSE)</f>
        <v>August</v>
      </c>
      <c r="E16" s="214">
        <f t="shared" ca="1" si="1"/>
        <v>0</v>
      </c>
      <c r="F16" s="214">
        <f t="shared" ca="1" si="2"/>
        <v>0</v>
      </c>
      <c r="G16" s="214">
        <f t="shared" ca="1" si="3"/>
        <v>0</v>
      </c>
      <c r="H16" s="214">
        <f t="shared" ca="1" si="4"/>
        <v>0</v>
      </c>
      <c r="I16" s="214">
        <f t="shared" ca="1" si="5"/>
        <v>0</v>
      </c>
      <c r="J16" s="214">
        <f t="shared" ca="1" si="6"/>
        <v>0</v>
      </c>
      <c r="K16" s="214">
        <f ca="1">SUM(INDIRECT("'"&amp;C16&amp;"'!$e$16"):INDIRECT("'"&amp;C16&amp;"'!$e$20"))+SUM(INDIRECT("'"&amp;C16&amp;"'!$k$16"):INDIRECT("'"&amp;C16&amp;"'!$k$18"))+SUM(INDIRECT("'"&amp;C16&amp;"'!$e$25"):INDIRECT("'"&amp;C16&amp;"'!$e$28"))+SUM(INDIRECT("'"&amp;C16&amp;"'!$k$31"):INDIRECT("'"&amp;C16&amp;"'!$k$33"))+INDIRECT("'"&amp;C16&amp;"'!$k$24")</f>
        <v>0</v>
      </c>
      <c r="L16" s="214">
        <f t="shared" ca="1" si="7"/>
        <v>0</v>
      </c>
      <c r="M16" s="214">
        <f t="shared" ca="1" si="8"/>
        <v>0</v>
      </c>
      <c r="N16" s="214">
        <f ca="1">INDIRECT("'"&amp;C16&amp;"'!$k$34")</f>
        <v>0</v>
      </c>
      <c r="O16" s="214">
        <f ca="1">SUM(INDIRECT("'"&amp;C16&amp;"'!$e$31"):INDIRECT("'"&amp;C16&amp;"'!$e$33"))</f>
        <v>0</v>
      </c>
      <c r="P16" s="214">
        <f t="shared" ca="1" si="10"/>
        <v>0</v>
      </c>
      <c r="Q16" s="214">
        <f t="shared" ca="1" si="11"/>
        <v>0</v>
      </c>
      <c r="R16" s="214">
        <f t="shared" ca="1" si="12"/>
        <v>0</v>
      </c>
      <c r="S16" s="151"/>
      <c r="T16" s="62"/>
      <c r="U16" s="215">
        <f ca="1">IF($X$26="Yes", E16*('Emission Factors'!$F$11+'Emission Factors'!$F$12)/1000, E16*'Emission Factors'!$F$11/1000)</f>
        <v>0</v>
      </c>
      <c r="V16" s="215">
        <f ca="1">(F16*'Emission Factors'!$F$13)/1000</f>
        <v>0</v>
      </c>
      <c r="W16" s="215">
        <f ca="1">(G16*'Emission Factors'!$F$14)/1000</f>
        <v>0</v>
      </c>
      <c r="X16" s="215">
        <f ca="1">(H16*'Emission Factors'!$F$15)/1000</f>
        <v>0</v>
      </c>
      <c r="Y16" s="215">
        <f ca="1">(I16*'Emission Factors'!$F$16)/1000</f>
        <v>0</v>
      </c>
      <c r="Z16" s="215">
        <f ca="1">(J16*'Emission Factors'!$F$17)/1000</f>
        <v>0</v>
      </c>
      <c r="AA16" s="215">
        <f ca="1">SUM(INDIRECT("'"&amp;C16&amp;"'!$f$16"):INDIRECT("'"&amp;C16&amp;"'!$f$21"))+SUM(INDIRECT("'"&amp;C16&amp;"'!$l$16"):INDIRECT("'"&amp;C16&amp;"'!$l$19"))+SUM(INDIRECT("'"&amp;C16&amp;"'!$f$24"):INDIRECT("'"&amp;C16&amp;"'!$f$28"))+SUM(INDIRECT("'"&amp;C16&amp;"'!$l$31"):INDIRECT("'"&amp;C16&amp;"'!$l$33"))+SUM(INDIRECT("'"&amp;C16&amp;"'!$l$24"):INDIRECT("'"&amp;C16&amp;"'!$l$25"))</f>
        <v>0</v>
      </c>
      <c r="AB16" s="215">
        <f t="shared" ca="1" si="13"/>
        <v>0</v>
      </c>
      <c r="AC16" s="215">
        <f t="shared" ca="1" si="14"/>
        <v>0</v>
      </c>
      <c r="AD16" s="215">
        <f ca="1">SUM(INDIRECT("'"&amp;C16&amp;"'!$f$40"):INDIRECT("'"&amp;C16&amp;"'!$f$42"))</f>
        <v>0</v>
      </c>
      <c r="AE16" s="215">
        <f ca="1">(R16*'Emission Factors'!$F$48)/1000</f>
        <v>0</v>
      </c>
      <c r="AF16" s="215">
        <f t="shared" ca="1" si="15"/>
        <v>0</v>
      </c>
      <c r="AG16" s="215">
        <f t="shared" ca="1" si="16"/>
        <v>0</v>
      </c>
      <c r="AH16" s="165"/>
      <c r="AJ16" s="18"/>
      <c r="AK16" s="18"/>
      <c r="AL16" s="18"/>
      <c r="AM16" s="18"/>
      <c r="AN16" s="18"/>
      <c r="AO16" s="18"/>
      <c r="AP16" s="18" t="s">
        <v>134</v>
      </c>
      <c r="AQ16" s="18" t="s">
        <v>134</v>
      </c>
      <c r="AR16" s="18"/>
      <c r="AS16" s="18"/>
      <c r="AT16" s="18">
        <v>5</v>
      </c>
      <c r="AU16" s="18" t="s">
        <v>134</v>
      </c>
      <c r="AV16" s="18" t="s">
        <v>135</v>
      </c>
      <c r="AW16" s="18" t="s">
        <v>141</v>
      </c>
      <c r="AX16" s="18" t="s">
        <v>140</v>
      </c>
      <c r="AY16" s="18"/>
      <c r="AZ16" s="18"/>
      <c r="BA16" s="18"/>
      <c r="BB16" s="18"/>
      <c r="BC16" s="18"/>
      <c r="BD16" s="18"/>
      <c r="BE16" s="18"/>
      <c r="BF16" s="18"/>
      <c r="BG16" s="18"/>
      <c r="BH16" s="18"/>
    </row>
    <row r="17" spans="2:60" ht="15">
      <c r="B17" s="160"/>
      <c r="C17" t="str">
        <f t="shared" si="0"/>
        <v>Sep</v>
      </c>
      <c r="D17" s="86" t="str">
        <f>HLOOKUP($Q$4, $AU$11:$AX$23, 7,FALSE)</f>
        <v>September</v>
      </c>
      <c r="E17" s="214">
        <f t="shared" ca="1" si="1"/>
        <v>0</v>
      </c>
      <c r="F17" s="214">
        <f t="shared" ca="1" si="2"/>
        <v>0</v>
      </c>
      <c r="G17" s="214">
        <f t="shared" ca="1" si="3"/>
        <v>0</v>
      </c>
      <c r="H17" s="214">
        <f t="shared" ca="1" si="4"/>
        <v>0</v>
      </c>
      <c r="I17" s="214">
        <f t="shared" ca="1" si="5"/>
        <v>0</v>
      </c>
      <c r="J17" s="214">
        <f t="shared" ca="1" si="6"/>
        <v>0</v>
      </c>
      <c r="K17" s="214">
        <f ca="1">SUM(INDIRECT("'"&amp;C17&amp;"'!$e$16"):INDIRECT("'"&amp;C17&amp;"'!$e$20"))+SUM(INDIRECT("'"&amp;C17&amp;"'!$k$16"):INDIRECT("'"&amp;C17&amp;"'!$k$18"))+SUM(INDIRECT("'"&amp;C17&amp;"'!$e$25"):INDIRECT("'"&amp;C17&amp;"'!$e$28"))+SUM(INDIRECT("'"&amp;C17&amp;"'!$k$31"):INDIRECT("'"&amp;C17&amp;"'!$k$33"))+INDIRECT("'"&amp;C17&amp;"'!$k$24")</f>
        <v>0</v>
      </c>
      <c r="L17" s="214">
        <f t="shared" ca="1" si="7"/>
        <v>0</v>
      </c>
      <c r="M17" s="214">
        <f t="shared" ca="1" si="8"/>
        <v>0</v>
      </c>
      <c r="N17" s="214">
        <f t="shared" ca="1" si="9"/>
        <v>0</v>
      </c>
      <c r="O17" s="214">
        <f ca="1">SUM(INDIRECT("'"&amp;C17&amp;"'!$e$31"):INDIRECT("'"&amp;C17&amp;"'!$e$33"))</f>
        <v>0</v>
      </c>
      <c r="P17" s="214">
        <f t="shared" ca="1" si="10"/>
        <v>0</v>
      </c>
      <c r="Q17" s="214">
        <f t="shared" ca="1" si="11"/>
        <v>0</v>
      </c>
      <c r="R17" s="214">
        <f t="shared" ca="1" si="12"/>
        <v>0</v>
      </c>
      <c r="S17" s="151"/>
      <c r="T17" s="62"/>
      <c r="U17" s="215">
        <f ca="1">IF($X$26="Yes", E17*('Emission Factors'!$F$11+'Emission Factors'!$F$12)/1000, E17*'Emission Factors'!$F$11/1000)</f>
        <v>0</v>
      </c>
      <c r="V17" s="215">
        <f ca="1">(F17*'Emission Factors'!$F$13)/1000</f>
        <v>0</v>
      </c>
      <c r="W17" s="215">
        <f ca="1">(G17*'Emission Factors'!$F$14)/1000</f>
        <v>0</v>
      </c>
      <c r="X17" s="215">
        <f ca="1">(H17*'Emission Factors'!$F$15)/1000</f>
        <v>0</v>
      </c>
      <c r="Y17" s="215">
        <f ca="1">(I17*'Emission Factors'!$F$16)/1000</f>
        <v>0</v>
      </c>
      <c r="Z17" s="215">
        <f ca="1">(J17*'Emission Factors'!$F$17)/1000</f>
        <v>0</v>
      </c>
      <c r="AA17" s="215">
        <f ca="1">SUM(INDIRECT("'"&amp;C17&amp;"'!$f$16"):INDIRECT("'"&amp;C17&amp;"'!$f$21"))+SUM(INDIRECT("'"&amp;C17&amp;"'!$l$16"):INDIRECT("'"&amp;C17&amp;"'!$l$19"))+SUM(INDIRECT("'"&amp;C17&amp;"'!$f$24"):INDIRECT("'"&amp;C17&amp;"'!$f$28"))+SUM(INDIRECT("'"&amp;C17&amp;"'!$l$31"):INDIRECT("'"&amp;C17&amp;"'!$l$33"))+SUM(INDIRECT("'"&amp;C17&amp;"'!$l$24"):INDIRECT("'"&amp;C17&amp;"'!$l$25"))</f>
        <v>0</v>
      </c>
      <c r="AB17" s="215">
        <f t="shared" ca="1" si="13"/>
        <v>0</v>
      </c>
      <c r="AC17" s="215">
        <f t="shared" ca="1" si="14"/>
        <v>0</v>
      </c>
      <c r="AD17" s="215">
        <f ca="1">SUM(INDIRECT("'"&amp;C17&amp;"'!$f$40"):INDIRECT("'"&amp;C17&amp;"'!$f$42"))</f>
        <v>0</v>
      </c>
      <c r="AE17" s="215">
        <f ca="1">(R17*'Emission Factors'!$F$48)/1000</f>
        <v>0</v>
      </c>
      <c r="AF17" s="215">
        <f t="shared" ca="1" si="15"/>
        <v>0</v>
      </c>
      <c r="AG17" s="215">
        <f t="shared" ca="1" si="16"/>
        <v>0</v>
      </c>
      <c r="AH17" s="165"/>
      <c r="AJ17" s="18"/>
      <c r="AK17" s="18"/>
      <c r="AL17" s="18"/>
      <c r="AM17" s="18"/>
      <c r="AN17" s="18"/>
      <c r="AO17" s="18"/>
      <c r="AP17" s="18" t="s">
        <v>131</v>
      </c>
      <c r="AQ17" s="18" t="s">
        <v>142</v>
      </c>
      <c r="AR17" s="18"/>
      <c r="AS17" s="18"/>
      <c r="AT17" s="18">
        <v>6</v>
      </c>
      <c r="AU17" s="18" t="s">
        <v>131</v>
      </c>
      <c r="AV17" s="18" t="s">
        <v>138</v>
      </c>
      <c r="AW17" s="18" t="s">
        <v>143</v>
      </c>
      <c r="AX17" s="18" t="s">
        <v>141</v>
      </c>
      <c r="AY17" s="18"/>
      <c r="AZ17" s="18"/>
      <c r="BA17" s="18"/>
      <c r="BB17" s="18"/>
      <c r="BC17" s="18"/>
      <c r="BD17" s="18"/>
      <c r="BE17" s="18"/>
      <c r="BF17" s="18"/>
      <c r="BG17" s="18"/>
      <c r="BH17" s="18"/>
    </row>
    <row r="18" spans="2:60" ht="15">
      <c r="B18" s="160"/>
      <c r="C18" t="str">
        <f t="shared" si="0"/>
        <v>Oct</v>
      </c>
      <c r="D18" s="86" t="str">
        <f>HLOOKUP($Q$4, $AU$11:$AX$23, 8,FALSE)</f>
        <v>October</v>
      </c>
      <c r="E18" s="214">
        <f t="shared" ca="1" si="1"/>
        <v>0</v>
      </c>
      <c r="F18" s="214">
        <f t="shared" ca="1" si="2"/>
        <v>0</v>
      </c>
      <c r="G18" s="214">
        <f t="shared" ca="1" si="3"/>
        <v>0</v>
      </c>
      <c r="H18" s="214">
        <f t="shared" ca="1" si="4"/>
        <v>0</v>
      </c>
      <c r="I18" s="214">
        <f t="shared" ca="1" si="5"/>
        <v>0</v>
      </c>
      <c r="J18" s="214">
        <f t="shared" ca="1" si="6"/>
        <v>0</v>
      </c>
      <c r="K18" s="214">
        <f ca="1">SUM(INDIRECT("'"&amp;C18&amp;"'!$e$16"):INDIRECT("'"&amp;C18&amp;"'!$e$20"))+SUM(INDIRECT("'"&amp;C18&amp;"'!$k$16"):INDIRECT("'"&amp;C18&amp;"'!$k$18"))+SUM(INDIRECT("'"&amp;C18&amp;"'!$e$25"):INDIRECT("'"&amp;C18&amp;"'!$e$28"))+SUM(INDIRECT("'"&amp;C18&amp;"'!$k$31"):INDIRECT("'"&amp;C18&amp;"'!$k$33"))+INDIRECT("'"&amp;C18&amp;"'!$k$24")</f>
        <v>0</v>
      </c>
      <c r="L18" s="214">
        <f t="shared" ca="1" si="7"/>
        <v>0</v>
      </c>
      <c r="M18" s="214">
        <f t="shared" ca="1" si="8"/>
        <v>0</v>
      </c>
      <c r="N18" s="214">
        <f t="shared" ca="1" si="9"/>
        <v>0</v>
      </c>
      <c r="O18" s="214">
        <f ca="1">SUM(INDIRECT("'"&amp;C18&amp;"'!$e$31"):INDIRECT("'"&amp;C18&amp;"'!$e$33"))</f>
        <v>0</v>
      </c>
      <c r="P18" s="214">
        <f t="shared" ca="1" si="10"/>
        <v>0</v>
      </c>
      <c r="Q18" s="214">
        <f t="shared" ca="1" si="11"/>
        <v>0</v>
      </c>
      <c r="R18" s="214">
        <f t="shared" ca="1" si="12"/>
        <v>0</v>
      </c>
      <c r="S18" s="151"/>
      <c r="T18" s="62"/>
      <c r="U18" s="215">
        <f ca="1">IF($X$26="Yes", E18*('Emission Factors'!$F$11+'Emission Factors'!$F$12)/1000, E18*'Emission Factors'!$F$11/1000)</f>
        <v>0</v>
      </c>
      <c r="V18" s="215">
        <f ca="1">(F18*'Emission Factors'!$F$13)/1000</f>
        <v>0</v>
      </c>
      <c r="W18" s="215">
        <f ca="1">(G18*'Emission Factors'!$F$14)/1000</f>
        <v>0</v>
      </c>
      <c r="X18" s="215">
        <f ca="1">(H18*'Emission Factors'!$F$15)/1000</f>
        <v>0</v>
      </c>
      <c r="Y18" s="215">
        <f ca="1">(I18*'Emission Factors'!$F$16)/1000</f>
        <v>0</v>
      </c>
      <c r="Z18" s="215">
        <f ca="1">(J18*'Emission Factors'!$F$17)/1000</f>
        <v>0</v>
      </c>
      <c r="AA18" s="215">
        <f ca="1">SUM(INDIRECT("'"&amp;C18&amp;"'!$f$16"):INDIRECT("'"&amp;C18&amp;"'!$f$21"))+SUM(INDIRECT("'"&amp;C18&amp;"'!$l$16"):INDIRECT("'"&amp;C18&amp;"'!$l$19"))+SUM(INDIRECT("'"&amp;C18&amp;"'!$f$24"):INDIRECT("'"&amp;C18&amp;"'!$f$28"))+SUM(INDIRECT("'"&amp;C18&amp;"'!$l$31"):INDIRECT("'"&amp;C18&amp;"'!$l$33"))+SUM(INDIRECT("'"&amp;C18&amp;"'!$l$24"):INDIRECT("'"&amp;C18&amp;"'!$l$25"))</f>
        <v>0</v>
      </c>
      <c r="AB18" s="215">
        <f t="shared" ca="1" si="13"/>
        <v>0</v>
      </c>
      <c r="AC18" s="215">
        <f t="shared" ca="1" si="14"/>
        <v>0</v>
      </c>
      <c r="AD18" s="215">
        <f ca="1">SUM(INDIRECT("'"&amp;C18&amp;"'!$f$40"):INDIRECT("'"&amp;C18&amp;"'!$f$42"))</f>
        <v>0</v>
      </c>
      <c r="AE18" s="215">
        <f ca="1">(R18*'Emission Factors'!$F$48)/1000</f>
        <v>0</v>
      </c>
      <c r="AF18" s="215">
        <f t="shared" ca="1" si="15"/>
        <v>0</v>
      </c>
      <c r="AG18" s="215">
        <f t="shared" ca="1" si="16"/>
        <v>0</v>
      </c>
      <c r="AH18" s="165"/>
      <c r="AJ18" s="18"/>
      <c r="AK18" s="18"/>
      <c r="AL18" s="18"/>
      <c r="AM18" s="18"/>
      <c r="AN18" s="18"/>
      <c r="AO18" s="18"/>
      <c r="AP18" s="18" t="s">
        <v>130</v>
      </c>
      <c r="AQ18" s="18" t="s">
        <v>144</v>
      </c>
      <c r="AR18" s="18"/>
      <c r="AS18" s="18"/>
      <c r="AT18" s="18">
        <v>7</v>
      </c>
      <c r="AU18" s="18" t="s">
        <v>130</v>
      </c>
      <c r="AV18" s="18" t="s">
        <v>140</v>
      </c>
      <c r="AW18" s="18" t="s">
        <v>127</v>
      </c>
      <c r="AX18" s="18" t="s">
        <v>143</v>
      </c>
      <c r="AY18" s="18"/>
      <c r="AZ18" s="18"/>
      <c r="BA18" s="18"/>
      <c r="BB18" s="18"/>
      <c r="BC18" s="18"/>
      <c r="BD18" s="18"/>
      <c r="BE18" s="18"/>
      <c r="BF18" s="18"/>
      <c r="BG18" s="18"/>
      <c r="BH18" s="18"/>
    </row>
    <row r="19" spans="2:60" ht="15">
      <c r="B19" s="160"/>
      <c r="C19" t="str">
        <f t="shared" si="0"/>
        <v>Nov</v>
      </c>
      <c r="D19" s="86" t="str">
        <f>HLOOKUP($Q$4, $AU$11:$AX$23, 9,FALSE)</f>
        <v>November</v>
      </c>
      <c r="E19" s="214">
        <f t="shared" ca="1" si="1"/>
        <v>0</v>
      </c>
      <c r="F19" s="214">
        <f t="shared" ca="1" si="2"/>
        <v>0</v>
      </c>
      <c r="G19" s="214">
        <f t="shared" ca="1" si="3"/>
        <v>0</v>
      </c>
      <c r="H19" s="214">
        <f t="shared" ca="1" si="4"/>
        <v>0</v>
      </c>
      <c r="I19" s="214">
        <f t="shared" ca="1" si="5"/>
        <v>0</v>
      </c>
      <c r="J19" s="214">
        <f t="shared" ca="1" si="6"/>
        <v>0</v>
      </c>
      <c r="K19" s="214">
        <f ca="1">SUM(INDIRECT("'"&amp;C19&amp;"'!$e$16"):INDIRECT("'"&amp;C19&amp;"'!$e$20"))+SUM(INDIRECT("'"&amp;C19&amp;"'!$k$16"):INDIRECT("'"&amp;C19&amp;"'!$k$18"))+SUM(INDIRECT("'"&amp;C19&amp;"'!$e$25"):INDIRECT("'"&amp;C19&amp;"'!$e$28"))+SUM(INDIRECT("'"&amp;C19&amp;"'!$k$31"):INDIRECT("'"&amp;C19&amp;"'!$k$33"))+INDIRECT("'"&amp;C19&amp;"'!$k$24")</f>
        <v>0</v>
      </c>
      <c r="L19" s="214">
        <f t="shared" ca="1" si="7"/>
        <v>0</v>
      </c>
      <c r="M19" s="214">
        <f t="shared" ca="1" si="8"/>
        <v>0</v>
      </c>
      <c r="N19" s="214">
        <f t="shared" ca="1" si="9"/>
        <v>0</v>
      </c>
      <c r="O19" s="214">
        <f ca="1">SUM(INDIRECT("'"&amp;C19&amp;"'!$e$31"):INDIRECT("'"&amp;C19&amp;"'!$e$33"))</f>
        <v>0</v>
      </c>
      <c r="P19" s="214">
        <f t="shared" ca="1" si="10"/>
        <v>0</v>
      </c>
      <c r="Q19" s="214">
        <f t="shared" ca="1" si="11"/>
        <v>0</v>
      </c>
      <c r="R19" s="214">
        <f t="shared" ca="1" si="12"/>
        <v>0</v>
      </c>
      <c r="S19" s="151"/>
      <c r="T19" s="62"/>
      <c r="U19" s="215">
        <f ca="1">IF($X$26="Yes", E19*('Emission Factors'!$F$11+'Emission Factors'!$F$12)/1000, E19*'Emission Factors'!$F$11/1000)</f>
        <v>0</v>
      </c>
      <c r="V19" s="215">
        <f ca="1">(F19*'Emission Factors'!$F$13)/1000</f>
        <v>0</v>
      </c>
      <c r="W19" s="215">
        <f ca="1">(G19*'Emission Factors'!$F$14)/1000</f>
        <v>0</v>
      </c>
      <c r="X19" s="215">
        <f ca="1">(H19*'Emission Factors'!$F$15)/1000</f>
        <v>0</v>
      </c>
      <c r="Y19" s="215">
        <f ca="1">(I19*'Emission Factors'!$F$16)/1000</f>
        <v>0</v>
      </c>
      <c r="Z19" s="215">
        <f ca="1">(J19*'Emission Factors'!$F$17)/1000</f>
        <v>0</v>
      </c>
      <c r="AA19" s="215">
        <f ca="1">SUM(INDIRECT("'"&amp;C19&amp;"'!$f$16"):INDIRECT("'"&amp;C19&amp;"'!$f$21"))+SUM(INDIRECT("'"&amp;C19&amp;"'!$l$16"):INDIRECT("'"&amp;C19&amp;"'!$l$19"))+SUM(INDIRECT("'"&amp;C19&amp;"'!$f$24"):INDIRECT("'"&amp;C19&amp;"'!$f$28"))+SUM(INDIRECT("'"&amp;C19&amp;"'!$l$31"):INDIRECT("'"&amp;C19&amp;"'!$l$33"))+SUM(INDIRECT("'"&amp;C19&amp;"'!$l$24"):INDIRECT("'"&amp;C19&amp;"'!$l$25"))</f>
        <v>0</v>
      </c>
      <c r="AB19" s="215">
        <f t="shared" ca="1" si="13"/>
        <v>0</v>
      </c>
      <c r="AC19" s="215">
        <f t="shared" ca="1" si="14"/>
        <v>0</v>
      </c>
      <c r="AD19" s="215">
        <f ca="1">SUM(INDIRECT("'"&amp;C19&amp;"'!$f$40"):INDIRECT("'"&amp;C19&amp;"'!$f$42"))</f>
        <v>0</v>
      </c>
      <c r="AE19" s="215">
        <f ca="1">(R19*'Emission Factors'!$F$48)/1000</f>
        <v>0</v>
      </c>
      <c r="AF19" s="215">
        <f t="shared" ca="1" si="15"/>
        <v>0</v>
      </c>
      <c r="AG19" s="215">
        <f t="shared" ca="1" si="16"/>
        <v>0</v>
      </c>
      <c r="AH19" s="165"/>
      <c r="AJ19" s="18"/>
      <c r="AK19" s="18"/>
      <c r="AL19" s="18"/>
      <c r="AM19" s="18"/>
      <c r="AN19" s="18"/>
      <c r="AO19" s="18"/>
      <c r="AP19" s="18" t="s">
        <v>135</v>
      </c>
      <c r="AQ19" s="18" t="s">
        <v>145</v>
      </c>
      <c r="AR19" s="18"/>
      <c r="AS19" s="18"/>
      <c r="AT19" s="18">
        <v>8</v>
      </c>
      <c r="AU19" s="18" t="s">
        <v>135</v>
      </c>
      <c r="AV19" s="18" t="s">
        <v>141</v>
      </c>
      <c r="AW19" s="18" t="s">
        <v>132</v>
      </c>
      <c r="AX19" s="18" t="s">
        <v>127</v>
      </c>
      <c r="AY19" s="18"/>
      <c r="AZ19" s="18"/>
      <c r="BA19" s="18"/>
      <c r="BB19" s="18"/>
      <c r="BC19" s="18"/>
      <c r="BD19" s="18"/>
      <c r="BE19" s="18"/>
      <c r="BF19" s="18"/>
      <c r="BG19" s="18"/>
      <c r="BH19" s="18"/>
    </row>
    <row r="20" spans="2:60" ht="15">
      <c r="B20" s="160"/>
      <c r="C20" t="str">
        <f t="shared" si="0"/>
        <v>Dec</v>
      </c>
      <c r="D20" s="86" t="str">
        <f>HLOOKUP($Q$4, $AU$11:$AX$23, 10,FALSE)</f>
        <v>December</v>
      </c>
      <c r="E20" s="214">
        <f t="shared" ca="1" si="1"/>
        <v>0</v>
      </c>
      <c r="F20" s="214">
        <f t="shared" ca="1" si="2"/>
        <v>0</v>
      </c>
      <c r="G20" s="214">
        <f t="shared" ca="1" si="3"/>
        <v>0</v>
      </c>
      <c r="H20" s="214">
        <f t="shared" ca="1" si="4"/>
        <v>0</v>
      </c>
      <c r="I20" s="214">
        <f t="shared" ca="1" si="5"/>
        <v>0</v>
      </c>
      <c r="J20" s="214">
        <f t="shared" ca="1" si="6"/>
        <v>0</v>
      </c>
      <c r="K20" s="214">
        <f ca="1">SUM(INDIRECT("'"&amp;C20&amp;"'!$e$16"):INDIRECT("'"&amp;C20&amp;"'!$e$20"))+SUM(INDIRECT("'"&amp;C20&amp;"'!$k$16"):INDIRECT("'"&amp;C20&amp;"'!$k$18"))+SUM(INDIRECT("'"&amp;C20&amp;"'!$e$25"):INDIRECT("'"&amp;C20&amp;"'!$e$28"))+SUM(INDIRECT("'"&amp;C20&amp;"'!$k$31"):INDIRECT("'"&amp;C20&amp;"'!$k$33"))+INDIRECT("'"&amp;C20&amp;"'!$k$24")</f>
        <v>0</v>
      </c>
      <c r="L20" s="214">
        <f t="shared" ca="1" si="7"/>
        <v>0</v>
      </c>
      <c r="M20" s="214">
        <f t="shared" ca="1" si="8"/>
        <v>0</v>
      </c>
      <c r="N20" s="214">
        <f t="shared" ca="1" si="9"/>
        <v>0</v>
      </c>
      <c r="O20" s="214">
        <f ca="1">SUM(INDIRECT("'"&amp;C20&amp;"'!$e$31"):INDIRECT("'"&amp;C20&amp;"'!$e$33"))</f>
        <v>0</v>
      </c>
      <c r="P20" s="214">
        <f t="shared" ca="1" si="10"/>
        <v>0</v>
      </c>
      <c r="Q20" s="214">
        <f t="shared" ca="1" si="11"/>
        <v>0</v>
      </c>
      <c r="R20" s="214">
        <f t="shared" ca="1" si="12"/>
        <v>0</v>
      </c>
      <c r="S20" s="151"/>
      <c r="T20" s="62"/>
      <c r="U20" s="215">
        <f ca="1">IF($X$26="Yes", E20*('Emission Factors'!$F$11+'Emission Factors'!$F$12)/1000, E20*'Emission Factors'!$F$11/1000)</f>
        <v>0</v>
      </c>
      <c r="V20" s="215">
        <f ca="1">(F20*'Emission Factors'!$F$13)/1000</f>
        <v>0</v>
      </c>
      <c r="W20" s="215">
        <f ca="1">(G20*'Emission Factors'!$F$14)/1000</f>
        <v>0</v>
      </c>
      <c r="X20" s="215">
        <f ca="1">(H20*'Emission Factors'!$F$15)/1000</f>
        <v>0</v>
      </c>
      <c r="Y20" s="215">
        <f ca="1">(I20*'Emission Factors'!$F$16)/1000</f>
        <v>0</v>
      </c>
      <c r="Z20" s="215">
        <f ca="1">(J20*'Emission Factors'!$F$17)/1000</f>
        <v>0</v>
      </c>
      <c r="AA20" s="215">
        <f ca="1">SUM(INDIRECT("'"&amp;C20&amp;"'!$f$16"):INDIRECT("'"&amp;C20&amp;"'!$f$21"))+SUM(INDIRECT("'"&amp;C20&amp;"'!$l$16"):INDIRECT("'"&amp;C20&amp;"'!$l$19"))+SUM(INDIRECT("'"&amp;C20&amp;"'!$f$24"):INDIRECT("'"&amp;C20&amp;"'!$f$28"))+SUM(INDIRECT("'"&amp;C20&amp;"'!$l$31"):INDIRECT("'"&amp;C20&amp;"'!$l$33"))+SUM(INDIRECT("'"&amp;C20&amp;"'!$l$24"):INDIRECT("'"&amp;C20&amp;"'!$l$25"))</f>
        <v>0</v>
      </c>
      <c r="AB20" s="215">
        <f t="shared" ca="1" si="13"/>
        <v>0</v>
      </c>
      <c r="AC20" s="215">
        <f t="shared" ca="1" si="14"/>
        <v>0</v>
      </c>
      <c r="AD20" s="215">
        <f ca="1">SUM(INDIRECT("'"&amp;C20&amp;"'!$f$40"):INDIRECT("'"&amp;C20&amp;"'!$f$42"))</f>
        <v>0</v>
      </c>
      <c r="AE20" s="215">
        <f ca="1">(R20*'Emission Factors'!$F$48)/1000</f>
        <v>0</v>
      </c>
      <c r="AF20" s="215">
        <f t="shared" ca="1" si="15"/>
        <v>0</v>
      </c>
      <c r="AG20" s="215">
        <f t="shared" ca="1" si="16"/>
        <v>0</v>
      </c>
      <c r="AH20" s="165"/>
      <c r="AJ20" s="18"/>
      <c r="AK20" s="18"/>
      <c r="AL20" s="18"/>
      <c r="AM20" s="18"/>
      <c r="AN20" s="18"/>
      <c r="AO20" s="18"/>
      <c r="AP20" s="18" t="s">
        <v>138</v>
      </c>
      <c r="AQ20" s="18" t="s">
        <v>146</v>
      </c>
      <c r="AR20" s="18"/>
      <c r="AS20" s="18"/>
      <c r="AT20" s="18">
        <v>9</v>
      </c>
      <c r="AU20" s="18" t="s">
        <v>138</v>
      </c>
      <c r="AV20" s="18" t="s">
        <v>143</v>
      </c>
      <c r="AW20" s="18" t="s">
        <v>136</v>
      </c>
      <c r="AX20" s="18" t="s">
        <v>132</v>
      </c>
      <c r="AY20" s="18"/>
      <c r="AZ20" s="18"/>
      <c r="BA20" s="18"/>
      <c r="BB20" s="18"/>
      <c r="BC20" s="18"/>
      <c r="BD20" s="18"/>
      <c r="BE20" s="18"/>
      <c r="BF20" s="18"/>
      <c r="BG20" s="18"/>
      <c r="BH20" s="18"/>
    </row>
    <row r="21" spans="2:60" ht="15">
      <c r="B21" s="160"/>
      <c r="C21" t="str">
        <f t="shared" si="0"/>
        <v>Jan</v>
      </c>
      <c r="D21" s="86" t="str">
        <f>HLOOKUP($Q$4, $AU$11:$AX$23, 11,FALSE)</f>
        <v>January</v>
      </c>
      <c r="E21" s="214">
        <f t="shared" ca="1" si="1"/>
        <v>0</v>
      </c>
      <c r="F21" s="214">
        <f t="shared" ca="1" si="2"/>
        <v>0</v>
      </c>
      <c r="G21" s="214">
        <f t="shared" ca="1" si="3"/>
        <v>0</v>
      </c>
      <c r="H21" s="214">
        <f t="shared" ca="1" si="4"/>
        <v>0</v>
      </c>
      <c r="I21" s="214">
        <f t="shared" ca="1" si="5"/>
        <v>0</v>
      </c>
      <c r="J21" s="214">
        <f t="shared" ca="1" si="6"/>
        <v>0</v>
      </c>
      <c r="K21" s="214">
        <f ca="1">SUM(INDIRECT("'"&amp;C21&amp;"'!$e$16"):INDIRECT("'"&amp;C21&amp;"'!$e$20"))+SUM(INDIRECT("'"&amp;C21&amp;"'!$k$16"):INDIRECT("'"&amp;C21&amp;"'!$k$18"))+SUM(INDIRECT("'"&amp;C21&amp;"'!$e$25"):INDIRECT("'"&amp;C21&amp;"'!$e$28"))+SUM(INDIRECT("'"&amp;C21&amp;"'!$k$31"):INDIRECT("'"&amp;C21&amp;"'!$k$33"))+INDIRECT("'"&amp;C21&amp;"'!$k$24")</f>
        <v>0</v>
      </c>
      <c r="L21" s="214">
        <f t="shared" ca="1" si="7"/>
        <v>0</v>
      </c>
      <c r="M21" s="214">
        <f t="shared" ca="1" si="8"/>
        <v>0</v>
      </c>
      <c r="N21" s="214">
        <f t="shared" ca="1" si="9"/>
        <v>0</v>
      </c>
      <c r="O21" s="214">
        <f ca="1">SUM(INDIRECT("'"&amp;C21&amp;"'!$e$31"):INDIRECT("'"&amp;C21&amp;"'!$e$33"))</f>
        <v>0</v>
      </c>
      <c r="P21" s="214">
        <f ca="1">IF(INDIRECT("'"&amp;C21&amp;"'!$e$40")&lt;&gt;0,  INDIRECT("'"&amp;C21&amp;"'!$e$40"),  INDIRECT("'"&amp;C21&amp;"'!$e$41"))</f>
        <v>0</v>
      </c>
      <c r="Q21" s="214">
        <f t="shared" ca="1" si="11"/>
        <v>0</v>
      </c>
      <c r="R21" s="214">
        <f t="shared" ca="1" si="12"/>
        <v>0</v>
      </c>
      <c r="S21" s="151"/>
      <c r="T21" s="62"/>
      <c r="U21" s="215">
        <f ca="1">IF($X$26="Yes", E21*('Emission Factors'!$F$11+'Emission Factors'!$F$12)/1000, E21*'Emission Factors'!$F$11/1000)</f>
        <v>0</v>
      </c>
      <c r="V21" s="215">
        <f ca="1">(F21*'Emission Factors'!$F$13)/1000</f>
        <v>0</v>
      </c>
      <c r="W21" s="215">
        <f ca="1">(G21*'Emission Factors'!$F$14)/1000</f>
        <v>0</v>
      </c>
      <c r="X21" s="215">
        <f ca="1">(H21*'Emission Factors'!$F$15)/1000</f>
        <v>0</v>
      </c>
      <c r="Y21" s="215">
        <f ca="1">(I21*'Emission Factors'!$F$16)/1000</f>
        <v>0</v>
      </c>
      <c r="Z21" s="215">
        <f ca="1">(J21*'Emission Factors'!$F$17)/1000</f>
        <v>0</v>
      </c>
      <c r="AA21" s="215">
        <f ca="1">SUM(INDIRECT("'"&amp;C21&amp;"'!$f$16"):INDIRECT("'"&amp;C21&amp;"'!$f$21"))+SUM(INDIRECT("'"&amp;C21&amp;"'!$l$16"):INDIRECT("'"&amp;C21&amp;"'!$l$19"))+SUM(INDIRECT("'"&amp;C21&amp;"'!$f$24"):INDIRECT("'"&amp;C21&amp;"'!$f$28"))+SUM(INDIRECT("'"&amp;C21&amp;"'!$l$31"):INDIRECT("'"&amp;C21&amp;"'!$l$33"))+SUM(INDIRECT("'"&amp;C21&amp;"'!$l$24"):INDIRECT("'"&amp;C21&amp;"'!$l$25"))</f>
        <v>0</v>
      </c>
      <c r="AB21" s="215">
        <f t="shared" ca="1" si="13"/>
        <v>0</v>
      </c>
      <c r="AC21" s="215">
        <f t="shared" ca="1" si="14"/>
        <v>0</v>
      </c>
      <c r="AD21" s="215">
        <f ca="1">SUM(INDIRECT("'"&amp;C21&amp;"'!$f$40"):INDIRECT("'"&amp;C21&amp;"'!$f$42"))</f>
        <v>0</v>
      </c>
      <c r="AE21" s="215">
        <f ca="1">(R21*'Emission Factors'!$F$48)/1000</f>
        <v>0</v>
      </c>
      <c r="AF21" s="215">
        <f t="shared" ca="1" si="15"/>
        <v>0</v>
      </c>
      <c r="AG21" s="215">
        <f t="shared" ca="1" si="16"/>
        <v>0</v>
      </c>
      <c r="AH21" s="165"/>
      <c r="AJ21" s="18"/>
      <c r="AK21" s="18"/>
      <c r="AL21" s="18"/>
      <c r="AM21" s="18"/>
      <c r="AN21" s="18"/>
      <c r="AO21" s="18"/>
      <c r="AP21" s="18" t="s">
        <v>140</v>
      </c>
      <c r="AQ21" s="18" t="s">
        <v>147</v>
      </c>
      <c r="AR21" s="18"/>
      <c r="AS21" s="18"/>
      <c r="AT21" s="18">
        <v>10</v>
      </c>
      <c r="AU21" s="18" t="s">
        <v>140</v>
      </c>
      <c r="AV21" s="18" t="s">
        <v>127</v>
      </c>
      <c r="AW21" s="18" t="s">
        <v>129</v>
      </c>
      <c r="AX21" s="18" t="s">
        <v>136</v>
      </c>
      <c r="AY21" s="18"/>
      <c r="AZ21" s="18"/>
      <c r="BA21" s="18"/>
      <c r="BB21" s="18"/>
      <c r="BC21" s="18"/>
      <c r="BD21" s="18"/>
      <c r="BE21" s="18"/>
      <c r="BF21" s="18"/>
      <c r="BG21" s="18"/>
      <c r="BH21" s="18"/>
    </row>
    <row r="22" spans="2:60" ht="15">
      <c r="B22" s="160"/>
      <c r="C22" t="str">
        <f t="shared" si="0"/>
        <v>Feb</v>
      </c>
      <c r="D22" s="86" t="str">
        <f>HLOOKUP($Q$4, $AU$11:$AX$23, 12,FALSE)</f>
        <v>February</v>
      </c>
      <c r="E22" s="214">
        <f t="shared" ca="1" si="1"/>
        <v>0</v>
      </c>
      <c r="F22" s="214">
        <f t="shared" ca="1" si="2"/>
        <v>0</v>
      </c>
      <c r="G22" s="214">
        <f t="shared" ca="1" si="3"/>
        <v>0</v>
      </c>
      <c r="H22" s="214">
        <f t="shared" ca="1" si="4"/>
        <v>0</v>
      </c>
      <c r="I22" s="214">
        <f t="shared" ca="1" si="5"/>
        <v>0</v>
      </c>
      <c r="J22" s="214">
        <f t="shared" ca="1" si="6"/>
        <v>0</v>
      </c>
      <c r="K22" s="214">
        <f ca="1">SUM(INDIRECT("'"&amp;C22&amp;"'!$e$16"):INDIRECT("'"&amp;C22&amp;"'!$e$20"))+SUM(INDIRECT("'"&amp;C22&amp;"'!$k$16"):INDIRECT("'"&amp;C22&amp;"'!$k$18"))+SUM(INDIRECT("'"&amp;C22&amp;"'!$e$25"):INDIRECT("'"&amp;C22&amp;"'!$e$28"))+SUM(INDIRECT("'"&amp;C22&amp;"'!$k$31"):INDIRECT("'"&amp;C22&amp;"'!$k$33"))+INDIRECT("'"&amp;C22&amp;"'!$k$24")</f>
        <v>0</v>
      </c>
      <c r="L22" s="214">
        <f t="shared" ca="1" si="7"/>
        <v>0</v>
      </c>
      <c r="M22" s="214">
        <f t="shared" ca="1" si="8"/>
        <v>0</v>
      </c>
      <c r="N22" s="214">
        <f t="shared" ca="1" si="9"/>
        <v>0</v>
      </c>
      <c r="O22" s="214">
        <f ca="1">SUM(INDIRECT("'"&amp;C22&amp;"'!$e$31"):INDIRECT("'"&amp;C22&amp;"'!$e$33"))</f>
        <v>0</v>
      </c>
      <c r="P22" s="214">
        <f t="shared" ca="1" si="10"/>
        <v>0</v>
      </c>
      <c r="Q22" s="214">
        <f t="shared" ca="1" si="11"/>
        <v>0</v>
      </c>
      <c r="R22" s="214">
        <f t="shared" ca="1" si="12"/>
        <v>0</v>
      </c>
      <c r="S22" s="151"/>
      <c r="T22" s="62"/>
      <c r="U22" s="215">
        <f ca="1">IF($X$26="Yes", E22*('Emission Factors'!$F$11+'Emission Factors'!$F$12)/1000, E22*'Emission Factors'!$F$11/1000)</f>
        <v>0</v>
      </c>
      <c r="V22" s="215">
        <f ca="1">(F22*'Emission Factors'!$F$13)/1000</f>
        <v>0</v>
      </c>
      <c r="W22" s="215">
        <f ca="1">(G22*'Emission Factors'!$F$14)/1000</f>
        <v>0</v>
      </c>
      <c r="X22" s="215">
        <f ca="1">(H22*'Emission Factors'!$F$15)/1000</f>
        <v>0</v>
      </c>
      <c r="Y22" s="215">
        <f ca="1">(I22*'Emission Factors'!$F$16)/1000</f>
        <v>0</v>
      </c>
      <c r="Z22" s="215">
        <f ca="1">(J22*'Emission Factors'!$F$17)/1000</f>
        <v>0</v>
      </c>
      <c r="AA22" s="215">
        <f ca="1">SUM(INDIRECT("'"&amp;C22&amp;"'!$f$16"):INDIRECT("'"&amp;C22&amp;"'!$f$21"))+SUM(INDIRECT("'"&amp;C22&amp;"'!$l$16"):INDIRECT("'"&amp;C22&amp;"'!$l$19"))+SUM(INDIRECT("'"&amp;C22&amp;"'!$f$24"):INDIRECT("'"&amp;C22&amp;"'!$f$28"))+SUM(INDIRECT("'"&amp;C22&amp;"'!$l$31"):INDIRECT("'"&amp;C22&amp;"'!$l$33"))+SUM(INDIRECT("'"&amp;C22&amp;"'!$l$24"):INDIRECT("'"&amp;C22&amp;"'!$l$25"))</f>
        <v>0</v>
      </c>
      <c r="AB22" s="215">
        <f t="shared" ca="1" si="13"/>
        <v>0</v>
      </c>
      <c r="AC22" s="215">
        <f t="shared" ca="1" si="14"/>
        <v>0</v>
      </c>
      <c r="AD22" s="215">
        <f ca="1">SUM(INDIRECT("'"&amp;C22&amp;"'!$f$40"):INDIRECT("'"&amp;C22&amp;"'!$f$42"))</f>
        <v>0</v>
      </c>
      <c r="AE22" s="215">
        <f ca="1">(R22*'Emission Factors'!$F$48)/1000</f>
        <v>0</v>
      </c>
      <c r="AF22" s="215">
        <f t="shared" ca="1" si="15"/>
        <v>0</v>
      </c>
      <c r="AG22" s="215">
        <f t="shared" ca="1" si="16"/>
        <v>0</v>
      </c>
      <c r="AH22" s="165"/>
      <c r="AJ22" s="18"/>
      <c r="AK22" s="18"/>
      <c r="AL22" s="18"/>
      <c r="AM22" s="18"/>
      <c r="AN22" s="18"/>
      <c r="AO22" s="18"/>
      <c r="AP22" s="18" t="s">
        <v>141</v>
      </c>
      <c r="AQ22" s="18" t="s">
        <v>148</v>
      </c>
      <c r="AR22" s="18"/>
      <c r="AS22" s="18"/>
      <c r="AT22" s="18">
        <v>11</v>
      </c>
      <c r="AU22" s="18" t="s">
        <v>141</v>
      </c>
      <c r="AV22" s="18" t="s">
        <v>132</v>
      </c>
      <c r="AW22" s="18" t="s">
        <v>134</v>
      </c>
      <c r="AX22" s="18" t="s">
        <v>129</v>
      </c>
      <c r="AY22" s="18"/>
      <c r="AZ22" s="18"/>
      <c r="BA22" s="18"/>
      <c r="BB22" s="18"/>
      <c r="BC22" s="18"/>
      <c r="BD22" s="18"/>
      <c r="BE22" s="18"/>
      <c r="BF22" s="18"/>
      <c r="BG22" s="18"/>
      <c r="BH22" s="18"/>
    </row>
    <row r="23" spans="2:60" ht="15">
      <c r="B23" s="160"/>
      <c r="C23" t="str">
        <f t="shared" si="0"/>
        <v>Mar</v>
      </c>
      <c r="D23" s="86" t="str">
        <f>HLOOKUP($Q$4, $AU$11:$AX$23, 13,FALSE)</f>
        <v>March</v>
      </c>
      <c r="E23" s="214">
        <f t="shared" ca="1" si="1"/>
        <v>0</v>
      </c>
      <c r="F23" s="214">
        <f t="shared" ca="1" si="2"/>
        <v>0</v>
      </c>
      <c r="G23" s="214">
        <f t="shared" ca="1" si="3"/>
        <v>0</v>
      </c>
      <c r="H23" s="214">
        <f t="shared" ca="1" si="4"/>
        <v>0</v>
      </c>
      <c r="I23" s="214">
        <f t="shared" ca="1" si="5"/>
        <v>0</v>
      </c>
      <c r="J23" s="214">
        <f t="shared" ca="1" si="6"/>
        <v>0</v>
      </c>
      <c r="K23" s="214">
        <f ca="1">SUM(INDIRECT("'"&amp;C23&amp;"'!$e$16"):INDIRECT("'"&amp;C23&amp;"'!$e$20"))+SUM(INDIRECT("'"&amp;C23&amp;"'!$k$16"):INDIRECT("'"&amp;C23&amp;"'!$k$18"))+SUM(INDIRECT("'"&amp;C23&amp;"'!$e$25"):INDIRECT("'"&amp;C23&amp;"'!$e$28"))+SUM(INDIRECT("'"&amp;C23&amp;"'!$k$31"):INDIRECT("'"&amp;C23&amp;"'!$k$33"))+INDIRECT("'"&amp;C23&amp;"'!$k$24")</f>
        <v>0</v>
      </c>
      <c r="L23" s="214">
        <f t="shared" ca="1" si="7"/>
        <v>0</v>
      </c>
      <c r="M23" s="214">
        <f t="shared" ca="1" si="8"/>
        <v>0</v>
      </c>
      <c r="N23" s="214">
        <f t="shared" ca="1" si="9"/>
        <v>0</v>
      </c>
      <c r="O23" s="214">
        <f ca="1">SUM(INDIRECT("'"&amp;C23&amp;"'!$e$31"):INDIRECT("'"&amp;C23&amp;"'!$e$33"))</f>
        <v>0</v>
      </c>
      <c r="P23" s="214">
        <f t="shared" ca="1" si="10"/>
        <v>0</v>
      </c>
      <c r="Q23" s="214">
        <f t="shared" ca="1" si="11"/>
        <v>0</v>
      </c>
      <c r="R23" s="214">
        <f t="shared" ca="1" si="12"/>
        <v>0</v>
      </c>
      <c r="S23" s="151"/>
      <c r="T23" s="62"/>
      <c r="U23" s="215">
        <f ca="1">IF($X$26="Yes", E23*('Emission Factors'!$F$11+'Emission Factors'!$F$12)/1000, E23*'Emission Factors'!$F$11/1000)</f>
        <v>0</v>
      </c>
      <c r="V23" s="215">
        <f ca="1">(F23*'Emission Factors'!$F$13)/1000</f>
        <v>0</v>
      </c>
      <c r="W23" s="215">
        <f ca="1">(G23*'Emission Factors'!$F$14)/1000</f>
        <v>0</v>
      </c>
      <c r="X23" s="215">
        <f ca="1">(H23*'Emission Factors'!$F$15)/1000</f>
        <v>0</v>
      </c>
      <c r="Y23" s="215">
        <f ca="1">(I23*'Emission Factors'!$F$16)/1000</f>
        <v>0</v>
      </c>
      <c r="Z23" s="215">
        <f ca="1">(J23*'Emission Factors'!$F$17)/1000</f>
        <v>0</v>
      </c>
      <c r="AA23" s="215">
        <f ca="1">SUM(INDIRECT("'"&amp;C23&amp;"'!$f$16"):INDIRECT("'"&amp;C23&amp;"'!$f$21"))+SUM(INDIRECT("'"&amp;C23&amp;"'!$l$16"):INDIRECT("'"&amp;C23&amp;"'!$l$19"))+SUM(INDIRECT("'"&amp;C23&amp;"'!$f$24"):INDIRECT("'"&amp;C23&amp;"'!$f$28"))+SUM(INDIRECT("'"&amp;C23&amp;"'!$l$31"):INDIRECT("'"&amp;C23&amp;"'!$l$33"))+SUM(INDIRECT("'"&amp;C23&amp;"'!$l$24"):INDIRECT("'"&amp;C23&amp;"'!$l$25"))</f>
        <v>0</v>
      </c>
      <c r="AB23" s="215">
        <f t="shared" ca="1" si="13"/>
        <v>0</v>
      </c>
      <c r="AC23" s="215">
        <f t="shared" ca="1" si="14"/>
        <v>0</v>
      </c>
      <c r="AD23" s="215">
        <f ca="1">SUM(INDIRECT("'"&amp;C23&amp;"'!$f$40"):INDIRECT("'"&amp;C23&amp;"'!$f$42"))</f>
        <v>0</v>
      </c>
      <c r="AE23" s="215">
        <f ca="1">(R23*'Emission Factors'!$F$48)/1000</f>
        <v>0</v>
      </c>
      <c r="AF23" s="215">
        <f t="shared" ca="1" si="15"/>
        <v>0</v>
      </c>
      <c r="AG23" s="215">
        <f t="shared" ca="1" si="16"/>
        <v>0</v>
      </c>
      <c r="AH23" s="165"/>
      <c r="AJ23" s="18"/>
      <c r="AK23" s="18"/>
      <c r="AL23" s="18"/>
      <c r="AM23" s="18"/>
      <c r="AN23" s="18"/>
      <c r="AO23" s="18"/>
      <c r="AP23" s="18" t="s">
        <v>143</v>
      </c>
      <c r="AQ23" s="18" t="s">
        <v>149</v>
      </c>
      <c r="AR23" s="18"/>
      <c r="AS23" s="18"/>
      <c r="AT23" s="18">
        <v>12</v>
      </c>
      <c r="AU23" s="18" t="s">
        <v>143</v>
      </c>
      <c r="AV23" s="18" t="s">
        <v>136</v>
      </c>
      <c r="AW23" s="18" t="s">
        <v>131</v>
      </c>
      <c r="AX23" s="18" t="s">
        <v>134</v>
      </c>
      <c r="AY23" s="18"/>
      <c r="AZ23" s="18"/>
      <c r="BA23" s="18"/>
      <c r="BB23" s="18"/>
      <c r="BC23" s="18"/>
      <c r="BD23" s="18"/>
      <c r="BE23" s="18"/>
      <c r="BF23" s="18"/>
      <c r="BG23" s="18"/>
      <c r="BH23" s="18"/>
    </row>
    <row r="24" spans="2:60" ht="15">
      <c r="B24" s="160"/>
      <c r="D24" s="86"/>
      <c r="E24" s="214">
        <f ca="1">SUM(E12:E23)</f>
        <v>0</v>
      </c>
      <c r="F24" s="214">
        <f ca="1">SUM(F12:F23)</f>
        <v>0</v>
      </c>
      <c r="G24" s="214">
        <f ca="1">SUM(G12:G23)</f>
        <v>0</v>
      </c>
      <c r="H24" s="214">
        <f t="shared" ref="H24:J24" ca="1" si="17">SUM(H12:H23)</f>
        <v>0</v>
      </c>
      <c r="I24" s="214">
        <f t="shared" ca="1" si="17"/>
        <v>0</v>
      </c>
      <c r="J24" s="214">
        <f t="shared" ca="1" si="17"/>
        <v>0</v>
      </c>
      <c r="K24" s="214">
        <f t="shared" ref="K24:M24" ca="1" si="18">SUM(K12:K23)</f>
        <v>0</v>
      </c>
      <c r="L24" s="214">
        <f t="shared" ca="1" si="18"/>
        <v>0</v>
      </c>
      <c r="M24" s="214">
        <f t="shared" ca="1" si="18"/>
        <v>0</v>
      </c>
      <c r="N24" s="214">
        <f t="shared" ref="N24" ca="1" si="19">SUM(N12:N23)</f>
        <v>0</v>
      </c>
      <c r="O24" s="214">
        <f t="shared" ref="O24" ca="1" si="20">SUM(O12:O23)</f>
        <v>0</v>
      </c>
      <c r="P24" s="214">
        <f t="shared" ref="P24:R24" ca="1" si="21">SUM(P12:P23)</f>
        <v>0</v>
      </c>
      <c r="Q24" s="214">
        <f t="shared" ca="1" si="21"/>
        <v>0</v>
      </c>
      <c r="R24" s="214">
        <f t="shared" ca="1" si="21"/>
        <v>0</v>
      </c>
      <c r="S24" s="151">
        <f t="shared" ref="S24" si="22">SUM(S12:S23)</f>
        <v>0</v>
      </c>
      <c r="T24" s="62"/>
      <c r="U24" s="216">
        <f ca="1">SUM(U12:U23)</f>
        <v>0</v>
      </c>
      <c r="V24" s="216">
        <f ca="1">SUM(V12:V23)</f>
        <v>0</v>
      </c>
      <c r="W24" s="216">
        <f t="shared" ref="W24:AA24" ca="1" si="23">SUM(W12:W23)</f>
        <v>0</v>
      </c>
      <c r="X24" s="216">
        <f t="shared" ca="1" si="23"/>
        <v>0</v>
      </c>
      <c r="Y24" s="216">
        <f t="shared" ca="1" si="23"/>
        <v>0</v>
      </c>
      <c r="Z24" s="216">
        <f t="shared" ca="1" si="23"/>
        <v>0</v>
      </c>
      <c r="AA24" s="216">
        <f t="shared" ca="1" si="23"/>
        <v>0</v>
      </c>
      <c r="AB24" s="216">
        <f t="shared" ref="AB24" ca="1" si="24">SUM(AB12:AB23)</f>
        <v>0</v>
      </c>
      <c r="AC24" s="216">
        <f t="shared" ref="AC24" ca="1" si="25">SUM(AC12:AC23)</f>
        <v>0</v>
      </c>
      <c r="AD24" s="216">
        <f t="shared" ref="AD24:AE24" ca="1" si="26">SUM(AD12:AD23)</f>
        <v>0</v>
      </c>
      <c r="AE24" s="216">
        <f t="shared" ca="1" si="26"/>
        <v>0</v>
      </c>
      <c r="AF24" s="216">
        <f t="shared" ref="AF24" ca="1" si="27">SUM(AF12:AF23)</f>
        <v>0</v>
      </c>
      <c r="AG24" s="216">
        <f ca="1">SUM(AG12:AG23)</f>
        <v>0</v>
      </c>
      <c r="AH24" s="165"/>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row>
    <row r="25" spans="2:60" ht="13.5" customHeight="1">
      <c r="B25" s="160"/>
      <c r="D25" s="62"/>
      <c r="E25" s="62"/>
      <c r="F25" s="62"/>
      <c r="G25" s="62"/>
      <c r="H25" s="62"/>
      <c r="I25" s="62"/>
      <c r="J25" s="62"/>
      <c r="K25" s="62"/>
      <c r="L25" s="62"/>
      <c r="M25" s="62"/>
      <c r="N25" s="62"/>
      <c r="O25" s="62"/>
      <c r="P25" s="62"/>
      <c r="Q25" s="62"/>
      <c r="R25" s="62"/>
      <c r="S25" s="62"/>
      <c r="T25" s="62"/>
      <c r="U25" s="62"/>
      <c r="V25" s="297"/>
      <c r="W25" s="297"/>
      <c r="X25" s="297"/>
      <c r="Y25" s="297"/>
      <c r="Z25" s="297"/>
      <c r="AA25" s="297"/>
      <c r="AB25" s="297"/>
      <c r="AC25" s="297"/>
      <c r="AD25" s="297"/>
      <c r="AE25" s="297"/>
      <c r="AF25" s="297"/>
      <c r="AG25" s="297"/>
      <c r="AH25" s="29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row>
    <row r="26" spans="2:60" ht="15" customHeight="1">
      <c r="B26" s="176" t="s">
        <v>150</v>
      </c>
      <c r="F26" s="62"/>
      <c r="G26" s="62"/>
      <c r="H26" s="62"/>
      <c r="I26" s="62"/>
      <c r="J26" s="62"/>
      <c r="L26" s="177"/>
      <c r="M26" s="177"/>
      <c r="N26" s="177"/>
      <c r="O26" s="177"/>
      <c r="P26" s="177"/>
      <c r="Q26" s="177"/>
      <c r="R26" s="177"/>
      <c r="S26" s="177"/>
      <c r="U26" s="293" t="s">
        <v>151</v>
      </c>
      <c r="V26" s="293"/>
      <c r="W26" s="293"/>
      <c r="X26" s="91" t="s">
        <v>36</v>
      </c>
      <c r="Y26" s="294" t="s">
        <v>152</v>
      </c>
      <c r="Z26" s="294"/>
      <c r="AA26" s="294"/>
      <c r="AB26" s="294"/>
      <c r="AC26" s="294"/>
      <c r="AD26" s="294"/>
      <c r="AE26" s="294"/>
      <c r="AF26" s="294"/>
      <c r="AG26" s="294"/>
      <c r="AH26" s="165"/>
      <c r="AI26" s="62"/>
      <c r="AJ26" s="62"/>
      <c r="AK26" s="62"/>
      <c r="AL26" s="62"/>
      <c r="AM26" s="62"/>
      <c r="AN26" s="18"/>
      <c r="AO26" s="18"/>
      <c r="AP26" s="18"/>
      <c r="AQ26" s="18"/>
      <c r="AR26" s="18"/>
      <c r="AS26" s="18"/>
      <c r="AT26" s="18"/>
      <c r="AU26" s="18"/>
      <c r="AV26" s="18"/>
      <c r="AW26" s="18"/>
      <c r="AX26" s="18"/>
      <c r="AY26" s="18"/>
      <c r="AZ26" s="18"/>
      <c r="BA26" s="18"/>
      <c r="BB26" s="18"/>
      <c r="BC26" s="18"/>
      <c r="BD26" s="18"/>
      <c r="BE26" s="18"/>
      <c r="BF26" s="18"/>
      <c r="BG26" s="18"/>
      <c r="BH26" s="18"/>
    </row>
    <row r="27" spans="2:60" ht="14.25" customHeight="1">
      <c r="B27" s="178" t="s">
        <v>153</v>
      </c>
      <c r="D27" s="62"/>
      <c r="E27" s="62"/>
      <c r="F27" s="62"/>
      <c r="G27" s="62"/>
      <c r="H27" s="62"/>
      <c r="I27" s="62"/>
      <c r="J27" s="62"/>
      <c r="K27" s="177"/>
      <c r="L27" s="177"/>
      <c r="M27" s="177"/>
      <c r="N27" s="177"/>
      <c r="O27" s="177"/>
      <c r="P27" s="177"/>
      <c r="Q27" s="177"/>
      <c r="R27" s="177"/>
      <c r="S27" s="177"/>
      <c r="T27" s="62"/>
      <c r="U27" s="62"/>
      <c r="V27" s="62"/>
      <c r="W27" s="62"/>
      <c r="X27" s="62"/>
      <c r="Y27" s="294"/>
      <c r="Z27" s="294"/>
      <c r="AA27" s="294"/>
      <c r="AB27" s="294"/>
      <c r="AC27" s="294"/>
      <c r="AD27" s="294"/>
      <c r="AE27" s="294"/>
      <c r="AF27" s="294"/>
      <c r="AG27" s="294"/>
      <c r="AH27" s="179"/>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row>
    <row r="28" spans="2:60" ht="15">
      <c r="B28" s="160"/>
      <c r="D28" s="62"/>
      <c r="E28" s="62"/>
      <c r="F28" s="62"/>
      <c r="G28" s="62"/>
      <c r="H28" s="62"/>
      <c r="I28" s="62"/>
      <c r="J28" s="62"/>
      <c r="K28" s="62"/>
      <c r="L28" s="62"/>
      <c r="M28" s="62"/>
      <c r="N28" s="62"/>
      <c r="O28" s="62"/>
      <c r="P28" s="62"/>
      <c r="Q28" s="62"/>
      <c r="R28" s="62"/>
      <c r="S28" s="62"/>
      <c r="T28" s="62"/>
      <c r="U28" s="72"/>
      <c r="V28" s="62"/>
      <c r="W28" s="62"/>
      <c r="X28" s="62"/>
      <c r="Y28" s="62"/>
      <c r="Z28" s="62"/>
      <c r="AA28" s="62"/>
      <c r="AB28" s="62"/>
      <c r="AC28" s="62"/>
      <c r="AD28" s="62"/>
      <c r="AE28" s="62"/>
      <c r="AF28" s="62"/>
      <c r="AG28" s="62"/>
      <c r="AH28" s="179"/>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row>
    <row r="29" spans="2:60" ht="15">
      <c r="B29" s="160"/>
      <c r="D29" s="62"/>
      <c r="E29" s="62"/>
      <c r="F29" s="62"/>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165"/>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row>
    <row r="30" spans="2:60" ht="15">
      <c r="B30" s="160"/>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165"/>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row>
    <row r="31" spans="2:60" ht="15">
      <c r="B31" s="160"/>
      <c r="D31" s="62"/>
      <c r="E31" s="62"/>
      <c r="F31" s="62"/>
      <c r="G31" s="62"/>
      <c r="H31" s="62"/>
      <c r="I31" s="62"/>
      <c r="J31" s="62"/>
      <c r="K31" s="62"/>
      <c r="L31" s="62"/>
      <c r="M31" s="62"/>
      <c r="N31" s="62"/>
      <c r="O31" s="62"/>
      <c r="P31" s="62"/>
      <c r="Q31" s="62"/>
      <c r="R31" s="62"/>
      <c r="S31" s="62"/>
      <c r="T31" s="62"/>
      <c r="U31" s="62"/>
      <c r="V31" s="62"/>
      <c r="W31" s="62"/>
      <c r="X31" s="180">
        <f ca="1">AG12</f>
        <v>0</v>
      </c>
      <c r="Y31" s="62"/>
      <c r="Z31" s="62"/>
      <c r="AA31" s="62"/>
      <c r="AB31" s="62"/>
      <c r="AC31" s="62"/>
      <c r="AD31" s="62"/>
      <c r="AE31" s="62"/>
      <c r="AF31" s="62"/>
      <c r="AG31" s="62"/>
      <c r="AH31" s="165"/>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row>
    <row r="32" spans="2:60" ht="15">
      <c r="B32" s="160"/>
      <c r="D32" s="62"/>
      <c r="E32" s="62"/>
      <c r="F32" s="62"/>
      <c r="G32" s="62"/>
      <c r="H32" s="62"/>
      <c r="I32" s="62"/>
      <c r="J32" s="62"/>
      <c r="K32" s="62"/>
      <c r="L32" s="62"/>
      <c r="M32" s="62"/>
      <c r="N32" s="62"/>
      <c r="O32" s="62"/>
      <c r="P32" s="62"/>
      <c r="Q32" s="62"/>
      <c r="R32" s="62"/>
      <c r="S32" s="62"/>
      <c r="T32" s="62"/>
      <c r="U32" s="62"/>
      <c r="V32" s="62"/>
      <c r="W32" s="62"/>
      <c r="X32" s="180">
        <f t="shared" ref="X32:X42" ca="1" si="28">X31+AG13</f>
        <v>0</v>
      </c>
      <c r="Y32" s="62"/>
      <c r="Z32" s="62"/>
      <c r="AA32" s="62"/>
      <c r="AB32" s="62"/>
      <c r="AC32" s="62"/>
      <c r="AD32" s="62"/>
      <c r="AE32" s="62"/>
      <c r="AF32" s="62"/>
      <c r="AG32" s="62"/>
      <c r="AH32" s="165"/>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row>
    <row r="33" spans="2:60" ht="15">
      <c r="B33" s="160"/>
      <c r="D33" s="62"/>
      <c r="E33" s="62"/>
      <c r="F33" s="62"/>
      <c r="G33" s="62"/>
      <c r="H33" s="62"/>
      <c r="I33" s="62"/>
      <c r="J33" s="62"/>
      <c r="K33" s="62"/>
      <c r="L33" s="62"/>
      <c r="M33" s="62"/>
      <c r="N33" s="62"/>
      <c r="O33" s="62"/>
      <c r="P33" s="62"/>
      <c r="Q33" s="62"/>
      <c r="R33" s="62"/>
      <c r="S33" s="62"/>
      <c r="T33" s="62"/>
      <c r="U33" s="62"/>
      <c r="V33" s="62"/>
      <c r="W33" s="62"/>
      <c r="X33" s="180">
        <f t="shared" ca="1" si="28"/>
        <v>0</v>
      </c>
      <c r="Y33" s="62"/>
      <c r="Z33" s="62"/>
      <c r="AA33" s="62"/>
      <c r="AB33" s="62"/>
      <c r="AC33" s="62"/>
      <c r="AD33" s="62"/>
      <c r="AE33" s="62"/>
      <c r="AF33" s="62"/>
      <c r="AG33" s="62"/>
      <c r="AH33" s="165"/>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row>
    <row r="34" spans="2:60" ht="15">
      <c r="B34" s="160"/>
      <c r="D34" s="62"/>
      <c r="E34" s="62"/>
      <c r="F34" s="62"/>
      <c r="G34" s="62"/>
      <c r="H34" s="62"/>
      <c r="I34" s="62"/>
      <c r="J34" s="62"/>
      <c r="K34" s="62"/>
      <c r="L34" s="62"/>
      <c r="M34" s="62"/>
      <c r="N34" s="62"/>
      <c r="O34" s="62"/>
      <c r="P34" s="62"/>
      <c r="Q34" s="62"/>
      <c r="R34" s="62"/>
      <c r="S34" s="62"/>
      <c r="T34" s="62"/>
      <c r="U34" s="62"/>
      <c r="V34" s="62"/>
      <c r="W34" s="62"/>
      <c r="X34" s="180">
        <f t="shared" ca="1" si="28"/>
        <v>0</v>
      </c>
      <c r="Y34" s="62"/>
      <c r="Z34" s="62"/>
      <c r="AA34" s="62"/>
      <c r="AB34" s="62"/>
      <c r="AC34" s="62"/>
      <c r="AD34" s="62"/>
      <c r="AE34" s="62"/>
      <c r="AF34" s="62"/>
      <c r="AG34" s="62"/>
      <c r="AH34" s="165"/>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row>
    <row r="35" spans="2:60" ht="15">
      <c r="B35" s="160"/>
      <c r="D35" s="62"/>
      <c r="E35" s="62"/>
      <c r="F35" s="62"/>
      <c r="G35" s="62"/>
      <c r="H35" s="62"/>
      <c r="I35" s="62"/>
      <c r="J35" s="62"/>
      <c r="K35" s="62"/>
      <c r="L35" s="62"/>
      <c r="M35" s="62"/>
      <c r="N35" s="62"/>
      <c r="O35" s="62"/>
      <c r="P35" s="62"/>
      <c r="Q35" s="62"/>
      <c r="R35" s="62"/>
      <c r="S35" s="62"/>
      <c r="T35" s="62"/>
      <c r="U35" s="62"/>
      <c r="V35" s="62"/>
      <c r="W35" s="62"/>
      <c r="X35" s="180">
        <f t="shared" ca="1" si="28"/>
        <v>0</v>
      </c>
      <c r="Y35" s="62"/>
      <c r="Z35" s="62"/>
      <c r="AA35" s="62"/>
      <c r="AB35" s="62"/>
      <c r="AC35" s="62"/>
      <c r="AD35" s="62"/>
      <c r="AE35" s="62"/>
      <c r="AF35" s="62"/>
      <c r="AG35" s="62"/>
      <c r="AH35" s="165"/>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row>
    <row r="36" spans="2:60" ht="15">
      <c r="B36" s="160"/>
      <c r="D36" s="62"/>
      <c r="E36" s="62"/>
      <c r="F36" s="62"/>
      <c r="G36" s="62"/>
      <c r="H36" s="62"/>
      <c r="I36" s="62"/>
      <c r="J36" s="62"/>
      <c r="K36" s="62"/>
      <c r="L36" s="62"/>
      <c r="M36" s="62"/>
      <c r="N36" s="62"/>
      <c r="O36" s="62"/>
      <c r="P36" s="62"/>
      <c r="Q36" s="62"/>
      <c r="R36" s="62"/>
      <c r="S36" s="62"/>
      <c r="T36" s="62"/>
      <c r="U36" s="62"/>
      <c r="V36" s="62"/>
      <c r="W36" s="62"/>
      <c r="X36" s="180">
        <f t="shared" ca="1" si="28"/>
        <v>0</v>
      </c>
      <c r="Y36" s="62"/>
      <c r="Z36" s="62"/>
      <c r="AA36" s="62"/>
      <c r="AB36" s="62"/>
      <c r="AC36" s="62"/>
      <c r="AD36" s="62"/>
      <c r="AE36" s="62"/>
      <c r="AF36" s="62"/>
      <c r="AG36" s="62"/>
      <c r="AH36" s="165"/>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row>
    <row r="37" spans="2:60" ht="15">
      <c r="B37" s="160"/>
      <c r="D37" s="62"/>
      <c r="E37" s="62"/>
      <c r="F37" s="62"/>
      <c r="G37" s="62"/>
      <c r="H37" s="62"/>
      <c r="I37" s="62"/>
      <c r="J37" s="62"/>
      <c r="K37" s="62"/>
      <c r="L37" s="62"/>
      <c r="M37" s="62"/>
      <c r="N37" s="62"/>
      <c r="O37" s="62"/>
      <c r="P37" s="62"/>
      <c r="Q37" s="62"/>
      <c r="R37" s="62"/>
      <c r="S37" s="62"/>
      <c r="T37" s="62"/>
      <c r="U37" s="62"/>
      <c r="V37" s="62"/>
      <c r="W37" s="62"/>
      <c r="X37" s="180">
        <f t="shared" ca="1" si="28"/>
        <v>0</v>
      </c>
      <c r="Y37" s="62"/>
      <c r="Z37" s="62"/>
      <c r="AA37" s="62"/>
      <c r="AB37" s="62"/>
      <c r="AC37" s="62"/>
      <c r="AD37" s="62"/>
      <c r="AE37" s="62"/>
      <c r="AF37" s="62"/>
      <c r="AG37" s="62"/>
      <c r="AH37" s="165"/>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row>
    <row r="38" spans="2:60" ht="15">
      <c r="B38" s="160"/>
      <c r="D38" s="62"/>
      <c r="E38" s="62"/>
      <c r="F38" s="62"/>
      <c r="G38" s="62"/>
      <c r="H38" s="62"/>
      <c r="I38" s="62"/>
      <c r="J38" s="62"/>
      <c r="K38" s="62"/>
      <c r="L38" s="62"/>
      <c r="M38" s="62"/>
      <c r="N38" s="62"/>
      <c r="O38" s="62"/>
      <c r="P38" s="62"/>
      <c r="Q38" s="62"/>
      <c r="R38" s="62"/>
      <c r="S38" s="62"/>
      <c r="T38" s="62"/>
      <c r="U38" s="62"/>
      <c r="V38" s="62"/>
      <c r="W38" s="62"/>
      <c r="X38" s="180">
        <f t="shared" ca="1" si="28"/>
        <v>0</v>
      </c>
      <c r="Y38" s="62"/>
      <c r="Z38" s="62"/>
      <c r="AA38" s="62"/>
      <c r="AB38" s="62"/>
      <c r="AC38" s="62"/>
      <c r="AD38" s="62"/>
      <c r="AE38" s="62"/>
      <c r="AF38" s="62"/>
      <c r="AG38" s="62"/>
      <c r="AH38" s="165"/>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row>
    <row r="39" spans="2:60" ht="15">
      <c r="B39" s="160"/>
      <c r="D39" s="62"/>
      <c r="E39" s="62"/>
      <c r="F39" s="62"/>
      <c r="G39" s="62"/>
      <c r="H39" s="62"/>
      <c r="I39" s="62"/>
      <c r="J39" s="62"/>
      <c r="K39" s="62"/>
      <c r="L39" s="62"/>
      <c r="M39" s="62"/>
      <c r="N39" s="62"/>
      <c r="O39" s="62"/>
      <c r="P39" s="62"/>
      <c r="Q39" s="62"/>
      <c r="R39" s="62"/>
      <c r="S39" s="62"/>
      <c r="T39" s="62"/>
      <c r="U39" s="62"/>
      <c r="V39" s="62"/>
      <c r="W39" s="62"/>
      <c r="X39" s="180">
        <f t="shared" ca="1" si="28"/>
        <v>0</v>
      </c>
      <c r="Y39" s="62"/>
      <c r="Z39" s="62"/>
      <c r="AA39" s="62"/>
      <c r="AB39" s="62"/>
      <c r="AC39" s="62"/>
      <c r="AD39" s="62"/>
      <c r="AE39" s="62"/>
      <c r="AF39" s="62"/>
      <c r="AG39" s="62"/>
      <c r="AH39" s="165"/>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row>
    <row r="40" spans="2:60" ht="15">
      <c r="B40" s="160"/>
      <c r="D40" s="62"/>
      <c r="E40" s="62"/>
      <c r="F40" s="62"/>
      <c r="G40" s="62"/>
      <c r="H40" s="62"/>
      <c r="I40" s="62"/>
      <c r="J40" s="62"/>
      <c r="K40" s="62"/>
      <c r="L40" s="62"/>
      <c r="M40" s="62"/>
      <c r="N40" s="62"/>
      <c r="O40" s="62"/>
      <c r="P40" s="62"/>
      <c r="Q40" s="62"/>
      <c r="R40" s="62"/>
      <c r="S40" s="62"/>
      <c r="T40" s="62"/>
      <c r="U40" s="62"/>
      <c r="V40" s="62"/>
      <c r="W40" s="62"/>
      <c r="X40" s="180">
        <f t="shared" ca="1" si="28"/>
        <v>0</v>
      </c>
      <c r="Y40" s="62"/>
      <c r="Z40" s="62"/>
      <c r="AA40" s="62"/>
      <c r="AB40" s="62"/>
      <c r="AC40" s="62"/>
      <c r="AD40" s="62"/>
      <c r="AE40" s="62"/>
      <c r="AF40" s="62"/>
      <c r="AG40" s="62"/>
      <c r="AH40" s="165"/>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row>
    <row r="41" spans="2:60" ht="15">
      <c r="B41" s="160"/>
      <c r="D41" s="62"/>
      <c r="E41" s="62"/>
      <c r="F41" s="62"/>
      <c r="G41" s="62"/>
      <c r="H41" s="62"/>
      <c r="I41" s="62"/>
      <c r="J41" s="62"/>
      <c r="K41" s="62"/>
      <c r="L41" s="62"/>
      <c r="M41" s="62"/>
      <c r="N41" s="62"/>
      <c r="O41" s="62"/>
      <c r="P41" s="62"/>
      <c r="Q41" s="62"/>
      <c r="R41" s="62"/>
      <c r="S41" s="62"/>
      <c r="T41" s="62"/>
      <c r="U41" s="62"/>
      <c r="V41" s="62"/>
      <c r="W41" s="62"/>
      <c r="X41" s="180">
        <f t="shared" ca="1" si="28"/>
        <v>0</v>
      </c>
      <c r="Y41" s="62"/>
      <c r="Z41" s="62"/>
      <c r="AA41" s="62"/>
      <c r="AB41" s="62"/>
      <c r="AC41" s="62"/>
      <c r="AD41" s="62"/>
      <c r="AE41" s="62"/>
      <c r="AF41" s="62"/>
      <c r="AG41" s="62"/>
      <c r="AH41" s="165"/>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row>
    <row r="42" spans="2:60" ht="15">
      <c r="B42" s="160"/>
      <c r="D42" s="62"/>
      <c r="E42" s="62"/>
      <c r="F42" s="62"/>
      <c r="G42" s="62"/>
      <c r="H42" s="62"/>
      <c r="I42" s="62"/>
      <c r="J42" s="62"/>
      <c r="K42" s="62"/>
      <c r="L42" s="62"/>
      <c r="M42" s="62"/>
      <c r="N42" s="62"/>
      <c r="O42" s="62"/>
      <c r="P42" s="62"/>
      <c r="Q42" s="62"/>
      <c r="R42" s="62"/>
      <c r="S42" s="62"/>
      <c r="T42" s="62"/>
      <c r="U42" s="62"/>
      <c r="V42" s="62"/>
      <c r="W42" s="62"/>
      <c r="X42" s="180">
        <f t="shared" ca="1" si="28"/>
        <v>0</v>
      </c>
      <c r="Y42" s="62"/>
      <c r="Z42" s="62"/>
      <c r="AA42" s="62"/>
      <c r="AB42" s="62"/>
      <c r="AC42" s="62"/>
      <c r="AD42" s="62"/>
      <c r="AE42" s="62"/>
      <c r="AF42" s="62"/>
      <c r="AG42" s="62"/>
      <c r="AH42" s="165"/>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row>
    <row r="43" spans="2:60" ht="15">
      <c r="B43" s="160"/>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165"/>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row>
    <row r="44" spans="2:60" ht="15">
      <c r="B44" s="160"/>
      <c r="D44" s="62"/>
      <c r="E44" s="62"/>
      <c r="F44" s="62"/>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62"/>
      <c r="AG44" s="62"/>
      <c r="AH44" s="165"/>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row>
    <row r="45" spans="2:60" ht="15">
      <c r="B45" s="160"/>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165"/>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row>
    <row r="46" spans="2:60" ht="15">
      <c r="B46" s="160"/>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165"/>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row>
    <row r="47" spans="2:60" ht="15">
      <c r="B47" s="160"/>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165"/>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row>
    <row r="48" spans="2:60" ht="15">
      <c r="B48" s="160"/>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165"/>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row>
    <row r="49" spans="2:60" ht="15">
      <c r="B49" s="160"/>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165"/>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row>
    <row r="50" spans="2:60" ht="15">
      <c r="B50" s="160"/>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165"/>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row>
    <row r="51" spans="2:60" ht="15">
      <c r="B51" s="160"/>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165"/>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row>
    <row r="52" spans="2:60" ht="15">
      <c r="B52" s="160"/>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165"/>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row>
    <row r="53" spans="2:60" ht="15">
      <c r="B53" s="160"/>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165"/>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row>
    <row r="54" spans="2:60" ht="15">
      <c r="B54" s="160"/>
      <c r="D54" s="62"/>
      <c r="E54" s="62"/>
      <c r="F54" s="62"/>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62"/>
      <c r="AG54" s="62"/>
      <c r="AH54" s="165"/>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row>
    <row r="55" spans="2:60" ht="15">
      <c r="B55" s="160"/>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165"/>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row>
    <row r="56" spans="2:60" ht="15">
      <c r="B56" s="160"/>
      <c r="D56" s="62"/>
      <c r="E56" s="130" t="s">
        <v>31</v>
      </c>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165"/>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row>
    <row r="57" spans="2:60" ht="15">
      <c r="B57" s="181"/>
      <c r="C57" s="39"/>
      <c r="D57" s="169"/>
      <c r="E57" s="169"/>
      <c r="F57" s="169"/>
      <c r="G57" s="169"/>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22"/>
    </row>
    <row r="58" spans="2:60" ht="15">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row>
    <row r="60" spans="2:60">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row>
  </sheetData>
  <sheetProtection algorithmName="SHA-512" hashValue="6t+I+McApr2060tdG29U/TVayT9O5B1cj8J0Lcy9IOqE876PnuPYImcF+YdedZtk1p4HPHdYURegjN7crx9RvQ==" saltValue="W6DWeL8ELdUiZJ/sHiMj9A==" spinCount="100000" sheet="1" objects="1" scenarios="1" selectLockedCells="1"/>
  <mergeCells count="28">
    <mergeCell ref="AD9:AF9"/>
    <mergeCell ref="AG9:AG11"/>
    <mergeCell ref="E9:J9"/>
    <mergeCell ref="K9:O9"/>
    <mergeCell ref="P9:S9"/>
    <mergeCell ref="U9:Z9"/>
    <mergeCell ref="AA9:AC9"/>
    <mergeCell ref="U26:W26"/>
    <mergeCell ref="Y26:AG27"/>
    <mergeCell ref="Z10:Z11"/>
    <mergeCell ref="AA10:AA11"/>
    <mergeCell ref="AB10:AB11"/>
    <mergeCell ref="AF10:AF11"/>
    <mergeCell ref="U10:U11"/>
    <mergeCell ref="V10:V11"/>
    <mergeCell ref="W10:W11"/>
    <mergeCell ref="V25:AH25"/>
    <mergeCell ref="X10:X11"/>
    <mergeCell ref="Y10:Y11"/>
    <mergeCell ref="AD10:AD11"/>
    <mergeCell ref="AC10:AC11"/>
    <mergeCell ref="AE10:AE11"/>
    <mergeCell ref="I6:AC6"/>
    <mergeCell ref="U8:AG8"/>
    <mergeCell ref="E8:S8"/>
    <mergeCell ref="Q3:W3"/>
    <mergeCell ref="Q4:W4"/>
    <mergeCell ref="Q5:W5"/>
  </mergeCells>
  <phoneticPr fontId="0" type="noConversion"/>
  <dataValidations count="2">
    <dataValidation type="list" allowBlank="1" showInputMessage="1" showErrorMessage="1" sqref="X26" xr:uid="{00000000-0002-0000-0D00-000001000000}">
      <formula1>$AS$13:$AS$14</formula1>
    </dataValidation>
    <dataValidation type="list" allowBlank="1" showInputMessage="1" showErrorMessage="1" sqref="Q4:W4" xr:uid="{00000000-0002-0000-0D00-000000000000}">
      <formula1>$AM$12:$AM$15</formula1>
    </dataValidation>
  </dataValidations>
  <printOptions horizontalCentered="1"/>
  <pageMargins left="0.36" right="0.43307086614173229" top="0.98425196850393704" bottom="0.98425196850393704" header="0.51181102362204722" footer="0.51181102362204722"/>
  <pageSetup paperSize="9" scale="62" orientation="landscape" horizontalDpi="300" verticalDpi="300" r:id="rId1"/>
  <headerFooter alignWithMargins="0"/>
  <drawing r:id="rId2"/>
  <legacyDrawingHF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3">
    <pageSetUpPr autoPageBreaks="0"/>
  </sheetPr>
  <dimension ref="A2:BK91"/>
  <sheetViews>
    <sheetView showGridLines="0" showRowColHeaders="0" zoomScale="75" zoomScaleNormal="75" zoomScaleSheetLayoutView="50" workbookViewId="0">
      <selection activeCell="B9" sqref="B9"/>
    </sheetView>
  </sheetViews>
  <sheetFormatPr defaultRowHeight="13.15"/>
  <cols>
    <col min="1" max="1" width="13.5703125" customWidth="1"/>
    <col min="2" max="3" width="17.7109375" customWidth="1"/>
    <col min="4" max="4" width="10.5703125" customWidth="1"/>
    <col min="5" max="5" width="10.7109375" customWidth="1"/>
    <col min="6" max="6" width="10.28515625" customWidth="1"/>
    <col min="7" max="7" width="7.140625" customWidth="1"/>
    <col min="8" max="8" width="17.85546875" customWidth="1"/>
    <col min="9" max="9" width="17.7109375" customWidth="1"/>
    <col min="10" max="10" width="10.7109375" customWidth="1"/>
    <col min="11" max="12" width="10.5703125" customWidth="1"/>
    <col min="13" max="13" width="8.85546875" customWidth="1"/>
    <col min="14" max="22" width="6.28515625" customWidth="1"/>
    <col min="23" max="24" width="5.7109375" customWidth="1"/>
    <col min="25" max="32" width="5.7109375" hidden="1" customWidth="1"/>
    <col min="33" max="33" width="6.5703125" hidden="1" customWidth="1"/>
    <col min="34" max="34" width="6.28515625" hidden="1" customWidth="1"/>
    <col min="35" max="35" width="6.7109375" hidden="1" customWidth="1"/>
    <col min="36" max="36" width="5.85546875" hidden="1" customWidth="1"/>
    <col min="37" max="37" width="6.28515625" hidden="1" customWidth="1"/>
    <col min="38" max="38" width="6.140625" hidden="1" customWidth="1"/>
    <col min="39" max="63" width="0" hidden="1" customWidth="1"/>
  </cols>
  <sheetData>
    <row r="2" spans="2:63" ht="75" customHeight="1">
      <c r="G2" s="66" t="s">
        <v>154</v>
      </c>
      <c r="Z2" s="81" t="s">
        <v>155</v>
      </c>
      <c r="AA2" s="78"/>
      <c r="AB2" s="82" t="s">
        <v>156</v>
      </c>
      <c r="AC2" s="82" t="s">
        <v>157</v>
      </c>
      <c r="AD2" s="82" t="s">
        <v>158</v>
      </c>
      <c r="AE2" s="82" t="s">
        <v>159</v>
      </c>
      <c r="AF2" s="82" t="s">
        <v>160</v>
      </c>
      <c r="AG2" s="82" t="s">
        <v>161</v>
      </c>
      <c r="AH2" s="82" t="s">
        <v>162</v>
      </c>
      <c r="AI2" s="82" t="s">
        <v>163</v>
      </c>
      <c r="AJ2" s="82" t="s">
        <v>164</v>
      </c>
      <c r="AK2" s="82" t="s">
        <v>165</v>
      </c>
      <c r="AL2" s="82" t="s">
        <v>166</v>
      </c>
      <c r="AM2" s="82" t="s">
        <v>167</v>
      </c>
      <c r="AN2" s="82" t="s">
        <v>168</v>
      </c>
      <c r="AO2" s="82" t="s">
        <v>169</v>
      </c>
      <c r="AP2" s="82" t="s">
        <v>170</v>
      </c>
      <c r="AQ2" s="82" t="s">
        <v>171</v>
      </c>
      <c r="AR2" s="82"/>
      <c r="AS2" s="81" t="s">
        <v>172</v>
      </c>
      <c r="AT2" s="14"/>
      <c r="AU2" s="14"/>
      <c r="AV2" s="82" t="s">
        <v>173</v>
      </c>
      <c r="AW2" s="82" t="s">
        <v>174</v>
      </c>
      <c r="AX2" s="82" t="s">
        <v>175</v>
      </c>
      <c r="AY2" s="82" t="s">
        <v>176</v>
      </c>
      <c r="AZ2" s="82" t="s">
        <v>177</v>
      </c>
      <c r="BA2" s="82" t="s">
        <v>178</v>
      </c>
      <c r="BB2" s="82" t="s">
        <v>179</v>
      </c>
      <c r="BC2" s="82" t="s">
        <v>180</v>
      </c>
      <c r="BD2" s="82" t="s">
        <v>181</v>
      </c>
      <c r="BE2" s="82" t="s">
        <v>182</v>
      </c>
      <c r="BF2" s="82" t="s">
        <v>183</v>
      </c>
      <c r="BG2" s="82" t="s">
        <v>184</v>
      </c>
      <c r="BH2" s="82" t="s">
        <v>185</v>
      </c>
      <c r="BI2" s="82" t="s">
        <v>186</v>
      </c>
      <c r="BJ2" s="82" t="s">
        <v>187</v>
      </c>
      <c r="BK2" s="82" t="s">
        <v>188</v>
      </c>
    </row>
    <row r="3" spans="2:63" ht="15">
      <c r="Z3" s="73" t="s">
        <v>171</v>
      </c>
      <c r="AA3" s="83">
        <v>1</v>
      </c>
      <c r="AB3" s="78">
        <v>165</v>
      </c>
      <c r="AC3" s="78">
        <v>664</v>
      </c>
      <c r="AD3" s="60">
        <v>291</v>
      </c>
      <c r="AE3" s="78">
        <v>155</v>
      </c>
      <c r="AF3" s="78">
        <v>811</v>
      </c>
      <c r="AG3" s="78">
        <v>586</v>
      </c>
      <c r="AH3" s="78">
        <v>522</v>
      </c>
      <c r="AI3" s="78">
        <v>71</v>
      </c>
      <c r="AJ3" s="78">
        <v>702</v>
      </c>
      <c r="AK3" s="78">
        <v>400</v>
      </c>
      <c r="AL3" s="78">
        <v>443</v>
      </c>
      <c r="AM3" s="78">
        <v>451</v>
      </c>
      <c r="AN3" s="78">
        <v>370</v>
      </c>
      <c r="AO3" s="78">
        <v>823</v>
      </c>
      <c r="AP3" s="78">
        <v>622</v>
      </c>
      <c r="AQ3" s="78">
        <v>0</v>
      </c>
      <c r="AR3" s="78"/>
      <c r="AS3" s="14"/>
      <c r="AT3" s="73" t="s">
        <v>188</v>
      </c>
      <c r="AU3">
        <v>1</v>
      </c>
      <c r="AV3">
        <f>BK18</f>
        <v>761</v>
      </c>
      <c r="AW3">
        <f>BK17</f>
        <v>86</v>
      </c>
      <c r="AX3">
        <f>BK16</f>
        <v>227</v>
      </c>
      <c r="AY3">
        <f>BK15</f>
        <v>249</v>
      </c>
      <c r="AZ3">
        <f>BK14</f>
        <v>93</v>
      </c>
      <c r="BA3">
        <f>BK13</f>
        <v>791</v>
      </c>
      <c r="BB3">
        <f>BK12</f>
        <v>223</v>
      </c>
      <c r="BC3">
        <f>BK11</f>
        <v>865</v>
      </c>
      <c r="BD3">
        <f>BK10</f>
        <v>657</v>
      </c>
      <c r="BE3">
        <f>BK9</f>
        <v>202</v>
      </c>
      <c r="BF3">
        <f>BK8</f>
        <v>661</v>
      </c>
      <c r="BG3">
        <f>BK7</f>
        <v>373</v>
      </c>
      <c r="BH3">
        <f>BK6</f>
        <v>190</v>
      </c>
      <c r="BI3">
        <f>BK5</f>
        <v>455</v>
      </c>
      <c r="BJ3">
        <f>BK4</f>
        <v>786</v>
      </c>
      <c r="BK3">
        <v>0</v>
      </c>
    </row>
    <row r="4" spans="2:63" ht="15">
      <c r="C4" s="62"/>
      <c r="D4" s="62"/>
      <c r="E4" s="62"/>
      <c r="F4" s="62"/>
      <c r="G4" s="62"/>
      <c r="I4" s="62"/>
      <c r="J4" s="62"/>
      <c r="K4" s="62"/>
      <c r="L4" s="62"/>
      <c r="N4" s="62"/>
      <c r="O4" s="62"/>
      <c r="P4" s="62"/>
      <c r="V4" s="62"/>
      <c r="X4" s="62"/>
      <c r="Z4" s="73" t="s">
        <v>170</v>
      </c>
      <c r="AA4" s="83">
        <v>2</v>
      </c>
      <c r="AB4" s="78">
        <v>457</v>
      </c>
      <c r="AC4" s="78">
        <v>467</v>
      </c>
      <c r="AD4" s="60">
        <v>331</v>
      </c>
      <c r="AE4" s="78">
        <v>777</v>
      </c>
      <c r="AF4" s="78">
        <v>183</v>
      </c>
      <c r="AG4" s="78">
        <v>252</v>
      </c>
      <c r="AH4" s="78">
        <v>160</v>
      </c>
      <c r="AI4" s="78">
        <v>693</v>
      </c>
      <c r="AJ4" s="78">
        <v>74</v>
      </c>
      <c r="AK4" s="78">
        <v>309</v>
      </c>
      <c r="AL4" s="78">
        <v>229</v>
      </c>
      <c r="AM4" s="78">
        <v>171</v>
      </c>
      <c r="AN4" s="78">
        <v>439</v>
      </c>
      <c r="AO4" s="78">
        <v>195</v>
      </c>
      <c r="AP4" s="82">
        <v>0</v>
      </c>
      <c r="AQ4" s="78">
        <f>AP3</f>
        <v>622</v>
      </c>
      <c r="AR4" s="78"/>
      <c r="AS4" s="14"/>
      <c r="AT4" s="73" t="s">
        <v>187</v>
      </c>
      <c r="AU4">
        <v>2</v>
      </c>
      <c r="AV4">
        <f>BJ18</f>
        <v>264</v>
      </c>
      <c r="AW4">
        <f>BJ17</f>
        <v>745</v>
      </c>
      <c r="AX4">
        <f>BJ16</f>
        <v>534</v>
      </c>
      <c r="AY4">
        <f>BJ15</f>
        <v>960</v>
      </c>
      <c r="AZ4">
        <f>BJ14</f>
        <v>794</v>
      </c>
      <c r="BA4">
        <f>BJ13</f>
        <v>28</v>
      </c>
      <c r="BB4">
        <f>BJ12</f>
        <v>555</v>
      </c>
      <c r="BC4">
        <f>BJ11</f>
        <v>116</v>
      </c>
      <c r="BD4">
        <f>BJ10</f>
        <v>129</v>
      </c>
      <c r="BE4" s="18">
        <f>BJ9</f>
        <v>887</v>
      </c>
      <c r="BF4">
        <f>BJ8</f>
        <v>324</v>
      </c>
      <c r="BG4">
        <f>BJ7</f>
        <v>486</v>
      </c>
      <c r="BH4">
        <f>BJ6</f>
        <v>670</v>
      </c>
      <c r="BI4" s="60">
        <f>BJ5</f>
        <v>308</v>
      </c>
      <c r="BJ4">
        <v>0</v>
      </c>
      <c r="BK4" s="78">
        <v>786</v>
      </c>
    </row>
    <row r="5" spans="2:63" ht="15.6">
      <c r="B5" s="19" t="s">
        <v>155</v>
      </c>
      <c r="C5" s="62"/>
      <c r="D5" s="62"/>
      <c r="E5" s="62"/>
      <c r="F5" s="62"/>
      <c r="G5" s="62"/>
      <c r="H5" s="19" t="s">
        <v>172</v>
      </c>
      <c r="I5" s="62"/>
      <c r="J5" s="62"/>
      <c r="K5" s="62"/>
      <c r="L5" s="62"/>
      <c r="N5" s="87" t="s">
        <v>38</v>
      </c>
      <c r="O5" s="62"/>
      <c r="P5" s="62"/>
      <c r="V5" s="62"/>
      <c r="X5" s="62"/>
      <c r="Z5" s="73" t="s">
        <v>169</v>
      </c>
      <c r="AA5" s="83">
        <v>3</v>
      </c>
      <c r="AB5" s="78">
        <v>658</v>
      </c>
      <c r="AC5" s="78">
        <v>538</v>
      </c>
      <c r="AD5" s="60">
        <v>532</v>
      </c>
      <c r="AE5" s="78">
        <v>978</v>
      </c>
      <c r="AF5" s="78">
        <v>102</v>
      </c>
      <c r="AG5" s="78">
        <v>323</v>
      </c>
      <c r="AH5" s="78">
        <v>355</v>
      </c>
      <c r="AI5" s="78">
        <v>894</v>
      </c>
      <c r="AJ5" s="78">
        <v>145</v>
      </c>
      <c r="AK5" s="78">
        <v>460</v>
      </c>
      <c r="AL5" s="78">
        <v>380</v>
      </c>
      <c r="AM5" s="78">
        <v>371</v>
      </c>
      <c r="AN5" s="78">
        <v>546</v>
      </c>
      <c r="AO5" s="60">
        <v>0</v>
      </c>
      <c r="AP5" s="78">
        <f>AO4</f>
        <v>195</v>
      </c>
      <c r="AQ5" s="78">
        <f>AO3</f>
        <v>823</v>
      </c>
      <c r="AR5" s="78"/>
      <c r="AS5" s="18"/>
      <c r="AT5" s="73" t="s">
        <v>186</v>
      </c>
      <c r="AU5">
        <v>3</v>
      </c>
      <c r="AV5">
        <f>BI18</f>
        <v>333</v>
      </c>
      <c r="AW5">
        <f>BI17</f>
        <v>424</v>
      </c>
      <c r="AX5">
        <f>BI16</f>
        <v>226</v>
      </c>
      <c r="AY5">
        <f>BI15</f>
        <v>652</v>
      </c>
      <c r="AZ5">
        <f>BI14</f>
        <v>486</v>
      </c>
      <c r="BA5">
        <f>BI13</f>
        <v>336</v>
      </c>
      <c r="BB5">
        <f>BI12</f>
        <v>247</v>
      </c>
      <c r="BC5">
        <f>BI11</f>
        <v>424</v>
      </c>
      <c r="BD5">
        <f>BI10</f>
        <v>183</v>
      </c>
      <c r="BE5">
        <f>BI9</f>
        <v>579</v>
      </c>
      <c r="BF5">
        <f>BI8</f>
        <v>258</v>
      </c>
      <c r="BG5">
        <f>BI7</f>
        <v>395</v>
      </c>
      <c r="BH5">
        <f>BI6</f>
        <v>362</v>
      </c>
      <c r="BI5">
        <v>0</v>
      </c>
      <c r="BJ5" s="78">
        <v>308</v>
      </c>
      <c r="BK5" s="78">
        <v>455</v>
      </c>
    </row>
    <row r="6" spans="2:63" ht="15.6">
      <c r="B6" s="85" t="s">
        <v>189</v>
      </c>
      <c r="C6" s="62"/>
      <c r="D6" s="62"/>
      <c r="E6" s="62"/>
      <c r="F6" s="62"/>
      <c r="G6" s="62"/>
      <c r="H6" s="85" t="s">
        <v>189</v>
      </c>
      <c r="I6" s="62"/>
      <c r="J6" s="62"/>
      <c r="K6" s="62"/>
      <c r="L6" s="62"/>
      <c r="N6" s="62"/>
      <c r="O6" s="62"/>
      <c r="P6" s="62"/>
      <c r="V6" s="62"/>
      <c r="X6" s="62"/>
      <c r="Z6" s="73" t="s">
        <v>168</v>
      </c>
      <c r="AA6" s="83">
        <v>4</v>
      </c>
      <c r="AB6" s="78">
        <v>205</v>
      </c>
      <c r="AC6" s="78">
        <v>298</v>
      </c>
      <c r="AD6" s="60">
        <v>106</v>
      </c>
      <c r="AE6" s="78">
        <v>525</v>
      </c>
      <c r="AF6" s="78">
        <v>524</v>
      </c>
      <c r="AG6" s="78">
        <v>299</v>
      </c>
      <c r="AH6" s="78">
        <v>308</v>
      </c>
      <c r="AI6" s="78">
        <v>441</v>
      </c>
      <c r="AJ6" s="78">
        <v>415</v>
      </c>
      <c r="AK6" s="78">
        <v>86</v>
      </c>
      <c r="AL6" s="78">
        <v>156</v>
      </c>
      <c r="AM6" s="78">
        <v>235</v>
      </c>
      <c r="AN6" s="78">
        <v>0</v>
      </c>
      <c r="AO6" s="78">
        <f>AN5</f>
        <v>546</v>
      </c>
      <c r="AP6" s="78">
        <f>AN4</f>
        <v>439</v>
      </c>
      <c r="AQ6" s="78">
        <f>AN3</f>
        <v>370</v>
      </c>
      <c r="AR6" s="78"/>
      <c r="AS6" s="14"/>
      <c r="AT6" s="73" t="s">
        <v>185</v>
      </c>
      <c r="AU6">
        <v>4</v>
      </c>
      <c r="AV6">
        <f>BH18</f>
        <v>695</v>
      </c>
      <c r="AW6">
        <f>BH17</f>
        <v>276</v>
      </c>
      <c r="AX6">
        <f>BH16</f>
        <v>303</v>
      </c>
      <c r="AY6">
        <f>BH15</f>
        <v>290</v>
      </c>
      <c r="AZ6">
        <f>BH14</f>
        <v>283</v>
      </c>
      <c r="BA6">
        <f>BH13</f>
        <v>698</v>
      </c>
      <c r="BB6">
        <f>BH12</f>
        <v>115</v>
      </c>
      <c r="BC6">
        <f>BH11</f>
        <v>786</v>
      </c>
      <c r="BD6">
        <f>BH10</f>
        <v>545</v>
      </c>
      <c r="BE6">
        <f>BH9</f>
        <v>217</v>
      </c>
      <c r="BF6">
        <f>BH8</f>
        <v>551</v>
      </c>
      <c r="BG6">
        <f>BH7</f>
        <v>563</v>
      </c>
      <c r="BH6">
        <v>0</v>
      </c>
      <c r="BI6" s="78">
        <v>362</v>
      </c>
      <c r="BJ6" s="78">
        <v>670</v>
      </c>
      <c r="BK6" s="78">
        <v>190</v>
      </c>
    </row>
    <row r="7" spans="2:63" ht="15">
      <c r="Z7" s="73" t="s">
        <v>167</v>
      </c>
      <c r="AA7" s="83">
        <v>5</v>
      </c>
      <c r="AB7" s="78">
        <v>286</v>
      </c>
      <c r="AC7" s="78">
        <v>449</v>
      </c>
      <c r="AD7" s="60">
        <v>160</v>
      </c>
      <c r="AE7" s="78">
        <v>606</v>
      </c>
      <c r="AF7" s="78">
        <v>348</v>
      </c>
      <c r="AG7" s="78">
        <v>260</v>
      </c>
      <c r="AH7" s="78">
        <v>183</v>
      </c>
      <c r="AI7" s="78">
        <v>522</v>
      </c>
      <c r="AJ7" s="78">
        <v>239</v>
      </c>
      <c r="AK7" s="78">
        <v>172</v>
      </c>
      <c r="AL7" s="78">
        <v>117</v>
      </c>
      <c r="AM7" s="60">
        <v>0</v>
      </c>
      <c r="AN7" s="78">
        <f>AM6</f>
        <v>235</v>
      </c>
      <c r="AO7" s="78">
        <f>AM5</f>
        <v>371</v>
      </c>
      <c r="AP7" s="78">
        <f>AM4</f>
        <v>171</v>
      </c>
      <c r="AQ7" s="78">
        <f>AM3</f>
        <v>451</v>
      </c>
      <c r="AR7" s="78"/>
      <c r="AT7" s="73" t="s">
        <v>190</v>
      </c>
      <c r="AU7">
        <v>5</v>
      </c>
      <c r="AV7">
        <f>BG18</f>
        <v>277</v>
      </c>
      <c r="AW7">
        <f>BG17</f>
        <v>287</v>
      </c>
      <c r="AX7">
        <f>BG16</f>
        <v>485</v>
      </c>
      <c r="AY7">
        <f>BG15</f>
        <v>560</v>
      </c>
      <c r="AZ7">
        <f>BG14</f>
        <v>404</v>
      </c>
      <c r="BA7">
        <f>BG13</f>
        <v>531</v>
      </c>
      <c r="BB7">
        <f>BG12</f>
        <v>506</v>
      </c>
      <c r="BC7">
        <f>BG11</f>
        <v>469</v>
      </c>
      <c r="BD7">
        <f>BG10</f>
        <v>550</v>
      </c>
      <c r="BE7">
        <f>BG9</f>
        <v>575</v>
      </c>
      <c r="BF7" s="60">
        <f>BG8</f>
        <v>177</v>
      </c>
      <c r="BG7">
        <v>0</v>
      </c>
      <c r="BH7" s="78">
        <v>563</v>
      </c>
      <c r="BI7" s="78">
        <v>395</v>
      </c>
      <c r="BJ7" s="78">
        <v>486</v>
      </c>
      <c r="BK7" s="78">
        <v>373</v>
      </c>
    </row>
    <row r="8" spans="2:63" ht="15">
      <c r="B8" s="68" t="s">
        <v>191</v>
      </c>
      <c r="C8" s="68" t="s">
        <v>192</v>
      </c>
      <c r="D8" s="63" t="s">
        <v>193</v>
      </c>
      <c r="E8" s="63" t="s">
        <v>55</v>
      </c>
      <c r="F8" s="63" t="s">
        <v>194</v>
      </c>
      <c r="G8" s="62"/>
      <c r="H8" s="68" t="s">
        <v>191</v>
      </c>
      <c r="I8" s="68" t="s">
        <v>192</v>
      </c>
      <c r="J8" s="63" t="s">
        <v>193</v>
      </c>
      <c r="K8" s="63" t="s">
        <v>55</v>
      </c>
      <c r="L8" s="63" t="s">
        <v>195</v>
      </c>
      <c r="N8" s="62"/>
      <c r="O8" s="62"/>
      <c r="P8" s="62"/>
      <c r="V8" s="62"/>
      <c r="X8" s="62"/>
      <c r="Z8" s="73" t="s">
        <v>166</v>
      </c>
      <c r="AA8" s="83">
        <v>6</v>
      </c>
      <c r="AB8" s="78">
        <v>278</v>
      </c>
      <c r="AC8" s="78">
        <v>332</v>
      </c>
      <c r="AD8" s="60">
        <v>152</v>
      </c>
      <c r="AE8" s="78">
        <v>598</v>
      </c>
      <c r="AF8" s="78">
        <v>368</v>
      </c>
      <c r="AG8" s="78">
        <v>143</v>
      </c>
      <c r="AH8" s="78">
        <v>296</v>
      </c>
      <c r="AI8" s="78">
        <v>514</v>
      </c>
      <c r="AJ8" s="78">
        <v>259</v>
      </c>
      <c r="AK8" s="78">
        <v>80</v>
      </c>
      <c r="AL8" s="60">
        <v>0</v>
      </c>
      <c r="AM8" s="78">
        <f>AL7</f>
        <v>117</v>
      </c>
      <c r="AN8" s="78">
        <f>AL6</f>
        <v>156</v>
      </c>
      <c r="AO8" s="78">
        <f>AL5</f>
        <v>380</v>
      </c>
      <c r="AP8" s="78">
        <f>AL4</f>
        <v>229</v>
      </c>
      <c r="AQ8" s="78">
        <f>AL3</f>
        <v>443</v>
      </c>
      <c r="AR8" s="78"/>
      <c r="AT8" s="73" t="s">
        <v>183</v>
      </c>
      <c r="AU8">
        <v>6</v>
      </c>
      <c r="AV8">
        <f>BF18</f>
        <v>101</v>
      </c>
      <c r="AW8">
        <f>BF17</f>
        <v>469</v>
      </c>
      <c r="AX8">
        <f>BF16</f>
        <v>417</v>
      </c>
      <c r="AY8">
        <f>BF15</f>
        <v>739</v>
      </c>
      <c r="AZ8">
        <f>BF14</f>
        <v>583</v>
      </c>
      <c r="BA8">
        <f>BF13</f>
        <v>352</v>
      </c>
      <c r="BB8">
        <f>BF12</f>
        <v>443</v>
      </c>
      <c r="BC8">
        <f>BF11</f>
        <v>290</v>
      </c>
      <c r="BD8">
        <f>BF10</f>
        <v>338</v>
      </c>
      <c r="BE8">
        <f>BF9</f>
        <v>769</v>
      </c>
      <c r="BF8">
        <v>0</v>
      </c>
      <c r="BG8" s="78">
        <v>177</v>
      </c>
      <c r="BH8" s="78">
        <v>551</v>
      </c>
      <c r="BI8" s="78">
        <v>258</v>
      </c>
      <c r="BJ8" s="78">
        <v>324</v>
      </c>
      <c r="BK8" s="78">
        <v>661</v>
      </c>
    </row>
    <row r="9" spans="2:63" ht="15" customHeight="1">
      <c r="B9" s="209" t="s">
        <v>156</v>
      </c>
      <c r="C9" s="209" t="s">
        <v>169</v>
      </c>
      <c r="D9" s="221">
        <v>1</v>
      </c>
      <c r="E9" s="212">
        <f>IFERROR(HLOOKUP($B9, $Z$2:$AQ$18, VLOOKUP($C9, $Z$3:$AA$18, 2, 0)+1,0),0)</f>
        <v>658</v>
      </c>
      <c r="F9" s="212">
        <f>IFERROR(D9*E9,0)</f>
        <v>658</v>
      </c>
      <c r="G9" s="62"/>
      <c r="H9" s="209" t="s">
        <v>178</v>
      </c>
      <c r="I9" s="209" t="s">
        <v>186</v>
      </c>
      <c r="J9" s="221">
        <v>1</v>
      </c>
      <c r="K9" s="212">
        <f>IFERROR(HLOOKUP($H9, $AT$2:$BK$18, VLOOKUP($I9, $AT$3:$AU$18,2,0)+1,0),0)</f>
        <v>336</v>
      </c>
      <c r="L9" s="212">
        <f>IFERROR(K9*J9,0)</f>
        <v>336</v>
      </c>
      <c r="N9" s="275" t="s">
        <v>196</v>
      </c>
      <c r="O9" s="275"/>
      <c r="P9" s="275"/>
      <c r="Q9" s="275"/>
      <c r="R9" s="275"/>
      <c r="S9" s="275"/>
      <c r="T9" s="275"/>
      <c r="U9" s="275"/>
      <c r="V9" s="275"/>
      <c r="W9" s="67"/>
      <c r="X9" s="62"/>
      <c r="Z9" s="73" t="s">
        <v>165</v>
      </c>
      <c r="AA9" s="83">
        <v>7</v>
      </c>
      <c r="AB9" s="78">
        <v>234</v>
      </c>
      <c r="AC9" s="78">
        <v>286</v>
      </c>
      <c r="AD9" s="60">
        <v>108</v>
      </c>
      <c r="AE9" s="78">
        <v>554</v>
      </c>
      <c r="AF9" s="78">
        <v>448</v>
      </c>
      <c r="AG9" s="78">
        <v>223</v>
      </c>
      <c r="AH9" s="78">
        <v>299</v>
      </c>
      <c r="AI9" s="78">
        <v>470</v>
      </c>
      <c r="AJ9" s="78">
        <v>339</v>
      </c>
      <c r="AK9" s="78">
        <v>0</v>
      </c>
      <c r="AL9" s="78">
        <f>AK8</f>
        <v>80</v>
      </c>
      <c r="AM9" s="78">
        <f>AK7</f>
        <v>172</v>
      </c>
      <c r="AN9" s="78">
        <f>AK6</f>
        <v>86</v>
      </c>
      <c r="AO9" s="78">
        <f>AK5</f>
        <v>460</v>
      </c>
      <c r="AP9" s="78">
        <f>AK4</f>
        <v>309</v>
      </c>
      <c r="AQ9" s="78">
        <f>AK3</f>
        <v>400</v>
      </c>
      <c r="AR9" s="78"/>
      <c r="AT9" s="73" t="s">
        <v>182</v>
      </c>
      <c r="AU9">
        <v>7</v>
      </c>
      <c r="AV9">
        <f>BE18</f>
        <v>869</v>
      </c>
      <c r="AW9">
        <f>BE17</f>
        <v>285</v>
      </c>
      <c r="AX9">
        <f>BE16</f>
        <v>429</v>
      </c>
      <c r="AY9">
        <f>BE15</f>
        <v>152</v>
      </c>
      <c r="AZ9">
        <f>BE14</f>
        <v>187</v>
      </c>
      <c r="BA9">
        <f>BE13</f>
        <v>915</v>
      </c>
      <c r="BB9">
        <f>BE12</f>
        <v>332</v>
      </c>
      <c r="BC9">
        <f>BE11</f>
        <v>1003</v>
      </c>
      <c r="BD9">
        <f>BE10</f>
        <v>762</v>
      </c>
      <c r="BE9">
        <v>0</v>
      </c>
      <c r="BF9" s="78">
        <v>769</v>
      </c>
      <c r="BG9" s="78">
        <v>575</v>
      </c>
      <c r="BH9" s="78">
        <v>217</v>
      </c>
      <c r="BI9" s="78">
        <v>579</v>
      </c>
      <c r="BJ9" s="78">
        <v>887</v>
      </c>
      <c r="BK9" s="78">
        <v>202</v>
      </c>
    </row>
    <row r="10" spans="2:63" ht="15">
      <c r="B10" s="209"/>
      <c r="C10" s="209"/>
      <c r="D10" s="221"/>
      <c r="E10" s="212">
        <f t="shared" ref="E10:E18" si="0">IFERROR(HLOOKUP($B10, $Z$2:$AQ$18, VLOOKUP($C10, $Z$3:$AA$18, 2, 0)+1,0),0)</f>
        <v>0</v>
      </c>
      <c r="F10" s="212">
        <f t="shared" ref="F10:F18" si="1">IFERROR(D10*E10,0)</f>
        <v>0</v>
      </c>
      <c r="G10" s="62"/>
      <c r="H10" s="209"/>
      <c r="I10" s="209"/>
      <c r="J10" s="221"/>
      <c r="K10" s="212">
        <f t="shared" ref="K10:K18" si="2">IFERROR(HLOOKUP($H10, $AT$2:$BK$18, VLOOKUP($I10, $AT$3:$AU$18,2,0)+1,0),0)</f>
        <v>0</v>
      </c>
      <c r="L10" s="212">
        <f t="shared" ref="L10:L18" si="3">IFERROR(K10*J10,0)</f>
        <v>0</v>
      </c>
      <c r="N10" s="275"/>
      <c r="O10" s="275"/>
      <c r="P10" s="275"/>
      <c r="Q10" s="275"/>
      <c r="R10" s="275"/>
      <c r="S10" s="275"/>
      <c r="T10" s="275"/>
      <c r="U10" s="275"/>
      <c r="V10" s="275"/>
      <c r="W10" s="67"/>
      <c r="X10" s="62"/>
      <c r="Z10" s="73" t="s">
        <v>164</v>
      </c>
      <c r="AA10" s="83">
        <v>8</v>
      </c>
      <c r="AB10" s="78">
        <v>537</v>
      </c>
      <c r="AC10" s="78">
        <v>393</v>
      </c>
      <c r="AD10" s="60">
        <v>411</v>
      </c>
      <c r="AE10" s="78">
        <v>857</v>
      </c>
      <c r="AF10" s="78">
        <v>109</v>
      </c>
      <c r="AG10" s="78">
        <v>178</v>
      </c>
      <c r="AH10" s="78">
        <v>234</v>
      </c>
      <c r="AI10" s="78">
        <v>773</v>
      </c>
      <c r="AJ10" s="60">
        <v>0</v>
      </c>
      <c r="AK10" s="78">
        <f>AJ9</f>
        <v>339</v>
      </c>
      <c r="AL10" s="78">
        <f>AJ8</f>
        <v>259</v>
      </c>
      <c r="AM10" s="78">
        <f>AJ7</f>
        <v>239</v>
      </c>
      <c r="AN10" s="78">
        <f>AJ6</f>
        <v>415</v>
      </c>
      <c r="AO10" s="78">
        <f>AJ5</f>
        <v>145</v>
      </c>
      <c r="AP10" s="78">
        <f>AJ4</f>
        <v>74</v>
      </c>
      <c r="AQ10" s="78">
        <f>AJ3</f>
        <v>702</v>
      </c>
      <c r="AR10" s="78"/>
      <c r="AT10" s="73" t="s">
        <v>181</v>
      </c>
      <c r="AU10">
        <v>8</v>
      </c>
      <c r="AV10">
        <f>BD18</f>
        <v>340</v>
      </c>
      <c r="AW10">
        <f>BD17</f>
        <v>607</v>
      </c>
      <c r="AX10">
        <f>BD16</f>
        <v>409</v>
      </c>
      <c r="AY10">
        <f>BD15</f>
        <v>835</v>
      </c>
      <c r="AZ10">
        <f>BD14</f>
        <v>669</v>
      </c>
      <c r="BA10">
        <f>BD13</f>
        <v>157</v>
      </c>
      <c r="BB10">
        <f>BD12</f>
        <v>430</v>
      </c>
      <c r="BC10" s="78">
        <f>BD11</f>
        <v>245</v>
      </c>
      <c r="BD10">
        <v>0</v>
      </c>
      <c r="BE10" s="78">
        <v>762</v>
      </c>
      <c r="BF10" s="78">
        <v>338</v>
      </c>
      <c r="BG10" s="78">
        <v>550</v>
      </c>
      <c r="BH10" s="78">
        <v>545</v>
      </c>
      <c r="BI10" s="78">
        <v>183</v>
      </c>
      <c r="BJ10" s="78">
        <v>129</v>
      </c>
      <c r="BK10" s="78">
        <v>657</v>
      </c>
    </row>
    <row r="11" spans="2:63" ht="15">
      <c r="B11" s="209"/>
      <c r="C11" s="209"/>
      <c r="D11" s="221"/>
      <c r="E11" s="212">
        <f t="shared" si="0"/>
        <v>0</v>
      </c>
      <c r="F11" s="212">
        <f t="shared" si="1"/>
        <v>0</v>
      </c>
      <c r="G11" s="62"/>
      <c r="H11" s="209"/>
      <c r="I11" s="209"/>
      <c r="J11" s="221"/>
      <c r="K11" s="212">
        <f t="shared" si="2"/>
        <v>0</v>
      </c>
      <c r="L11" s="212">
        <f t="shared" si="3"/>
        <v>0</v>
      </c>
      <c r="N11" s="275"/>
      <c r="O11" s="275"/>
      <c r="P11" s="275"/>
      <c r="Q11" s="275"/>
      <c r="R11" s="275"/>
      <c r="S11" s="275"/>
      <c r="T11" s="275"/>
      <c r="U11" s="275"/>
      <c r="V11" s="275"/>
      <c r="W11" s="67"/>
      <c r="X11" s="62"/>
      <c r="Z11" s="73" t="s">
        <v>163</v>
      </c>
      <c r="AA11" s="83">
        <v>9</v>
      </c>
      <c r="AB11" s="78">
        <v>236</v>
      </c>
      <c r="AC11" s="78">
        <v>735</v>
      </c>
      <c r="AD11" s="60">
        <v>362</v>
      </c>
      <c r="AE11" s="78">
        <v>107</v>
      </c>
      <c r="AF11" s="78">
        <v>882</v>
      </c>
      <c r="AG11" s="78">
        <v>657</v>
      </c>
      <c r="AH11" s="78">
        <v>593</v>
      </c>
      <c r="AI11" s="60">
        <v>0</v>
      </c>
      <c r="AJ11" s="78">
        <f>AI10</f>
        <v>773</v>
      </c>
      <c r="AK11" s="78">
        <f>AI9</f>
        <v>470</v>
      </c>
      <c r="AL11" s="78">
        <f>AI8</f>
        <v>514</v>
      </c>
      <c r="AM11" s="78">
        <f>AI7</f>
        <v>522</v>
      </c>
      <c r="AN11" s="78">
        <f>AI6</f>
        <v>441</v>
      </c>
      <c r="AO11" s="78">
        <f>AI5</f>
        <v>894</v>
      </c>
      <c r="AP11" s="78">
        <f>AI4</f>
        <v>693</v>
      </c>
      <c r="AQ11" s="78">
        <f>AI3</f>
        <v>71</v>
      </c>
      <c r="AR11" s="78"/>
      <c r="AT11" s="73" t="s">
        <v>180</v>
      </c>
      <c r="AU11">
        <v>9</v>
      </c>
      <c r="AV11">
        <f>BC18</f>
        <v>226</v>
      </c>
      <c r="AW11">
        <f>BC17</f>
        <v>848</v>
      </c>
      <c r="AX11">
        <f>BC16</f>
        <v>650</v>
      </c>
      <c r="AY11">
        <f>BC15</f>
        <v>1025</v>
      </c>
      <c r="AZ11">
        <f>BC14</f>
        <v>910</v>
      </c>
      <c r="BA11">
        <f>BC13</f>
        <v>110</v>
      </c>
      <c r="BB11">
        <f>BC12</f>
        <v>671</v>
      </c>
      <c r="BC11">
        <v>0</v>
      </c>
      <c r="BD11" s="78">
        <v>245</v>
      </c>
      <c r="BE11" s="78">
        <v>1003</v>
      </c>
      <c r="BF11" s="78">
        <v>290</v>
      </c>
      <c r="BG11" s="78">
        <v>469</v>
      </c>
      <c r="BH11" s="78">
        <v>786</v>
      </c>
      <c r="BI11" s="78">
        <v>424</v>
      </c>
      <c r="BJ11" s="78">
        <v>116</v>
      </c>
      <c r="BK11" s="78">
        <v>865</v>
      </c>
    </row>
    <row r="12" spans="2:63" ht="15">
      <c r="B12" s="209"/>
      <c r="C12" s="209"/>
      <c r="D12" s="221"/>
      <c r="E12" s="212">
        <f t="shared" si="0"/>
        <v>0</v>
      </c>
      <c r="F12" s="212">
        <f t="shared" si="1"/>
        <v>0</v>
      </c>
      <c r="G12" s="62"/>
      <c r="H12" s="209"/>
      <c r="I12" s="209"/>
      <c r="J12" s="221"/>
      <c r="K12" s="212">
        <f t="shared" si="2"/>
        <v>0</v>
      </c>
      <c r="L12" s="212">
        <f t="shared" si="3"/>
        <v>0</v>
      </c>
      <c r="N12" s="275"/>
      <c r="O12" s="275"/>
      <c r="P12" s="275"/>
      <c r="Q12" s="275"/>
      <c r="R12" s="275"/>
      <c r="S12" s="275"/>
      <c r="T12" s="275"/>
      <c r="U12" s="275"/>
      <c r="V12" s="275"/>
      <c r="W12" s="67"/>
      <c r="X12" s="62"/>
      <c r="Z12" s="73" t="s">
        <v>162</v>
      </c>
      <c r="AA12" s="83">
        <v>10</v>
      </c>
      <c r="AB12" s="78">
        <v>357</v>
      </c>
      <c r="AC12" s="78">
        <v>585</v>
      </c>
      <c r="AD12" s="60">
        <v>231</v>
      </c>
      <c r="AE12" s="78">
        <v>677</v>
      </c>
      <c r="AF12" s="78">
        <v>343</v>
      </c>
      <c r="AG12" s="78">
        <v>412</v>
      </c>
      <c r="AH12" s="78">
        <v>0</v>
      </c>
      <c r="AI12" s="78">
        <f>AH11</f>
        <v>593</v>
      </c>
      <c r="AJ12" s="78">
        <f>AH10</f>
        <v>234</v>
      </c>
      <c r="AK12" s="78">
        <f>AH9</f>
        <v>299</v>
      </c>
      <c r="AL12" s="78">
        <f>AH8</f>
        <v>296</v>
      </c>
      <c r="AM12" s="78">
        <f>AH7</f>
        <v>183</v>
      </c>
      <c r="AN12" s="78">
        <f>AH6</f>
        <v>308</v>
      </c>
      <c r="AO12" s="78">
        <f>AH5</f>
        <v>355</v>
      </c>
      <c r="AP12" s="78">
        <f>AH4</f>
        <v>160</v>
      </c>
      <c r="AQ12" s="78">
        <f>AH3</f>
        <v>522</v>
      </c>
      <c r="AR12" s="78"/>
      <c r="AT12" s="73" t="s">
        <v>179</v>
      </c>
      <c r="AU12">
        <v>10</v>
      </c>
      <c r="AV12">
        <f>BB18</f>
        <v>580</v>
      </c>
      <c r="AW12">
        <f>BB17</f>
        <v>231</v>
      </c>
      <c r="AX12">
        <f>BB16</f>
        <v>188</v>
      </c>
      <c r="AY12">
        <f>BB15</f>
        <v>404</v>
      </c>
      <c r="AZ12">
        <f>BB14</f>
        <v>319</v>
      </c>
      <c r="BA12">
        <f>BB13</f>
        <v>583</v>
      </c>
      <c r="BB12">
        <v>0</v>
      </c>
      <c r="BC12" s="78">
        <v>671</v>
      </c>
      <c r="BD12" s="78">
        <v>430</v>
      </c>
      <c r="BE12" s="78">
        <v>332</v>
      </c>
      <c r="BF12" s="78">
        <v>443</v>
      </c>
      <c r="BG12" s="78">
        <v>506</v>
      </c>
      <c r="BH12" s="78">
        <v>115</v>
      </c>
      <c r="BI12" s="78">
        <v>247</v>
      </c>
      <c r="BJ12" s="78">
        <v>555</v>
      </c>
      <c r="BK12" s="78">
        <v>223</v>
      </c>
    </row>
    <row r="13" spans="2:63" ht="15">
      <c r="B13" s="209"/>
      <c r="C13" s="209"/>
      <c r="D13" s="221"/>
      <c r="E13" s="212">
        <f t="shared" si="0"/>
        <v>0</v>
      </c>
      <c r="F13" s="212">
        <f t="shared" si="1"/>
        <v>0</v>
      </c>
      <c r="G13" s="62"/>
      <c r="H13" s="209"/>
      <c r="I13" s="209"/>
      <c r="J13" s="221"/>
      <c r="K13" s="212">
        <f t="shared" si="2"/>
        <v>0</v>
      </c>
      <c r="L13" s="212">
        <f t="shared" si="3"/>
        <v>0</v>
      </c>
      <c r="N13" s="275"/>
      <c r="O13" s="275"/>
      <c r="P13" s="275"/>
      <c r="Q13" s="275"/>
      <c r="R13" s="275"/>
      <c r="S13" s="275"/>
      <c r="T13" s="275"/>
      <c r="U13" s="275"/>
      <c r="V13" s="275"/>
      <c r="W13" s="67"/>
      <c r="X13" s="62"/>
      <c r="Z13" s="73" t="s">
        <v>161</v>
      </c>
      <c r="AA13" s="83">
        <v>11</v>
      </c>
      <c r="AB13" s="78">
        <v>421</v>
      </c>
      <c r="AC13" s="78">
        <v>215</v>
      </c>
      <c r="AD13" s="78">
        <v>295</v>
      </c>
      <c r="AE13" s="78">
        <v>744</v>
      </c>
      <c r="AF13" s="78">
        <v>233</v>
      </c>
      <c r="AG13" s="78">
        <v>0</v>
      </c>
      <c r="AH13" s="78">
        <f>AG12</f>
        <v>412</v>
      </c>
      <c r="AI13" s="78">
        <f>AG11</f>
        <v>657</v>
      </c>
      <c r="AJ13" s="78">
        <f>AG10</f>
        <v>178</v>
      </c>
      <c r="AK13" s="78">
        <f>AG9</f>
        <v>223</v>
      </c>
      <c r="AL13" s="78">
        <f>AG8</f>
        <v>143</v>
      </c>
      <c r="AM13" s="78">
        <f>AG7</f>
        <v>260</v>
      </c>
      <c r="AN13" s="78">
        <f>AG6</f>
        <v>299</v>
      </c>
      <c r="AO13" s="78">
        <f>AG5</f>
        <v>323</v>
      </c>
      <c r="AP13" s="78">
        <f>AG4</f>
        <v>252</v>
      </c>
      <c r="AQ13" s="78">
        <f>AG3</f>
        <v>586</v>
      </c>
      <c r="AR13" s="78"/>
      <c r="AT13" s="73" t="s">
        <v>178</v>
      </c>
      <c r="AU13">
        <v>11</v>
      </c>
      <c r="AV13">
        <f>BA18</f>
        <v>288</v>
      </c>
      <c r="AW13">
        <f>BA17</f>
        <v>773</v>
      </c>
      <c r="AX13">
        <f>BA16</f>
        <v>562</v>
      </c>
      <c r="AY13">
        <f>BA15</f>
        <v>988</v>
      </c>
      <c r="AZ13">
        <f>BA14</f>
        <v>822</v>
      </c>
      <c r="BA13">
        <v>0</v>
      </c>
      <c r="BB13" s="78">
        <v>583</v>
      </c>
      <c r="BC13" s="78">
        <v>110</v>
      </c>
      <c r="BD13" s="78">
        <v>157</v>
      </c>
      <c r="BE13" s="78">
        <v>915</v>
      </c>
      <c r="BF13" s="78">
        <v>352</v>
      </c>
      <c r="BG13" s="78">
        <v>531</v>
      </c>
      <c r="BH13" s="78">
        <v>698</v>
      </c>
      <c r="BI13" s="78">
        <v>336</v>
      </c>
      <c r="BJ13" s="78">
        <v>28</v>
      </c>
      <c r="BK13" s="78">
        <v>791</v>
      </c>
    </row>
    <row r="14" spans="2:63" ht="15">
      <c r="B14" s="209"/>
      <c r="C14" s="209"/>
      <c r="D14" s="221"/>
      <c r="E14" s="212">
        <f t="shared" si="0"/>
        <v>0</v>
      </c>
      <c r="F14" s="212">
        <f t="shared" si="1"/>
        <v>0</v>
      </c>
      <c r="G14" s="62"/>
      <c r="H14" s="209"/>
      <c r="I14" s="209"/>
      <c r="J14" s="221"/>
      <c r="K14" s="212">
        <f t="shared" si="2"/>
        <v>0</v>
      </c>
      <c r="L14" s="212">
        <f t="shared" si="3"/>
        <v>0</v>
      </c>
      <c r="N14" s="275"/>
      <c r="O14" s="275"/>
      <c r="P14" s="275"/>
      <c r="Q14" s="275"/>
      <c r="R14" s="275"/>
      <c r="S14" s="275"/>
      <c r="T14" s="275"/>
      <c r="U14" s="275"/>
      <c r="V14" s="275"/>
      <c r="W14" s="67"/>
      <c r="X14" s="62"/>
      <c r="Z14" s="73" t="s">
        <v>160</v>
      </c>
      <c r="AA14" s="83">
        <v>12</v>
      </c>
      <c r="AB14" s="78">
        <v>646</v>
      </c>
      <c r="AC14" s="78">
        <v>448</v>
      </c>
      <c r="AD14" s="78">
        <v>520</v>
      </c>
      <c r="AE14" s="78">
        <v>966</v>
      </c>
      <c r="AF14" s="78">
        <v>0</v>
      </c>
      <c r="AG14" s="78">
        <f>AF13</f>
        <v>233</v>
      </c>
      <c r="AH14" s="78">
        <f>AF12</f>
        <v>343</v>
      </c>
      <c r="AI14" s="78">
        <f>AF11</f>
        <v>882</v>
      </c>
      <c r="AJ14" s="78">
        <f>AF10</f>
        <v>109</v>
      </c>
      <c r="AK14" s="78">
        <f>AF9</f>
        <v>448</v>
      </c>
      <c r="AL14" s="78">
        <f>AF8</f>
        <v>368</v>
      </c>
      <c r="AM14" s="78">
        <f>AF7</f>
        <v>348</v>
      </c>
      <c r="AN14" s="78">
        <f>AF6</f>
        <v>524</v>
      </c>
      <c r="AO14" s="78">
        <f>AF5</f>
        <v>102</v>
      </c>
      <c r="AP14" s="78">
        <f>AF4</f>
        <v>183</v>
      </c>
      <c r="AQ14" s="78">
        <f>AF3</f>
        <v>811</v>
      </c>
      <c r="AR14" s="78"/>
      <c r="AT14" s="73" t="s">
        <v>177</v>
      </c>
      <c r="AU14">
        <v>12</v>
      </c>
      <c r="AV14">
        <f>AZ18</f>
        <v>664</v>
      </c>
      <c r="AW14">
        <f>AZ17</f>
        <v>117</v>
      </c>
      <c r="AX14">
        <f>AZ16</f>
        <v>258</v>
      </c>
      <c r="AY14">
        <f>AZ15</f>
        <v>170</v>
      </c>
      <c r="AZ14" s="78">
        <v>0</v>
      </c>
      <c r="BA14" s="78">
        <v>822</v>
      </c>
      <c r="BB14" s="78">
        <v>319</v>
      </c>
      <c r="BC14" s="78">
        <v>910</v>
      </c>
      <c r="BD14" s="78">
        <v>669</v>
      </c>
      <c r="BE14" s="78">
        <v>187</v>
      </c>
      <c r="BF14" s="78">
        <v>583</v>
      </c>
      <c r="BG14" s="78">
        <v>404</v>
      </c>
      <c r="BH14" s="78">
        <v>283</v>
      </c>
      <c r="BI14" s="78">
        <v>486</v>
      </c>
      <c r="BJ14" s="78">
        <v>794</v>
      </c>
      <c r="BK14" s="78">
        <v>93</v>
      </c>
    </row>
    <row r="15" spans="2:63" ht="15">
      <c r="B15" s="209"/>
      <c r="C15" s="209"/>
      <c r="D15" s="221"/>
      <c r="E15" s="212">
        <f t="shared" si="0"/>
        <v>0</v>
      </c>
      <c r="F15" s="212">
        <f t="shared" si="1"/>
        <v>0</v>
      </c>
      <c r="G15" s="62"/>
      <c r="H15" s="209"/>
      <c r="I15" s="209"/>
      <c r="J15" s="221"/>
      <c r="K15" s="212">
        <f t="shared" si="2"/>
        <v>0</v>
      </c>
      <c r="L15" s="212">
        <f t="shared" si="3"/>
        <v>0</v>
      </c>
      <c r="N15" s="275"/>
      <c r="O15" s="275"/>
      <c r="P15" s="275"/>
      <c r="Q15" s="275"/>
      <c r="R15" s="275"/>
      <c r="S15" s="275"/>
      <c r="T15" s="275"/>
      <c r="U15" s="275"/>
      <c r="V15" s="275"/>
      <c r="W15" s="67"/>
      <c r="X15" s="62"/>
      <c r="Z15" s="73" t="s">
        <v>159</v>
      </c>
      <c r="AA15" s="83">
        <v>13</v>
      </c>
      <c r="AB15" s="78">
        <v>320</v>
      </c>
      <c r="AC15" s="78">
        <v>819</v>
      </c>
      <c r="AD15" s="60">
        <v>446</v>
      </c>
      <c r="AE15" s="78">
        <v>0</v>
      </c>
      <c r="AF15" s="78">
        <f>AE14</f>
        <v>966</v>
      </c>
      <c r="AG15" s="78">
        <f>AE13</f>
        <v>744</v>
      </c>
      <c r="AH15" s="78">
        <f>AE12</f>
        <v>677</v>
      </c>
      <c r="AI15" s="78">
        <f>AE11</f>
        <v>107</v>
      </c>
      <c r="AJ15" s="78">
        <f>AE10</f>
        <v>857</v>
      </c>
      <c r="AK15" s="78">
        <f>AE9</f>
        <v>554</v>
      </c>
      <c r="AL15" s="78">
        <f>AE8</f>
        <v>598</v>
      </c>
      <c r="AM15" s="78">
        <f>AE7</f>
        <v>606</v>
      </c>
      <c r="AN15" s="78">
        <f>AE6</f>
        <v>525</v>
      </c>
      <c r="AO15" s="78">
        <f>AE5</f>
        <v>978</v>
      </c>
      <c r="AP15" s="78">
        <f>AE4</f>
        <v>777</v>
      </c>
      <c r="AQ15" s="78">
        <f>AE3</f>
        <v>155</v>
      </c>
      <c r="AR15" s="78"/>
      <c r="AT15" s="73" t="s">
        <v>176</v>
      </c>
      <c r="AU15">
        <v>13</v>
      </c>
      <c r="AV15">
        <f>AY18</f>
        <v>830</v>
      </c>
      <c r="AW15">
        <f>AY17</f>
        <v>273</v>
      </c>
      <c r="AX15">
        <f>AY16</f>
        <v>428</v>
      </c>
      <c r="AY15">
        <v>0</v>
      </c>
      <c r="AZ15" s="78">
        <v>170</v>
      </c>
      <c r="BA15" s="78">
        <v>988</v>
      </c>
      <c r="BB15" s="78">
        <v>404</v>
      </c>
      <c r="BC15" s="78">
        <v>1025</v>
      </c>
      <c r="BD15" s="78">
        <v>835</v>
      </c>
      <c r="BE15" s="78">
        <v>152</v>
      </c>
      <c r="BF15" s="78">
        <v>739</v>
      </c>
      <c r="BG15" s="78">
        <v>560</v>
      </c>
      <c r="BH15" s="78">
        <v>290</v>
      </c>
      <c r="BI15" s="78">
        <v>652</v>
      </c>
      <c r="BJ15" s="78">
        <v>960</v>
      </c>
      <c r="BK15" s="78">
        <v>249</v>
      </c>
    </row>
    <row r="16" spans="2:63" ht="15">
      <c r="B16" s="209"/>
      <c r="C16" s="209"/>
      <c r="D16" s="221"/>
      <c r="E16" s="212">
        <f t="shared" si="0"/>
        <v>0</v>
      </c>
      <c r="F16" s="212">
        <f t="shared" si="1"/>
        <v>0</v>
      </c>
      <c r="G16" s="62"/>
      <c r="H16" s="209"/>
      <c r="I16" s="209"/>
      <c r="J16" s="221"/>
      <c r="K16" s="212">
        <f t="shared" si="2"/>
        <v>0</v>
      </c>
      <c r="L16" s="212">
        <f t="shared" si="3"/>
        <v>0</v>
      </c>
      <c r="N16" s="275"/>
      <c r="O16" s="275"/>
      <c r="P16" s="275"/>
      <c r="Q16" s="275"/>
      <c r="R16" s="275"/>
      <c r="S16" s="275"/>
      <c r="T16" s="275"/>
      <c r="U16" s="275"/>
      <c r="V16" s="275"/>
      <c r="X16" s="62"/>
      <c r="Z16" s="73" t="s">
        <v>158</v>
      </c>
      <c r="AA16" s="83">
        <v>14</v>
      </c>
      <c r="AB16" s="78">
        <v>126</v>
      </c>
      <c r="AC16" s="60">
        <v>394</v>
      </c>
      <c r="AD16" s="78">
        <v>0</v>
      </c>
      <c r="AE16" s="78">
        <f>AD15</f>
        <v>446</v>
      </c>
      <c r="AF16" s="78">
        <f>AD14</f>
        <v>520</v>
      </c>
      <c r="AG16" s="78">
        <f>AD13</f>
        <v>295</v>
      </c>
      <c r="AH16" s="78">
        <f>AD12</f>
        <v>231</v>
      </c>
      <c r="AI16" s="78">
        <f>AD11</f>
        <v>362</v>
      </c>
      <c r="AJ16" s="78">
        <f>AD10</f>
        <v>411</v>
      </c>
      <c r="AK16" s="78">
        <f>AD9</f>
        <v>108</v>
      </c>
      <c r="AL16" s="78">
        <f>AD8</f>
        <v>152</v>
      </c>
      <c r="AM16" s="78">
        <f>AD7</f>
        <v>160</v>
      </c>
      <c r="AN16" s="78">
        <f>AD6</f>
        <v>106</v>
      </c>
      <c r="AO16" s="78">
        <f>AD5</f>
        <v>532</v>
      </c>
      <c r="AP16" s="78">
        <f>AD4</f>
        <v>331</v>
      </c>
      <c r="AQ16" s="78">
        <f>AD3</f>
        <v>291</v>
      </c>
      <c r="AR16" s="78"/>
      <c r="AT16" s="73" t="s">
        <v>175</v>
      </c>
      <c r="AU16">
        <v>14</v>
      </c>
      <c r="AV16">
        <f>AX18</f>
        <v>559</v>
      </c>
      <c r="AW16" s="78">
        <f>AX17</f>
        <v>198</v>
      </c>
      <c r="AX16" s="78">
        <v>0</v>
      </c>
      <c r="AY16" s="78">
        <v>428</v>
      </c>
      <c r="AZ16" s="78">
        <v>258</v>
      </c>
      <c r="BA16" s="78">
        <v>562</v>
      </c>
      <c r="BB16" s="78">
        <v>188</v>
      </c>
      <c r="BC16" s="78">
        <v>650</v>
      </c>
      <c r="BD16" s="78">
        <v>409</v>
      </c>
      <c r="BE16" s="78">
        <v>429</v>
      </c>
      <c r="BF16" s="78">
        <v>417</v>
      </c>
      <c r="BG16" s="78">
        <v>485</v>
      </c>
      <c r="BH16" s="78">
        <v>303</v>
      </c>
      <c r="BI16" s="78">
        <v>226</v>
      </c>
      <c r="BJ16" s="78">
        <v>534</v>
      </c>
      <c r="BK16" s="78">
        <v>227</v>
      </c>
    </row>
    <row r="17" spans="2:63" ht="15">
      <c r="B17" s="209"/>
      <c r="C17" s="209"/>
      <c r="D17" s="221"/>
      <c r="E17" s="212">
        <f t="shared" si="0"/>
        <v>0</v>
      </c>
      <c r="F17" s="212">
        <f t="shared" si="1"/>
        <v>0</v>
      </c>
      <c r="G17" s="62"/>
      <c r="H17" s="209"/>
      <c r="I17" s="209"/>
      <c r="J17" s="221"/>
      <c r="K17" s="212">
        <f t="shared" si="2"/>
        <v>0</v>
      </c>
      <c r="L17" s="212">
        <f t="shared" si="3"/>
        <v>0</v>
      </c>
      <c r="N17" s="62"/>
      <c r="O17" s="62"/>
      <c r="P17" s="62"/>
      <c r="V17" s="62"/>
      <c r="X17" s="62"/>
      <c r="Z17" s="73" t="s">
        <v>157</v>
      </c>
      <c r="AA17" s="83">
        <v>15</v>
      </c>
      <c r="AB17" s="60">
        <v>499</v>
      </c>
      <c r="AC17" s="78">
        <v>0</v>
      </c>
      <c r="AD17" s="78">
        <f>AC16</f>
        <v>394</v>
      </c>
      <c r="AE17" s="78">
        <f>AC15</f>
        <v>819</v>
      </c>
      <c r="AF17" s="78">
        <f>AC14</f>
        <v>448</v>
      </c>
      <c r="AG17" s="78">
        <f>AC13</f>
        <v>215</v>
      </c>
      <c r="AH17" s="78">
        <f>AC12</f>
        <v>585</v>
      </c>
      <c r="AI17" s="78">
        <f>AC11</f>
        <v>735</v>
      </c>
      <c r="AJ17" s="78">
        <f>AC10</f>
        <v>393</v>
      </c>
      <c r="AK17" s="78">
        <f>AC9</f>
        <v>286</v>
      </c>
      <c r="AL17" s="78">
        <f>AC8</f>
        <v>332</v>
      </c>
      <c r="AM17" s="78">
        <f>AC7</f>
        <v>449</v>
      </c>
      <c r="AN17" s="78">
        <f>AC6</f>
        <v>298</v>
      </c>
      <c r="AO17" s="78">
        <f>AC5</f>
        <v>538</v>
      </c>
      <c r="AP17" s="78">
        <f>AC4</f>
        <v>467</v>
      </c>
      <c r="AQ17" s="78">
        <f>AC3</f>
        <v>664</v>
      </c>
      <c r="AR17" s="78"/>
      <c r="AT17" s="73" t="s">
        <v>174</v>
      </c>
      <c r="AU17">
        <v>15</v>
      </c>
      <c r="AV17">
        <f>AW18</f>
        <v>558</v>
      </c>
      <c r="AW17">
        <v>0</v>
      </c>
      <c r="AX17" s="78">
        <v>198</v>
      </c>
      <c r="AY17" s="78">
        <v>273</v>
      </c>
      <c r="AZ17" s="78">
        <v>117</v>
      </c>
      <c r="BA17" s="78">
        <v>773</v>
      </c>
      <c r="BB17" s="78">
        <v>231</v>
      </c>
      <c r="BC17" s="78">
        <v>848</v>
      </c>
      <c r="BD17" s="78">
        <v>607</v>
      </c>
      <c r="BE17" s="78">
        <v>285</v>
      </c>
      <c r="BF17" s="78">
        <v>469</v>
      </c>
      <c r="BG17" s="78">
        <v>287</v>
      </c>
      <c r="BH17" s="78">
        <v>276</v>
      </c>
      <c r="BI17" s="78">
        <v>424</v>
      </c>
      <c r="BJ17" s="78">
        <v>745</v>
      </c>
      <c r="BK17" s="78">
        <v>86</v>
      </c>
    </row>
    <row r="18" spans="2:63" ht="15">
      <c r="B18" s="209"/>
      <c r="C18" s="209"/>
      <c r="D18" s="221"/>
      <c r="E18" s="212">
        <f t="shared" si="0"/>
        <v>0</v>
      </c>
      <c r="F18" s="212">
        <f t="shared" si="1"/>
        <v>0</v>
      </c>
      <c r="G18" s="62"/>
      <c r="H18" s="209"/>
      <c r="I18" s="209"/>
      <c r="J18" s="221"/>
      <c r="K18" s="212">
        <f t="shared" si="2"/>
        <v>0</v>
      </c>
      <c r="L18" s="212">
        <f t="shared" si="3"/>
        <v>0</v>
      </c>
      <c r="N18" s="62"/>
      <c r="O18" s="62"/>
      <c r="P18" s="62"/>
      <c r="Z18" s="73" t="s">
        <v>156</v>
      </c>
      <c r="AA18" s="83">
        <v>16</v>
      </c>
      <c r="AB18" s="78">
        <v>0</v>
      </c>
      <c r="AC18" s="78">
        <f>AB17</f>
        <v>499</v>
      </c>
      <c r="AD18" s="78">
        <f>AB16</f>
        <v>126</v>
      </c>
      <c r="AE18" s="78">
        <f>AB15</f>
        <v>320</v>
      </c>
      <c r="AF18" s="78">
        <f>AB14</f>
        <v>646</v>
      </c>
      <c r="AG18" s="78">
        <f>AB13</f>
        <v>421</v>
      </c>
      <c r="AH18" s="78">
        <f>AB12</f>
        <v>357</v>
      </c>
      <c r="AI18" s="78">
        <f>AB11</f>
        <v>236</v>
      </c>
      <c r="AJ18" s="78">
        <f>AB10</f>
        <v>537</v>
      </c>
      <c r="AK18" s="78">
        <f>AB9</f>
        <v>234</v>
      </c>
      <c r="AL18" s="78">
        <f>AB8</f>
        <v>278</v>
      </c>
      <c r="AM18" s="78">
        <f>AB7</f>
        <v>286</v>
      </c>
      <c r="AN18" s="78">
        <f>AB6</f>
        <v>205</v>
      </c>
      <c r="AO18" s="78">
        <f>AB5</f>
        <v>658</v>
      </c>
      <c r="AP18" s="78">
        <f>AB4</f>
        <v>457</v>
      </c>
      <c r="AQ18" s="78">
        <f>AB3</f>
        <v>165</v>
      </c>
      <c r="AR18" s="78"/>
      <c r="AT18" s="73" t="s">
        <v>173</v>
      </c>
      <c r="AU18">
        <v>16</v>
      </c>
      <c r="AV18">
        <v>0</v>
      </c>
      <c r="AW18" s="60">
        <v>558</v>
      </c>
      <c r="AX18" s="78">
        <v>559</v>
      </c>
      <c r="AY18" s="78">
        <v>830</v>
      </c>
      <c r="AZ18" s="78">
        <v>664</v>
      </c>
      <c r="BA18" s="78">
        <v>288</v>
      </c>
      <c r="BB18" s="78">
        <v>580</v>
      </c>
      <c r="BC18" s="78">
        <v>226</v>
      </c>
      <c r="BD18" s="78">
        <v>340</v>
      </c>
      <c r="BE18" s="78">
        <v>869</v>
      </c>
      <c r="BF18" s="78">
        <v>101</v>
      </c>
      <c r="BG18" s="78">
        <v>277</v>
      </c>
      <c r="BH18" s="78">
        <v>695</v>
      </c>
      <c r="BI18" s="78">
        <v>333</v>
      </c>
      <c r="BJ18" s="78">
        <v>264</v>
      </c>
      <c r="BK18" s="78">
        <v>761</v>
      </c>
    </row>
    <row r="19" spans="2:63" ht="15">
      <c r="B19" s="62"/>
      <c r="C19" s="62"/>
      <c r="D19" s="62"/>
      <c r="E19" s="62"/>
      <c r="F19" s="62"/>
      <c r="G19" s="62"/>
      <c r="H19" s="62"/>
      <c r="I19" s="62"/>
      <c r="J19" s="62"/>
      <c r="K19" s="62"/>
      <c r="L19" s="62"/>
      <c r="N19" s="62"/>
      <c r="O19" s="62"/>
      <c r="P19" s="62"/>
    </row>
    <row r="20" spans="2:63" ht="18" customHeight="1">
      <c r="B20" s="19" t="s">
        <v>197</v>
      </c>
      <c r="C20" s="62"/>
      <c r="D20" s="62"/>
      <c r="E20" s="62"/>
      <c r="F20" s="62"/>
      <c r="G20" s="62"/>
      <c r="H20" s="19" t="s">
        <v>198</v>
      </c>
      <c r="I20" s="62"/>
      <c r="J20" s="62"/>
      <c r="K20" s="62"/>
      <c r="L20" s="62"/>
      <c r="N20" s="62"/>
      <c r="O20" s="62"/>
      <c r="P20" s="62"/>
    </row>
    <row r="21" spans="2:63" ht="18" customHeight="1">
      <c r="B21" s="85" t="s">
        <v>199</v>
      </c>
      <c r="C21" s="62"/>
      <c r="D21" s="62"/>
      <c r="E21" s="62"/>
      <c r="F21" s="62"/>
      <c r="G21" s="62"/>
      <c r="H21" s="85" t="s">
        <v>199</v>
      </c>
      <c r="I21" s="62"/>
      <c r="J21" s="62"/>
      <c r="K21" s="62"/>
      <c r="L21" s="62"/>
      <c r="N21" s="62"/>
      <c r="O21" s="62"/>
      <c r="P21" s="62"/>
    </row>
    <row r="22" spans="2:63" ht="18" customHeight="1">
      <c r="B22" s="62"/>
      <c r="C22" s="62"/>
      <c r="D22" s="62"/>
      <c r="E22" s="62"/>
      <c r="F22" s="62"/>
      <c r="G22" s="62"/>
      <c r="H22" s="62"/>
      <c r="I22" s="62"/>
      <c r="J22" s="62"/>
      <c r="K22" s="62"/>
      <c r="L22" s="62"/>
      <c r="N22" s="62"/>
      <c r="O22" s="62"/>
      <c r="P22" s="62"/>
    </row>
    <row r="23" spans="2:63" ht="15">
      <c r="B23" s="68" t="s">
        <v>191</v>
      </c>
      <c r="C23" s="68" t="s">
        <v>192</v>
      </c>
      <c r="D23" s="63" t="s">
        <v>193</v>
      </c>
      <c r="E23" s="63" t="s">
        <v>55</v>
      </c>
      <c r="F23" s="63" t="s">
        <v>195</v>
      </c>
      <c r="G23" s="62"/>
      <c r="H23" s="68" t="s">
        <v>191</v>
      </c>
      <c r="I23" s="68" t="s">
        <v>192</v>
      </c>
      <c r="J23" s="63" t="s">
        <v>193</v>
      </c>
      <c r="K23" s="63" t="s">
        <v>55</v>
      </c>
      <c r="L23" s="63" t="s">
        <v>195</v>
      </c>
      <c r="N23" s="62"/>
      <c r="O23" s="62"/>
      <c r="P23" s="62"/>
    </row>
    <row r="24" spans="2:63" ht="15">
      <c r="B24" s="224" t="s">
        <v>200</v>
      </c>
      <c r="C24" s="224" t="s">
        <v>201</v>
      </c>
      <c r="D24" s="221">
        <v>300</v>
      </c>
      <c r="E24" s="221">
        <v>35</v>
      </c>
      <c r="F24" s="212">
        <f>IFERROR(E24*D24,0)</f>
        <v>10500</v>
      </c>
      <c r="G24" s="80"/>
      <c r="H24" s="224" t="s">
        <v>186</v>
      </c>
      <c r="I24" s="224" t="s">
        <v>202</v>
      </c>
      <c r="J24" s="221">
        <v>8</v>
      </c>
      <c r="K24" s="221">
        <v>80</v>
      </c>
      <c r="L24" s="212">
        <f>IFERROR(J24*K24,0)</f>
        <v>640</v>
      </c>
      <c r="M24" s="80"/>
      <c r="N24" s="80"/>
      <c r="O24" s="80"/>
      <c r="P24" s="80"/>
      <c r="Q24" s="80"/>
      <c r="R24" s="80"/>
      <c r="S24" s="80"/>
      <c r="T24" s="80"/>
      <c r="U24" s="80"/>
    </row>
    <row r="25" spans="2:63" ht="15">
      <c r="B25" s="224"/>
      <c r="C25" s="224"/>
      <c r="D25" s="221"/>
      <c r="E25" s="221"/>
      <c r="F25" s="212">
        <f t="shared" ref="F25:F33" si="4">IFERROR(E25*D25,0)</f>
        <v>0</v>
      </c>
      <c r="G25" s="80"/>
      <c r="H25" s="224"/>
      <c r="I25" s="224"/>
      <c r="J25" s="221"/>
      <c r="K25" s="221"/>
      <c r="L25" s="212">
        <f t="shared" ref="L25:L33" si="5">IFERROR(J25*K25,0)</f>
        <v>0</v>
      </c>
      <c r="M25" s="80"/>
      <c r="N25" s="84"/>
      <c r="O25" s="80"/>
      <c r="P25" s="80"/>
      <c r="Q25" s="80"/>
      <c r="R25" s="80"/>
      <c r="S25" s="80"/>
      <c r="T25" s="80"/>
      <c r="U25" s="80"/>
    </row>
    <row r="26" spans="2:63" ht="15" customHeight="1">
      <c r="B26" s="224"/>
      <c r="C26" s="224"/>
      <c r="D26" s="221"/>
      <c r="E26" s="221"/>
      <c r="F26" s="212">
        <f t="shared" si="4"/>
        <v>0</v>
      </c>
      <c r="G26" s="80"/>
      <c r="H26" s="224"/>
      <c r="I26" s="224"/>
      <c r="J26" s="221"/>
      <c r="K26" s="221"/>
      <c r="L26" s="212">
        <f t="shared" si="5"/>
        <v>0</v>
      </c>
      <c r="M26" s="80"/>
      <c r="N26" s="275" t="s">
        <v>203</v>
      </c>
      <c r="O26" s="275"/>
      <c r="P26" s="275"/>
      <c r="Q26" s="275"/>
      <c r="R26" s="275"/>
      <c r="S26" s="275"/>
      <c r="T26" s="275"/>
      <c r="U26" s="275"/>
      <c r="V26" s="275"/>
    </row>
    <row r="27" spans="2:63" ht="15">
      <c r="B27" s="224"/>
      <c r="C27" s="224"/>
      <c r="D27" s="221"/>
      <c r="E27" s="221"/>
      <c r="F27" s="212">
        <f t="shared" si="4"/>
        <v>0</v>
      </c>
      <c r="G27" s="80"/>
      <c r="H27" s="224"/>
      <c r="I27" s="224"/>
      <c r="J27" s="221"/>
      <c r="K27" s="221"/>
      <c r="L27" s="212">
        <f t="shared" si="5"/>
        <v>0</v>
      </c>
      <c r="M27" s="80"/>
      <c r="N27" s="275"/>
      <c r="O27" s="275"/>
      <c r="P27" s="275"/>
      <c r="Q27" s="275"/>
      <c r="R27" s="275"/>
      <c r="S27" s="275"/>
      <c r="T27" s="275"/>
      <c r="U27" s="275"/>
      <c r="V27" s="275"/>
    </row>
    <row r="28" spans="2:63" ht="15">
      <c r="B28" s="224"/>
      <c r="C28" s="224"/>
      <c r="D28" s="221"/>
      <c r="E28" s="221"/>
      <c r="F28" s="212">
        <f t="shared" si="4"/>
        <v>0</v>
      </c>
      <c r="G28" s="80"/>
      <c r="H28" s="224"/>
      <c r="I28" s="224"/>
      <c r="J28" s="221"/>
      <c r="K28" s="221"/>
      <c r="L28" s="212">
        <f t="shared" si="5"/>
        <v>0</v>
      </c>
      <c r="M28" s="80"/>
      <c r="N28" s="275"/>
      <c r="O28" s="275"/>
      <c r="P28" s="275"/>
      <c r="Q28" s="275"/>
      <c r="R28" s="275"/>
      <c r="S28" s="275"/>
      <c r="T28" s="275"/>
      <c r="U28" s="275"/>
      <c r="V28" s="275"/>
    </row>
    <row r="29" spans="2:63" ht="15">
      <c r="B29" s="224"/>
      <c r="C29" s="224"/>
      <c r="D29" s="221"/>
      <c r="E29" s="221"/>
      <c r="F29" s="212">
        <f t="shared" si="4"/>
        <v>0</v>
      </c>
      <c r="G29" s="80"/>
      <c r="H29" s="224"/>
      <c r="I29" s="224"/>
      <c r="J29" s="221"/>
      <c r="K29" s="221"/>
      <c r="L29" s="212">
        <f t="shared" si="5"/>
        <v>0</v>
      </c>
      <c r="M29" s="80"/>
      <c r="N29" s="275"/>
      <c r="O29" s="275"/>
      <c r="P29" s="275"/>
      <c r="Q29" s="275"/>
      <c r="R29" s="275"/>
      <c r="S29" s="275"/>
      <c r="T29" s="275"/>
      <c r="U29" s="275"/>
      <c r="V29" s="275"/>
    </row>
    <row r="30" spans="2:63" ht="15">
      <c r="B30" s="224"/>
      <c r="C30" s="224"/>
      <c r="D30" s="221"/>
      <c r="E30" s="221"/>
      <c r="F30" s="212">
        <f t="shared" si="4"/>
        <v>0</v>
      </c>
      <c r="G30" s="80"/>
      <c r="H30" s="224"/>
      <c r="I30" s="224"/>
      <c r="J30" s="221"/>
      <c r="K30" s="221"/>
      <c r="L30" s="212">
        <f t="shared" si="5"/>
        <v>0</v>
      </c>
      <c r="M30" s="80"/>
      <c r="N30" s="80"/>
      <c r="O30" s="80"/>
      <c r="P30" s="80"/>
      <c r="Q30" s="80"/>
      <c r="R30" s="80"/>
      <c r="S30" s="80"/>
      <c r="T30" s="80"/>
      <c r="U30" s="80"/>
    </row>
    <row r="31" spans="2:63" ht="15">
      <c r="B31" s="224"/>
      <c r="C31" s="224"/>
      <c r="D31" s="221"/>
      <c r="E31" s="221"/>
      <c r="F31" s="212">
        <f t="shared" si="4"/>
        <v>0</v>
      </c>
      <c r="G31" s="80"/>
      <c r="H31" s="224"/>
      <c r="I31" s="224"/>
      <c r="J31" s="221"/>
      <c r="K31" s="221"/>
      <c r="L31" s="212">
        <f t="shared" si="5"/>
        <v>0</v>
      </c>
      <c r="M31" s="80"/>
      <c r="N31" s="80"/>
      <c r="O31" s="80"/>
      <c r="P31" s="80"/>
      <c r="Q31" s="80"/>
      <c r="R31" s="80"/>
      <c r="S31" s="80"/>
      <c r="T31" s="80"/>
      <c r="U31" s="80"/>
    </row>
    <row r="32" spans="2:63" ht="15">
      <c r="B32" s="224"/>
      <c r="C32" s="224"/>
      <c r="D32" s="221"/>
      <c r="E32" s="221"/>
      <c r="F32" s="212">
        <f t="shared" si="4"/>
        <v>0</v>
      </c>
      <c r="G32" s="62"/>
      <c r="H32" s="224"/>
      <c r="I32" s="224"/>
      <c r="J32" s="221"/>
      <c r="K32" s="221"/>
      <c r="L32" s="212">
        <f t="shared" si="5"/>
        <v>0</v>
      </c>
      <c r="M32" s="62"/>
      <c r="N32" s="62"/>
      <c r="O32" s="62"/>
      <c r="P32" s="62"/>
      <c r="Q32" s="62"/>
      <c r="R32" s="62"/>
      <c r="S32" s="62"/>
      <c r="T32" s="80"/>
      <c r="U32" s="80"/>
    </row>
    <row r="33" spans="2:40" ht="15">
      <c r="B33" s="224"/>
      <c r="C33" s="224"/>
      <c r="D33" s="221"/>
      <c r="E33" s="221"/>
      <c r="F33" s="212">
        <f t="shared" si="4"/>
        <v>0</v>
      </c>
      <c r="G33" s="62"/>
      <c r="H33" s="224"/>
      <c r="I33" s="224"/>
      <c r="J33" s="221"/>
      <c r="K33" s="221"/>
      <c r="L33" s="212">
        <f t="shared" si="5"/>
        <v>0</v>
      </c>
      <c r="M33" s="62"/>
      <c r="N33" s="62"/>
      <c r="O33" s="62"/>
      <c r="P33" s="62"/>
      <c r="Q33" s="62"/>
      <c r="R33" s="62"/>
      <c r="S33" s="62"/>
      <c r="T33" s="80"/>
      <c r="U33" s="80"/>
    </row>
    <row r="34" spans="2:40" ht="15">
      <c r="B34" s="62"/>
      <c r="C34" s="62"/>
      <c r="D34" s="62"/>
      <c r="E34" s="62"/>
      <c r="F34" s="62"/>
      <c r="G34" s="62"/>
      <c r="H34" s="62"/>
      <c r="I34" s="62"/>
      <c r="J34" s="62"/>
      <c r="K34" s="62"/>
      <c r="L34" s="62"/>
      <c r="M34" s="62"/>
      <c r="N34" s="62"/>
      <c r="O34" s="62"/>
      <c r="P34" s="62"/>
      <c r="Q34" s="62"/>
      <c r="R34" s="62"/>
      <c r="S34" s="62"/>
      <c r="T34" s="80"/>
      <c r="U34" s="80"/>
    </row>
    <row r="35" spans="2:40" ht="15.6">
      <c r="B35" s="19" t="s">
        <v>81</v>
      </c>
      <c r="T35" s="14"/>
      <c r="U35" s="14"/>
    </row>
    <row r="36" spans="2:40" ht="15.6">
      <c r="B36" s="19"/>
      <c r="F36" s="63" t="s">
        <v>195</v>
      </c>
      <c r="T36" s="14"/>
      <c r="U36" s="14"/>
      <c r="V36" s="14"/>
    </row>
    <row r="37" spans="2:40" ht="15.6">
      <c r="C37" s="305" t="s">
        <v>204</v>
      </c>
      <c r="D37" s="305"/>
      <c r="E37" s="305"/>
      <c r="F37" s="217">
        <f>SUM(F9:F18)+SUM(F24:F33)</f>
        <v>11158</v>
      </c>
      <c r="T37" s="14"/>
      <c r="U37" s="14"/>
      <c r="V37" s="14"/>
    </row>
    <row r="38" spans="2:40" ht="15.6">
      <c r="C38" s="305" t="s">
        <v>205</v>
      </c>
      <c r="D38" s="305"/>
      <c r="E38" s="305"/>
      <c r="F38" s="217">
        <f>SUM(L9:L18)+SUM(L24:L33)</f>
        <v>976</v>
      </c>
      <c r="T38" s="14"/>
      <c r="U38" s="14"/>
      <c r="V38" s="14"/>
    </row>
    <row r="39" spans="2:40" ht="15.6">
      <c r="C39" s="305" t="s">
        <v>206</v>
      </c>
      <c r="D39" s="305"/>
      <c r="E39" s="305"/>
      <c r="F39" s="217">
        <f>F37+F38</f>
        <v>12134</v>
      </c>
      <c r="T39" s="14"/>
      <c r="U39" s="14"/>
      <c r="V39" s="14"/>
    </row>
    <row r="40" spans="2:40">
      <c r="T40" s="14"/>
      <c r="U40" s="14"/>
      <c r="V40" s="14"/>
    </row>
    <row r="41" spans="2:40" ht="15">
      <c r="B41" s="130" t="s">
        <v>31</v>
      </c>
    </row>
    <row r="45" spans="2:40">
      <c r="AN45" s="14"/>
    </row>
    <row r="46" spans="2:40">
      <c r="AN46" s="14"/>
    </row>
    <row r="47" spans="2:40">
      <c r="AN47" s="14"/>
    </row>
    <row r="48" spans="2:40">
      <c r="AN48" s="14"/>
    </row>
    <row r="49" spans="3:40">
      <c r="AN49" s="14"/>
    </row>
    <row r="50" spans="3:40">
      <c r="AN50" s="14"/>
    </row>
    <row r="51" spans="3:40">
      <c r="AN51" s="14"/>
    </row>
    <row r="52" spans="3:40">
      <c r="AN52" s="14"/>
    </row>
    <row r="53" spans="3:40">
      <c r="AN53" s="14"/>
    </row>
    <row r="54" spans="3:40">
      <c r="AN54" s="14"/>
    </row>
    <row r="55" spans="3:40">
      <c r="AN55" s="14"/>
    </row>
    <row r="56" spans="3:40">
      <c r="AN56" s="14"/>
    </row>
    <row r="57" spans="3:40">
      <c r="AN57" s="14"/>
    </row>
    <row r="58" spans="3:40" ht="15">
      <c r="C58" s="62"/>
      <c r="U58" s="14"/>
      <c r="V58" s="14"/>
      <c r="AN58" s="14"/>
    </row>
    <row r="59" spans="3:40" ht="15">
      <c r="C59" s="62"/>
      <c r="U59" s="14"/>
      <c r="V59" s="14"/>
      <c r="AN59" s="14"/>
    </row>
    <row r="60" spans="3:40">
      <c r="U60" s="14"/>
      <c r="V60" s="14"/>
    </row>
    <row r="61" spans="3:40" ht="15.6">
      <c r="G61" s="14"/>
      <c r="H61" s="14"/>
      <c r="I61" s="14"/>
      <c r="J61" s="14"/>
      <c r="K61" s="14"/>
      <c r="L61" s="14"/>
      <c r="M61" s="14"/>
      <c r="N61" s="14"/>
      <c r="O61" s="14"/>
      <c r="U61" s="14"/>
      <c r="V61" s="14"/>
      <c r="AJ61" s="14"/>
      <c r="AK61" s="14"/>
      <c r="AL61" s="14"/>
      <c r="AM61" s="81" t="s">
        <v>172</v>
      </c>
      <c r="AN61" s="14"/>
    </row>
    <row r="62" spans="3:40">
      <c r="G62" s="14"/>
      <c r="H62" s="14"/>
      <c r="I62" s="14"/>
      <c r="J62" s="14"/>
      <c r="K62" s="14"/>
      <c r="L62" s="14"/>
      <c r="M62" s="14"/>
      <c r="N62" s="14"/>
      <c r="O62" s="14"/>
      <c r="P62" s="14"/>
      <c r="Q62" s="14"/>
      <c r="R62" s="14"/>
      <c r="S62" s="14"/>
      <c r="T62" s="14"/>
      <c r="U62" s="14"/>
      <c r="V62" s="14"/>
    </row>
    <row r="63" spans="3:40">
      <c r="G63" s="14"/>
      <c r="H63" s="14"/>
      <c r="I63" s="14"/>
      <c r="J63" s="14"/>
      <c r="K63" s="14"/>
      <c r="L63" s="14"/>
      <c r="M63" s="14"/>
      <c r="N63" s="14"/>
      <c r="O63" s="14"/>
      <c r="P63" s="14"/>
      <c r="Q63" s="14"/>
      <c r="R63" s="14"/>
      <c r="S63" s="14"/>
      <c r="T63" s="14"/>
      <c r="U63" s="14"/>
      <c r="V63" s="14"/>
    </row>
    <row r="64" spans="3:40">
      <c r="G64" s="14"/>
      <c r="H64" s="14"/>
      <c r="I64" s="14"/>
      <c r="J64" s="14"/>
      <c r="K64" s="14"/>
      <c r="L64" s="14"/>
      <c r="M64" s="14"/>
      <c r="N64" s="14"/>
      <c r="O64" s="14"/>
      <c r="P64" s="14"/>
      <c r="Q64" s="14"/>
      <c r="R64" s="14"/>
      <c r="S64" s="14"/>
      <c r="T64" s="14"/>
      <c r="U64" s="14"/>
      <c r="V64" s="14"/>
    </row>
    <row r="65" spans="1:33">
      <c r="G65" s="14"/>
      <c r="H65" s="14"/>
      <c r="I65" s="14"/>
      <c r="J65" s="14"/>
      <c r="K65" s="14"/>
      <c r="L65" s="14"/>
      <c r="M65" s="14"/>
      <c r="N65" s="14"/>
      <c r="O65" s="14"/>
      <c r="P65" s="14"/>
      <c r="Q65" s="14"/>
      <c r="R65" s="14"/>
      <c r="S65" s="14"/>
      <c r="T65" s="14"/>
      <c r="U65" s="14"/>
      <c r="V65" s="14"/>
    </row>
    <row r="66" spans="1:33">
      <c r="G66" s="14"/>
      <c r="H66" s="14"/>
      <c r="I66" s="14"/>
      <c r="J66" s="14"/>
      <c r="K66" s="14"/>
      <c r="L66" s="14"/>
      <c r="M66" s="14"/>
      <c r="N66" s="14"/>
      <c r="O66" s="14"/>
      <c r="P66" s="14"/>
      <c r="Q66" s="14"/>
      <c r="R66" s="14"/>
      <c r="S66" s="14"/>
      <c r="T66" s="14"/>
      <c r="U66" s="14"/>
      <c r="V66" s="14"/>
    </row>
    <row r="67" spans="1:33">
      <c r="G67" s="14"/>
      <c r="H67" s="14"/>
      <c r="I67" s="14"/>
      <c r="J67" s="14"/>
      <c r="K67" s="14"/>
      <c r="L67" s="14"/>
      <c r="M67" s="14"/>
      <c r="N67" s="14"/>
      <c r="O67" s="14"/>
      <c r="P67" s="14"/>
      <c r="Q67" s="14"/>
      <c r="R67" s="14"/>
      <c r="S67" s="14"/>
      <c r="T67" s="14"/>
      <c r="U67" s="14"/>
      <c r="V67" s="14"/>
    </row>
    <row r="68" spans="1:33">
      <c r="G68" s="14"/>
      <c r="H68" s="14"/>
      <c r="I68" s="14"/>
      <c r="J68" s="14"/>
      <c r="K68" s="14"/>
      <c r="L68" s="14"/>
      <c r="M68" s="14"/>
      <c r="N68" s="14"/>
      <c r="O68" s="14"/>
      <c r="P68" s="14"/>
      <c r="Q68" s="14"/>
      <c r="R68" s="14"/>
      <c r="S68" s="14"/>
      <c r="T68" s="14"/>
      <c r="U68" s="14"/>
      <c r="V68" s="14"/>
    </row>
    <row r="69" spans="1:33">
      <c r="G69" s="14"/>
      <c r="H69" s="14"/>
      <c r="I69" s="14"/>
      <c r="J69" s="14"/>
      <c r="K69" s="14"/>
      <c r="L69" s="14"/>
      <c r="M69" s="14"/>
      <c r="N69" s="14"/>
      <c r="O69" s="14"/>
      <c r="P69" s="14"/>
      <c r="Q69" s="14"/>
      <c r="R69" s="14"/>
      <c r="S69" s="14"/>
      <c r="T69" s="14"/>
      <c r="U69" s="14"/>
      <c r="V69" s="14"/>
    </row>
    <row r="70" spans="1:33">
      <c r="G70" s="14"/>
      <c r="H70" s="14"/>
      <c r="I70" s="14"/>
      <c r="J70" s="14"/>
      <c r="K70" s="14"/>
      <c r="L70" s="14"/>
      <c r="M70" s="14"/>
      <c r="N70" s="14"/>
      <c r="O70" s="14"/>
      <c r="P70" s="14"/>
      <c r="Q70" s="14"/>
      <c r="R70" s="14"/>
      <c r="S70" s="14"/>
      <c r="T70" s="14"/>
      <c r="U70" s="14"/>
      <c r="V70" s="14"/>
    </row>
    <row r="71" spans="1:33">
      <c r="G71" s="14"/>
      <c r="H71" s="14"/>
      <c r="I71" s="14"/>
      <c r="J71" s="14"/>
      <c r="K71" s="14"/>
      <c r="L71" s="14"/>
      <c r="M71" s="14"/>
      <c r="N71" s="14"/>
      <c r="O71" s="14"/>
      <c r="P71" s="14"/>
      <c r="Q71" s="14"/>
      <c r="R71" s="14"/>
      <c r="S71" s="14"/>
      <c r="T71" s="14"/>
      <c r="U71" s="14"/>
      <c r="V71" s="14"/>
    </row>
    <row r="72" spans="1:33">
      <c r="G72" s="14"/>
      <c r="H72" s="14"/>
      <c r="I72" s="14"/>
      <c r="J72" s="14"/>
      <c r="K72" s="14"/>
      <c r="L72" s="14"/>
      <c r="M72" s="14"/>
      <c r="N72" s="14"/>
      <c r="O72" s="14"/>
      <c r="P72" s="14"/>
      <c r="Q72" s="14"/>
      <c r="R72" s="14"/>
      <c r="S72" s="14"/>
      <c r="T72" s="14"/>
      <c r="U72" s="14"/>
      <c r="V72" s="14"/>
    </row>
    <row r="73" spans="1:33" ht="12" customHeight="1"/>
    <row r="74" spans="1:33" ht="30" customHeight="1" thickBot="1"/>
    <row r="75" spans="1:33" ht="30" customHeight="1">
      <c r="A75" s="37" t="s">
        <v>207</v>
      </c>
      <c r="B75" s="27"/>
      <c r="C75" s="27"/>
      <c r="D75" s="27"/>
      <c r="E75" s="27"/>
      <c r="F75" s="27"/>
      <c r="G75" s="27"/>
      <c r="H75" s="27"/>
      <c r="I75" s="27"/>
      <c r="J75" s="27"/>
      <c r="K75" s="27"/>
      <c r="L75" s="27"/>
      <c r="M75" s="27"/>
      <c r="N75" s="28"/>
      <c r="O75" s="26"/>
      <c r="P75" s="38" t="s">
        <v>207</v>
      </c>
      <c r="Q75" s="38"/>
      <c r="R75" s="27"/>
      <c r="S75" s="27"/>
      <c r="T75" s="27"/>
      <c r="U75" s="27"/>
      <c r="V75" s="27"/>
      <c r="W75" s="27"/>
      <c r="X75" s="27"/>
      <c r="Y75" s="27"/>
      <c r="Z75" s="27"/>
      <c r="AA75" s="27"/>
      <c r="AB75" s="27"/>
      <c r="AC75" s="27"/>
      <c r="AD75" s="27"/>
      <c r="AE75" s="27"/>
      <c r="AF75" s="27"/>
      <c r="AG75" s="28"/>
    </row>
    <row r="76" spans="1:33" ht="66.599999999999994">
      <c r="A76" s="33" t="s">
        <v>208</v>
      </c>
      <c r="B76" s="22" t="s">
        <v>157</v>
      </c>
      <c r="C76" s="22" t="s">
        <v>158</v>
      </c>
      <c r="D76" s="22" t="s">
        <v>159</v>
      </c>
      <c r="E76" s="22" t="s">
        <v>161</v>
      </c>
      <c r="F76" s="22" t="s">
        <v>162</v>
      </c>
      <c r="G76" s="22" t="s">
        <v>163</v>
      </c>
      <c r="H76" s="22" t="s">
        <v>164</v>
      </c>
      <c r="I76" s="22" t="s">
        <v>165</v>
      </c>
      <c r="J76" s="22" t="s">
        <v>166</v>
      </c>
      <c r="K76" s="22" t="s">
        <v>168</v>
      </c>
      <c r="L76" s="22" t="s">
        <v>209</v>
      </c>
      <c r="M76" s="22" t="s">
        <v>169</v>
      </c>
      <c r="N76" s="29"/>
      <c r="O76" s="5"/>
      <c r="P76" s="21" t="s">
        <v>210</v>
      </c>
      <c r="Q76" s="21"/>
      <c r="R76" s="22" t="s">
        <v>187</v>
      </c>
      <c r="S76" s="22" t="s">
        <v>186</v>
      </c>
      <c r="T76" s="22" t="s">
        <v>185</v>
      </c>
      <c r="U76" s="22" t="s">
        <v>183</v>
      </c>
      <c r="V76" s="22" t="s">
        <v>211</v>
      </c>
      <c r="W76" s="22" t="s">
        <v>182</v>
      </c>
      <c r="X76" s="22"/>
      <c r="Y76" s="22" t="s">
        <v>180</v>
      </c>
      <c r="Z76" s="22"/>
      <c r="AA76" s="22" t="s">
        <v>178</v>
      </c>
      <c r="AB76" s="22" t="s">
        <v>177</v>
      </c>
      <c r="AC76" s="22" t="s">
        <v>176</v>
      </c>
      <c r="AD76" s="22"/>
      <c r="AE76" s="22" t="s">
        <v>174</v>
      </c>
      <c r="AF76" s="22" t="s">
        <v>173</v>
      </c>
      <c r="AG76" s="29"/>
    </row>
    <row r="77" spans="1:33">
      <c r="A77" s="34" t="s">
        <v>156</v>
      </c>
      <c r="B77" s="20">
        <v>499</v>
      </c>
      <c r="C77" s="20">
        <v>126</v>
      </c>
      <c r="D77" s="20">
        <v>320</v>
      </c>
      <c r="E77" s="20">
        <v>421</v>
      </c>
      <c r="F77" s="20">
        <v>357</v>
      </c>
      <c r="G77" s="20">
        <v>236</v>
      </c>
      <c r="H77" s="20">
        <v>537</v>
      </c>
      <c r="I77" s="20">
        <v>234</v>
      </c>
      <c r="J77" s="20">
        <v>278</v>
      </c>
      <c r="K77" s="20">
        <v>205</v>
      </c>
      <c r="L77" s="20">
        <v>457</v>
      </c>
      <c r="M77" s="20">
        <v>658</v>
      </c>
      <c r="N77" s="30"/>
      <c r="O77" s="5"/>
      <c r="P77" s="270" t="s">
        <v>212</v>
      </c>
      <c r="Q77" s="270"/>
      <c r="R77" s="20">
        <v>394</v>
      </c>
      <c r="S77" s="20">
        <v>89</v>
      </c>
      <c r="T77" s="20">
        <v>276</v>
      </c>
      <c r="U77" s="20">
        <v>338</v>
      </c>
      <c r="V77" s="20">
        <v>368</v>
      </c>
      <c r="W77" s="20">
        <v>493</v>
      </c>
      <c r="X77" s="20"/>
      <c r="Y77" s="20">
        <v>510</v>
      </c>
      <c r="Z77" s="20"/>
      <c r="AA77" s="20">
        <v>422</v>
      </c>
      <c r="AB77" s="20">
        <v>400</v>
      </c>
      <c r="AC77" s="20">
        <v>566</v>
      </c>
      <c r="AD77" s="20"/>
      <c r="AE77" s="20">
        <v>338</v>
      </c>
      <c r="AF77" s="20">
        <v>419</v>
      </c>
      <c r="AG77" s="30"/>
    </row>
    <row r="78" spans="1:33" ht="12.75" customHeight="1">
      <c r="A78" s="34" t="s">
        <v>157</v>
      </c>
      <c r="B78" s="20"/>
      <c r="C78" s="20">
        <v>394</v>
      </c>
      <c r="D78" s="20">
        <v>819</v>
      </c>
      <c r="E78" s="20">
        <v>215</v>
      </c>
      <c r="F78" s="20">
        <v>585</v>
      </c>
      <c r="G78" s="20">
        <v>735</v>
      </c>
      <c r="H78" s="20">
        <v>393</v>
      </c>
      <c r="I78" s="20">
        <v>286</v>
      </c>
      <c r="J78" s="20">
        <v>332</v>
      </c>
      <c r="K78" s="20">
        <v>298</v>
      </c>
      <c r="L78" s="20">
        <v>467</v>
      </c>
      <c r="M78" s="20">
        <v>538</v>
      </c>
      <c r="N78" s="30"/>
      <c r="O78" s="5"/>
      <c r="P78" s="20" t="s">
        <v>187</v>
      </c>
      <c r="Q78" s="20"/>
      <c r="R78" s="20"/>
      <c r="S78" s="20">
        <v>308</v>
      </c>
      <c r="T78" s="20">
        <v>670</v>
      </c>
      <c r="U78" s="20">
        <v>324</v>
      </c>
      <c r="V78" s="20">
        <v>364</v>
      </c>
      <c r="W78" s="20">
        <v>887</v>
      </c>
      <c r="X78" s="20"/>
      <c r="Y78" s="20">
        <v>116</v>
      </c>
      <c r="Z78" s="20"/>
      <c r="AA78" s="20">
        <v>28</v>
      </c>
      <c r="AB78" s="20">
        <v>794</v>
      </c>
      <c r="AC78" s="20">
        <v>960</v>
      </c>
      <c r="AD78" s="20"/>
      <c r="AE78" s="20">
        <v>745</v>
      </c>
      <c r="AF78" s="20">
        <v>264</v>
      </c>
      <c r="AG78" s="30"/>
    </row>
    <row r="79" spans="1:33">
      <c r="A79" s="34" t="s">
        <v>158</v>
      </c>
      <c r="B79" s="20"/>
      <c r="C79" s="20"/>
      <c r="D79" s="20">
        <v>446</v>
      </c>
      <c r="E79" s="20">
        <v>295</v>
      </c>
      <c r="F79" s="20">
        <v>231</v>
      </c>
      <c r="G79" s="20">
        <v>362</v>
      </c>
      <c r="H79" s="20">
        <v>411</v>
      </c>
      <c r="I79" s="20">
        <v>108</v>
      </c>
      <c r="J79" s="20">
        <v>152</v>
      </c>
      <c r="K79" s="20">
        <v>106</v>
      </c>
      <c r="L79" s="20">
        <v>331</v>
      </c>
      <c r="M79" s="20">
        <v>532</v>
      </c>
      <c r="N79" s="30"/>
      <c r="O79" s="5"/>
      <c r="P79" s="20" t="s">
        <v>186</v>
      </c>
      <c r="Q79" s="20"/>
      <c r="R79" s="20"/>
      <c r="S79" s="20"/>
      <c r="T79" s="20">
        <v>362</v>
      </c>
      <c r="U79" s="20">
        <v>258</v>
      </c>
      <c r="V79" s="20">
        <v>267</v>
      </c>
      <c r="W79" s="20">
        <v>579</v>
      </c>
      <c r="X79" s="20"/>
      <c r="Y79" s="20">
        <v>424</v>
      </c>
      <c r="Z79" s="20"/>
      <c r="AA79" s="20">
        <v>336</v>
      </c>
      <c r="AB79" s="20">
        <v>486</v>
      </c>
      <c r="AC79" s="20">
        <v>652</v>
      </c>
      <c r="AD79" s="20"/>
      <c r="AE79" s="20">
        <v>424</v>
      </c>
      <c r="AF79" s="20">
        <v>333</v>
      </c>
      <c r="AG79" s="30"/>
    </row>
    <row r="80" spans="1:33">
      <c r="A80" s="34" t="s">
        <v>159</v>
      </c>
      <c r="B80" s="20"/>
      <c r="C80" s="20"/>
      <c r="D80" s="20"/>
      <c r="E80" s="20">
        <v>744</v>
      </c>
      <c r="F80" s="20">
        <v>677</v>
      </c>
      <c r="G80" s="20">
        <v>107</v>
      </c>
      <c r="H80" s="20">
        <v>861</v>
      </c>
      <c r="I80" s="20">
        <v>554</v>
      </c>
      <c r="J80" s="20">
        <v>598</v>
      </c>
      <c r="K80" s="20">
        <v>525</v>
      </c>
      <c r="L80" s="20">
        <v>777</v>
      </c>
      <c r="M80" s="20">
        <v>978</v>
      </c>
      <c r="N80" s="30"/>
      <c r="O80" s="5"/>
      <c r="P80" s="20" t="s">
        <v>185</v>
      </c>
      <c r="Q80" s="20"/>
      <c r="R80" s="20"/>
      <c r="S80" s="20"/>
      <c r="T80" s="20"/>
      <c r="U80" s="20">
        <v>551</v>
      </c>
      <c r="V80" s="20">
        <v>702</v>
      </c>
      <c r="W80" s="20">
        <v>217</v>
      </c>
      <c r="X80" s="20"/>
      <c r="Y80" s="20">
        <v>786</v>
      </c>
      <c r="Z80" s="20"/>
      <c r="AA80" s="20">
        <v>698</v>
      </c>
      <c r="AB80" s="20">
        <v>283</v>
      </c>
      <c r="AC80" s="20">
        <v>290</v>
      </c>
      <c r="AD80" s="20"/>
      <c r="AE80" s="20">
        <v>276</v>
      </c>
      <c r="AF80" s="20">
        <v>695</v>
      </c>
      <c r="AG80" s="30"/>
    </row>
    <row r="81" spans="1:33">
      <c r="A81" s="34" t="s">
        <v>161</v>
      </c>
      <c r="B81" s="20"/>
      <c r="C81" s="20"/>
      <c r="D81" s="20"/>
      <c r="E81" s="20"/>
      <c r="F81" s="20">
        <v>412</v>
      </c>
      <c r="G81" s="20">
        <v>657</v>
      </c>
      <c r="H81" s="20">
        <v>178</v>
      </c>
      <c r="I81" s="20">
        <v>223</v>
      </c>
      <c r="J81" s="20">
        <v>143</v>
      </c>
      <c r="K81" s="20">
        <v>299</v>
      </c>
      <c r="L81" s="20">
        <v>252</v>
      </c>
      <c r="M81" s="20">
        <v>323</v>
      </c>
      <c r="N81" s="30"/>
      <c r="O81" s="5"/>
      <c r="P81" s="20" t="s">
        <v>183</v>
      </c>
      <c r="Q81" s="20"/>
      <c r="R81" s="20"/>
      <c r="S81" s="20"/>
      <c r="T81" s="20"/>
      <c r="U81" s="20"/>
      <c r="V81" s="20">
        <v>40</v>
      </c>
      <c r="W81" s="20">
        <v>769</v>
      </c>
      <c r="X81" s="20"/>
      <c r="Y81" s="20">
        <v>290</v>
      </c>
      <c r="Z81" s="20"/>
      <c r="AA81" s="20">
        <v>352</v>
      </c>
      <c r="AB81" s="20">
        <v>583</v>
      </c>
      <c r="AC81" s="20">
        <v>739</v>
      </c>
      <c r="AD81" s="20"/>
      <c r="AE81" s="20">
        <v>469</v>
      </c>
      <c r="AF81" s="20">
        <v>101</v>
      </c>
      <c r="AG81" s="30"/>
    </row>
    <row r="82" spans="1:33">
      <c r="A82" s="34" t="s">
        <v>162</v>
      </c>
      <c r="B82" s="20"/>
      <c r="C82" s="20"/>
      <c r="D82" s="20"/>
      <c r="E82" s="20"/>
      <c r="F82" s="20"/>
      <c r="G82" s="20">
        <v>593</v>
      </c>
      <c r="H82" s="20">
        <v>234</v>
      </c>
      <c r="I82" s="20">
        <v>299</v>
      </c>
      <c r="J82" s="20">
        <v>296</v>
      </c>
      <c r="K82" s="20">
        <v>308</v>
      </c>
      <c r="L82" s="20">
        <v>160</v>
      </c>
      <c r="M82" s="20">
        <v>355</v>
      </c>
      <c r="N82" s="30"/>
      <c r="O82" s="5"/>
      <c r="P82" s="20" t="s">
        <v>211</v>
      </c>
      <c r="Q82" s="20"/>
      <c r="R82" s="20"/>
      <c r="S82" s="20"/>
      <c r="T82" s="20"/>
      <c r="U82" s="20"/>
      <c r="V82" s="20"/>
      <c r="W82" s="20">
        <v>714</v>
      </c>
      <c r="X82" s="20"/>
      <c r="Y82" s="20">
        <v>330</v>
      </c>
      <c r="Z82" s="20"/>
      <c r="AA82" s="20">
        <v>392</v>
      </c>
      <c r="AB82" s="20">
        <v>543</v>
      </c>
      <c r="AC82" s="20">
        <v>699</v>
      </c>
      <c r="AD82" s="20"/>
      <c r="AE82" s="20">
        <v>426</v>
      </c>
      <c r="AF82" s="20">
        <v>141</v>
      </c>
      <c r="AG82" s="30"/>
    </row>
    <row r="83" spans="1:33">
      <c r="A83" s="34" t="s">
        <v>163</v>
      </c>
      <c r="B83" s="20"/>
      <c r="C83" s="20"/>
      <c r="D83" s="20"/>
      <c r="E83" s="20"/>
      <c r="F83" s="20"/>
      <c r="G83" s="20"/>
      <c r="H83" s="20">
        <v>773</v>
      </c>
      <c r="I83" s="20">
        <v>470</v>
      </c>
      <c r="J83" s="20">
        <v>514</v>
      </c>
      <c r="K83" s="20">
        <v>441</v>
      </c>
      <c r="L83" s="20">
        <v>693</v>
      </c>
      <c r="M83" s="20">
        <v>894</v>
      </c>
      <c r="N83" s="30"/>
      <c r="O83" s="5"/>
      <c r="P83" s="20" t="s">
        <v>182</v>
      </c>
      <c r="Q83" s="20"/>
      <c r="R83" s="20"/>
      <c r="S83" s="20"/>
      <c r="T83" s="20"/>
      <c r="U83" s="20"/>
      <c r="V83" s="20"/>
      <c r="W83" s="20"/>
      <c r="X83" s="20"/>
      <c r="Y83" s="20">
        <v>1003</v>
      </c>
      <c r="Z83" s="20"/>
      <c r="AA83" s="20">
        <v>915</v>
      </c>
      <c r="AB83" s="20">
        <v>187</v>
      </c>
      <c r="AC83" s="20">
        <v>152</v>
      </c>
      <c r="AD83" s="20"/>
      <c r="AE83" s="20">
        <v>285</v>
      </c>
      <c r="AF83" s="20">
        <v>869</v>
      </c>
      <c r="AG83" s="30"/>
    </row>
    <row r="84" spans="1:33">
      <c r="A84" s="34" t="s">
        <v>164</v>
      </c>
      <c r="B84" s="20"/>
      <c r="C84" s="20"/>
      <c r="D84" s="20"/>
      <c r="E84" s="20"/>
      <c r="F84" s="20"/>
      <c r="G84" s="20"/>
      <c r="H84" s="20"/>
      <c r="I84" s="20">
        <v>339</v>
      </c>
      <c r="J84" s="20">
        <v>259</v>
      </c>
      <c r="K84" s="20">
        <v>415</v>
      </c>
      <c r="L84" s="20">
        <v>74</v>
      </c>
      <c r="M84" s="20">
        <v>145</v>
      </c>
      <c r="N84" s="30"/>
      <c r="O84" s="5"/>
      <c r="P84" s="20" t="s">
        <v>180</v>
      </c>
      <c r="Q84" s="20"/>
      <c r="R84" s="20"/>
      <c r="S84" s="20"/>
      <c r="T84" s="20"/>
      <c r="U84" s="20"/>
      <c r="V84" s="20"/>
      <c r="W84" s="20"/>
      <c r="X84" s="20"/>
      <c r="Y84" s="20"/>
      <c r="Z84" s="20"/>
      <c r="AA84" s="20">
        <v>110</v>
      </c>
      <c r="AB84" s="20">
        <v>910</v>
      </c>
      <c r="AC84" s="20">
        <v>1025</v>
      </c>
      <c r="AD84" s="20"/>
      <c r="AE84" s="20">
        <v>848</v>
      </c>
      <c r="AF84" s="20">
        <v>226</v>
      </c>
      <c r="AG84" s="30"/>
    </row>
    <row r="85" spans="1:33">
      <c r="A85" s="34" t="s">
        <v>165</v>
      </c>
      <c r="B85" s="20"/>
      <c r="C85" s="20"/>
      <c r="D85" s="20"/>
      <c r="E85" s="20"/>
      <c r="F85" s="20"/>
      <c r="G85" s="20"/>
      <c r="H85" s="20"/>
      <c r="I85" s="20"/>
      <c r="J85" s="20">
        <v>80</v>
      </c>
      <c r="K85" s="20">
        <v>86</v>
      </c>
      <c r="L85" s="20">
        <v>309</v>
      </c>
      <c r="M85" s="20">
        <v>460</v>
      </c>
      <c r="N85" s="30"/>
      <c r="O85" s="5"/>
      <c r="P85" s="20" t="s">
        <v>178</v>
      </c>
      <c r="Q85" s="20"/>
      <c r="R85" s="20"/>
      <c r="S85" s="20"/>
      <c r="T85" s="20"/>
      <c r="U85" s="20"/>
      <c r="V85" s="20"/>
      <c r="W85" s="20"/>
      <c r="X85" s="20"/>
      <c r="Y85" s="20"/>
      <c r="Z85" s="20"/>
      <c r="AA85" s="20"/>
      <c r="AB85" s="20">
        <v>822</v>
      </c>
      <c r="AC85" s="20">
        <v>988</v>
      </c>
      <c r="AD85" s="20"/>
      <c r="AE85" s="20">
        <v>773</v>
      </c>
      <c r="AF85" s="20">
        <v>288</v>
      </c>
      <c r="AG85" s="30"/>
    </row>
    <row r="86" spans="1:33">
      <c r="A86" s="34" t="s">
        <v>166</v>
      </c>
      <c r="B86" s="20"/>
      <c r="C86" s="20"/>
      <c r="D86" s="20"/>
      <c r="E86" s="20"/>
      <c r="F86" s="20"/>
      <c r="G86" s="20"/>
      <c r="H86" s="20"/>
      <c r="I86" s="20"/>
      <c r="J86" s="20"/>
      <c r="K86" s="20">
        <v>156</v>
      </c>
      <c r="L86" s="20">
        <v>229</v>
      </c>
      <c r="M86" s="20">
        <v>380</v>
      </c>
      <c r="N86" s="30"/>
      <c r="O86" s="5"/>
      <c r="P86" s="20" t="s">
        <v>177</v>
      </c>
      <c r="Q86" s="20"/>
      <c r="R86" s="20"/>
      <c r="S86" s="20"/>
      <c r="T86" s="20"/>
      <c r="U86" s="20"/>
      <c r="V86" s="20"/>
      <c r="W86" s="20"/>
      <c r="X86" s="20"/>
      <c r="Y86" s="20"/>
      <c r="Z86" s="20"/>
      <c r="AA86" s="20"/>
      <c r="AB86" s="20"/>
      <c r="AC86" s="20">
        <v>170</v>
      </c>
      <c r="AD86" s="20"/>
      <c r="AE86" s="20">
        <v>117</v>
      </c>
      <c r="AF86" s="20">
        <v>664</v>
      </c>
      <c r="AG86" s="30"/>
    </row>
    <row r="87" spans="1:33">
      <c r="A87" s="34" t="s">
        <v>168</v>
      </c>
      <c r="B87" s="20"/>
      <c r="C87" s="20"/>
      <c r="D87" s="20"/>
      <c r="E87" s="20"/>
      <c r="F87" s="20"/>
      <c r="G87" s="20"/>
      <c r="H87" s="20"/>
      <c r="I87" s="20"/>
      <c r="J87" s="20"/>
      <c r="K87" s="20"/>
      <c r="L87" s="20">
        <v>439</v>
      </c>
      <c r="M87" s="20">
        <v>545</v>
      </c>
      <c r="N87" s="30"/>
      <c r="O87" s="5"/>
      <c r="P87" s="20" t="s">
        <v>176</v>
      </c>
      <c r="Q87" s="20"/>
      <c r="R87" s="20"/>
      <c r="S87" s="20"/>
      <c r="T87" s="20"/>
      <c r="U87" s="20"/>
      <c r="V87" s="20"/>
      <c r="W87" s="20"/>
      <c r="X87" s="20"/>
      <c r="Y87" s="20"/>
      <c r="Z87" s="20"/>
      <c r="AA87" s="20"/>
      <c r="AB87" s="20"/>
      <c r="AC87" s="20"/>
      <c r="AD87" s="20"/>
      <c r="AE87" s="20">
        <v>273</v>
      </c>
      <c r="AF87" s="20">
        <v>830</v>
      </c>
      <c r="AG87" s="30"/>
    </row>
    <row r="88" spans="1:33">
      <c r="A88" s="34" t="s">
        <v>209</v>
      </c>
      <c r="B88" s="20"/>
      <c r="C88" s="20"/>
      <c r="D88" s="20"/>
      <c r="E88" s="20"/>
      <c r="F88" s="20"/>
      <c r="G88" s="20"/>
      <c r="H88" s="20"/>
      <c r="I88" s="20"/>
      <c r="J88" s="20"/>
      <c r="K88" s="20"/>
      <c r="L88" s="20"/>
      <c r="M88" s="20">
        <v>195</v>
      </c>
      <c r="N88" s="30"/>
      <c r="O88" s="5"/>
      <c r="P88" s="20" t="s">
        <v>174</v>
      </c>
      <c r="Q88" s="20"/>
      <c r="R88" s="20"/>
      <c r="S88" s="20"/>
      <c r="T88" s="20"/>
      <c r="U88" s="20"/>
      <c r="V88" s="20"/>
      <c r="W88" s="20"/>
      <c r="X88" s="20"/>
      <c r="Y88" s="20"/>
      <c r="Z88" s="20"/>
      <c r="AA88" s="20"/>
      <c r="AB88" s="20"/>
      <c r="AC88" s="20"/>
      <c r="AD88" s="20"/>
      <c r="AE88" s="20"/>
      <c r="AF88" s="20">
        <v>558</v>
      </c>
      <c r="AG88" s="30"/>
    </row>
    <row r="89" spans="1:33">
      <c r="A89" s="34" t="s">
        <v>169</v>
      </c>
      <c r="B89" s="20"/>
      <c r="C89" s="20"/>
      <c r="D89" s="20"/>
      <c r="E89" s="20"/>
      <c r="F89" s="20"/>
      <c r="G89" s="20"/>
      <c r="H89" s="20"/>
      <c r="I89" s="20"/>
      <c r="J89" s="20"/>
      <c r="K89" s="20"/>
      <c r="L89" s="20"/>
      <c r="M89" s="20"/>
      <c r="N89" s="30"/>
      <c r="O89" s="5"/>
      <c r="P89" s="20" t="s">
        <v>173</v>
      </c>
      <c r="Q89" s="20"/>
      <c r="R89" s="20"/>
      <c r="S89" s="20"/>
      <c r="T89" s="20"/>
      <c r="U89" s="20"/>
      <c r="V89" s="20"/>
      <c r="W89" s="20"/>
      <c r="X89" s="20"/>
      <c r="Y89" s="20"/>
      <c r="Z89" s="20"/>
      <c r="AA89" s="20"/>
      <c r="AB89" s="20"/>
      <c r="AC89" s="20"/>
      <c r="AD89" s="20"/>
      <c r="AE89" s="20"/>
      <c r="AF89" s="20"/>
      <c r="AG89" s="30"/>
    </row>
    <row r="90" spans="1:33">
      <c r="A90" s="34"/>
      <c r="B90" s="20"/>
      <c r="C90" s="20"/>
      <c r="D90" s="20"/>
      <c r="E90" s="20"/>
      <c r="F90" s="20"/>
      <c r="G90" s="20"/>
      <c r="H90" s="20"/>
      <c r="I90" s="20"/>
      <c r="J90" s="20"/>
      <c r="K90" s="20"/>
      <c r="L90" s="20"/>
      <c r="M90" s="20"/>
      <c r="N90" s="30"/>
      <c r="O90" s="5"/>
      <c r="P90" s="20"/>
      <c r="Q90" s="20"/>
      <c r="R90" s="20"/>
      <c r="S90" s="20"/>
      <c r="T90" s="20"/>
      <c r="U90" s="20"/>
      <c r="V90" s="20"/>
      <c r="W90" s="20"/>
      <c r="X90" s="20"/>
      <c r="Y90" s="20"/>
      <c r="Z90" s="20"/>
      <c r="AA90" s="20"/>
      <c r="AB90" s="20"/>
      <c r="AC90" s="20"/>
      <c r="AD90" s="20"/>
      <c r="AE90" s="20"/>
      <c r="AF90" s="20"/>
      <c r="AG90" s="30"/>
    </row>
    <row r="91" spans="1:33" ht="13.9" thickBot="1">
      <c r="A91" s="35"/>
      <c r="B91" s="31"/>
      <c r="C91" s="31"/>
      <c r="D91" s="31"/>
      <c r="E91" s="31"/>
      <c r="F91" s="31"/>
      <c r="G91" s="31"/>
      <c r="H91" s="31"/>
      <c r="I91" s="31"/>
      <c r="J91" s="31"/>
      <c r="K91" s="31"/>
      <c r="L91" s="31"/>
      <c r="M91" s="31"/>
      <c r="N91" s="32"/>
      <c r="O91" s="8"/>
      <c r="P91" s="31"/>
      <c r="Q91" s="31"/>
      <c r="R91" s="31"/>
      <c r="S91" s="31"/>
      <c r="T91" s="31"/>
      <c r="U91" s="31"/>
      <c r="V91" s="31"/>
      <c r="W91" s="31"/>
      <c r="X91" s="31"/>
      <c r="Y91" s="31"/>
      <c r="Z91" s="31"/>
      <c r="AA91" s="31"/>
      <c r="AB91" s="31"/>
      <c r="AC91" s="31"/>
      <c r="AD91" s="31"/>
      <c r="AE91" s="31"/>
      <c r="AF91" s="31"/>
      <c r="AG91" s="32"/>
    </row>
  </sheetData>
  <sheetProtection algorithmName="SHA-512" hashValue="GPJ2DE15EIOuRQx2TTyGr+IxgAjI30brD3m0M6LDV/M20ot/qEhUVUWcplQDIqmfLVVHU/3+k3w6ECG8Ble6Kg==" saltValue="gYCJAOTZOocOuVtWg6QHog==" spinCount="100000" sheet="1" objects="1" scenarios="1" selectLockedCells="1"/>
  <mergeCells count="5">
    <mergeCell ref="C37:E37"/>
    <mergeCell ref="C38:E38"/>
    <mergeCell ref="C39:E39"/>
    <mergeCell ref="N9:V16"/>
    <mergeCell ref="N26:V29"/>
  </mergeCells>
  <phoneticPr fontId="0" type="noConversion"/>
  <dataValidations count="2">
    <dataValidation type="list" allowBlank="1" showInputMessage="1" showErrorMessage="1" sqref="B9:C18" xr:uid="{00000000-0002-0000-0E00-000000000000}">
      <formula1>$AA$2:$AQ$2</formula1>
    </dataValidation>
    <dataValidation type="list" allowBlank="1" showInputMessage="1" showErrorMessage="1" sqref="H9:I18" xr:uid="{00000000-0002-0000-0E00-000001000000}">
      <formula1>$AT$2:$AT$18</formula1>
    </dataValidation>
  </dataValidations>
  <pageMargins left="0.75" right="0.75" top="1" bottom="1" header="0.5" footer="0.5"/>
  <pageSetup paperSize="9" scale="84"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pageSetUpPr autoPageBreaks="0"/>
  </sheetPr>
  <dimension ref="B2:O35"/>
  <sheetViews>
    <sheetView topLeftCell="A4" zoomScale="75" zoomScaleNormal="75" workbookViewId="0">
      <selection activeCell="K1" sqref="K1:P1048576"/>
    </sheetView>
  </sheetViews>
  <sheetFormatPr defaultRowHeight="13.15"/>
  <cols>
    <col min="2" max="2" width="34.140625" customWidth="1"/>
    <col min="3" max="3" width="13.140625" customWidth="1"/>
    <col min="4" max="4" width="14.28515625" customWidth="1"/>
    <col min="5" max="5" width="14.42578125" customWidth="1"/>
    <col min="6" max="7" width="14.28515625" customWidth="1"/>
    <col min="8" max="8" width="16.85546875" customWidth="1"/>
    <col min="12" max="12" width="20" customWidth="1"/>
    <col min="13" max="13" width="15.140625" customWidth="1"/>
    <col min="14" max="14" width="9" customWidth="1"/>
    <col min="15" max="15" width="38.140625" customWidth="1"/>
  </cols>
  <sheetData>
    <row r="2" spans="2:15" ht="73.5" customHeight="1">
      <c r="D2" s="93" t="s">
        <v>213</v>
      </c>
    </row>
    <row r="3" spans="2:15" ht="12" customHeight="1"/>
    <row r="5" spans="2:15" ht="15.6">
      <c r="B5" s="19" t="s">
        <v>214</v>
      </c>
      <c r="E5" s="19"/>
      <c r="F5" s="87" t="s">
        <v>38</v>
      </c>
    </row>
    <row r="6" spans="2:15" ht="15.6">
      <c r="B6" s="19"/>
      <c r="C6" s="78"/>
      <c r="E6" s="19"/>
      <c r="F6" s="19"/>
    </row>
    <row r="7" spans="2:15" ht="16.5" customHeight="1">
      <c r="B7" s="68" t="s">
        <v>215</v>
      </c>
      <c r="C7" s="92" t="s">
        <v>43</v>
      </c>
      <c r="D7" s="92" t="s">
        <v>216</v>
      </c>
      <c r="E7" s="19"/>
      <c r="F7" s="107" t="s">
        <v>217</v>
      </c>
      <c r="G7" s="107"/>
      <c r="H7" s="107"/>
      <c r="I7" s="107"/>
      <c r="J7" s="107"/>
      <c r="L7" s="109" t="s">
        <v>218</v>
      </c>
      <c r="M7" s="110">
        <v>0.746</v>
      </c>
      <c r="N7" s="111" t="s">
        <v>219</v>
      </c>
      <c r="O7" s="109" t="s">
        <v>220</v>
      </c>
    </row>
    <row r="8" spans="2:15" ht="15.75" customHeight="1">
      <c r="B8" s="91" t="s">
        <v>221</v>
      </c>
      <c r="C8" s="108">
        <v>3000</v>
      </c>
      <c r="D8" s="95">
        <f>IFERROR($C8*VLOOKUP($B8,$L$7:$M$12, 2, FALSE)/1000,0)</f>
        <v>6.45</v>
      </c>
      <c r="E8" s="19"/>
      <c r="F8" s="149" t="s">
        <v>222</v>
      </c>
      <c r="G8" s="107"/>
      <c r="H8" s="107"/>
      <c r="I8" s="107"/>
      <c r="J8" s="107"/>
      <c r="L8" s="109" t="s">
        <v>223</v>
      </c>
      <c r="M8" s="110">
        <v>0.23</v>
      </c>
      <c r="N8" s="111" t="s">
        <v>219</v>
      </c>
      <c r="O8" s="109" t="s">
        <v>224</v>
      </c>
    </row>
    <row r="9" spans="2:15" ht="15.6">
      <c r="B9" s="91"/>
      <c r="C9" s="108"/>
      <c r="D9" s="95">
        <f t="shared" ref="D9:D18" si="0">IFERROR($C9*VLOOKUP($B9,$L$7:$M$12, 2, FALSE)/1000,0)</f>
        <v>0</v>
      </c>
      <c r="E9" s="19"/>
      <c r="F9" s="107"/>
      <c r="G9" s="107"/>
      <c r="H9" s="107"/>
      <c r="I9" s="107"/>
      <c r="J9" s="107"/>
      <c r="L9" s="109" t="s">
        <v>225</v>
      </c>
      <c r="M9" s="110">
        <v>0.6</v>
      </c>
      <c r="N9" s="111" t="s">
        <v>219</v>
      </c>
      <c r="O9" s="109" t="s">
        <v>224</v>
      </c>
    </row>
    <row r="10" spans="2:15" ht="15.6">
      <c r="B10" s="91"/>
      <c r="C10" s="108"/>
      <c r="D10" s="95">
        <f t="shared" si="0"/>
        <v>0</v>
      </c>
      <c r="E10" s="19"/>
      <c r="F10" s="107"/>
      <c r="G10" s="107"/>
      <c r="H10" s="107"/>
      <c r="I10" s="107"/>
      <c r="J10" s="107"/>
      <c r="L10" s="109" t="s">
        <v>221</v>
      </c>
      <c r="M10" s="110">
        <v>2.15</v>
      </c>
      <c r="N10" s="111" t="s">
        <v>219</v>
      </c>
      <c r="O10" s="109" t="s">
        <v>226</v>
      </c>
    </row>
    <row r="11" spans="2:15" ht="12.75" customHeight="1">
      <c r="B11" s="91"/>
      <c r="C11" s="108"/>
      <c r="D11" s="95">
        <f t="shared" si="0"/>
        <v>0</v>
      </c>
      <c r="E11" s="19"/>
      <c r="F11" s="107"/>
      <c r="G11" s="107"/>
      <c r="H11" s="107"/>
      <c r="I11" s="107"/>
      <c r="J11" s="107"/>
      <c r="L11" s="109" t="s">
        <v>227</v>
      </c>
      <c r="M11" s="110">
        <v>1.63</v>
      </c>
      <c r="N11" s="111" t="s">
        <v>219</v>
      </c>
      <c r="O11" s="109" t="s">
        <v>226</v>
      </c>
    </row>
    <row r="12" spans="2:15" ht="15.6">
      <c r="B12" s="91"/>
      <c r="C12" s="108"/>
      <c r="D12" s="95">
        <f t="shared" si="0"/>
        <v>0</v>
      </c>
      <c r="E12" s="19"/>
      <c r="F12" s="107"/>
      <c r="G12" s="107"/>
      <c r="H12" s="107"/>
      <c r="I12" s="107"/>
      <c r="J12" s="107"/>
      <c r="L12" s="109" t="s">
        <v>228</v>
      </c>
      <c r="M12" s="110">
        <v>2.58</v>
      </c>
      <c r="N12" s="111" t="s">
        <v>219</v>
      </c>
      <c r="O12" s="109" t="s">
        <v>229</v>
      </c>
    </row>
    <row r="13" spans="2:15" ht="15.6">
      <c r="B13" s="91"/>
      <c r="C13" s="108"/>
      <c r="D13" s="95">
        <f t="shared" si="0"/>
        <v>0</v>
      </c>
      <c r="E13" s="19"/>
      <c r="F13" s="107"/>
      <c r="G13" s="107"/>
      <c r="H13" s="107"/>
      <c r="I13" s="107"/>
      <c r="J13" s="107"/>
    </row>
    <row r="14" spans="2:15" ht="15.6">
      <c r="B14" s="91"/>
      <c r="C14" s="108"/>
      <c r="D14" s="95">
        <f t="shared" si="0"/>
        <v>0</v>
      </c>
      <c r="F14" s="67"/>
      <c r="G14" s="67"/>
      <c r="H14" s="67"/>
      <c r="I14" s="67"/>
      <c r="J14" s="67"/>
      <c r="L14" s="112" t="s">
        <v>230</v>
      </c>
      <c r="M14" s="113">
        <v>11</v>
      </c>
      <c r="N14" s="114" t="s">
        <v>231</v>
      </c>
      <c r="O14" s="112" t="s">
        <v>232</v>
      </c>
    </row>
    <row r="15" spans="2:15" ht="15.6">
      <c r="B15" s="91"/>
      <c r="C15" s="108"/>
      <c r="D15" s="95">
        <f t="shared" si="0"/>
        <v>0</v>
      </c>
      <c r="F15" s="67"/>
      <c r="G15" s="67"/>
      <c r="H15" s="67"/>
      <c r="I15" s="67"/>
      <c r="J15" s="67"/>
      <c r="L15" s="112" t="s">
        <v>233</v>
      </c>
      <c r="M15" s="113">
        <v>74</v>
      </c>
      <c r="N15" s="114" t="s">
        <v>231</v>
      </c>
      <c r="O15" s="112" t="s">
        <v>232</v>
      </c>
    </row>
    <row r="16" spans="2:15" ht="15.6">
      <c r="B16" s="91"/>
      <c r="C16" s="108"/>
      <c r="D16" s="95">
        <f t="shared" si="0"/>
        <v>0</v>
      </c>
      <c r="F16" s="67"/>
      <c r="G16" s="67"/>
      <c r="H16" s="67"/>
      <c r="I16" s="67"/>
      <c r="J16" s="67"/>
      <c r="L16" s="112" t="s">
        <v>234</v>
      </c>
      <c r="M16" s="113">
        <v>27</v>
      </c>
      <c r="N16" s="114" t="s">
        <v>231</v>
      </c>
      <c r="O16" s="112" t="s">
        <v>232</v>
      </c>
    </row>
    <row r="17" spans="2:15" ht="15.6">
      <c r="B17" s="91"/>
      <c r="C17" s="108"/>
      <c r="D17" s="95">
        <f t="shared" si="0"/>
        <v>0</v>
      </c>
      <c r="F17" s="67"/>
      <c r="G17" s="67"/>
      <c r="H17" s="67"/>
      <c r="I17" s="67"/>
      <c r="J17" s="67"/>
      <c r="L17" s="112" t="s">
        <v>235</v>
      </c>
      <c r="M17" s="113">
        <v>39.200000000000003</v>
      </c>
      <c r="N17" s="114" t="s">
        <v>231</v>
      </c>
      <c r="O17" s="112" t="s">
        <v>232</v>
      </c>
    </row>
    <row r="18" spans="2:15" ht="15.6">
      <c r="B18" s="91"/>
      <c r="C18" s="108"/>
      <c r="D18" s="95">
        <f t="shared" si="0"/>
        <v>0</v>
      </c>
      <c r="L18" s="112" t="s">
        <v>236</v>
      </c>
      <c r="M18" s="113">
        <v>244.8</v>
      </c>
      <c r="N18" s="114" t="s">
        <v>231</v>
      </c>
      <c r="O18" s="112" t="s">
        <v>232</v>
      </c>
    </row>
    <row r="19" spans="2:15" ht="14.45">
      <c r="L19" s="112" t="s">
        <v>237</v>
      </c>
      <c r="M19" s="113">
        <v>134.80000000000001</v>
      </c>
      <c r="N19" s="114" t="s">
        <v>231</v>
      </c>
      <c r="O19" s="112" t="s">
        <v>232</v>
      </c>
    </row>
    <row r="20" spans="2:15" ht="14.45">
      <c r="L20" s="112" t="s">
        <v>238</v>
      </c>
      <c r="M20" s="113">
        <v>1864.8</v>
      </c>
      <c r="N20" s="114" t="s">
        <v>231</v>
      </c>
      <c r="O20" s="112" t="s">
        <v>232</v>
      </c>
    </row>
    <row r="21" spans="2:15" ht="15.6">
      <c r="B21" s="19" t="s">
        <v>239</v>
      </c>
      <c r="L21" s="112" t="s">
        <v>240</v>
      </c>
      <c r="M21" s="113">
        <v>4768.9000000000005</v>
      </c>
      <c r="N21" s="114" t="s">
        <v>231</v>
      </c>
      <c r="O21" s="112" t="s">
        <v>232</v>
      </c>
    </row>
    <row r="22" spans="2:15" ht="14.45">
      <c r="L22" s="112" t="s">
        <v>241</v>
      </c>
      <c r="M22" s="113">
        <v>1401</v>
      </c>
      <c r="N22" s="114" t="s">
        <v>231</v>
      </c>
      <c r="O22" s="112" t="s">
        <v>232</v>
      </c>
    </row>
    <row r="23" spans="2:15" ht="16.5" customHeight="1">
      <c r="B23" s="68" t="s">
        <v>215</v>
      </c>
      <c r="C23" s="92" t="s">
        <v>43</v>
      </c>
      <c r="D23" s="92" t="s">
        <v>216</v>
      </c>
      <c r="L23" s="112" t="s">
        <v>242</v>
      </c>
      <c r="M23" s="113">
        <v>120.1</v>
      </c>
      <c r="N23" s="114" t="s">
        <v>231</v>
      </c>
      <c r="O23" s="112" t="s">
        <v>232</v>
      </c>
    </row>
    <row r="24" spans="2:15" ht="15.6">
      <c r="B24" s="91"/>
      <c r="C24" s="108"/>
      <c r="D24" s="95">
        <f>IFERROR(C24/1000*VLOOKUP(B24,L14:M25,2,FALSE)/1000, 0)</f>
        <v>0</v>
      </c>
      <c r="L24" s="112" t="s">
        <v>243</v>
      </c>
      <c r="M24" s="113">
        <v>3410</v>
      </c>
      <c r="N24" s="114" t="s">
        <v>231</v>
      </c>
      <c r="O24" s="112" t="s">
        <v>232</v>
      </c>
    </row>
    <row r="25" spans="2:15" ht="15.6">
      <c r="B25" s="91"/>
      <c r="C25" s="108"/>
      <c r="D25" s="95">
        <f t="shared" ref="D25:D33" si="1">IFERROR(C25/1000*VLOOKUP(B25,L15:M26,2,FALSE)/1000, 0)</f>
        <v>0</v>
      </c>
      <c r="L25" s="112" t="s">
        <v>244</v>
      </c>
      <c r="M25" s="113">
        <v>434.99999999999994</v>
      </c>
      <c r="N25" s="114" t="s">
        <v>231</v>
      </c>
      <c r="O25" s="112" t="s">
        <v>232</v>
      </c>
    </row>
    <row r="26" spans="2:15" ht="15">
      <c r="B26" s="91"/>
      <c r="C26" s="108"/>
      <c r="D26" s="95">
        <f t="shared" si="1"/>
        <v>0</v>
      </c>
    </row>
    <row r="27" spans="2:15" ht="15">
      <c r="B27" s="91"/>
      <c r="C27" s="108"/>
      <c r="D27" s="95">
        <f t="shared" si="1"/>
        <v>0</v>
      </c>
    </row>
    <row r="28" spans="2:15" ht="15">
      <c r="B28" s="91"/>
      <c r="C28" s="108"/>
      <c r="D28" s="95">
        <f t="shared" si="1"/>
        <v>0</v>
      </c>
    </row>
    <row r="29" spans="2:15" ht="15">
      <c r="B29" s="91"/>
      <c r="C29" s="108"/>
      <c r="D29" s="95">
        <f t="shared" si="1"/>
        <v>0</v>
      </c>
    </row>
    <row r="30" spans="2:15" ht="15">
      <c r="B30" s="91"/>
      <c r="C30" s="108"/>
      <c r="D30" s="95">
        <f t="shared" si="1"/>
        <v>0</v>
      </c>
    </row>
    <row r="31" spans="2:15" ht="15">
      <c r="B31" s="91"/>
      <c r="C31" s="108"/>
      <c r="D31" s="95">
        <f t="shared" si="1"/>
        <v>0</v>
      </c>
    </row>
    <row r="32" spans="2:15" ht="15">
      <c r="B32" s="91"/>
      <c r="C32" s="108"/>
      <c r="D32" s="95">
        <f t="shared" si="1"/>
        <v>0</v>
      </c>
    </row>
    <row r="33" spans="2:4" ht="15">
      <c r="B33" s="91"/>
      <c r="C33" s="108"/>
      <c r="D33" s="95">
        <f t="shared" si="1"/>
        <v>0</v>
      </c>
    </row>
    <row r="35" spans="2:4" ht="15">
      <c r="B35" s="62" t="s">
        <v>245</v>
      </c>
    </row>
  </sheetData>
  <sheetProtection selectLockedCells="1"/>
  <dataValidations count="2">
    <dataValidation type="list" allowBlank="1" showInputMessage="1" showErrorMessage="1" sqref="B8:B18" xr:uid="{00000000-0002-0000-1100-000000000000}">
      <formula1>$L$6:$L$12</formula1>
    </dataValidation>
    <dataValidation type="list" allowBlank="1" showInputMessage="1" showErrorMessage="1" sqref="B24:B33" xr:uid="{00000000-0002-0000-1100-000001000000}">
      <formula1>$L$13:$L$25</formula1>
    </dataValidation>
  </dataValidations>
  <pageMargins left="0.75" right="0.75" top="1" bottom="1" header="0.5" footer="0.5"/>
  <pageSetup scale="62" orientation="landscape" horizontalDpi="300" verticalDpi="300" r:id="rId1"/>
  <headerFooter alignWithMargins="0"/>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47EF1-F8CA-4B55-8980-69BCE24A6FFA}">
  <sheetPr codeName="Sheet18">
    <pageSetUpPr autoPageBreaks="0"/>
  </sheetPr>
  <dimension ref="B2:AH110"/>
  <sheetViews>
    <sheetView showGridLines="0" showRowColHeaders="0" zoomScale="75" zoomScaleNormal="75" workbookViewId="0">
      <selection activeCell="F13" sqref="F13"/>
    </sheetView>
  </sheetViews>
  <sheetFormatPr defaultColWidth="9.140625" defaultRowHeight="13.15"/>
  <cols>
    <col min="1" max="1" width="13.42578125" style="183" customWidth="1"/>
    <col min="2" max="2" width="17.7109375" style="183" customWidth="1"/>
    <col min="3" max="3" width="17.85546875" style="183" customWidth="1"/>
    <col min="4" max="8" width="11.5703125" style="183" customWidth="1"/>
    <col min="9" max="9" width="14.140625" style="183" customWidth="1"/>
    <col min="10" max="10" width="11.5703125" style="183" customWidth="1"/>
    <col min="11" max="11" width="9.42578125" style="183" customWidth="1"/>
    <col min="12" max="12" width="9.140625" style="183"/>
    <col min="13" max="13" width="41.140625" style="183" customWidth="1"/>
    <col min="14" max="14" width="61.85546875" style="183" customWidth="1"/>
    <col min="15" max="15" width="13.7109375" style="183" customWidth="1"/>
    <col min="16" max="16" width="2.85546875" style="183" customWidth="1"/>
    <col min="17" max="28" width="8.7109375" style="183" hidden="1" customWidth="1"/>
    <col min="29" max="34" width="9.140625" style="183" hidden="1" customWidth="1"/>
    <col min="35" max="35" width="0" style="183" hidden="1" customWidth="1"/>
    <col min="36" max="16384" width="9.140625" style="183"/>
  </cols>
  <sheetData>
    <row r="2" spans="2:20" ht="75" customHeight="1">
      <c r="G2" s="184" t="s">
        <v>246</v>
      </c>
    </row>
    <row r="3" spans="2:20" ht="12" customHeight="1"/>
    <row r="5" spans="2:20" ht="15.6">
      <c r="B5" s="185" t="s">
        <v>247</v>
      </c>
      <c r="L5" s="186" t="s">
        <v>38</v>
      </c>
    </row>
    <row r="7" spans="2:20" ht="15" customHeight="1">
      <c r="B7" s="307" t="s">
        <v>248</v>
      </c>
      <c r="C7" s="307"/>
      <c r="D7" s="307"/>
      <c r="E7" s="307"/>
      <c r="F7" s="307"/>
      <c r="G7" s="307"/>
      <c r="H7" s="307"/>
      <c r="I7" s="307"/>
      <c r="J7" s="307"/>
      <c r="L7" s="308" t="s">
        <v>249</v>
      </c>
      <c r="M7" s="308"/>
      <c r="N7" s="308"/>
    </row>
    <row r="8" spans="2:20" ht="12.75" customHeight="1">
      <c r="B8" s="307"/>
      <c r="C8" s="307"/>
      <c r="D8" s="307"/>
      <c r="E8" s="307"/>
      <c r="F8" s="307"/>
      <c r="G8" s="307"/>
      <c r="H8" s="307"/>
      <c r="I8" s="307"/>
      <c r="J8" s="307"/>
      <c r="L8" s="308"/>
      <c r="M8" s="308"/>
      <c r="N8" s="308"/>
    </row>
    <row r="9" spans="2:20" ht="12.75" customHeight="1">
      <c r="B9" s="307"/>
      <c r="C9" s="307"/>
      <c r="D9" s="307"/>
      <c r="E9" s="307"/>
      <c r="F9" s="307"/>
      <c r="G9" s="307"/>
      <c r="H9" s="307"/>
      <c r="I9" s="307"/>
      <c r="J9" s="307"/>
      <c r="L9" s="308"/>
      <c r="M9" s="308"/>
      <c r="N9" s="308"/>
    </row>
    <row r="10" spans="2:20" ht="15" customHeight="1">
      <c r="B10" s="307"/>
      <c r="C10" s="307"/>
      <c r="D10" s="307"/>
      <c r="E10" s="307"/>
      <c r="F10" s="307"/>
      <c r="G10" s="307"/>
      <c r="H10" s="307"/>
      <c r="I10" s="307"/>
      <c r="J10" s="307"/>
      <c r="L10" s="308"/>
      <c r="M10" s="308"/>
      <c r="N10" s="308"/>
    </row>
    <row r="11" spans="2:20" ht="15" customHeight="1">
      <c r="B11" s="307"/>
      <c r="C11" s="307"/>
      <c r="D11" s="307"/>
      <c r="E11" s="307"/>
      <c r="F11" s="307"/>
      <c r="G11" s="307"/>
      <c r="H11" s="307"/>
      <c r="I11" s="307"/>
      <c r="J11" s="307"/>
      <c r="L11" s="308"/>
      <c r="M11" s="308"/>
      <c r="N11" s="308"/>
    </row>
    <row r="12" spans="2:20">
      <c r="L12" s="308"/>
      <c r="M12" s="308"/>
      <c r="N12" s="308"/>
    </row>
    <row r="13" spans="2:20" ht="15">
      <c r="B13" s="309" t="s">
        <v>250</v>
      </c>
      <c r="C13" s="309"/>
      <c r="D13" s="309"/>
      <c r="E13" s="309"/>
      <c r="F13" s="208" t="s">
        <v>36</v>
      </c>
    </row>
    <row r="15" spans="2:20" ht="15.6">
      <c r="B15" s="185" t="s">
        <v>251</v>
      </c>
      <c r="R15" s="185" t="s">
        <v>252</v>
      </c>
      <c r="S15" s="185"/>
      <c r="T15" s="185"/>
    </row>
    <row r="16" spans="2:20" ht="15.6">
      <c r="B16" s="187" t="s">
        <v>189</v>
      </c>
      <c r="R16" s="185"/>
      <c r="S16" s="185"/>
      <c r="T16" s="185"/>
    </row>
    <row r="17" spans="2:34" ht="15.6">
      <c r="R17" s="185"/>
      <c r="S17" s="185"/>
    </row>
    <row r="18" spans="2:34" ht="15">
      <c r="B18" s="188" t="s">
        <v>253</v>
      </c>
      <c r="C18" s="188" t="s">
        <v>192</v>
      </c>
      <c r="D18" s="189" t="s">
        <v>193</v>
      </c>
      <c r="E18" s="189" t="s">
        <v>55</v>
      </c>
      <c r="F18" s="189" t="s">
        <v>254</v>
      </c>
      <c r="G18" s="190" t="s">
        <v>255</v>
      </c>
      <c r="H18" s="190" t="s">
        <v>41</v>
      </c>
      <c r="T18" s="191" t="s">
        <v>156</v>
      </c>
      <c r="U18" s="192" t="s">
        <v>187</v>
      </c>
      <c r="V18" s="191" t="s">
        <v>186</v>
      </c>
      <c r="W18" s="191" t="s">
        <v>185</v>
      </c>
      <c r="X18" s="191" t="s">
        <v>157</v>
      </c>
      <c r="Y18" s="191" t="s">
        <v>158</v>
      </c>
      <c r="Z18" s="191" t="s">
        <v>161</v>
      </c>
      <c r="AA18" s="191" t="s">
        <v>180</v>
      </c>
      <c r="AB18" s="192" t="s">
        <v>162</v>
      </c>
      <c r="AC18" s="191" t="s">
        <v>164</v>
      </c>
      <c r="AD18" s="191" t="s">
        <v>177</v>
      </c>
      <c r="AE18" s="191" t="s">
        <v>165</v>
      </c>
      <c r="AF18" s="191" t="s">
        <v>168</v>
      </c>
      <c r="AG18" s="191" t="s">
        <v>169</v>
      </c>
      <c r="AH18" s="191" t="s">
        <v>171</v>
      </c>
    </row>
    <row r="19" spans="2:34" ht="15">
      <c r="B19" s="193" t="s">
        <v>180</v>
      </c>
      <c r="C19" s="193" t="s">
        <v>169</v>
      </c>
      <c r="D19" s="225">
        <v>2</v>
      </c>
      <c r="E19" s="235">
        <f>IFERROR(VLOOKUP($B19, $R$19:$AH$34, HLOOKUP($C19, $T$18:$AH$19, 2, 0)+2,0),0)</f>
        <v>133</v>
      </c>
      <c r="F19" s="235">
        <f>$E19*$D19</f>
        <v>266</v>
      </c>
      <c r="G19" s="236">
        <f>'Emission Factors'!$F$19/1000</f>
        <v>1.63E-4</v>
      </c>
      <c r="H19" s="233">
        <f>IF($F$13="Yes", G19*F19*1.89, G19*F19)</f>
        <v>8.1946619999999998E-2</v>
      </c>
      <c r="L19" s="308" t="s">
        <v>256</v>
      </c>
      <c r="M19" s="308"/>
      <c r="N19" s="308"/>
      <c r="R19" s="191"/>
      <c r="S19" s="191"/>
      <c r="T19" s="192">
        <v>1</v>
      </c>
      <c r="U19" s="192">
        <v>2</v>
      </c>
      <c r="V19" s="192">
        <v>3</v>
      </c>
      <c r="W19" s="192">
        <v>4</v>
      </c>
      <c r="X19" s="192">
        <v>5</v>
      </c>
      <c r="Y19" s="192">
        <v>6</v>
      </c>
      <c r="Z19" s="192">
        <v>7</v>
      </c>
      <c r="AA19" s="192">
        <v>8</v>
      </c>
      <c r="AB19" s="192">
        <v>9</v>
      </c>
      <c r="AC19" s="192">
        <v>10</v>
      </c>
      <c r="AD19" s="192">
        <v>11</v>
      </c>
      <c r="AE19" s="192">
        <v>12</v>
      </c>
      <c r="AF19" s="192">
        <v>13</v>
      </c>
      <c r="AG19" s="192">
        <v>14</v>
      </c>
      <c r="AH19" s="192">
        <v>15</v>
      </c>
    </row>
    <row r="20" spans="2:34" ht="15" customHeight="1">
      <c r="B20" s="193"/>
      <c r="C20" s="193"/>
      <c r="D20" s="225"/>
      <c r="E20" s="235">
        <f t="shared" ref="E20:E28" si="0">IFERROR(VLOOKUP($B20, $R$19:$AH$34, HLOOKUP($C20, $T$18:$AH$19, 2, 0)+2,0),0)</f>
        <v>0</v>
      </c>
      <c r="F20" s="235">
        <f t="shared" ref="F20:F28" si="1">$E20*$D20</f>
        <v>0</v>
      </c>
      <c r="G20" s="236">
        <f>'Emission Factors'!$F$19/1000</f>
        <v>1.63E-4</v>
      </c>
      <c r="H20" s="233">
        <f t="shared" ref="H20:H28" si="2">IF($F$13="Yes", G20*F20*1.89, G20*F20)</f>
        <v>0</v>
      </c>
      <c r="L20" s="308"/>
      <c r="M20" s="308"/>
      <c r="N20" s="308"/>
      <c r="R20" s="194" t="s">
        <v>156</v>
      </c>
      <c r="S20" s="192">
        <v>1</v>
      </c>
      <c r="T20" s="191"/>
      <c r="U20" s="195">
        <v>509</v>
      </c>
      <c r="V20" s="194">
        <v>745</v>
      </c>
      <c r="W20" s="194">
        <v>1062</v>
      </c>
      <c r="X20" s="194">
        <v>335</v>
      </c>
      <c r="Y20" s="194"/>
      <c r="Z20" s="194">
        <v>328</v>
      </c>
      <c r="AA20" s="194">
        <v>495</v>
      </c>
      <c r="AB20" s="195">
        <v>229</v>
      </c>
      <c r="AC20" s="194">
        <v>375</v>
      </c>
      <c r="AD20" s="194">
        <v>1025</v>
      </c>
      <c r="AE20" s="194">
        <v>182</v>
      </c>
      <c r="AF20" s="194">
        <v>145</v>
      </c>
      <c r="AG20" s="194">
        <v>480</v>
      </c>
      <c r="AH20" s="194">
        <v>143</v>
      </c>
    </row>
    <row r="21" spans="2:34" ht="15">
      <c r="B21" s="193"/>
      <c r="C21" s="193"/>
      <c r="D21" s="225"/>
      <c r="E21" s="235">
        <f t="shared" si="0"/>
        <v>0</v>
      </c>
      <c r="F21" s="235">
        <f t="shared" si="1"/>
        <v>0</v>
      </c>
      <c r="G21" s="236">
        <f>'Emission Factors'!$F$19/1000</f>
        <v>1.63E-4</v>
      </c>
      <c r="H21" s="233">
        <f t="shared" si="2"/>
        <v>0</v>
      </c>
      <c r="L21" s="308"/>
      <c r="M21" s="308"/>
      <c r="N21" s="308"/>
      <c r="R21" s="195" t="s">
        <v>187</v>
      </c>
      <c r="S21" s="192">
        <v>2</v>
      </c>
      <c r="T21" s="195">
        <v>509</v>
      </c>
      <c r="U21" s="196"/>
      <c r="V21" s="195">
        <v>245</v>
      </c>
      <c r="W21" s="195"/>
      <c r="X21" s="195"/>
      <c r="Y21" s="195"/>
      <c r="Z21" s="195"/>
      <c r="AA21" s="195"/>
      <c r="AB21" s="195"/>
      <c r="AC21" s="195"/>
      <c r="AD21" s="195"/>
      <c r="AE21" s="195"/>
      <c r="AF21" s="195"/>
      <c r="AG21" s="195">
        <v>77</v>
      </c>
      <c r="AH21" s="195"/>
    </row>
    <row r="22" spans="2:34" ht="15">
      <c r="B22" s="193"/>
      <c r="C22" s="193"/>
      <c r="D22" s="225"/>
      <c r="E22" s="235">
        <f t="shared" si="0"/>
        <v>0</v>
      </c>
      <c r="F22" s="235">
        <f t="shared" si="1"/>
        <v>0</v>
      </c>
      <c r="G22" s="236">
        <f>'Emission Factors'!$F$19/1000</f>
        <v>1.63E-4</v>
      </c>
      <c r="H22" s="233">
        <f t="shared" si="2"/>
        <v>0</v>
      </c>
      <c r="L22" s="308"/>
      <c r="M22" s="308"/>
      <c r="N22" s="308"/>
      <c r="R22" s="194" t="s">
        <v>186</v>
      </c>
      <c r="S22" s="192">
        <v>3</v>
      </c>
      <c r="T22" s="194">
        <v>745</v>
      </c>
      <c r="U22" s="195">
        <v>245</v>
      </c>
      <c r="V22" s="191"/>
      <c r="W22" s="194">
        <v>328</v>
      </c>
      <c r="X22" s="194"/>
      <c r="Y22" s="194">
        <v>668</v>
      </c>
      <c r="Z22" s="194">
        <v>575</v>
      </c>
      <c r="AA22" s="194">
        <v>250</v>
      </c>
      <c r="AB22" s="195">
        <v>516</v>
      </c>
      <c r="AC22" s="194">
        <v>435</v>
      </c>
      <c r="AD22" s="194">
        <v>347</v>
      </c>
      <c r="AE22" s="194">
        <v>677</v>
      </c>
      <c r="AF22" s="194">
        <v>716</v>
      </c>
      <c r="AG22" s="194">
        <v>304</v>
      </c>
      <c r="AH22" s="194"/>
    </row>
    <row r="23" spans="2:34" ht="15">
      <c r="B23" s="193"/>
      <c r="C23" s="193"/>
      <c r="D23" s="225"/>
      <c r="E23" s="235">
        <f t="shared" si="0"/>
        <v>0</v>
      </c>
      <c r="F23" s="235">
        <f t="shared" si="1"/>
        <v>0</v>
      </c>
      <c r="G23" s="236">
        <f>'Emission Factors'!$F$19/1000</f>
        <v>1.63E-4</v>
      </c>
      <c r="H23" s="233">
        <f t="shared" si="2"/>
        <v>0</v>
      </c>
      <c r="L23" s="308"/>
      <c r="M23" s="308"/>
      <c r="N23" s="308"/>
      <c r="R23" s="194" t="s">
        <v>185</v>
      </c>
      <c r="S23" s="192">
        <v>4</v>
      </c>
      <c r="T23" s="194">
        <v>1062</v>
      </c>
      <c r="U23" s="195"/>
      <c r="V23" s="194">
        <v>328</v>
      </c>
      <c r="W23" s="197"/>
      <c r="X23" s="194"/>
      <c r="Y23" s="194"/>
      <c r="Z23" s="194"/>
      <c r="AA23" s="194"/>
      <c r="AB23" s="194"/>
      <c r="AC23" s="194"/>
      <c r="AD23" s="195"/>
      <c r="AE23" s="194"/>
      <c r="AF23" s="194"/>
      <c r="AG23" s="194">
        <v>632</v>
      </c>
      <c r="AH23" s="194"/>
    </row>
    <row r="24" spans="2:34" ht="15">
      <c r="B24" s="193"/>
      <c r="C24" s="193"/>
      <c r="D24" s="225"/>
      <c r="E24" s="235">
        <f t="shared" si="0"/>
        <v>0</v>
      </c>
      <c r="F24" s="235">
        <f t="shared" si="1"/>
        <v>0</v>
      </c>
      <c r="G24" s="236">
        <f>'Emission Factors'!$F$19/1000</f>
        <v>1.63E-4</v>
      </c>
      <c r="H24" s="233">
        <f t="shared" si="2"/>
        <v>0</v>
      </c>
      <c r="L24" s="308"/>
      <c r="M24" s="308"/>
      <c r="N24" s="308"/>
      <c r="R24" s="194" t="s">
        <v>157</v>
      </c>
      <c r="S24" s="192">
        <v>5</v>
      </c>
      <c r="T24" s="194">
        <v>335</v>
      </c>
      <c r="U24" s="195"/>
      <c r="V24" s="194"/>
      <c r="W24" s="194"/>
      <c r="X24" s="191"/>
      <c r="Y24" s="194"/>
      <c r="Z24" s="194"/>
      <c r="AA24" s="194"/>
      <c r="AB24" s="194"/>
      <c r="AC24" s="194"/>
      <c r="AD24" s="194"/>
      <c r="AE24" s="194"/>
      <c r="AF24" s="194"/>
      <c r="AG24" s="194">
        <v>401</v>
      </c>
      <c r="AH24" s="194"/>
    </row>
    <row r="25" spans="2:34" ht="15">
      <c r="B25" s="193"/>
      <c r="C25" s="193"/>
      <c r="D25" s="225"/>
      <c r="E25" s="235">
        <f t="shared" si="0"/>
        <v>0</v>
      </c>
      <c r="F25" s="235">
        <f t="shared" si="1"/>
        <v>0</v>
      </c>
      <c r="G25" s="236">
        <f>'Emission Factors'!$F$19/1000</f>
        <v>1.63E-4</v>
      </c>
      <c r="H25" s="233">
        <f t="shared" si="2"/>
        <v>0</v>
      </c>
      <c r="L25" s="308"/>
      <c r="M25" s="308"/>
      <c r="N25" s="308"/>
      <c r="R25" s="194" t="s">
        <v>158</v>
      </c>
      <c r="S25" s="192">
        <v>6</v>
      </c>
      <c r="T25" s="194"/>
      <c r="U25" s="195"/>
      <c r="V25" s="194">
        <v>668</v>
      </c>
      <c r="W25" s="194"/>
      <c r="X25" s="194"/>
      <c r="Y25" s="191"/>
      <c r="Z25" s="194"/>
      <c r="AA25" s="194"/>
      <c r="AB25" s="194"/>
      <c r="AC25" s="194">
        <v>274</v>
      </c>
      <c r="AD25" s="195"/>
      <c r="AE25" s="194"/>
      <c r="AF25" s="194"/>
      <c r="AG25" s="194">
        <v>387</v>
      </c>
      <c r="AH25" s="194"/>
    </row>
    <row r="26" spans="2:34" ht="15">
      <c r="B26" s="193"/>
      <c r="C26" s="193"/>
      <c r="D26" s="225"/>
      <c r="E26" s="235">
        <f t="shared" si="0"/>
        <v>0</v>
      </c>
      <c r="F26" s="235">
        <f t="shared" si="1"/>
        <v>0</v>
      </c>
      <c r="G26" s="236">
        <f>'Emission Factors'!$F$19/1000</f>
        <v>1.63E-4</v>
      </c>
      <c r="H26" s="233">
        <f t="shared" si="2"/>
        <v>0</v>
      </c>
      <c r="L26" s="308"/>
      <c r="M26" s="308"/>
      <c r="N26" s="308"/>
      <c r="R26" s="194" t="s">
        <v>161</v>
      </c>
      <c r="S26" s="192">
        <v>7</v>
      </c>
      <c r="T26" s="194">
        <v>328</v>
      </c>
      <c r="U26" s="195"/>
      <c r="V26" s="194">
        <v>575</v>
      </c>
      <c r="W26" s="194"/>
      <c r="X26" s="194"/>
      <c r="Y26" s="194"/>
      <c r="Z26" s="191"/>
      <c r="AA26" s="194"/>
      <c r="AB26" s="194"/>
      <c r="AC26" s="194"/>
      <c r="AD26" s="194"/>
      <c r="AE26" s="194"/>
      <c r="AF26" s="194"/>
      <c r="AG26" s="194">
        <v>271</v>
      </c>
      <c r="AH26" s="194"/>
    </row>
    <row r="27" spans="2:34" ht="15">
      <c r="B27" s="193"/>
      <c r="C27" s="193"/>
      <c r="D27" s="225"/>
      <c r="E27" s="235">
        <f t="shared" si="0"/>
        <v>0</v>
      </c>
      <c r="F27" s="235">
        <f t="shared" si="1"/>
        <v>0</v>
      </c>
      <c r="G27" s="236">
        <f>'Emission Factors'!$F$19/1000</f>
        <v>1.63E-4</v>
      </c>
      <c r="H27" s="233">
        <f t="shared" si="2"/>
        <v>0</v>
      </c>
      <c r="L27" s="308"/>
      <c r="M27" s="308"/>
      <c r="N27" s="308"/>
      <c r="R27" s="194" t="s">
        <v>180</v>
      </c>
      <c r="S27" s="192">
        <v>8</v>
      </c>
      <c r="T27" s="194">
        <v>495</v>
      </c>
      <c r="U27" s="195"/>
      <c r="V27" s="194">
        <v>250</v>
      </c>
      <c r="W27" s="194"/>
      <c r="X27" s="194"/>
      <c r="Y27" s="194"/>
      <c r="Z27" s="194"/>
      <c r="AA27" s="191"/>
      <c r="AB27" s="194"/>
      <c r="AC27" s="194"/>
      <c r="AD27" s="194"/>
      <c r="AE27" s="194"/>
      <c r="AF27" s="194"/>
      <c r="AG27" s="194">
        <v>133</v>
      </c>
      <c r="AH27" s="194"/>
    </row>
    <row r="28" spans="2:34" ht="15.6" thickBot="1">
      <c r="B28" s="193"/>
      <c r="C28" s="193"/>
      <c r="D28" s="225"/>
      <c r="E28" s="248">
        <f t="shared" si="0"/>
        <v>0</v>
      </c>
      <c r="F28" s="244">
        <f t="shared" si="1"/>
        <v>0</v>
      </c>
      <c r="G28" s="245">
        <f>'Emission Factors'!$F$19/1000</f>
        <v>1.63E-4</v>
      </c>
      <c r="H28" s="246">
        <f t="shared" si="2"/>
        <v>0</v>
      </c>
      <c r="R28" s="195" t="s">
        <v>162</v>
      </c>
      <c r="S28" s="192">
        <v>9</v>
      </c>
      <c r="T28" s="195">
        <v>229</v>
      </c>
      <c r="U28" s="195"/>
      <c r="V28" s="195">
        <v>516</v>
      </c>
      <c r="W28" s="195"/>
      <c r="X28" s="194"/>
      <c r="Y28" s="194"/>
      <c r="Z28" s="194"/>
      <c r="AA28" s="194"/>
      <c r="AB28" s="191"/>
      <c r="AC28" s="194"/>
      <c r="AD28" s="194"/>
      <c r="AE28" s="194"/>
      <c r="AF28" s="194"/>
      <c r="AG28" s="195">
        <v>263</v>
      </c>
      <c r="AH28" s="195"/>
    </row>
    <row r="29" spans="2:34" ht="15.6">
      <c r="B29" s="232"/>
      <c r="C29" s="232"/>
      <c r="D29" s="232"/>
      <c r="E29" s="247" t="s">
        <v>81</v>
      </c>
      <c r="F29" s="242">
        <f>SUM(F19:F28)</f>
        <v>266</v>
      </c>
      <c r="G29" s="234"/>
      <c r="H29" s="243">
        <f>SUM(H19:H28)</f>
        <v>8.1946619999999998E-2</v>
      </c>
      <c r="I29" s="198"/>
      <c r="R29" s="194" t="s">
        <v>164</v>
      </c>
      <c r="S29" s="192">
        <v>10</v>
      </c>
      <c r="T29" s="194">
        <v>375</v>
      </c>
      <c r="U29" s="195"/>
      <c r="V29" s="194">
        <v>435</v>
      </c>
      <c r="W29" s="194"/>
      <c r="X29" s="194"/>
      <c r="Y29" s="194">
        <v>274</v>
      </c>
      <c r="Z29" s="194"/>
      <c r="AA29" s="194"/>
      <c r="AB29" s="194"/>
      <c r="AC29" s="191"/>
      <c r="AD29" s="194"/>
      <c r="AE29" s="194"/>
      <c r="AF29" s="194"/>
      <c r="AG29" s="194">
        <v>131</v>
      </c>
      <c r="AH29" s="194"/>
    </row>
    <row r="30" spans="2:34" ht="15">
      <c r="B30" s="198"/>
      <c r="C30" s="198"/>
      <c r="D30" s="198"/>
      <c r="E30" s="198"/>
      <c r="F30" s="198"/>
      <c r="G30" s="198"/>
      <c r="H30" s="198"/>
      <c r="I30" s="198"/>
      <c r="J30" s="198"/>
      <c r="R30" s="194" t="s">
        <v>177</v>
      </c>
      <c r="S30" s="192">
        <v>11</v>
      </c>
      <c r="T30" s="194">
        <v>1025</v>
      </c>
      <c r="U30" s="195"/>
      <c r="V30" s="194">
        <v>347</v>
      </c>
      <c r="W30" s="195"/>
      <c r="X30" s="194"/>
      <c r="Y30" s="194"/>
      <c r="Z30" s="194"/>
      <c r="AA30" s="194"/>
      <c r="AB30" s="194"/>
      <c r="AC30" s="194"/>
      <c r="AD30" s="191"/>
      <c r="AE30" s="194"/>
      <c r="AF30" s="194"/>
      <c r="AG30" s="194">
        <v>641</v>
      </c>
      <c r="AH30" s="194"/>
    </row>
    <row r="31" spans="2:34" ht="15.6">
      <c r="B31" s="199" t="s">
        <v>257</v>
      </c>
      <c r="C31" s="198"/>
      <c r="D31" s="198"/>
      <c r="E31" s="198"/>
      <c r="F31" s="198"/>
      <c r="G31" s="198"/>
      <c r="H31" s="198"/>
      <c r="I31" s="198"/>
      <c r="J31" s="198"/>
      <c r="R31" s="194" t="s">
        <v>165</v>
      </c>
      <c r="S31" s="192">
        <v>12</v>
      </c>
      <c r="T31" s="194">
        <v>182</v>
      </c>
      <c r="U31" s="195"/>
      <c r="V31" s="194">
        <v>677</v>
      </c>
      <c r="W31" s="194"/>
      <c r="X31" s="194"/>
      <c r="Y31" s="194"/>
      <c r="Z31" s="194"/>
      <c r="AA31" s="194"/>
      <c r="AB31" s="194"/>
      <c r="AC31" s="194"/>
      <c r="AD31" s="194"/>
      <c r="AE31" s="191"/>
      <c r="AF31" s="194"/>
      <c r="AG31" s="194">
        <v>380</v>
      </c>
      <c r="AH31" s="194"/>
    </row>
    <row r="32" spans="2:34" ht="15.6">
      <c r="B32" s="187" t="s">
        <v>189</v>
      </c>
      <c r="C32" s="198"/>
      <c r="D32" s="198"/>
      <c r="E32" s="198"/>
      <c r="F32" s="198"/>
      <c r="G32" s="198"/>
      <c r="H32" s="198"/>
      <c r="I32" s="198"/>
      <c r="J32" s="198"/>
      <c r="R32" s="194" t="s">
        <v>168</v>
      </c>
      <c r="S32" s="192">
        <v>13</v>
      </c>
      <c r="T32" s="194">
        <v>145</v>
      </c>
      <c r="U32" s="195"/>
      <c r="V32" s="194">
        <v>716</v>
      </c>
      <c r="W32" s="194"/>
      <c r="X32" s="194"/>
      <c r="Y32" s="194"/>
      <c r="Z32" s="194"/>
      <c r="AA32" s="194"/>
      <c r="AB32" s="194"/>
      <c r="AC32" s="194"/>
      <c r="AD32" s="194"/>
      <c r="AE32" s="194"/>
      <c r="AF32" s="191"/>
      <c r="AG32" s="194">
        <v>423</v>
      </c>
      <c r="AH32" s="194"/>
    </row>
    <row r="33" spans="2:34">
      <c r="R33" s="194" t="s">
        <v>169</v>
      </c>
      <c r="S33" s="192">
        <v>14</v>
      </c>
      <c r="T33" s="194">
        <v>480</v>
      </c>
      <c r="U33" s="195">
        <v>77</v>
      </c>
      <c r="V33" s="194">
        <v>304</v>
      </c>
      <c r="W33" s="194">
        <v>632</v>
      </c>
      <c r="X33" s="194">
        <v>401</v>
      </c>
      <c r="Y33" s="194">
        <v>387</v>
      </c>
      <c r="Z33" s="194">
        <v>271</v>
      </c>
      <c r="AA33" s="194">
        <v>133</v>
      </c>
      <c r="AB33" s="195">
        <v>263</v>
      </c>
      <c r="AC33" s="194">
        <v>131</v>
      </c>
      <c r="AD33" s="194">
        <v>641</v>
      </c>
      <c r="AE33" s="194">
        <v>380</v>
      </c>
      <c r="AF33" s="194">
        <v>423</v>
      </c>
      <c r="AG33" s="191"/>
      <c r="AH33" s="194"/>
    </row>
    <row r="34" spans="2:34" ht="15">
      <c r="B34" s="188" t="s">
        <v>253</v>
      </c>
      <c r="C34" s="188" t="s">
        <v>192</v>
      </c>
      <c r="D34" s="189" t="s">
        <v>193</v>
      </c>
      <c r="E34" s="189" t="s">
        <v>55</v>
      </c>
      <c r="F34" s="189" t="s">
        <v>254</v>
      </c>
      <c r="G34" s="189" t="s">
        <v>258</v>
      </c>
      <c r="H34" s="189" t="s">
        <v>259</v>
      </c>
      <c r="I34" s="189" t="s">
        <v>255</v>
      </c>
      <c r="J34" s="189" t="s">
        <v>216</v>
      </c>
      <c r="R34" s="194" t="s">
        <v>171</v>
      </c>
      <c r="S34" s="192">
        <v>15</v>
      </c>
      <c r="T34" s="194">
        <v>143</v>
      </c>
      <c r="U34" s="195"/>
      <c r="V34" s="194"/>
      <c r="W34" s="194"/>
      <c r="X34" s="194"/>
      <c r="Y34" s="194"/>
      <c r="Z34" s="194"/>
      <c r="AA34" s="194"/>
      <c r="AB34" s="195"/>
      <c r="AC34" s="194"/>
      <c r="AD34" s="194"/>
      <c r="AE34" s="194"/>
      <c r="AF34" s="194"/>
      <c r="AG34" s="194"/>
      <c r="AH34" s="191"/>
    </row>
    <row r="35" spans="2:34" ht="15">
      <c r="B35" s="193" t="s">
        <v>169</v>
      </c>
      <c r="C35" s="193" t="s">
        <v>260</v>
      </c>
      <c r="D35" s="237">
        <v>8</v>
      </c>
      <c r="E35" s="238">
        <f>IFERROR(VLOOKUP($B35, $R$38:$AG$44, HLOOKUP($C35, $T$38:$AG$39, 2, 0)+2,0),0)</f>
        <v>2230</v>
      </c>
      <c r="F35" s="238">
        <f>$E35*$D35</f>
        <v>17840</v>
      </c>
      <c r="G35" s="238">
        <f>IF($E35&lt;=3700,$F35,0)</f>
        <v>17840</v>
      </c>
      <c r="H35" s="238">
        <f>IF($E35&gt;3700,$F35,0)</f>
        <v>0</v>
      </c>
      <c r="I35" s="236">
        <f>_xlfn.IFNA(IF($G35&lt;&gt;0, 'Emission Factors'!$F$20/1000,'Emission Factors'!$F$21/1000),0)</f>
        <v>7.9839999999999995E-5</v>
      </c>
      <c r="J35" s="239">
        <f>IF($F$13="Yes", $I35*SUM($G35:$H35)*1.89, $I35*SUM($G35:$H35))</f>
        <v>2.6920131839999994</v>
      </c>
    </row>
    <row r="36" spans="2:34" ht="15">
      <c r="B36" s="193" t="s">
        <v>156</v>
      </c>
      <c r="C36" s="193" t="s">
        <v>261</v>
      </c>
      <c r="D36" s="237">
        <v>2</v>
      </c>
      <c r="E36" s="238">
        <f>IFERROR(VLOOKUP($B36, $R$38:$AG$44, HLOOKUP($C36, $T$38:$AG$39, 2, 0)+2,0),0)</f>
        <v>2642</v>
      </c>
      <c r="F36" s="238">
        <f t="shared" ref="F36:F44" si="3">$E36*$D36</f>
        <v>5284</v>
      </c>
      <c r="G36" s="238">
        <f t="shared" ref="G36:G44" si="4">IF($E36&lt;=3700,$F36,0)</f>
        <v>5284</v>
      </c>
      <c r="H36" s="238">
        <f t="shared" ref="H36:H44" si="5">IF($E36&gt;3700,$F36,0)</f>
        <v>0</v>
      </c>
      <c r="I36" s="236">
        <f>_xlfn.IFNA(IF($G36&lt;&gt;0, 'Emission Factors'!$F$20/1000,'Emission Factors'!$F$21/1000),0)</f>
        <v>7.9839999999999995E-5</v>
      </c>
      <c r="J36" s="239">
        <f t="shared" ref="J36:J44" si="6">IF($F$13="Yes", $I36*SUM($G36:$H36)*1.89, $I36*SUM($G36:$H36))</f>
        <v>0.79734291839999982</v>
      </c>
    </row>
    <row r="37" spans="2:34" ht="15.6">
      <c r="B37" s="193" t="s">
        <v>156</v>
      </c>
      <c r="C37" s="193" t="s">
        <v>262</v>
      </c>
      <c r="D37" s="237">
        <v>1</v>
      </c>
      <c r="E37" s="238">
        <f>IFERROR(VLOOKUP($B37, $R$38:$AG$44, HLOOKUP($C37, $T$38:$AG$39, 2, 0)+2,0),0)</f>
        <v>8421</v>
      </c>
      <c r="F37" s="238">
        <f t="shared" si="3"/>
        <v>8421</v>
      </c>
      <c r="G37" s="238">
        <f t="shared" si="4"/>
        <v>0</v>
      </c>
      <c r="H37" s="238">
        <f t="shared" si="5"/>
        <v>8421</v>
      </c>
      <c r="I37" s="236">
        <f>_xlfn.IFNA(IF($G37&lt;&gt;0, 'Emission Factors'!$F$20/1000,'Emission Factors'!$F$21/1000),0)</f>
        <v>7.818E-5</v>
      </c>
      <c r="J37" s="239">
        <f t="shared" si="6"/>
        <v>1.2442886441999998</v>
      </c>
      <c r="R37" s="185" t="s">
        <v>263</v>
      </c>
      <c r="S37" s="185"/>
    </row>
    <row r="38" spans="2:34" ht="15">
      <c r="B38" s="193"/>
      <c r="C38" s="193"/>
      <c r="D38" s="237"/>
      <c r="E38" s="238">
        <f t="shared" ref="E38:E44" si="7">IFERROR(VLOOKUP($B38, $R$38:$AG$44, HLOOKUP($C38, $T$38:$AG$39, 2, 0)+2,0),0)</f>
        <v>0</v>
      </c>
      <c r="F38" s="238">
        <f t="shared" si="3"/>
        <v>0</v>
      </c>
      <c r="G38" s="238">
        <f t="shared" si="4"/>
        <v>0</v>
      </c>
      <c r="H38" s="238">
        <f t="shared" si="5"/>
        <v>0</v>
      </c>
      <c r="I38" s="236">
        <f>_xlfn.IFNA(IF($G38&lt;&gt;0, 'Emission Factors'!$F$20/1000,'Emission Factors'!$F$21/1000),0)</f>
        <v>7.818E-5</v>
      </c>
      <c r="J38" s="239">
        <f t="shared" si="6"/>
        <v>0</v>
      </c>
      <c r="T38" s="191" t="s">
        <v>260</v>
      </c>
      <c r="U38" s="191" t="s">
        <v>261</v>
      </c>
      <c r="V38" s="191" t="s">
        <v>264</v>
      </c>
      <c r="W38" s="191" t="s">
        <v>265</v>
      </c>
      <c r="X38" s="191" t="s">
        <v>266</v>
      </c>
      <c r="Y38" s="191" t="s">
        <v>267</v>
      </c>
      <c r="Z38" s="191" t="s">
        <v>262</v>
      </c>
      <c r="AA38" s="191" t="s">
        <v>268</v>
      </c>
      <c r="AB38" s="191" t="s">
        <v>269</v>
      </c>
      <c r="AC38" s="191" t="s">
        <v>270</v>
      </c>
      <c r="AD38" s="191" t="s">
        <v>271</v>
      </c>
      <c r="AE38" s="191" t="s">
        <v>272</v>
      </c>
      <c r="AF38" s="191" t="s">
        <v>273</v>
      </c>
      <c r="AG38" s="191" t="s">
        <v>274</v>
      </c>
    </row>
    <row r="39" spans="2:34" ht="15">
      <c r="B39" s="193"/>
      <c r="C39" s="193"/>
      <c r="D39" s="237"/>
      <c r="E39" s="238">
        <f t="shared" si="7"/>
        <v>0</v>
      </c>
      <c r="F39" s="238">
        <f t="shared" si="3"/>
        <v>0</v>
      </c>
      <c r="G39" s="238">
        <f t="shared" si="4"/>
        <v>0</v>
      </c>
      <c r="H39" s="238">
        <f t="shared" si="5"/>
        <v>0</v>
      </c>
      <c r="I39" s="236">
        <f>_xlfn.IFNA(IF($G39&lt;&gt;0, 'Emission Factors'!$F$20/1000,'Emission Factors'!$F$21/1000),0)</f>
        <v>7.818E-5</v>
      </c>
      <c r="J39" s="239">
        <f t="shared" si="6"/>
        <v>0</v>
      </c>
      <c r="R39" s="191"/>
      <c r="S39" s="191"/>
      <c r="T39" s="192">
        <v>1</v>
      </c>
      <c r="U39" s="192">
        <v>2</v>
      </c>
      <c r="V39" s="192">
        <v>3</v>
      </c>
      <c r="W39" s="192">
        <v>4</v>
      </c>
      <c r="X39" s="192">
        <v>5</v>
      </c>
      <c r="Y39" s="192">
        <v>6</v>
      </c>
      <c r="Z39" s="192">
        <v>7</v>
      </c>
      <c r="AA39" s="192">
        <v>8</v>
      </c>
      <c r="AB39" s="192">
        <v>9</v>
      </c>
      <c r="AC39" s="192">
        <v>10</v>
      </c>
      <c r="AD39" s="192">
        <v>11</v>
      </c>
      <c r="AE39" s="192">
        <v>12</v>
      </c>
      <c r="AF39" s="192">
        <v>13</v>
      </c>
      <c r="AG39" s="192">
        <v>14</v>
      </c>
    </row>
    <row r="40" spans="2:34" ht="15">
      <c r="B40" s="193"/>
      <c r="C40" s="193"/>
      <c r="D40" s="237"/>
      <c r="E40" s="238">
        <f t="shared" si="7"/>
        <v>0</v>
      </c>
      <c r="F40" s="238">
        <f t="shared" si="3"/>
        <v>0</v>
      </c>
      <c r="G40" s="238">
        <f t="shared" si="4"/>
        <v>0</v>
      </c>
      <c r="H40" s="238">
        <f t="shared" si="5"/>
        <v>0</v>
      </c>
      <c r="I40" s="236">
        <f>_xlfn.IFNA(IF($G40&lt;&gt;0, 'Emission Factors'!$F$20/1000,'Emission Factors'!$F$21/1000),0)</f>
        <v>7.818E-5</v>
      </c>
      <c r="J40" s="239">
        <f>IF($F$13="Yes", $I40*SUM($G40:$H40)*1.89, $I40*SUM($G40:$H40))</f>
        <v>0</v>
      </c>
      <c r="R40" s="194" t="s">
        <v>156</v>
      </c>
      <c r="S40" s="191">
        <v>1</v>
      </c>
      <c r="T40" s="191">
        <v>2162</v>
      </c>
      <c r="U40" s="191">
        <v>2642</v>
      </c>
      <c r="V40" s="191">
        <v>5342</v>
      </c>
      <c r="W40" s="191">
        <v>2298</v>
      </c>
      <c r="X40" s="191">
        <v>2219</v>
      </c>
      <c r="Y40" s="191">
        <v>2149</v>
      </c>
      <c r="Z40" s="191">
        <v>8421</v>
      </c>
      <c r="AA40" s="191">
        <v>9284</v>
      </c>
      <c r="AB40" s="191">
        <v>9155</v>
      </c>
      <c r="AC40" s="191">
        <v>8811</v>
      </c>
      <c r="AD40" s="191">
        <v>14200</v>
      </c>
      <c r="AE40" s="191">
        <v>11674</v>
      </c>
      <c r="AF40" s="191">
        <v>10467</v>
      </c>
      <c r="AG40" s="191">
        <v>18355</v>
      </c>
    </row>
    <row r="41" spans="2:34" ht="15">
      <c r="B41" s="193"/>
      <c r="C41" s="193"/>
      <c r="D41" s="237"/>
      <c r="E41" s="238">
        <f t="shared" si="7"/>
        <v>0</v>
      </c>
      <c r="F41" s="238">
        <f t="shared" si="3"/>
        <v>0</v>
      </c>
      <c r="G41" s="238">
        <f t="shared" si="4"/>
        <v>0</v>
      </c>
      <c r="H41" s="238">
        <f t="shared" si="5"/>
        <v>0</v>
      </c>
      <c r="I41" s="236">
        <f>_xlfn.IFNA(IF($G41&lt;&gt;0, 'Emission Factors'!$F$20/1000,'Emission Factors'!$F$21/1000),0)</f>
        <v>7.818E-5</v>
      </c>
      <c r="J41" s="239">
        <f t="shared" si="6"/>
        <v>0</v>
      </c>
      <c r="R41" s="194" t="s">
        <v>186</v>
      </c>
      <c r="S41" s="191">
        <v>2</v>
      </c>
      <c r="T41" s="191">
        <v>2129</v>
      </c>
      <c r="U41" s="191">
        <v>2417</v>
      </c>
      <c r="V41" s="191"/>
      <c r="W41" s="191">
        <v>2498</v>
      </c>
      <c r="X41" s="191">
        <v>2407</v>
      </c>
      <c r="Y41" s="191">
        <v>2890</v>
      </c>
      <c r="Z41" s="191">
        <v>8400</v>
      </c>
      <c r="AA41" s="191">
        <v>9559</v>
      </c>
      <c r="AB41" s="192"/>
      <c r="AC41" s="192"/>
      <c r="AD41" s="192"/>
      <c r="AE41" s="192"/>
      <c r="AF41" s="192"/>
      <c r="AG41" s="192"/>
    </row>
    <row r="42" spans="2:34" ht="15">
      <c r="B42" s="193"/>
      <c r="C42" s="193"/>
      <c r="D42" s="237"/>
      <c r="E42" s="238">
        <f t="shared" si="7"/>
        <v>0</v>
      </c>
      <c r="F42" s="238">
        <f t="shared" si="3"/>
        <v>0</v>
      </c>
      <c r="G42" s="238">
        <f t="shared" si="4"/>
        <v>0</v>
      </c>
      <c r="H42" s="238">
        <f t="shared" si="5"/>
        <v>0</v>
      </c>
      <c r="I42" s="236">
        <f>_xlfn.IFNA(IF($G42&lt;&gt;0, 'Emission Factors'!$F$20/1000,'Emission Factors'!$F$21/1000),0)</f>
        <v>7.818E-5</v>
      </c>
      <c r="J42" s="239">
        <f t="shared" si="6"/>
        <v>0</v>
      </c>
      <c r="R42" s="194" t="s">
        <v>185</v>
      </c>
      <c r="S42" s="191">
        <v>3</v>
      </c>
      <c r="T42" s="191"/>
      <c r="U42" s="191"/>
      <c r="V42" s="191"/>
      <c r="W42" s="192">
        <v>2551</v>
      </c>
      <c r="X42" s="191"/>
      <c r="Y42" s="191"/>
      <c r="Z42" s="191"/>
      <c r="AA42" s="191"/>
      <c r="AB42" s="192"/>
      <c r="AC42" s="192"/>
      <c r="AD42" s="192"/>
      <c r="AE42" s="192"/>
      <c r="AF42" s="192"/>
      <c r="AG42" s="192"/>
    </row>
    <row r="43" spans="2:34" ht="15">
      <c r="B43" s="193"/>
      <c r="C43" s="193"/>
      <c r="D43" s="237"/>
      <c r="E43" s="238">
        <f t="shared" si="7"/>
        <v>0</v>
      </c>
      <c r="F43" s="238">
        <f t="shared" si="3"/>
        <v>0</v>
      </c>
      <c r="G43" s="238">
        <f t="shared" si="4"/>
        <v>0</v>
      </c>
      <c r="H43" s="238">
        <f t="shared" si="5"/>
        <v>0</v>
      </c>
      <c r="I43" s="236">
        <f>_xlfn.IFNA(IF($G43&lt;&gt;0, 'Emission Factors'!$F$20/1000,'Emission Factors'!$F$21/1000),0)</f>
        <v>7.818E-5</v>
      </c>
      <c r="J43" s="239">
        <f t="shared" si="6"/>
        <v>0</v>
      </c>
      <c r="R43" s="194" t="s">
        <v>177</v>
      </c>
      <c r="S43" s="191">
        <v>4</v>
      </c>
      <c r="T43" s="191">
        <v>1941</v>
      </c>
      <c r="U43" s="191">
        <v>2150</v>
      </c>
      <c r="V43" s="191"/>
      <c r="W43" s="192">
        <v>2400</v>
      </c>
      <c r="X43" s="191">
        <v>2306</v>
      </c>
      <c r="Y43" s="192"/>
      <c r="Z43" s="192"/>
      <c r="AA43" s="191"/>
      <c r="AB43" s="192"/>
      <c r="AC43" s="192"/>
      <c r="AD43" s="192"/>
      <c r="AE43" s="192"/>
      <c r="AF43" s="192"/>
      <c r="AG43" s="192"/>
    </row>
    <row r="44" spans="2:34" ht="15.6" thickBot="1">
      <c r="B44" s="193"/>
      <c r="C44" s="193"/>
      <c r="D44" s="237"/>
      <c r="E44" s="253">
        <f t="shared" si="7"/>
        <v>0</v>
      </c>
      <c r="F44" s="253">
        <f t="shared" si="3"/>
        <v>0</v>
      </c>
      <c r="G44" s="253">
        <f t="shared" si="4"/>
        <v>0</v>
      </c>
      <c r="H44" s="253">
        <f t="shared" si="5"/>
        <v>0</v>
      </c>
      <c r="I44" s="245">
        <f>_xlfn.IFNA(IF($G44&lt;&gt;0, 'Emission Factors'!$F$20/1000,'Emission Factors'!$F$21/1000),0)</f>
        <v>7.818E-5</v>
      </c>
      <c r="J44" s="254">
        <f t="shared" si="6"/>
        <v>0</v>
      </c>
      <c r="R44" s="194" t="s">
        <v>169</v>
      </c>
      <c r="S44" s="191">
        <v>5</v>
      </c>
      <c r="T44" s="191">
        <v>2230</v>
      </c>
      <c r="U44" s="191">
        <v>2592</v>
      </c>
      <c r="V44" s="191"/>
      <c r="W44" s="191">
        <v>2512</v>
      </c>
      <c r="X44" s="191">
        <v>2425</v>
      </c>
      <c r="Y44" s="192">
        <v>2625</v>
      </c>
      <c r="Z44" s="191"/>
      <c r="AA44" s="191"/>
      <c r="AB44" s="192"/>
      <c r="AC44" s="192"/>
      <c r="AD44" s="192"/>
      <c r="AE44" s="192"/>
      <c r="AF44" s="192"/>
      <c r="AG44" s="192"/>
    </row>
    <row r="45" spans="2:34" ht="16.5" customHeight="1">
      <c r="E45" s="200" t="s">
        <v>81</v>
      </c>
      <c r="F45" s="249"/>
      <c r="G45" s="250">
        <f>SUM(G35:G44)</f>
        <v>23124</v>
      </c>
      <c r="H45" s="251">
        <f>SUM(H35:H44)</f>
        <v>8421</v>
      </c>
      <c r="J45" s="252">
        <f>SUM(J35:J44)</f>
        <v>4.7336447465999996</v>
      </c>
      <c r="R45" s="191"/>
      <c r="S45" s="191"/>
      <c r="T45" s="191"/>
      <c r="U45" s="191"/>
      <c r="V45" s="191"/>
      <c r="W45" s="192"/>
      <c r="X45" s="192"/>
      <c r="Y45" s="192"/>
      <c r="Z45" s="191"/>
      <c r="AA45" s="192"/>
      <c r="AB45" s="192"/>
      <c r="AC45" s="192"/>
      <c r="AD45" s="192"/>
      <c r="AE45" s="192"/>
      <c r="AF45" s="191"/>
      <c r="AG45" s="191"/>
    </row>
    <row r="47" spans="2:34" ht="15.6">
      <c r="B47" s="185" t="s">
        <v>275</v>
      </c>
      <c r="R47" s="201"/>
      <c r="S47" s="201"/>
      <c r="T47" s="89" t="s">
        <v>276</v>
      </c>
      <c r="U47" s="201"/>
      <c r="V47" s="201"/>
      <c r="W47" s="201"/>
      <c r="X47" s="201"/>
      <c r="Y47" s="201"/>
      <c r="Z47" s="201"/>
    </row>
    <row r="48" spans="2:34" ht="15.6">
      <c r="B48" s="187" t="s">
        <v>199</v>
      </c>
      <c r="R48" s="201"/>
      <c r="S48" s="201"/>
      <c r="T48" s="89"/>
      <c r="U48" s="201"/>
      <c r="V48" s="201"/>
      <c r="W48" s="201"/>
      <c r="X48" s="201"/>
      <c r="Y48" s="201"/>
      <c r="Z48" s="201"/>
    </row>
    <row r="49" spans="2:26">
      <c r="R49" s="201"/>
      <c r="S49" s="201"/>
      <c r="T49" s="89"/>
      <c r="U49" s="201"/>
      <c r="V49" s="201"/>
      <c r="W49" s="201"/>
      <c r="X49" s="201"/>
      <c r="Y49" s="201"/>
      <c r="Z49" s="201"/>
    </row>
    <row r="50" spans="2:26" ht="15">
      <c r="B50" s="188" t="s">
        <v>253</v>
      </c>
      <c r="C50" s="188" t="s">
        <v>192</v>
      </c>
      <c r="D50" s="189" t="s">
        <v>193</v>
      </c>
      <c r="E50" s="189" t="s">
        <v>55</v>
      </c>
      <c r="F50" s="189" t="s">
        <v>254</v>
      </c>
      <c r="G50" s="189" t="s">
        <v>258</v>
      </c>
      <c r="H50" s="189" t="s">
        <v>259</v>
      </c>
      <c r="I50" s="189" t="s">
        <v>255</v>
      </c>
      <c r="J50" s="189" t="s">
        <v>216</v>
      </c>
      <c r="R50" s="201"/>
      <c r="S50" s="201"/>
      <c r="T50" s="89"/>
      <c r="U50" s="201"/>
      <c r="V50" s="201"/>
      <c r="W50" s="201"/>
      <c r="X50" s="201"/>
      <c r="Y50" s="201"/>
      <c r="Z50" s="201"/>
    </row>
    <row r="51" spans="2:26" ht="15">
      <c r="B51" s="225" t="s">
        <v>156</v>
      </c>
      <c r="C51" s="225" t="s">
        <v>277</v>
      </c>
      <c r="D51" s="237">
        <v>4</v>
      </c>
      <c r="E51" s="237">
        <v>2453</v>
      </c>
      <c r="F51" s="238">
        <f>$E51*$D51</f>
        <v>9812</v>
      </c>
      <c r="G51" s="238">
        <f>IF($E51&lt;=3700,$F51,0)</f>
        <v>9812</v>
      </c>
      <c r="H51" s="238">
        <f>IF($E51&gt;3700,$F51,0)</f>
        <v>0</v>
      </c>
      <c r="I51" s="240">
        <f>IF($G51&lt;&gt;0, 'Emission Factors'!$F$20/1000,'Emission Factors'!$F$21/1000)</f>
        <v>7.9839999999999995E-5</v>
      </c>
      <c r="J51" s="239">
        <f>IF($F$13="Yes", $I51*SUM($G51:$H51)*1.89, $I51*SUM($G51:$H51))</f>
        <v>1.4806072511999999</v>
      </c>
      <c r="R51" s="201"/>
      <c r="S51" s="201"/>
      <c r="T51" s="89"/>
      <c r="U51" s="201"/>
      <c r="V51" s="201"/>
      <c r="W51" s="201"/>
      <c r="X51" s="201"/>
      <c r="Y51" s="201"/>
      <c r="Z51" s="201"/>
    </row>
    <row r="52" spans="2:26" ht="15">
      <c r="B52" s="225"/>
      <c r="C52" s="225"/>
      <c r="D52" s="237">
        <v>6</v>
      </c>
      <c r="E52" s="237">
        <v>4000</v>
      </c>
      <c r="F52" s="238">
        <f t="shared" ref="F52:F60" si="8">$E52*$D52</f>
        <v>24000</v>
      </c>
      <c r="G52" s="238">
        <f t="shared" ref="G52:G60" si="9">IF($E52&lt;=3700,$F52,0)</f>
        <v>0</v>
      </c>
      <c r="H52" s="238">
        <f t="shared" ref="H52:H60" si="10">IF($E52&gt;3700,$F52,0)</f>
        <v>24000</v>
      </c>
      <c r="I52" s="240">
        <f>IF($G52&lt;&gt;0, 'Emission Factors'!$F$20/1000,'Emission Factors'!$F$21/1000)</f>
        <v>7.818E-5</v>
      </c>
      <c r="J52" s="239">
        <f t="shared" ref="J52:J60" si="11">IF($F$13="Yes", $I52*SUM($G52:$H52)*1.89, $I52*SUM($G52:$H52))</f>
        <v>3.5462447999999998</v>
      </c>
      <c r="L52" s="310" t="s">
        <v>278</v>
      </c>
      <c r="M52" s="310"/>
      <c r="N52" s="310"/>
      <c r="R52" s="201"/>
      <c r="S52" s="201"/>
      <c r="T52" s="89"/>
      <c r="U52" s="201"/>
      <c r="V52" s="201"/>
      <c r="W52" s="201"/>
      <c r="X52" s="201"/>
      <c r="Y52" s="201"/>
      <c r="Z52" s="201"/>
    </row>
    <row r="53" spans="2:26" ht="15">
      <c r="B53" s="225"/>
      <c r="C53" s="225"/>
      <c r="D53" s="237"/>
      <c r="E53" s="237"/>
      <c r="F53" s="238">
        <f t="shared" si="8"/>
        <v>0</v>
      </c>
      <c r="G53" s="238">
        <f t="shared" si="9"/>
        <v>0</v>
      </c>
      <c r="H53" s="238">
        <f t="shared" si="10"/>
        <v>0</v>
      </c>
      <c r="I53" s="240">
        <f>IF($G53&lt;&gt;0, 'Emission Factors'!$F$20/1000,'Emission Factors'!$F$21/1000)</f>
        <v>7.818E-5</v>
      </c>
      <c r="J53" s="239">
        <f t="shared" si="11"/>
        <v>0</v>
      </c>
      <c r="L53" s="310"/>
      <c r="M53" s="310"/>
      <c r="N53" s="310"/>
      <c r="R53" s="201"/>
      <c r="S53" s="201"/>
      <c r="T53" s="89"/>
      <c r="U53" s="201"/>
      <c r="V53" s="201"/>
      <c r="W53" s="201"/>
      <c r="X53" s="201"/>
      <c r="Y53" s="201"/>
      <c r="Z53" s="201"/>
    </row>
    <row r="54" spans="2:26" ht="15">
      <c r="B54" s="225"/>
      <c r="C54" s="225"/>
      <c r="D54" s="237"/>
      <c r="E54" s="237"/>
      <c r="F54" s="238">
        <f t="shared" si="8"/>
        <v>0</v>
      </c>
      <c r="G54" s="238">
        <f t="shared" si="9"/>
        <v>0</v>
      </c>
      <c r="H54" s="238">
        <f t="shared" si="10"/>
        <v>0</v>
      </c>
      <c r="I54" s="240">
        <f>IF($G54&lt;&gt;0, 'Emission Factors'!$F$20/1000,'Emission Factors'!$F$21/1000)</f>
        <v>7.818E-5</v>
      </c>
      <c r="J54" s="239">
        <f t="shared" si="11"/>
        <v>0</v>
      </c>
      <c r="L54" s="310"/>
      <c r="M54" s="310"/>
      <c r="N54" s="310"/>
      <c r="R54" s="201"/>
      <c r="S54" s="201"/>
      <c r="T54" s="89"/>
      <c r="U54" s="201"/>
      <c r="V54" s="201"/>
      <c r="W54" s="201"/>
      <c r="X54" s="201"/>
      <c r="Y54" s="201"/>
      <c r="Z54" s="201"/>
    </row>
    <row r="55" spans="2:26" ht="15">
      <c r="B55" s="225"/>
      <c r="C55" s="225"/>
      <c r="D55" s="237"/>
      <c r="E55" s="237"/>
      <c r="F55" s="238">
        <f t="shared" si="8"/>
        <v>0</v>
      </c>
      <c r="G55" s="238">
        <f t="shared" si="9"/>
        <v>0</v>
      </c>
      <c r="H55" s="238">
        <f t="shared" si="10"/>
        <v>0</v>
      </c>
      <c r="I55" s="240">
        <f>IF($G55&lt;&gt;0, 'Emission Factors'!$F$20/1000,'Emission Factors'!$F$21/1000)</f>
        <v>7.818E-5</v>
      </c>
      <c r="J55" s="239">
        <f t="shared" si="11"/>
        <v>0</v>
      </c>
      <c r="R55" s="201"/>
      <c r="S55" s="201"/>
      <c r="T55" s="89"/>
      <c r="U55" s="201"/>
      <c r="V55" s="201"/>
      <c r="W55" s="201"/>
      <c r="X55" s="201"/>
      <c r="Y55" s="201"/>
      <c r="Z55" s="201"/>
    </row>
    <row r="56" spans="2:26" ht="15">
      <c r="B56" s="225"/>
      <c r="C56" s="225"/>
      <c r="D56" s="237"/>
      <c r="E56" s="237"/>
      <c r="F56" s="238">
        <f t="shared" si="8"/>
        <v>0</v>
      </c>
      <c r="G56" s="238">
        <f t="shared" si="9"/>
        <v>0</v>
      </c>
      <c r="H56" s="238">
        <f t="shared" si="10"/>
        <v>0</v>
      </c>
      <c r="I56" s="240">
        <f>IF($G56&lt;&gt;0, 'Emission Factors'!$F$20/1000,'Emission Factors'!$F$21/1000)</f>
        <v>7.818E-5</v>
      </c>
      <c r="J56" s="239">
        <f t="shared" si="11"/>
        <v>0</v>
      </c>
      <c r="R56" s="201"/>
      <c r="S56" s="201"/>
      <c r="T56" s="89"/>
      <c r="U56" s="201"/>
      <c r="V56" s="201"/>
      <c r="W56" s="201"/>
      <c r="X56" s="201"/>
      <c r="Y56" s="201"/>
      <c r="Z56" s="201"/>
    </row>
    <row r="57" spans="2:26" ht="15">
      <c r="B57" s="225"/>
      <c r="C57" s="225"/>
      <c r="D57" s="237"/>
      <c r="E57" s="237"/>
      <c r="F57" s="238">
        <f t="shared" si="8"/>
        <v>0</v>
      </c>
      <c r="G57" s="238">
        <f t="shared" si="9"/>
        <v>0</v>
      </c>
      <c r="H57" s="238">
        <f t="shared" si="10"/>
        <v>0</v>
      </c>
      <c r="I57" s="240">
        <f>IF($G57&lt;&gt;0, 'Emission Factors'!$F$20/1000,'Emission Factors'!$F$21/1000)</f>
        <v>7.818E-5</v>
      </c>
      <c r="J57" s="239">
        <f t="shared" si="11"/>
        <v>0</v>
      </c>
      <c r="R57" s="201"/>
      <c r="S57" s="201"/>
      <c r="T57" s="89"/>
      <c r="U57" s="201"/>
      <c r="V57" s="201"/>
      <c r="W57" s="201"/>
      <c r="X57" s="201"/>
      <c r="Y57" s="201"/>
      <c r="Z57" s="201"/>
    </row>
    <row r="58" spans="2:26" ht="15">
      <c r="B58" s="225"/>
      <c r="C58" s="225"/>
      <c r="D58" s="237"/>
      <c r="E58" s="237"/>
      <c r="F58" s="238">
        <f t="shared" si="8"/>
        <v>0</v>
      </c>
      <c r="G58" s="238">
        <f t="shared" si="9"/>
        <v>0</v>
      </c>
      <c r="H58" s="238">
        <f t="shared" si="10"/>
        <v>0</v>
      </c>
      <c r="I58" s="240">
        <f>IF($G58&lt;&gt;0, 'Emission Factors'!$F$20/1000,'Emission Factors'!$F$21/1000)</f>
        <v>7.818E-5</v>
      </c>
      <c r="J58" s="239">
        <f t="shared" si="11"/>
        <v>0</v>
      </c>
      <c r="R58" s="201"/>
      <c r="S58" s="201"/>
      <c r="T58" s="89"/>
      <c r="U58" s="201"/>
      <c r="V58" s="201"/>
      <c r="W58" s="201"/>
      <c r="X58" s="201"/>
      <c r="Y58" s="201"/>
      <c r="Z58" s="201"/>
    </row>
    <row r="59" spans="2:26" ht="15">
      <c r="B59" s="225"/>
      <c r="C59" s="225"/>
      <c r="D59" s="237"/>
      <c r="E59" s="237"/>
      <c r="F59" s="238">
        <f t="shared" si="8"/>
        <v>0</v>
      </c>
      <c r="G59" s="238">
        <f t="shared" si="9"/>
        <v>0</v>
      </c>
      <c r="H59" s="238">
        <f t="shared" si="10"/>
        <v>0</v>
      </c>
      <c r="I59" s="240">
        <f>IF($G59&lt;&gt;0, 'Emission Factors'!$F$20/1000,'Emission Factors'!$F$21/1000)</f>
        <v>7.818E-5</v>
      </c>
      <c r="J59" s="239">
        <f t="shared" si="11"/>
        <v>0</v>
      </c>
      <c r="R59" s="201"/>
      <c r="S59" s="201"/>
      <c r="T59" s="89"/>
      <c r="U59" s="201"/>
      <c r="V59" s="201"/>
      <c r="W59" s="201"/>
      <c r="X59" s="201"/>
      <c r="Y59" s="201"/>
      <c r="Z59" s="201"/>
    </row>
    <row r="60" spans="2:26" ht="15.6" thickBot="1">
      <c r="B60" s="225"/>
      <c r="C60" s="225"/>
      <c r="D60" s="237"/>
      <c r="E60" s="257"/>
      <c r="F60" s="253">
        <f t="shared" si="8"/>
        <v>0</v>
      </c>
      <c r="G60" s="253">
        <f t="shared" si="9"/>
        <v>0</v>
      </c>
      <c r="H60" s="258">
        <f t="shared" si="10"/>
        <v>0</v>
      </c>
      <c r="I60" s="259">
        <f>IF($G60&lt;&gt;0, 'Emission Factors'!$F$20/1000,'Emission Factors'!$F$21/1000)</f>
        <v>7.818E-5</v>
      </c>
      <c r="J60" s="260">
        <f t="shared" si="11"/>
        <v>0</v>
      </c>
      <c r="R60" s="201"/>
      <c r="S60" s="201"/>
      <c r="T60" s="89"/>
      <c r="U60" s="201"/>
      <c r="V60" s="201"/>
      <c r="W60" s="201"/>
      <c r="X60" s="201"/>
      <c r="Y60" s="201"/>
      <c r="Z60" s="201"/>
    </row>
    <row r="61" spans="2:26" ht="15.6">
      <c r="B61" s="231"/>
      <c r="C61" s="231"/>
      <c r="D61" s="231"/>
      <c r="E61" s="200" t="s">
        <v>81</v>
      </c>
      <c r="F61" s="241"/>
      <c r="G61" s="255">
        <f>SUM(G51:G60)</f>
        <v>9812</v>
      </c>
      <c r="H61" s="255">
        <f>SUM(H51:H60)</f>
        <v>24000</v>
      </c>
      <c r="I61" s="241"/>
      <c r="J61" s="256">
        <f>SUM(J51:J60)</f>
        <v>5.0268520511999997</v>
      </c>
      <c r="R61" s="201"/>
      <c r="S61" s="201"/>
      <c r="T61" s="89"/>
      <c r="U61" s="201"/>
      <c r="V61" s="201"/>
      <c r="W61" s="201"/>
      <c r="X61" s="201"/>
      <c r="Y61" s="201"/>
      <c r="Z61" s="201"/>
    </row>
    <row r="62" spans="2:26">
      <c r="R62" s="201"/>
      <c r="S62" s="201"/>
      <c r="T62" s="89"/>
      <c r="U62" s="201"/>
      <c r="V62" s="201"/>
      <c r="W62" s="201"/>
      <c r="X62" s="201"/>
      <c r="Y62" s="201"/>
      <c r="Z62" s="201"/>
    </row>
    <row r="63" spans="2:26" ht="15.6">
      <c r="B63" s="185" t="s">
        <v>81</v>
      </c>
      <c r="C63" s="198"/>
      <c r="D63" s="198"/>
      <c r="E63" s="198"/>
    </row>
    <row r="64" spans="2:26" ht="15">
      <c r="B64" s="198"/>
      <c r="C64" s="198"/>
      <c r="E64" s="189" t="s">
        <v>55</v>
      </c>
      <c r="F64" s="189" t="s">
        <v>216</v>
      </c>
    </row>
    <row r="65" spans="2:22" ht="15.6">
      <c r="B65" s="306" t="s">
        <v>279</v>
      </c>
      <c r="C65" s="306"/>
      <c r="D65" s="306"/>
      <c r="E65" s="226">
        <f>F29</f>
        <v>266</v>
      </c>
      <c r="F65" s="227">
        <f>H29</f>
        <v>8.1946619999999998E-2</v>
      </c>
      <c r="V65" s="183" t="s">
        <v>36</v>
      </c>
    </row>
    <row r="66" spans="2:22" ht="15.6">
      <c r="B66" s="306" t="s">
        <v>280</v>
      </c>
      <c r="C66" s="306"/>
      <c r="D66" s="306"/>
      <c r="E66" s="226">
        <f>G45+G61</f>
        <v>32936</v>
      </c>
      <c r="F66" s="227">
        <f>IF(F13="Yes", 1.89*(E66)*'Emission Factors'!$F$20/1000)</f>
        <v>4.969963353599999</v>
      </c>
      <c r="V66" s="183" t="s">
        <v>34</v>
      </c>
    </row>
    <row r="67" spans="2:22" ht="15.6">
      <c r="B67" s="306" t="s">
        <v>281</v>
      </c>
      <c r="C67" s="306"/>
      <c r="D67" s="306"/>
      <c r="E67" s="226">
        <f>H45+H61</f>
        <v>32421</v>
      </c>
      <c r="F67" s="227">
        <f>IF(F13="Yes", 1.89*(E67)*'Emission Factors'!$F$21/1000)</f>
        <v>4.7905334441999994</v>
      </c>
    </row>
    <row r="68" spans="2:22" ht="15.6">
      <c r="B68" s="306" t="s">
        <v>282</v>
      </c>
      <c r="C68" s="306"/>
      <c r="D68" s="306"/>
      <c r="E68" s="226">
        <f>SUM(E65:E67)</f>
        <v>65623</v>
      </c>
      <c r="F68" s="227">
        <f>SUM(F65:F67)</f>
        <v>9.8424434177999984</v>
      </c>
    </row>
    <row r="69" spans="2:22" ht="13.5" customHeight="1"/>
    <row r="70" spans="2:22" ht="15">
      <c r="B70" s="130" t="s">
        <v>31</v>
      </c>
    </row>
    <row r="75" spans="2:22" ht="15.6">
      <c r="C75" s="202"/>
    </row>
    <row r="76" spans="2:22" ht="13.5" customHeight="1">
      <c r="C76" s="185"/>
      <c r="P76" s="185"/>
      <c r="Q76" s="185"/>
    </row>
    <row r="77" spans="2:22" ht="13.5" customHeight="1">
      <c r="C77" s="185"/>
      <c r="O77" s="185"/>
      <c r="P77" s="185"/>
      <c r="Q77" s="185"/>
    </row>
    <row r="78" spans="2:22" ht="13.5" customHeight="1">
      <c r="O78" s="185"/>
      <c r="P78" s="185"/>
      <c r="Q78" s="185"/>
    </row>
    <row r="79" spans="2:22" ht="15.6">
      <c r="O79" s="185"/>
      <c r="P79" s="185"/>
      <c r="Q79" s="185"/>
    </row>
    <row r="80" spans="2:22" ht="15.75" customHeight="1">
      <c r="O80" s="185"/>
      <c r="P80" s="185"/>
      <c r="Q80" s="185"/>
    </row>
    <row r="81" spans="3:14" ht="12.75" customHeight="1"/>
    <row r="82" spans="3:14" ht="12.75" customHeight="1"/>
    <row r="83" spans="3:14">
      <c r="G83" s="203"/>
      <c r="H83" s="203"/>
      <c r="I83" s="203"/>
    </row>
    <row r="84" spans="3:14" ht="14.45" hidden="1">
      <c r="C84" s="204" t="s">
        <v>36</v>
      </c>
      <c r="L84" s="203"/>
    </row>
    <row r="85" spans="3:14" ht="15.75" hidden="1" customHeight="1">
      <c r="C85" s="204" t="s">
        <v>34</v>
      </c>
      <c r="L85" s="205"/>
      <c r="N85" s="206">
        <v>1</v>
      </c>
    </row>
    <row r="86" spans="3:14" ht="15.75" customHeight="1">
      <c r="L86" s="205"/>
      <c r="N86" s="206">
        <v>2</v>
      </c>
    </row>
    <row r="87" spans="3:14" ht="15.75" customHeight="1">
      <c r="L87" s="205"/>
      <c r="N87" s="206">
        <v>3</v>
      </c>
    </row>
    <row r="88" spans="3:14" ht="15.75" customHeight="1">
      <c r="L88" s="205"/>
      <c r="N88" s="206">
        <v>4</v>
      </c>
    </row>
    <row r="89" spans="3:14" ht="15.75" customHeight="1">
      <c r="L89" s="205"/>
      <c r="N89" s="206">
        <v>5</v>
      </c>
    </row>
    <row r="90" spans="3:14" ht="15.75" customHeight="1">
      <c r="L90" s="205"/>
      <c r="N90" s="206">
        <v>6</v>
      </c>
    </row>
    <row r="91" spans="3:14" ht="15.75" customHeight="1">
      <c r="L91" s="205"/>
      <c r="N91" s="206">
        <v>7</v>
      </c>
    </row>
    <row r="92" spans="3:14" ht="15.75" customHeight="1">
      <c r="L92" s="205"/>
      <c r="N92" s="206">
        <v>8</v>
      </c>
    </row>
    <row r="93" spans="3:14" ht="15.75" customHeight="1">
      <c r="N93" s="206">
        <v>9</v>
      </c>
    </row>
    <row r="94" spans="3:14" ht="15.75" customHeight="1">
      <c r="N94" s="206">
        <v>10</v>
      </c>
    </row>
    <row r="95" spans="3:14">
      <c r="N95" s="206">
        <v>11</v>
      </c>
    </row>
    <row r="96" spans="3:14">
      <c r="N96" s="206">
        <v>12</v>
      </c>
    </row>
    <row r="97" spans="14:14">
      <c r="N97" s="206"/>
    </row>
    <row r="98" spans="14:14">
      <c r="N98" s="206"/>
    </row>
    <row r="99" spans="14:14" ht="15.75" customHeight="1">
      <c r="N99" s="206"/>
    </row>
    <row r="100" spans="14:14" ht="15.75" customHeight="1">
      <c r="N100" s="206"/>
    </row>
    <row r="101" spans="14:14" ht="15.75" customHeight="1">
      <c r="N101" s="206"/>
    </row>
    <row r="102" spans="14:14" ht="15.75" customHeight="1">
      <c r="N102" s="206"/>
    </row>
    <row r="103" spans="14:14" ht="15.75" customHeight="1">
      <c r="N103" s="206">
        <v>1</v>
      </c>
    </row>
    <row r="104" spans="14:14">
      <c r="N104" s="206">
        <v>2</v>
      </c>
    </row>
    <row r="105" spans="14:14">
      <c r="N105" s="206">
        <v>3</v>
      </c>
    </row>
    <row r="106" spans="14:14">
      <c r="N106" s="206">
        <v>4</v>
      </c>
    </row>
    <row r="107" spans="14:14">
      <c r="N107" s="206">
        <v>5</v>
      </c>
    </row>
    <row r="108" spans="14:14">
      <c r="N108" s="206"/>
    </row>
    <row r="109" spans="14:14">
      <c r="N109" s="207"/>
    </row>
    <row r="110" spans="14:14">
      <c r="N110" s="201"/>
    </row>
  </sheetData>
  <sheetProtection algorithmName="SHA-512" hashValue="osLZJGsxLukF1GSNsOnSf93INpbcFgYoxOZzPDMlEpzSM7RkFnvZPElJ/j1vZD46jex3Gl52nikt6ZTnB4TUmQ==" saltValue="DEwcAtzYtBd4jsNJEUSi3A==" spinCount="100000" sheet="1" objects="1" scenarios="1" selectLockedCells="1"/>
  <mergeCells count="9">
    <mergeCell ref="B66:D66"/>
    <mergeCell ref="B67:D67"/>
    <mergeCell ref="B68:D68"/>
    <mergeCell ref="B7:J11"/>
    <mergeCell ref="L7:N12"/>
    <mergeCell ref="B13:E13"/>
    <mergeCell ref="L19:N27"/>
    <mergeCell ref="L52:N54"/>
    <mergeCell ref="B65:D65"/>
  </mergeCells>
  <dataValidations count="4">
    <dataValidation type="list" allowBlank="1" showInputMessage="1" showErrorMessage="1" sqref="B19:C28" xr:uid="{6A3AB808-4F4F-4DDC-A329-2E4834DA70A9}">
      <formula1>$S$18:$AH$18</formula1>
    </dataValidation>
    <dataValidation type="list" allowBlank="1" showInputMessage="1" showErrorMessage="1" sqref="C35:C44" xr:uid="{499110D1-1D31-43A9-B9EC-36700F5BA5D1}">
      <formula1>$S$38:$AG$38</formula1>
    </dataValidation>
    <dataValidation type="list" allowBlank="1" showInputMessage="1" showErrorMessage="1" sqref="B35:B44" xr:uid="{EECD463F-C21B-4759-9463-F658CB8553AC}">
      <formula1>$R$39:$R$44</formula1>
    </dataValidation>
    <dataValidation type="list" allowBlank="1" showInputMessage="1" showErrorMessage="1" sqref="F13" xr:uid="{6D509632-D616-4B67-83FC-B832592DC7C4}">
      <formula1>$V$65:$V$66</formula1>
    </dataValidation>
  </dataValidations>
  <hyperlinks>
    <hyperlink ref="T47" r:id="rId1" xr:uid="{062F5CDC-7BED-4187-8BD8-BE84DD716DAE}"/>
  </hyperlinks>
  <pageMargins left="0.75" right="0.75" top="1" bottom="1" header="0.5" footer="0.5"/>
  <pageSetup scale="68" orientation="portrait" horizontalDpi="300" verticalDpi="300" r:id="rId2"/>
  <headerFooter alignWithMargins="0"/>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autoPageBreaks="0"/>
  </sheetPr>
  <dimension ref="B2:Z35"/>
  <sheetViews>
    <sheetView showGridLines="0" showRowColHeaders="0" zoomScale="75" zoomScaleNormal="75" workbookViewId="0">
      <selection activeCell="B8" sqref="B8"/>
    </sheetView>
  </sheetViews>
  <sheetFormatPr defaultRowHeight="13.15"/>
  <cols>
    <col min="2" max="2" width="34.140625" customWidth="1"/>
    <col min="3" max="3" width="13.140625" customWidth="1"/>
    <col min="4" max="4" width="13" customWidth="1"/>
    <col min="5" max="8" width="14.28515625" customWidth="1"/>
    <col min="9" max="9" width="14.140625" customWidth="1"/>
    <col min="10" max="10" width="14.42578125" customWidth="1"/>
    <col min="11" max="12" width="14.28515625" customWidth="1"/>
    <col min="13" max="13" width="16.85546875" customWidth="1"/>
    <col min="18" max="18" width="29.28515625" hidden="1" customWidth="1"/>
    <col min="19" max="23" width="9.140625" hidden="1" customWidth="1"/>
  </cols>
  <sheetData>
    <row r="2" spans="2:23" ht="73.5" customHeight="1">
      <c r="E2" s="93" t="s">
        <v>283</v>
      </c>
    </row>
    <row r="3" spans="2:23" ht="12" customHeight="1">
      <c r="S3" s="18" t="s">
        <v>43</v>
      </c>
      <c r="T3" s="18" t="s">
        <v>284</v>
      </c>
      <c r="W3" s="18" t="s">
        <v>285</v>
      </c>
    </row>
    <row r="4" spans="2:23">
      <c r="R4" s="90" t="s">
        <v>286</v>
      </c>
      <c r="S4" s="103">
        <v>7.0000000000000007E-2</v>
      </c>
      <c r="T4" s="104">
        <v>0.03</v>
      </c>
      <c r="V4" s="90" t="s">
        <v>287</v>
      </c>
      <c r="W4" s="106">
        <v>14800</v>
      </c>
    </row>
    <row r="5" spans="2:23" ht="15.6">
      <c r="B5" s="19" t="s">
        <v>288</v>
      </c>
      <c r="H5" s="19"/>
      <c r="I5" s="19"/>
      <c r="J5" s="19"/>
      <c r="K5" s="87" t="s">
        <v>38</v>
      </c>
      <c r="R5" s="90" t="s">
        <v>289</v>
      </c>
      <c r="S5" s="103">
        <v>0.11</v>
      </c>
      <c r="T5" s="104">
        <v>0.03</v>
      </c>
      <c r="V5" s="90" t="s">
        <v>290</v>
      </c>
      <c r="W5" s="106">
        <v>1810</v>
      </c>
    </row>
    <row r="6" spans="2:23" ht="15.6">
      <c r="B6" s="19"/>
      <c r="C6" s="78"/>
      <c r="D6" s="78"/>
      <c r="H6" s="19"/>
      <c r="I6" s="19"/>
      <c r="J6" s="19"/>
      <c r="K6" s="19"/>
      <c r="R6" s="90" t="s">
        <v>291</v>
      </c>
      <c r="S6" s="103">
        <v>0.15</v>
      </c>
      <c r="T6" s="104">
        <v>0.03</v>
      </c>
      <c r="V6" s="90" t="s">
        <v>292</v>
      </c>
      <c r="W6" s="106">
        <v>1430</v>
      </c>
    </row>
    <row r="7" spans="2:23" ht="32.25" customHeight="1">
      <c r="B7" s="68" t="s">
        <v>293</v>
      </c>
      <c r="C7" s="92" t="s">
        <v>23</v>
      </c>
      <c r="D7" s="92" t="s">
        <v>294</v>
      </c>
      <c r="E7" s="92" t="s">
        <v>295</v>
      </c>
      <c r="F7" s="92" t="s">
        <v>296</v>
      </c>
      <c r="G7" s="92" t="s">
        <v>297</v>
      </c>
      <c r="H7" s="92" t="s">
        <v>216</v>
      </c>
      <c r="J7" s="19"/>
      <c r="K7" s="275" t="s">
        <v>298</v>
      </c>
      <c r="L7" s="275"/>
      <c r="M7" s="275"/>
      <c r="N7" s="275"/>
      <c r="O7" s="275"/>
      <c r="P7" s="67"/>
      <c r="Q7" s="67"/>
      <c r="R7" s="90" t="s">
        <v>299</v>
      </c>
      <c r="S7" s="103">
        <v>0.25</v>
      </c>
      <c r="T7" s="104">
        <v>0.08</v>
      </c>
      <c r="V7" s="90" t="s">
        <v>300</v>
      </c>
      <c r="W7" s="106">
        <v>3444</v>
      </c>
    </row>
    <row r="8" spans="2:23" ht="15.75" customHeight="1">
      <c r="B8" s="91" t="s">
        <v>301</v>
      </c>
      <c r="C8" s="154" t="s">
        <v>300</v>
      </c>
      <c r="D8" s="228"/>
      <c r="E8" s="228"/>
      <c r="F8" s="218">
        <f>IFERROR(IF(D8&lt;&gt;0, D8, VLOOKUP($B8, $R$4:$T$15,3,FALSE)*G8),0)</f>
        <v>5.2000000000000005E-2</v>
      </c>
      <c r="G8" s="218">
        <f>IFERROR(IF(E8&lt;&gt;0, E8, VLOOKUP($B8, $R$4:$T$15,2,FALSE)),0)</f>
        <v>0.65</v>
      </c>
      <c r="H8" s="218">
        <f>IFERROR($F8*VLOOKUP($C8, $V$4:$W$16, 2, FALSE)/1000,0)</f>
        <v>0.17908800000000002</v>
      </c>
      <c r="J8" s="19"/>
      <c r="K8" s="275"/>
      <c r="L8" s="275"/>
      <c r="M8" s="275"/>
      <c r="N8" s="275"/>
      <c r="O8" s="275"/>
      <c r="P8" s="67"/>
      <c r="Q8" s="67"/>
      <c r="R8" s="90" t="s">
        <v>302</v>
      </c>
      <c r="S8" s="103">
        <v>0.45</v>
      </c>
      <c r="T8" s="104">
        <v>0.08</v>
      </c>
      <c r="V8" s="90" t="s">
        <v>303</v>
      </c>
      <c r="W8" s="106">
        <v>3922</v>
      </c>
    </row>
    <row r="9" spans="2:23" ht="15.6">
      <c r="B9" s="91" t="s">
        <v>304</v>
      </c>
      <c r="C9" s="154" t="s">
        <v>303</v>
      </c>
      <c r="D9" s="228"/>
      <c r="E9" s="228"/>
      <c r="F9" s="218">
        <f t="shared" ref="F9:F18" si="0">IFERROR(IF(D9&lt;&gt;0, D9, VLOOKUP($B9, $R$4:$T$15,3,FALSE)*G9),0)</f>
        <v>3.6000000000000004E-2</v>
      </c>
      <c r="G9" s="218">
        <f t="shared" ref="G9:G18" si="1">IFERROR(IF(E9&lt;&gt;0, E9, VLOOKUP($B9, $R$4:$T$15,2,FALSE)),0)</f>
        <v>0.45</v>
      </c>
      <c r="H9" s="218">
        <f t="shared" ref="H9:H18" si="2">IFERROR($F9*VLOOKUP($C9, $V$4:$W$16, 2, FALSE)/1000,0)</f>
        <v>0.14119200000000001</v>
      </c>
      <c r="J9" s="19"/>
      <c r="K9" s="275"/>
      <c r="L9" s="275"/>
      <c r="M9" s="275"/>
      <c r="N9" s="275"/>
      <c r="O9" s="275"/>
      <c r="P9" s="67"/>
      <c r="Q9" s="67"/>
      <c r="R9" s="90" t="s">
        <v>301</v>
      </c>
      <c r="S9" s="103">
        <v>0.65</v>
      </c>
      <c r="T9" s="104">
        <v>0.08</v>
      </c>
      <c r="V9" s="90" t="s">
        <v>305</v>
      </c>
      <c r="W9" s="106">
        <v>1774</v>
      </c>
    </row>
    <row r="10" spans="2:23" ht="15.6">
      <c r="B10" s="91" t="s">
        <v>291</v>
      </c>
      <c r="C10" s="154"/>
      <c r="D10" s="228"/>
      <c r="E10" s="228"/>
      <c r="F10" s="218">
        <f t="shared" si="0"/>
        <v>4.4999999999999997E-3</v>
      </c>
      <c r="G10" s="218">
        <f t="shared" si="1"/>
        <v>0.15</v>
      </c>
      <c r="H10" s="218">
        <f t="shared" si="2"/>
        <v>0</v>
      </c>
      <c r="J10" s="19"/>
      <c r="K10" s="275"/>
      <c r="L10" s="275"/>
      <c r="M10" s="275"/>
      <c r="N10" s="275"/>
      <c r="O10" s="275"/>
      <c r="P10" s="67"/>
      <c r="Q10" s="67"/>
      <c r="R10" s="90" t="s">
        <v>306</v>
      </c>
      <c r="S10" s="103">
        <v>0.2</v>
      </c>
      <c r="T10" s="104">
        <v>0.08</v>
      </c>
      <c r="V10" s="90" t="s">
        <v>307</v>
      </c>
      <c r="W10" s="106">
        <v>2301</v>
      </c>
    </row>
    <row r="11" spans="2:23" ht="12.75" customHeight="1">
      <c r="B11" s="91"/>
      <c r="C11" s="154"/>
      <c r="D11" s="228"/>
      <c r="E11" s="228"/>
      <c r="F11" s="218">
        <f t="shared" si="0"/>
        <v>0</v>
      </c>
      <c r="G11" s="218">
        <f t="shared" si="1"/>
        <v>0</v>
      </c>
      <c r="H11" s="218">
        <f t="shared" si="2"/>
        <v>0</v>
      </c>
      <c r="I11" s="19"/>
      <c r="J11" s="19"/>
      <c r="K11" s="275"/>
      <c r="L11" s="275"/>
      <c r="M11" s="275"/>
      <c r="N11" s="275"/>
      <c r="O11" s="275"/>
      <c r="P11" s="67"/>
      <c r="Q11" s="67"/>
      <c r="R11" s="90" t="s">
        <v>308</v>
      </c>
      <c r="S11" s="103">
        <v>0.3</v>
      </c>
      <c r="T11" s="104">
        <v>0.08</v>
      </c>
      <c r="V11" s="90" t="s">
        <v>309</v>
      </c>
      <c r="W11" s="106">
        <v>2088</v>
      </c>
    </row>
    <row r="12" spans="2:23" ht="15.6">
      <c r="B12" s="91"/>
      <c r="C12" s="154"/>
      <c r="D12" s="228"/>
      <c r="E12" s="228"/>
      <c r="F12" s="218">
        <f t="shared" si="0"/>
        <v>0</v>
      </c>
      <c r="G12" s="218">
        <f t="shared" si="1"/>
        <v>0</v>
      </c>
      <c r="H12" s="218">
        <f t="shared" si="2"/>
        <v>0</v>
      </c>
      <c r="I12" s="19"/>
      <c r="J12" s="19"/>
      <c r="K12" s="275"/>
      <c r="L12" s="275"/>
      <c r="M12" s="275"/>
      <c r="N12" s="275"/>
      <c r="O12" s="275"/>
      <c r="P12" s="67"/>
      <c r="Q12" s="67"/>
      <c r="R12" s="90" t="s">
        <v>304</v>
      </c>
      <c r="S12" s="103">
        <v>0.45</v>
      </c>
      <c r="T12" s="104">
        <v>0.08</v>
      </c>
      <c r="V12" s="90" t="s">
        <v>310</v>
      </c>
      <c r="W12" s="106">
        <v>2053</v>
      </c>
    </row>
    <row r="13" spans="2:23" ht="15.6">
      <c r="B13" s="91"/>
      <c r="C13" s="154"/>
      <c r="D13" s="228"/>
      <c r="E13" s="228"/>
      <c r="F13" s="218">
        <f t="shared" si="0"/>
        <v>0</v>
      </c>
      <c r="G13" s="218">
        <f t="shared" si="1"/>
        <v>0</v>
      </c>
      <c r="H13" s="218">
        <f t="shared" si="2"/>
        <v>0</v>
      </c>
      <c r="I13" s="19"/>
      <c r="J13" s="19"/>
      <c r="K13" s="275"/>
      <c r="L13" s="275"/>
      <c r="M13" s="275"/>
      <c r="N13" s="275"/>
      <c r="O13" s="275"/>
      <c r="P13" s="67"/>
      <c r="Q13" s="67"/>
      <c r="V13" s="90" t="s">
        <v>311</v>
      </c>
      <c r="W13" s="106">
        <v>844</v>
      </c>
    </row>
    <row r="14" spans="2:23" ht="15">
      <c r="B14" s="91"/>
      <c r="C14" s="154"/>
      <c r="D14" s="228"/>
      <c r="E14" s="228"/>
      <c r="F14" s="218">
        <f t="shared" si="0"/>
        <v>0</v>
      </c>
      <c r="G14" s="218">
        <f t="shared" si="1"/>
        <v>0</v>
      </c>
      <c r="H14" s="218">
        <f t="shared" si="2"/>
        <v>0</v>
      </c>
      <c r="K14" s="275"/>
      <c r="L14" s="275"/>
      <c r="M14" s="275"/>
      <c r="N14" s="275"/>
      <c r="O14" s="275"/>
      <c r="P14" s="67"/>
      <c r="Q14" s="67"/>
      <c r="R14" s="6" t="s">
        <v>312</v>
      </c>
      <c r="S14" s="90">
        <v>0.2</v>
      </c>
      <c r="T14" s="104">
        <v>0.01</v>
      </c>
      <c r="U14" s="18" t="s">
        <v>313</v>
      </c>
      <c r="V14" s="90" t="s">
        <v>314</v>
      </c>
      <c r="W14" s="106">
        <v>2346</v>
      </c>
    </row>
    <row r="15" spans="2:23" ht="15">
      <c r="B15" s="91"/>
      <c r="C15" s="154"/>
      <c r="D15" s="228"/>
      <c r="E15" s="228"/>
      <c r="F15" s="218">
        <f t="shared" si="0"/>
        <v>0</v>
      </c>
      <c r="G15" s="218">
        <f t="shared" si="1"/>
        <v>0</v>
      </c>
      <c r="H15" s="218">
        <f t="shared" si="2"/>
        <v>0</v>
      </c>
      <c r="K15" s="275"/>
      <c r="L15" s="275"/>
      <c r="M15" s="275"/>
      <c r="N15" s="275"/>
      <c r="O15" s="275"/>
      <c r="P15" s="67"/>
      <c r="Q15" s="94"/>
      <c r="R15" s="90" t="s">
        <v>315</v>
      </c>
      <c r="S15" s="90">
        <v>0.25</v>
      </c>
      <c r="T15" s="105">
        <v>0.03</v>
      </c>
      <c r="U15" s="18" t="s">
        <v>313</v>
      </c>
      <c r="V15" s="90" t="s">
        <v>316</v>
      </c>
      <c r="W15" s="106">
        <v>3143</v>
      </c>
    </row>
    <row r="16" spans="2:23" ht="15">
      <c r="B16" s="91"/>
      <c r="C16" s="154"/>
      <c r="D16" s="228"/>
      <c r="E16" s="228"/>
      <c r="F16" s="218">
        <f t="shared" si="0"/>
        <v>0</v>
      </c>
      <c r="G16" s="218">
        <f t="shared" si="1"/>
        <v>0</v>
      </c>
      <c r="H16" s="218">
        <f t="shared" si="2"/>
        <v>0</v>
      </c>
      <c r="K16" s="275"/>
      <c r="L16" s="275"/>
      <c r="M16" s="275"/>
      <c r="N16" s="275"/>
      <c r="O16" s="275"/>
      <c r="P16" s="67"/>
      <c r="V16" s="90" t="s">
        <v>317</v>
      </c>
      <c r="W16" s="106">
        <v>3985</v>
      </c>
    </row>
    <row r="17" spans="2:26" ht="15">
      <c r="B17" s="91"/>
      <c r="C17" s="154"/>
      <c r="D17" s="228"/>
      <c r="E17" s="228"/>
      <c r="F17" s="218">
        <f t="shared" si="0"/>
        <v>0</v>
      </c>
      <c r="G17" s="218">
        <f t="shared" si="1"/>
        <v>0</v>
      </c>
      <c r="H17" s="218">
        <f t="shared" si="2"/>
        <v>0</v>
      </c>
      <c r="K17" s="67"/>
      <c r="L17" s="67"/>
      <c r="M17" s="67"/>
      <c r="N17" s="67"/>
      <c r="O17" s="67"/>
      <c r="P17" s="67"/>
    </row>
    <row r="18" spans="2:26" ht="15.6" thickBot="1">
      <c r="B18" s="91"/>
      <c r="C18" s="154"/>
      <c r="D18" s="228"/>
      <c r="E18" s="228"/>
      <c r="F18" s="218">
        <f t="shared" si="0"/>
        <v>0</v>
      </c>
      <c r="G18" s="218">
        <f t="shared" si="1"/>
        <v>0</v>
      </c>
      <c r="H18" s="266">
        <f t="shared" si="2"/>
        <v>0</v>
      </c>
      <c r="K18" s="150" t="s">
        <v>222</v>
      </c>
    </row>
    <row r="19" spans="2:26" ht="15.6">
      <c r="G19" s="265" t="s">
        <v>81</v>
      </c>
      <c r="H19" s="267">
        <f>SUM(H8:H18)</f>
        <v>0.32028000000000001</v>
      </c>
    </row>
    <row r="21" spans="2:26" ht="15.6">
      <c r="B21" s="19" t="s">
        <v>318</v>
      </c>
    </row>
    <row r="23" spans="2:26" ht="32.25" customHeight="1">
      <c r="B23" s="68" t="s">
        <v>293</v>
      </c>
      <c r="C23" s="92" t="s">
        <v>23</v>
      </c>
      <c r="D23" s="92" t="s">
        <v>294</v>
      </c>
      <c r="E23" s="92" t="s">
        <v>295</v>
      </c>
      <c r="F23" s="92" t="s">
        <v>319</v>
      </c>
      <c r="G23" s="92" t="s">
        <v>296</v>
      </c>
      <c r="H23" s="92" t="s">
        <v>297</v>
      </c>
      <c r="I23" s="92" t="s">
        <v>216</v>
      </c>
    </row>
    <row r="24" spans="2:26" ht="15">
      <c r="B24" s="91" t="s">
        <v>315</v>
      </c>
      <c r="C24" s="154" t="s">
        <v>305</v>
      </c>
      <c r="D24" s="228"/>
      <c r="E24" s="228"/>
      <c r="F24" s="228">
        <v>5</v>
      </c>
      <c r="G24" s="218">
        <f>IFERROR(IF($D24&lt;&gt;0, $D24, VLOOKUP($B24, $R$14:$T$15,3,FALSE)*$H24),0)</f>
        <v>3.7499999999999999E-2</v>
      </c>
      <c r="H24" s="218">
        <f>IFERROR(IF($E24&lt;&gt;0, $E24, VLOOKUP($B24, $R$14:$T$15,2,FALSE)*$F24),0)</f>
        <v>1.25</v>
      </c>
      <c r="I24" s="218">
        <f>IFERROR($G24*VLOOKUP($C24, $V$4:$W$16, 2, FALSE)/1000,0)</f>
        <v>6.6524999999999987E-2</v>
      </c>
    </row>
    <row r="25" spans="2:26" ht="15">
      <c r="B25" s="91"/>
      <c r="C25" s="154"/>
      <c r="D25" s="228"/>
      <c r="E25" s="228"/>
      <c r="F25" s="228"/>
      <c r="G25" s="218">
        <f t="shared" ref="G25:G33" si="3">IFERROR(IF($D25&lt;&gt;0, $D25, VLOOKUP($B25, $R$14:$T$15,3,FALSE)*$H25),0)</f>
        <v>0</v>
      </c>
      <c r="H25" s="218">
        <f t="shared" ref="H25:H33" si="4">IFERROR(IF($E25&lt;&gt;0, $E25, VLOOKUP($B25, $R$14:$T$15,2,FALSE)*$F25),0)</f>
        <v>0</v>
      </c>
      <c r="I25" s="218">
        <f t="shared" ref="I25:I33" si="5">IFERROR($G25*VLOOKUP($C25, $V$4:$W$16, 2, FALSE)/1000,0)</f>
        <v>0</v>
      </c>
    </row>
    <row r="26" spans="2:26" ht="15">
      <c r="B26" s="91"/>
      <c r="C26" s="154"/>
      <c r="D26" s="228"/>
      <c r="E26" s="228"/>
      <c r="F26" s="228"/>
      <c r="G26" s="218">
        <f t="shared" si="3"/>
        <v>0</v>
      </c>
      <c r="H26" s="218">
        <f t="shared" si="4"/>
        <v>0</v>
      </c>
      <c r="I26" s="218">
        <f t="shared" si="5"/>
        <v>0</v>
      </c>
      <c r="Z26" s="18"/>
    </row>
    <row r="27" spans="2:26" ht="15">
      <c r="B27" s="91"/>
      <c r="C27" s="154"/>
      <c r="D27" s="228"/>
      <c r="E27" s="228"/>
      <c r="F27" s="228"/>
      <c r="G27" s="218">
        <f t="shared" si="3"/>
        <v>0</v>
      </c>
      <c r="H27" s="218">
        <f t="shared" si="4"/>
        <v>0</v>
      </c>
      <c r="I27" s="218">
        <f t="shared" si="5"/>
        <v>0</v>
      </c>
    </row>
    <row r="28" spans="2:26" ht="15">
      <c r="B28" s="91"/>
      <c r="C28" s="154"/>
      <c r="D28" s="228"/>
      <c r="E28" s="228"/>
      <c r="F28" s="228"/>
      <c r="G28" s="218">
        <f t="shared" si="3"/>
        <v>0</v>
      </c>
      <c r="H28" s="218">
        <f t="shared" si="4"/>
        <v>0</v>
      </c>
      <c r="I28" s="218">
        <f t="shared" si="5"/>
        <v>0</v>
      </c>
    </row>
    <row r="29" spans="2:26" ht="15">
      <c r="B29" s="91"/>
      <c r="C29" s="154"/>
      <c r="D29" s="228"/>
      <c r="E29" s="228"/>
      <c r="F29" s="228"/>
      <c r="G29" s="218">
        <f t="shared" si="3"/>
        <v>0</v>
      </c>
      <c r="H29" s="218">
        <f t="shared" si="4"/>
        <v>0</v>
      </c>
      <c r="I29" s="218">
        <f t="shared" si="5"/>
        <v>0</v>
      </c>
    </row>
    <row r="30" spans="2:26" ht="15">
      <c r="B30" s="91"/>
      <c r="C30" s="154"/>
      <c r="D30" s="228"/>
      <c r="E30" s="228"/>
      <c r="F30" s="228"/>
      <c r="G30" s="218">
        <f t="shared" si="3"/>
        <v>0</v>
      </c>
      <c r="H30" s="218">
        <f t="shared" si="4"/>
        <v>0</v>
      </c>
      <c r="I30" s="218">
        <f t="shared" si="5"/>
        <v>0</v>
      </c>
    </row>
    <row r="31" spans="2:26" ht="15">
      <c r="B31" s="91"/>
      <c r="C31" s="154"/>
      <c r="D31" s="228"/>
      <c r="E31" s="228"/>
      <c r="F31" s="228"/>
      <c r="G31" s="218">
        <f t="shared" si="3"/>
        <v>0</v>
      </c>
      <c r="H31" s="218">
        <f t="shared" si="4"/>
        <v>0</v>
      </c>
      <c r="I31" s="218">
        <f t="shared" si="5"/>
        <v>0</v>
      </c>
    </row>
    <row r="32" spans="2:26" ht="15">
      <c r="B32" s="91"/>
      <c r="C32" s="154"/>
      <c r="D32" s="228"/>
      <c r="E32" s="228"/>
      <c r="F32" s="228"/>
      <c r="G32" s="218">
        <f t="shared" si="3"/>
        <v>0</v>
      </c>
      <c r="H32" s="218">
        <f t="shared" si="4"/>
        <v>0</v>
      </c>
      <c r="I32" s="218">
        <f t="shared" si="5"/>
        <v>0</v>
      </c>
    </row>
    <row r="33" spans="2:9" ht="15.6" thickBot="1">
      <c r="B33" s="91"/>
      <c r="C33" s="154"/>
      <c r="D33" s="228"/>
      <c r="E33" s="228"/>
      <c r="F33" s="228"/>
      <c r="G33" s="218">
        <f t="shared" si="3"/>
        <v>0</v>
      </c>
      <c r="H33" s="218">
        <f t="shared" si="4"/>
        <v>0</v>
      </c>
      <c r="I33" s="266">
        <f t="shared" si="5"/>
        <v>0</v>
      </c>
    </row>
    <row r="34" spans="2:9" ht="15.6">
      <c r="H34" s="265" t="s">
        <v>81</v>
      </c>
      <c r="I34" s="267">
        <f>SUM(I24:I33)</f>
        <v>6.6524999999999987E-2</v>
      </c>
    </row>
    <row r="35" spans="2:9" ht="15">
      <c r="B35" s="130" t="s">
        <v>31</v>
      </c>
    </row>
  </sheetData>
  <sheetProtection algorithmName="SHA-512" hashValue="WqZ3S8bLHHNs05QRkdYhFwXNtEUjOGhcV5rlpN5eoxWG1Ta3pJQGO25UOJmZULty6z/BKXHS5nSIhn0BL8DXMw==" saltValue="Vj/tMUqRy2vHf3/lYR6FJQ==" spinCount="100000" sheet="1" objects="1" scenarios="1" selectLockedCells="1"/>
  <mergeCells count="1">
    <mergeCell ref="K7:O16"/>
  </mergeCells>
  <dataValidations count="3">
    <dataValidation type="list" allowBlank="1" showInputMessage="1" showErrorMessage="1" sqref="B8:B18" xr:uid="{00000000-0002-0000-1200-000000000000}">
      <formula1>$R$3:$R$12</formula1>
    </dataValidation>
    <dataValidation type="list" allowBlank="1" showInputMessage="1" showErrorMessage="1" sqref="C8:C18 C24:C33" xr:uid="{00000000-0002-0000-1200-000001000000}">
      <formula1>$V$3:$V$16</formula1>
    </dataValidation>
    <dataValidation type="list" allowBlank="1" showInputMessage="1" showErrorMessage="1" sqref="B24:B33" xr:uid="{00000000-0002-0000-1200-000002000000}">
      <formula1>$R$13:$R$15</formula1>
    </dataValidation>
  </dataValidations>
  <pageMargins left="0.75" right="0.75" top="1" bottom="1" header="0.5" footer="0.5"/>
  <pageSetup scale="62" orientation="landscape"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autoPageBreaks="0"/>
  </sheetPr>
  <dimension ref="A2:N58"/>
  <sheetViews>
    <sheetView showGridLines="0" showRowColHeaders="0" tabSelected="1" zoomScale="80" zoomScaleNormal="80" workbookViewId="0"/>
  </sheetViews>
  <sheetFormatPr defaultRowHeight="13.15"/>
  <cols>
    <col min="2" max="2" width="15.85546875" customWidth="1"/>
    <col min="3" max="3" width="9.7109375" customWidth="1"/>
    <col min="4" max="4" width="15.140625" customWidth="1"/>
    <col min="5" max="5" width="46.42578125" customWidth="1"/>
    <col min="6" max="6" width="9.7109375" customWidth="1"/>
    <col min="7" max="7" width="21.85546875" customWidth="1"/>
    <col min="8" max="8" width="41.140625" customWidth="1"/>
    <col min="9" max="9" width="9.7109375" customWidth="1"/>
    <col min="10" max="10" width="13.140625" customWidth="1"/>
    <col min="11" max="11" width="3.85546875" customWidth="1"/>
  </cols>
  <sheetData>
    <row r="2" spans="1:14">
      <c r="B2" s="157"/>
      <c r="C2" s="158"/>
      <c r="D2" s="158"/>
      <c r="E2" s="158"/>
      <c r="F2" s="158"/>
      <c r="G2" s="158"/>
      <c r="H2" s="159"/>
    </row>
    <row r="3" spans="1:14">
      <c r="B3" s="160"/>
      <c r="H3" s="161"/>
    </row>
    <row r="4" spans="1:14" ht="21">
      <c r="B4" s="160"/>
      <c r="E4" s="312" t="s">
        <v>320</v>
      </c>
      <c r="F4" s="312"/>
      <c r="G4" s="312"/>
      <c r="H4" s="161"/>
    </row>
    <row r="5" spans="1:14">
      <c r="B5" s="160"/>
      <c r="H5" s="161"/>
    </row>
    <row r="6" spans="1:14" ht="25.5" customHeight="1">
      <c r="B6" s="162"/>
      <c r="C6" s="23"/>
      <c r="D6" s="23"/>
      <c r="H6" s="163"/>
      <c r="I6" s="23"/>
      <c r="J6" s="23"/>
      <c r="K6" s="23"/>
      <c r="L6" s="23"/>
      <c r="M6" s="23"/>
      <c r="N6" s="23"/>
    </row>
    <row r="7" spans="1:14" ht="21.75" customHeight="1">
      <c r="A7" s="62"/>
      <c r="B7" s="313" t="s">
        <v>321</v>
      </c>
      <c r="C7" s="314"/>
      <c r="D7" s="314"/>
      <c r="E7" s="314"/>
      <c r="F7" s="314"/>
      <c r="G7" s="314"/>
      <c r="H7" s="315"/>
      <c r="I7" s="62"/>
      <c r="J7" s="62"/>
      <c r="K7" s="62"/>
      <c r="L7" s="62"/>
      <c r="M7" s="62"/>
      <c r="N7" s="62"/>
    </row>
    <row r="8" spans="1:14" ht="15">
      <c r="A8" s="62"/>
      <c r="B8" s="313"/>
      <c r="C8" s="314"/>
      <c r="D8" s="314"/>
      <c r="E8" s="314"/>
      <c r="F8" s="314"/>
      <c r="G8" s="314"/>
      <c r="H8" s="315"/>
      <c r="I8" s="62"/>
      <c r="J8" s="62"/>
      <c r="K8" s="62"/>
      <c r="L8" s="62"/>
      <c r="M8" s="62"/>
      <c r="N8" s="62"/>
    </row>
    <row r="9" spans="1:14" ht="21.75" customHeight="1">
      <c r="A9" s="62"/>
      <c r="B9" s="313"/>
      <c r="C9" s="314"/>
      <c r="D9" s="314"/>
      <c r="E9" s="314"/>
      <c r="F9" s="314"/>
      <c r="G9" s="314"/>
      <c r="H9" s="315"/>
      <c r="I9" s="62"/>
      <c r="J9" s="62"/>
      <c r="K9" s="62"/>
      <c r="L9" s="62"/>
      <c r="M9" s="62"/>
      <c r="N9" s="62"/>
    </row>
    <row r="10" spans="1:14" ht="15" customHeight="1">
      <c r="A10" s="62"/>
      <c r="B10" s="164"/>
      <c r="C10" s="62"/>
      <c r="D10" s="62"/>
      <c r="E10" s="116" t="s">
        <v>322</v>
      </c>
      <c r="F10" s="311" t="s">
        <v>323</v>
      </c>
      <c r="G10" s="322"/>
      <c r="H10" s="166"/>
      <c r="I10" s="19"/>
      <c r="J10" s="19"/>
      <c r="K10" s="117"/>
      <c r="L10" s="62"/>
      <c r="M10" s="62"/>
      <c r="N10" s="62"/>
    </row>
    <row r="11" spans="1:14" ht="15">
      <c r="A11" s="62"/>
      <c r="B11" s="164"/>
      <c r="C11" s="62"/>
      <c r="D11" s="62"/>
      <c r="E11" s="86" t="s">
        <v>49</v>
      </c>
      <c r="F11" s="121">
        <v>0.107019491552927</v>
      </c>
      <c r="G11" s="119" t="s">
        <v>324</v>
      </c>
      <c r="H11" s="165"/>
      <c r="I11" s="62"/>
      <c r="J11" s="62"/>
      <c r="K11" s="118"/>
      <c r="L11" s="62"/>
      <c r="M11" s="62"/>
      <c r="N11" s="62"/>
    </row>
    <row r="12" spans="1:14" ht="15">
      <c r="A12" s="62"/>
      <c r="B12" s="164"/>
      <c r="C12" s="62"/>
      <c r="D12" s="62"/>
      <c r="E12" s="86" t="s">
        <v>325</v>
      </c>
      <c r="F12" s="121">
        <v>9.7211099999999998E-3</v>
      </c>
      <c r="G12" s="119" t="s">
        <v>324</v>
      </c>
      <c r="H12" s="165"/>
      <c r="I12" s="62"/>
      <c r="J12" s="62"/>
      <c r="K12" s="118"/>
      <c r="L12" s="62"/>
      <c r="M12" s="62"/>
      <c r="N12" s="131"/>
    </row>
    <row r="13" spans="1:14" ht="15">
      <c r="A13" s="62"/>
      <c r="B13" s="164"/>
      <c r="C13" s="62"/>
      <c r="D13" s="62"/>
      <c r="E13" s="86" t="s">
        <v>326</v>
      </c>
      <c r="F13" s="120">
        <v>54.0960668480759</v>
      </c>
      <c r="G13" s="119" t="s">
        <v>327</v>
      </c>
      <c r="H13" s="165"/>
      <c r="I13" s="62"/>
      <c r="J13" s="62"/>
      <c r="K13" s="118"/>
      <c r="L13" s="62"/>
      <c r="M13" s="62"/>
      <c r="N13" s="62"/>
    </row>
    <row r="14" spans="1:14" ht="15">
      <c r="A14" s="62"/>
      <c r="B14" s="164"/>
      <c r="C14" s="62"/>
      <c r="D14" s="62"/>
      <c r="E14" s="86" t="s">
        <v>39</v>
      </c>
      <c r="F14" s="121">
        <v>2.0973536537348401</v>
      </c>
      <c r="G14" s="119" t="s">
        <v>219</v>
      </c>
      <c r="H14" s="165"/>
      <c r="I14" s="62"/>
      <c r="J14" s="62"/>
      <c r="K14" s="62"/>
      <c r="L14" s="62"/>
      <c r="M14" s="62"/>
      <c r="N14" s="62"/>
    </row>
    <row r="15" spans="1:14" ht="15">
      <c r="A15" s="62"/>
      <c r="B15" s="164"/>
      <c r="C15" s="62"/>
      <c r="D15" s="62"/>
      <c r="E15" s="86" t="s">
        <v>47</v>
      </c>
      <c r="F15" s="121">
        <v>2.45577510514538</v>
      </c>
      <c r="G15" s="119" t="s">
        <v>328</v>
      </c>
      <c r="H15" s="165"/>
      <c r="I15" s="62"/>
      <c r="J15" s="62"/>
      <c r="K15" s="62"/>
      <c r="L15" s="62"/>
      <c r="M15" s="62"/>
      <c r="N15" s="62"/>
    </row>
    <row r="16" spans="1:14" ht="15">
      <c r="A16" s="62"/>
      <c r="B16" s="164"/>
      <c r="C16" s="62"/>
      <c r="D16" s="62"/>
      <c r="E16" s="86" t="s">
        <v>51</v>
      </c>
      <c r="F16" s="121">
        <v>2.6938826722389</v>
      </c>
      <c r="G16" s="119" t="s">
        <v>328</v>
      </c>
      <c r="H16" s="165"/>
      <c r="I16" s="62"/>
      <c r="J16" s="62"/>
      <c r="K16" s="62"/>
      <c r="L16" s="62"/>
      <c r="M16" s="62"/>
      <c r="N16" s="62"/>
    </row>
    <row r="17" spans="1:14" ht="15">
      <c r="A17" s="62"/>
      <c r="B17" s="164"/>
      <c r="C17" s="62"/>
      <c r="D17" s="62"/>
      <c r="E17" s="86" t="s">
        <v>42</v>
      </c>
      <c r="F17" s="121">
        <v>3.0286863333333298</v>
      </c>
      <c r="G17" s="119" t="s">
        <v>219</v>
      </c>
      <c r="H17" s="165"/>
      <c r="I17" s="62"/>
      <c r="J17" s="62"/>
      <c r="K17" s="62"/>
      <c r="L17" s="62"/>
      <c r="M17" s="62"/>
      <c r="N17" s="62"/>
    </row>
    <row r="18" spans="1:14" ht="15">
      <c r="A18" s="62"/>
      <c r="B18" s="164"/>
      <c r="C18" s="62"/>
      <c r="D18" s="62"/>
      <c r="E18" s="86" t="s">
        <v>329</v>
      </c>
      <c r="F18" s="121"/>
      <c r="G18" s="119"/>
      <c r="H18" s="165"/>
      <c r="I18" s="62"/>
      <c r="J18" s="62"/>
      <c r="K18" s="62"/>
      <c r="L18" s="62"/>
      <c r="M18" s="62"/>
      <c r="N18" s="62"/>
    </row>
    <row r="19" spans="1:14" ht="15.6">
      <c r="A19" s="62"/>
      <c r="B19" s="164"/>
      <c r="C19" s="62"/>
      <c r="D19" s="62"/>
      <c r="E19" s="88" t="s">
        <v>74</v>
      </c>
      <c r="F19" s="121">
        <v>0.16300000000000001</v>
      </c>
      <c r="G19" s="119" t="s">
        <v>330</v>
      </c>
      <c r="H19" s="167"/>
      <c r="I19" s="62"/>
      <c r="J19" s="62"/>
      <c r="K19" s="62"/>
      <c r="L19" s="62"/>
      <c r="M19" s="62"/>
      <c r="N19" s="62"/>
    </row>
    <row r="20" spans="1:14" ht="15.6">
      <c r="A20" s="62"/>
      <c r="B20" s="164"/>
      <c r="C20" s="62"/>
      <c r="D20" s="62"/>
      <c r="E20" s="88" t="s">
        <v>331</v>
      </c>
      <c r="F20" s="121">
        <v>7.9839999999999994E-2</v>
      </c>
      <c r="G20" s="119" t="s">
        <v>330</v>
      </c>
      <c r="H20" s="167"/>
      <c r="I20" s="62"/>
      <c r="J20" s="62"/>
      <c r="K20" s="62"/>
      <c r="L20" s="62"/>
      <c r="M20" s="62"/>
      <c r="N20" s="62"/>
    </row>
    <row r="21" spans="1:14" ht="15.6">
      <c r="A21" s="62"/>
      <c r="B21" s="164"/>
      <c r="C21" s="62"/>
      <c r="D21" s="62"/>
      <c r="E21" s="88" t="s">
        <v>332</v>
      </c>
      <c r="F21" s="121">
        <v>7.8179999999999999E-2</v>
      </c>
      <c r="G21" s="119" t="s">
        <v>330</v>
      </c>
      <c r="H21" s="167"/>
      <c r="I21" s="62"/>
      <c r="J21" s="62"/>
      <c r="K21" s="62"/>
      <c r="L21" s="62"/>
      <c r="M21" s="62"/>
      <c r="N21" s="62"/>
    </row>
    <row r="22" spans="1:14" ht="15.6">
      <c r="A22" s="62"/>
      <c r="B22" s="164"/>
      <c r="C22" s="62"/>
      <c r="D22" s="62"/>
      <c r="E22" s="86" t="s">
        <v>333</v>
      </c>
      <c r="F22" s="121">
        <v>0.64668402649924195</v>
      </c>
      <c r="G22" s="119" t="s">
        <v>219</v>
      </c>
      <c r="H22" s="167"/>
      <c r="I22" s="62"/>
      <c r="J22" s="62"/>
      <c r="K22" s="62"/>
      <c r="L22" s="62"/>
      <c r="M22" s="62"/>
      <c r="N22" s="62"/>
    </row>
    <row r="23" spans="1:14" ht="15.6">
      <c r="A23" s="62"/>
      <c r="B23" s="164"/>
      <c r="C23" s="62"/>
      <c r="D23" s="62"/>
      <c r="E23" s="86" t="s">
        <v>334</v>
      </c>
      <c r="F23" s="121">
        <v>1.8577440000000001</v>
      </c>
      <c r="G23" s="119" t="s">
        <v>219</v>
      </c>
      <c r="H23" s="167"/>
      <c r="I23" s="62"/>
      <c r="J23" s="62"/>
      <c r="K23" s="62"/>
      <c r="L23" s="62"/>
      <c r="M23" s="62"/>
      <c r="N23" s="62"/>
    </row>
    <row r="24" spans="1:14" ht="15.6">
      <c r="A24" s="62"/>
      <c r="B24" s="164"/>
      <c r="C24" s="62"/>
      <c r="D24" s="62"/>
      <c r="E24" s="86" t="s">
        <v>335</v>
      </c>
      <c r="F24" s="121">
        <v>0.206938888479757</v>
      </c>
      <c r="G24" s="119" t="s">
        <v>219</v>
      </c>
      <c r="H24" s="167"/>
      <c r="I24" s="62"/>
      <c r="J24" s="62"/>
      <c r="K24" s="62"/>
      <c r="L24" s="62"/>
      <c r="M24" s="62"/>
      <c r="N24" s="62"/>
    </row>
    <row r="25" spans="1:14" ht="15.6">
      <c r="A25" s="62"/>
      <c r="B25" s="164"/>
      <c r="C25" s="62"/>
      <c r="D25" s="62"/>
      <c r="E25" s="86" t="s">
        <v>336</v>
      </c>
      <c r="F25" s="121">
        <v>0.59447808000000002</v>
      </c>
      <c r="G25" s="119" t="s">
        <v>219</v>
      </c>
      <c r="H25" s="167"/>
      <c r="I25" s="62"/>
      <c r="J25" s="62"/>
      <c r="K25" s="62"/>
      <c r="L25" s="62"/>
      <c r="M25" s="62"/>
      <c r="N25" s="62"/>
    </row>
    <row r="26" spans="1:14" ht="15">
      <c r="A26" s="62"/>
      <c r="B26" s="164"/>
      <c r="C26" s="62"/>
      <c r="D26" s="62"/>
      <c r="E26" s="86" t="s">
        <v>337</v>
      </c>
      <c r="F26" s="121"/>
      <c r="G26" s="119"/>
      <c r="H26" s="165"/>
      <c r="I26" s="62"/>
      <c r="J26" s="62"/>
      <c r="K26" s="62"/>
      <c r="L26" s="62"/>
      <c r="M26" s="62"/>
      <c r="N26" s="62"/>
    </row>
    <row r="27" spans="1:14" ht="15">
      <c r="A27" s="62"/>
      <c r="B27" s="164"/>
      <c r="C27" s="62"/>
      <c r="D27" s="62"/>
      <c r="E27" s="88" t="s">
        <v>54</v>
      </c>
      <c r="F27" s="121">
        <v>0.18081580552534099</v>
      </c>
      <c r="G27" s="86" t="s">
        <v>338</v>
      </c>
      <c r="H27" s="165"/>
      <c r="I27" s="62"/>
      <c r="J27" s="62"/>
      <c r="K27" s="62"/>
      <c r="L27" s="62"/>
      <c r="M27" s="62"/>
      <c r="N27" s="62"/>
    </row>
    <row r="28" spans="1:14" ht="15">
      <c r="A28" s="62"/>
      <c r="B28" s="164"/>
      <c r="C28" s="62"/>
      <c r="D28" s="62"/>
      <c r="E28" s="88" t="s">
        <v>56</v>
      </c>
      <c r="F28" s="121">
        <v>0.187134637438861</v>
      </c>
      <c r="G28" s="86" t="s">
        <v>338</v>
      </c>
      <c r="H28" s="165"/>
      <c r="I28" s="62"/>
      <c r="J28" s="62"/>
      <c r="K28" s="62"/>
      <c r="L28" s="62"/>
      <c r="M28" s="62"/>
      <c r="N28" s="62"/>
    </row>
    <row r="29" spans="1:14" ht="15">
      <c r="A29" s="62"/>
      <c r="B29" s="164"/>
      <c r="C29" s="62"/>
      <c r="D29" s="62"/>
      <c r="E29" s="88" t="s">
        <v>57</v>
      </c>
      <c r="F29" s="121">
        <v>0.21070874111622401</v>
      </c>
      <c r="G29" s="86" t="s">
        <v>338</v>
      </c>
      <c r="H29" s="165"/>
      <c r="I29" s="62"/>
      <c r="J29" s="62"/>
      <c r="K29" s="62"/>
      <c r="L29" s="62"/>
      <c r="M29" s="62"/>
      <c r="N29" s="62"/>
    </row>
    <row r="30" spans="1:14" ht="15">
      <c r="A30" s="62"/>
      <c r="B30" s="164"/>
      <c r="C30" s="62"/>
      <c r="D30" s="62"/>
      <c r="E30" s="88" t="s">
        <v>58</v>
      </c>
      <c r="F30" s="121">
        <v>0.23403981279691299</v>
      </c>
      <c r="G30" s="86" t="s">
        <v>338</v>
      </c>
      <c r="H30" s="165"/>
      <c r="I30" s="62"/>
      <c r="J30" s="62"/>
      <c r="K30" s="62"/>
      <c r="L30" s="62"/>
      <c r="M30" s="62"/>
      <c r="N30" s="62"/>
    </row>
    <row r="31" spans="1:14" ht="15">
      <c r="A31" s="62"/>
      <c r="B31" s="164"/>
      <c r="C31" s="62"/>
      <c r="D31" s="62"/>
      <c r="E31" s="88" t="s">
        <v>60</v>
      </c>
      <c r="F31" s="121">
        <v>0.279972860168269</v>
      </c>
      <c r="G31" s="86" t="s">
        <v>338</v>
      </c>
      <c r="H31" s="165"/>
      <c r="I31" s="62"/>
      <c r="J31" s="62"/>
      <c r="K31" s="62"/>
      <c r="L31" s="62"/>
      <c r="M31" s="62"/>
      <c r="N31" s="62"/>
    </row>
    <row r="32" spans="1:14" ht="15">
      <c r="A32" s="62"/>
      <c r="B32" s="164"/>
      <c r="C32" s="62"/>
      <c r="D32" s="62"/>
      <c r="E32" s="86" t="s">
        <v>339</v>
      </c>
      <c r="F32" s="121"/>
      <c r="G32" s="119"/>
      <c r="H32" s="165"/>
      <c r="I32" s="62"/>
      <c r="J32" s="62"/>
      <c r="K32" s="62"/>
      <c r="L32" s="62"/>
      <c r="M32" s="62"/>
      <c r="N32" s="62"/>
    </row>
    <row r="33" spans="1:14" ht="15">
      <c r="A33" s="62"/>
      <c r="B33" s="164"/>
      <c r="C33" s="62"/>
      <c r="D33" s="62"/>
      <c r="E33" s="88" t="s">
        <v>56</v>
      </c>
      <c r="F33" s="121">
        <v>0.19019934521569201</v>
      </c>
      <c r="G33" s="86" t="s">
        <v>338</v>
      </c>
      <c r="H33" s="165"/>
      <c r="I33" s="62"/>
      <c r="J33" s="62"/>
      <c r="K33" s="62"/>
      <c r="L33" s="62"/>
      <c r="M33" s="62"/>
      <c r="N33" s="62"/>
    </row>
    <row r="34" spans="1:14" ht="15">
      <c r="A34" s="62"/>
      <c r="B34" s="164"/>
      <c r="C34" s="62"/>
      <c r="D34" s="62"/>
      <c r="E34" s="88" t="s">
        <v>57</v>
      </c>
      <c r="F34" s="121">
        <v>0.20158915092806701</v>
      </c>
      <c r="G34" s="86" t="s">
        <v>338</v>
      </c>
      <c r="H34" s="165"/>
      <c r="I34" s="62"/>
      <c r="J34" s="62"/>
      <c r="K34" s="62"/>
      <c r="L34" s="62"/>
      <c r="M34" s="62"/>
      <c r="N34" s="62"/>
    </row>
    <row r="35" spans="1:14" ht="15">
      <c r="A35" s="62"/>
      <c r="B35" s="164"/>
      <c r="C35" s="62"/>
      <c r="D35" s="62"/>
      <c r="E35" s="88" t="s">
        <v>58</v>
      </c>
      <c r="F35" s="121">
        <v>0.24780439507755</v>
      </c>
      <c r="G35" s="86" t="s">
        <v>338</v>
      </c>
      <c r="H35" s="165"/>
      <c r="I35" s="62"/>
      <c r="J35" s="62"/>
      <c r="K35" s="62"/>
      <c r="L35" s="62"/>
      <c r="M35" s="62"/>
      <c r="N35" s="62"/>
    </row>
    <row r="36" spans="1:14" ht="15">
      <c r="A36" s="62"/>
      <c r="B36" s="164"/>
      <c r="C36" s="62"/>
      <c r="D36" s="62"/>
      <c r="E36" s="155" t="s">
        <v>340</v>
      </c>
      <c r="F36" s="121"/>
      <c r="G36" s="119"/>
      <c r="H36" s="165"/>
      <c r="I36" s="62"/>
      <c r="J36" s="62"/>
      <c r="K36" s="62"/>
      <c r="L36" s="62"/>
      <c r="M36" s="62"/>
      <c r="N36" s="62"/>
    </row>
    <row r="37" spans="1:14" ht="15">
      <c r="A37" s="62"/>
      <c r="B37" s="164"/>
      <c r="C37" s="62"/>
      <c r="D37" s="62"/>
      <c r="E37" s="88" t="s">
        <v>341</v>
      </c>
      <c r="F37" s="121">
        <v>0.16465265516829</v>
      </c>
      <c r="G37" s="86" t="s">
        <v>338</v>
      </c>
      <c r="H37" s="165"/>
      <c r="I37" s="62"/>
      <c r="J37" s="62"/>
      <c r="K37" s="62"/>
      <c r="L37" s="62"/>
      <c r="M37" s="62"/>
      <c r="N37" s="62"/>
    </row>
    <row r="38" spans="1:14" ht="15">
      <c r="A38" s="62"/>
      <c r="B38" s="164"/>
      <c r="C38" s="62"/>
      <c r="D38" s="62"/>
      <c r="E38" s="88" t="s">
        <v>342</v>
      </c>
      <c r="F38" s="121">
        <v>0.17986828746933001</v>
      </c>
      <c r="G38" s="86" t="s">
        <v>338</v>
      </c>
      <c r="H38" s="165"/>
      <c r="I38" s="62"/>
      <c r="J38" s="62"/>
      <c r="K38" s="62"/>
      <c r="L38" s="62"/>
      <c r="M38" s="62"/>
      <c r="N38" s="62"/>
    </row>
    <row r="39" spans="1:14" ht="15.6">
      <c r="A39" s="62"/>
      <c r="B39" s="164"/>
      <c r="C39" s="62"/>
      <c r="D39" s="62"/>
      <c r="E39" s="88" t="s">
        <v>343</v>
      </c>
      <c r="F39" s="121">
        <f>0.0861682228714049+0.0103470027968022</f>
        <v>9.6515225668207097E-2</v>
      </c>
      <c r="G39" s="86" t="s">
        <v>338</v>
      </c>
      <c r="H39" s="167" t="s">
        <v>344</v>
      </c>
      <c r="I39" s="62"/>
      <c r="J39" s="62"/>
      <c r="K39" s="62"/>
      <c r="L39" s="62"/>
      <c r="M39" s="62"/>
      <c r="N39" s="62"/>
    </row>
    <row r="40" spans="1:14" ht="15.6">
      <c r="A40" s="62"/>
      <c r="B40" s="164"/>
      <c r="C40" s="62"/>
      <c r="D40" s="62"/>
      <c r="E40" s="88" t="s">
        <v>345</v>
      </c>
      <c r="F40" s="121">
        <f>0.0941310704422829+0.0114753636082924</f>
        <v>0.10560643405057531</v>
      </c>
      <c r="G40" s="86" t="s">
        <v>338</v>
      </c>
      <c r="H40" s="167" t="s">
        <v>344</v>
      </c>
      <c r="I40" s="62"/>
      <c r="J40" s="62"/>
      <c r="K40" s="62"/>
      <c r="L40" s="62"/>
      <c r="M40" s="62"/>
      <c r="N40" s="62"/>
    </row>
    <row r="41" spans="1:14" ht="15">
      <c r="A41" s="62"/>
      <c r="B41" s="164"/>
      <c r="C41" s="62"/>
      <c r="D41" s="62"/>
      <c r="E41" s="88" t="s">
        <v>71</v>
      </c>
      <c r="F41" s="156">
        <v>2.44415169144333E-2</v>
      </c>
      <c r="G41" s="86" t="s">
        <v>338</v>
      </c>
      <c r="H41" s="165"/>
      <c r="I41" s="62"/>
      <c r="J41" s="62"/>
      <c r="K41" s="62"/>
      <c r="L41" s="62"/>
      <c r="M41" s="62"/>
      <c r="N41" s="62"/>
    </row>
    <row r="42" spans="1:14" ht="15">
      <c r="A42" s="62"/>
      <c r="B42" s="164"/>
      <c r="C42" s="62"/>
      <c r="D42" s="62"/>
      <c r="E42" s="86" t="s">
        <v>75</v>
      </c>
      <c r="F42" s="156">
        <v>0.12058654202323101</v>
      </c>
      <c r="G42" s="86" t="s">
        <v>338</v>
      </c>
      <c r="H42" s="165"/>
      <c r="I42" s="62"/>
      <c r="J42" s="62"/>
      <c r="K42" s="62"/>
      <c r="L42" s="62"/>
      <c r="M42" s="62"/>
      <c r="N42" s="62"/>
    </row>
    <row r="43" spans="1:14" ht="15">
      <c r="A43" s="62"/>
      <c r="B43" s="164"/>
      <c r="C43" s="62"/>
      <c r="D43" s="62"/>
      <c r="E43" s="86" t="s">
        <v>62</v>
      </c>
      <c r="F43" s="156">
        <v>0.22469677300280899</v>
      </c>
      <c r="G43" s="86" t="s">
        <v>338</v>
      </c>
      <c r="H43" s="165"/>
      <c r="I43" s="62"/>
      <c r="J43" s="62"/>
      <c r="K43" s="62"/>
      <c r="L43" s="62"/>
      <c r="M43" s="62"/>
      <c r="N43" s="62"/>
    </row>
    <row r="44" spans="1:14" ht="15">
      <c r="A44" s="62"/>
      <c r="B44" s="164"/>
      <c r="C44" s="62"/>
      <c r="D44" s="62"/>
      <c r="E44" s="86"/>
      <c r="F44" s="156">
        <v>7.0217741563377706E-2</v>
      </c>
      <c r="G44" s="86" t="s">
        <v>346</v>
      </c>
      <c r="H44" s="165"/>
      <c r="I44" s="62"/>
      <c r="J44" s="62"/>
      <c r="K44" s="62"/>
      <c r="L44" s="62"/>
      <c r="M44" s="62"/>
      <c r="N44" s="62"/>
    </row>
    <row r="45" spans="1:14" ht="15">
      <c r="A45" s="62"/>
      <c r="B45" s="164"/>
      <c r="C45" s="62"/>
      <c r="D45" s="62"/>
      <c r="E45" s="86" t="s">
        <v>347</v>
      </c>
      <c r="F45" s="156">
        <v>0.155</v>
      </c>
      <c r="G45" s="86" t="s">
        <v>338</v>
      </c>
      <c r="H45" s="165"/>
      <c r="I45" s="62"/>
      <c r="J45" s="62"/>
      <c r="K45" s="62"/>
      <c r="L45" s="62"/>
      <c r="M45" s="62"/>
      <c r="N45" s="62"/>
    </row>
    <row r="46" spans="1:14" ht="15">
      <c r="A46" s="62"/>
      <c r="B46" s="164"/>
      <c r="C46" s="62"/>
      <c r="D46" s="62"/>
      <c r="E46" s="86" t="s">
        <v>348</v>
      </c>
      <c r="F46" s="156">
        <v>1.9E-2</v>
      </c>
      <c r="G46" s="86" t="s">
        <v>338</v>
      </c>
      <c r="H46" s="165"/>
      <c r="I46" s="62"/>
      <c r="J46" s="62"/>
      <c r="K46" s="62"/>
      <c r="L46" s="62"/>
      <c r="M46" s="62"/>
      <c r="N46" s="62"/>
    </row>
    <row r="47" spans="1:14" ht="15">
      <c r="A47" s="62"/>
      <c r="B47" s="164"/>
      <c r="C47" s="62"/>
      <c r="D47" s="62"/>
      <c r="E47" s="86" t="s">
        <v>349</v>
      </c>
      <c r="F47" s="156">
        <v>1.8738000000000001E-2</v>
      </c>
      <c r="G47" s="86" t="s">
        <v>338</v>
      </c>
      <c r="H47" s="165" t="s">
        <v>350</v>
      </c>
      <c r="I47" s="62"/>
      <c r="J47" s="62"/>
      <c r="K47" s="62"/>
      <c r="L47" s="62"/>
      <c r="M47" s="62"/>
      <c r="N47" s="62"/>
    </row>
    <row r="48" spans="1:14" ht="15">
      <c r="A48" s="62"/>
      <c r="B48" s="164"/>
      <c r="C48" s="62"/>
      <c r="D48" s="62"/>
      <c r="E48" s="86" t="s">
        <v>351</v>
      </c>
      <c r="F48" s="156">
        <v>0.44600000000000001</v>
      </c>
      <c r="G48" s="86" t="s">
        <v>352</v>
      </c>
      <c r="H48" s="165"/>
      <c r="I48" s="62"/>
      <c r="J48" s="62"/>
      <c r="K48" s="62"/>
      <c r="L48" s="62"/>
      <c r="M48" s="62"/>
      <c r="N48" s="62"/>
    </row>
    <row r="49" spans="1:14" ht="15">
      <c r="A49" s="62"/>
      <c r="B49" s="164"/>
      <c r="C49" s="62"/>
      <c r="D49" s="62"/>
      <c r="E49" s="62"/>
      <c r="F49" s="62"/>
      <c r="G49" s="62"/>
      <c r="H49" s="165"/>
      <c r="I49" s="62"/>
      <c r="J49" s="62"/>
      <c r="K49" s="62"/>
      <c r="L49" s="62"/>
      <c r="M49" s="62"/>
      <c r="N49" s="62"/>
    </row>
    <row r="50" spans="1:14" ht="15">
      <c r="A50" s="62"/>
      <c r="B50" s="164"/>
      <c r="C50" s="62"/>
      <c r="D50" s="62"/>
      <c r="E50" s="130" t="s">
        <v>31</v>
      </c>
      <c r="F50" s="62"/>
      <c r="G50" s="62"/>
      <c r="H50" s="165"/>
      <c r="I50" s="62"/>
      <c r="J50" s="62"/>
      <c r="K50" s="62"/>
      <c r="L50" s="62"/>
      <c r="M50" s="62"/>
      <c r="N50" s="62"/>
    </row>
    <row r="51" spans="1:14" ht="15">
      <c r="A51" s="62"/>
      <c r="B51" s="168"/>
      <c r="C51" s="169"/>
      <c r="D51" s="169"/>
      <c r="E51" s="169"/>
      <c r="F51" s="169"/>
      <c r="G51" s="169"/>
      <c r="H51" s="122"/>
      <c r="I51" s="62"/>
      <c r="J51" s="62"/>
      <c r="K51" s="62"/>
      <c r="L51" s="62"/>
      <c r="M51" s="62"/>
      <c r="N51" s="62"/>
    </row>
    <row r="52" spans="1:14" ht="15">
      <c r="A52" s="62"/>
      <c r="B52" s="62"/>
      <c r="C52" s="62"/>
      <c r="D52" s="62"/>
      <c r="E52" s="62"/>
      <c r="F52" s="62"/>
      <c r="G52" s="62"/>
      <c r="H52" s="62"/>
      <c r="I52" s="62"/>
      <c r="J52" s="62"/>
      <c r="K52" s="62"/>
      <c r="L52" s="62"/>
      <c r="M52" s="62"/>
      <c r="N52" s="62"/>
    </row>
    <row r="53" spans="1:14" ht="15">
      <c r="A53" s="62"/>
      <c r="B53" s="62"/>
      <c r="C53" s="62"/>
      <c r="D53" s="62"/>
      <c r="E53" s="62"/>
      <c r="F53" s="62"/>
      <c r="G53" s="62"/>
      <c r="H53" s="62"/>
      <c r="I53" s="62"/>
      <c r="J53" s="62"/>
      <c r="K53" s="62"/>
      <c r="L53" s="62"/>
      <c r="M53" s="62"/>
      <c r="N53" s="62"/>
    </row>
    <row r="54" spans="1:14" ht="15">
      <c r="A54" s="62"/>
      <c r="B54" s="62"/>
      <c r="C54" s="62"/>
      <c r="D54" s="62"/>
      <c r="E54" s="62"/>
      <c r="F54" s="62"/>
      <c r="G54" s="62"/>
      <c r="H54" s="62"/>
      <c r="I54" s="62"/>
      <c r="J54" s="62"/>
      <c r="K54" s="62"/>
      <c r="L54" s="62"/>
      <c r="M54" s="62"/>
      <c r="N54" s="62"/>
    </row>
    <row r="55" spans="1:14" ht="15">
      <c r="A55" s="62"/>
      <c r="B55" s="62"/>
      <c r="C55" s="62"/>
      <c r="D55" s="62"/>
      <c r="E55" s="62"/>
      <c r="F55" s="62"/>
      <c r="G55" s="62"/>
      <c r="H55" s="62"/>
      <c r="I55" s="62"/>
      <c r="J55" s="62"/>
      <c r="K55" s="62"/>
      <c r="L55" s="62"/>
      <c r="M55" s="62"/>
      <c r="N55" s="62"/>
    </row>
    <row r="56" spans="1:14" ht="15">
      <c r="A56" s="62"/>
      <c r="B56" s="62"/>
      <c r="C56" s="62"/>
      <c r="D56" s="62"/>
      <c r="E56" s="62"/>
      <c r="F56" s="62"/>
      <c r="G56" s="62"/>
      <c r="H56" s="62"/>
      <c r="I56" s="62"/>
      <c r="J56" s="62"/>
      <c r="K56" s="62"/>
      <c r="L56" s="62"/>
      <c r="M56" s="62"/>
      <c r="N56" s="62"/>
    </row>
    <row r="57" spans="1:14" ht="15">
      <c r="A57" s="62"/>
      <c r="B57" s="62"/>
      <c r="C57" s="62"/>
      <c r="D57" s="62"/>
      <c r="E57" s="62"/>
      <c r="F57" s="62"/>
      <c r="G57" s="62"/>
      <c r="H57" s="62"/>
      <c r="I57" s="62"/>
      <c r="J57" s="62"/>
      <c r="K57" s="62"/>
      <c r="L57" s="62"/>
      <c r="M57" s="62"/>
      <c r="N57" s="62"/>
    </row>
    <row r="58" spans="1:14" ht="15">
      <c r="A58" s="62"/>
      <c r="B58" s="62"/>
      <c r="C58" s="62"/>
      <c r="D58" s="62"/>
      <c r="E58" s="62"/>
      <c r="F58" s="62"/>
      <c r="G58" s="62"/>
      <c r="H58" s="62"/>
      <c r="I58" s="62"/>
      <c r="J58" s="62"/>
      <c r="K58" s="62"/>
      <c r="L58" s="62"/>
      <c r="M58" s="62"/>
      <c r="N58" s="62"/>
    </row>
  </sheetData>
  <sheetProtection algorithmName="SHA-512" hashValue="CADYbby4FJyZCgh+44w5/hb6bQnMPssiRIrBMiwgTOsxERQCXcFkg6P7zxCZZTXoUwUSB3pKaF1R4uj01dYqaA==" saltValue="kB7PSfBG4dB4Sb7wiRf2Ag==" spinCount="100000" sheet="1" objects="1" scenarios="1" selectLockedCells="1"/>
  <mergeCells count="3">
    <mergeCell ref="F10:G10"/>
    <mergeCell ref="E4:G4"/>
    <mergeCell ref="B7:H9"/>
  </mergeCells>
  <phoneticPr fontId="12" type="noConversion"/>
  <pageMargins left="0.75" right="0.75" top="1" bottom="1" header="0.5" footer="0.5"/>
  <pageSetup paperSize="9" scale="58" orientation="portrait" horizontalDpi="4294967293" verticalDpi="0" r:id="rId1"/>
  <headerFooter alignWithMargins="0"/>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autoPageBreaks="0"/>
  </sheetPr>
  <dimension ref="C3:AL58"/>
  <sheetViews>
    <sheetView showGridLines="0" showRowColHeaders="0" showZeros="0" zoomScale="75" workbookViewId="0">
      <selection activeCell="C4" sqref="C4"/>
    </sheetView>
  </sheetViews>
  <sheetFormatPr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33</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dElSBXp0NplihVfSwtp9l9H4nniIbTKC40vgnlsCg1SMpUr041+Qe4ZtlLkc8wJy0QPDnDnQXRYXUx3fDZ5mg==" saltValue="AWJ5r388y9tycx1uRbDxuQ==" spinCount="100000" sheet="1" objects="1" scenarios="1" selectLockedCells="1"/>
  <mergeCells count="11">
    <mergeCell ref="C44:E44"/>
    <mergeCell ref="H44:M45"/>
    <mergeCell ref="O31:AB34"/>
    <mergeCell ref="C36:E36"/>
    <mergeCell ref="O38:AB43"/>
    <mergeCell ref="O24:AB26"/>
    <mergeCell ref="C3:F3"/>
    <mergeCell ref="C5:G5"/>
    <mergeCell ref="J7:L7"/>
    <mergeCell ref="O10:AB12"/>
    <mergeCell ref="O15:AB22"/>
  </mergeCells>
  <dataValidations count="1">
    <dataValidation type="list" allowBlank="1" showInputMessage="1" showErrorMessage="1" sqref="F44 F36" xr:uid="{00000000-0002-0000-0100-000000000000}">
      <formula1>$AL$4:$AL$5</formula1>
    </dataValidation>
  </dataValidations>
  <hyperlinks>
    <hyperlink ref="I40" location="Refrigerant!A1" display="Refrigerant" xr:uid="{00000000-0004-0000-0100-000000000000}"/>
    <hyperlink ref="G36" location="'Flight calculator'!B7" display="What is it?" xr:uid="{2B12A692-9081-4333-B0FC-98A8DCC775D8}"/>
  </hyperlinks>
  <pageMargins left="0.75" right="0.75" top="1" bottom="1" header="0.5" footer="0.5"/>
  <pageSetup paperSize="9" scale="68"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E2:Q79"/>
  <sheetViews>
    <sheetView showGridLines="0" zoomScale="75" zoomScaleNormal="75" workbookViewId="0">
      <selection activeCell="U94" sqref="U94"/>
    </sheetView>
  </sheetViews>
  <sheetFormatPr defaultRowHeight="13.15"/>
  <cols>
    <col min="1" max="1" width="2" customWidth="1"/>
    <col min="4" max="4" width="3" customWidth="1"/>
    <col min="5" max="5" width="17.28515625" style="36" customWidth="1"/>
    <col min="6" max="6" width="18.28515625" style="16" customWidth="1"/>
    <col min="7" max="7" width="21.28515625" style="45" customWidth="1"/>
    <col min="8" max="8" width="4.7109375" customWidth="1"/>
    <col min="9" max="9" width="9.28515625" customWidth="1"/>
  </cols>
  <sheetData>
    <row r="2" spans="5:17" ht="14.25" customHeight="1"/>
    <row r="3" spans="5:17" s="23" customFormat="1" ht="3.75" customHeight="1">
      <c r="E3" s="42"/>
      <c r="F3" s="44"/>
      <c r="G3" s="46"/>
    </row>
    <row r="4" spans="5:17" s="23" customFormat="1">
      <c r="E4" s="42"/>
      <c r="F4" s="44"/>
      <c r="G4" s="46"/>
    </row>
    <row r="5" spans="5:17" s="23" customFormat="1" ht="17.45">
      <c r="E5" s="43" t="s">
        <v>353</v>
      </c>
      <c r="F5" s="44"/>
      <c r="G5" s="46"/>
    </row>
    <row r="6" spans="5:17" s="23" customFormat="1" ht="17.45">
      <c r="E6" s="43"/>
      <c r="F6" s="44"/>
      <c r="G6" s="46"/>
    </row>
    <row r="7" spans="5:17" s="23" customFormat="1" ht="17.45">
      <c r="E7" s="43"/>
      <c r="F7" s="44"/>
      <c r="G7" s="46"/>
    </row>
    <row r="9" spans="5:17">
      <c r="E9" s="36" t="s">
        <v>354</v>
      </c>
      <c r="F9" s="36" t="s">
        <v>355</v>
      </c>
      <c r="G9" s="47" t="s">
        <v>356</v>
      </c>
      <c r="H9" s="13"/>
      <c r="I9" s="13" t="s">
        <v>357</v>
      </c>
    </row>
    <row r="10" spans="5:17" ht="4.5" customHeight="1">
      <c r="E10" s="49"/>
      <c r="F10" s="50"/>
      <c r="G10" s="51"/>
      <c r="H10" s="39"/>
      <c r="I10" s="39"/>
      <c r="J10" s="39"/>
      <c r="K10" s="39"/>
      <c r="L10" s="39"/>
      <c r="M10" s="39"/>
      <c r="N10" s="39"/>
      <c r="O10" s="39"/>
      <c r="P10" s="39"/>
      <c r="Q10" s="39"/>
    </row>
    <row r="12" spans="5:17">
      <c r="E12" s="148" t="s">
        <v>358</v>
      </c>
      <c r="G12" s="45" t="s">
        <v>359</v>
      </c>
      <c r="I12" t="s">
        <v>360</v>
      </c>
    </row>
    <row r="13" spans="5:17">
      <c r="E13" s="49"/>
      <c r="F13" s="50"/>
      <c r="G13" s="52"/>
      <c r="H13" s="39"/>
      <c r="I13" s="39"/>
      <c r="J13" s="39"/>
      <c r="K13" s="39"/>
      <c r="L13" s="39"/>
      <c r="M13" s="39"/>
      <c r="N13" s="39"/>
      <c r="O13" s="39"/>
      <c r="P13" s="39"/>
      <c r="Q13" s="39"/>
    </row>
    <row r="14" spans="5:17">
      <c r="G14" s="48"/>
    </row>
    <row r="15" spans="5:17">
      <c r="E15" s="148" t="s">
        <v>361</v>
      </c>
      <c r="F15" s="16" t="s">
        <v>362</v>
      </c>
      <c r="G15" s="48" t="s">
        <v>363</v>
      </c>
      <c r="I15" s="41" t="s">
        <v>364</v>
      </c>
    </row>
    <row r="16" spans="5:17">
      <c r="I16" t="s">
        <v>365</v>
      </c>
    </row>
    <row r="17" spans="7:9">
      <c r="I17" t="s">
        <v>366</v>
      </c>
    </row>
    <row r="18" spans="7:9">
      <c r="I18" t="s">
        <v>367</v>
      </c>
    </row>
    <row r="19" spans="7:9">
      <c r="I19" t="s">
        <v>368</v>
      </c>
    </row>
    <row r="20" spans="7:9">
      <c r="I20" t="s">
        <v>369</v>
      </c>
    </row>
    <row r="21" spans="7:9">
      <c r="I21" s="40" t="s">
        <v>370</v>
      </c>
    </row>
    <row r="22" spans="7:9">
      <c r="I22" s="40" t="s">
        <v>371</v>
      </c>
    </row>
    <row r="23" spans="7:9">
      <c r="I23" s="40" t="s">
        <v>372</v>
      </c>
    </row>
    <row r="24" spans="7:9">
      <c r="I24" s="40" t="s">
        <v>373</v>
      </c>
    </row>
    <row r="25" spans="7:9">
      <c r="I25" s="40" t="s">
        <v>374</v>
      </c>
    </row>
    <row r="26" spans="7:9">
      <c r="I26" s="40"/>
    </row>
    <row r="27" spans="7:9">
      <c r="G27" s="45" t="s">
        <v>375</v>
      </c>
      <c r="I27" s="40" t="s">
        <v>376</v>
      </c>
    </row>
    <row r="28" spans="7:9">
      <c r="I28" s="40" t="s">
        <v>377</v>
      </c>
    </row>
    <row r="29" spans="7:9">
      <c r="I29" s="40" t="s">
        <v>378</v>
      </c>
    </row>
    <row r="30" spans="7:9">
      <c r="I30" s="40"/>
    </row>
    <row r="31" spans="7:9">
      <c r="G31" s="45" t="s">
        <v>379</v>
      </c>
      <c r="I31" s="40" t="s">
        <v>380</v>
      </c>
    </row>
    <row r="32" spans="7:9">
      <c r="I32" s="40" t="s">
        <v>381</v>
      </c>
    </row>
    <row r="33" spans="5:9">
      <c r="I33" s="40" t="s">
        <v>382</v>
      </c>
    </row>
    <row r="34" spans="5:9">
      <c r="I34" s="40"/>
    </row>
    <row r="35" spans="5:9">
      <c r="E35" s="148" t="s">
        <v>383</v>
      </c>
      <c r="F35" s="16" t="s">
        <v>384</v>
      </c>
      <c r="G35" s="45" t="s">
        <v>385</v>
      </c>
      <c r="I35" s="41" t="s">
        <v>386</v>
      </c>
    </row>
    <row r="36" spans="5:9">
      <c r="I36" t="s">
        <v>387</v>
      </c>
    </row>
    <row r="37" spans="5:9">
      <c r="I37" s="40" t="s">
        <v>388</v>
      </c>
    </row>
    <row r="38" spans="5:9">
      <c r="I38" s="40" t="s">
        <v>389</v>
      </c>
    </row>
    <row r="39" spans="5:9">
      <c r="I39" s="18" t="s">
        <v>390</v>
      </c>
    </row>
    <row r="40" spans="5:9">
      <c r="I40" s="40" t="s">
        <v>391</v>
      </c>
    </row>
    <row r="41" spans="5:9">
      <c r="I41" s="40" t="s">
        <v>392</v>
      </c>
    </row>
    <row r="42" spans="5:9">
      <c r="I42" s="54" t="s">
        <v>393</v>
      </c>
    </row>
    <row r="43" spans="5:9">
      <c r="I43" s="54"/>
    </row>
    <row r="44" spans="5:9">
      <c r="E44" s="36" t="s">
        <v>394</v>
      </c>
      <c r="F44" s="16" t="s">
        <v>395</v>
      </c>
      <c r="G44" s="45" t="s">
        <v>396</v>
      </c>
      <c r="I44" s="41" t="s">
        <v>397</v>
      </c>
    </row>
    <row r="45" spans="5:9">
      <c r="I45" t="s">
        <v>387</v>
      </c>
    </row>
    <row r="46" spans="5:9">
      <c r="I46" t="s">
        <v>398</v>
      </c>
    </row>
    <row r="47" spans="5:9">
      <c r="I47" t="s">
        <v>399</v>
      </c>
    </row>
    <row r="49" spans="5:12">
      <c r="E49" s="36" t="s">
        <v>400</v>
      </c>
      <c r="F49" s="16" t="s">
        <v>401</v>
      </c>
      <c r="G49" s="45" t="s">
        <v>402</v>
      </c>
      <c r="I49" s="41" t="s">
        <v>403</v>
      </c>
    </row>
    <row r="50" spans="5:12">
      <c r="I50" t="s">
        <v>387</v>
      </c>
    </row>
    <row r="51" spans="5:12">
      <c r="I51" t="s">
        <v>404</v>
      </c>
    </row>
    <row r="52" spans="5:12">
      <c r="L52" t="s">
        <v>405</v>
      </c>
    </row>
    <row r="53" spans="5:12">
      <c r="L53" t="s">
        <v>406</v>
      </c>
    </row>
    <row r="54" spans="5:12">
      <c r="L54" t="s">
        <v>407</v>
      </c>
    </row>
    <row r="55" spans="5:12">
      <c r="L55" t="s">
        <v>408</v>
      </c>
    </row>
    <row r="56" spans="5:12">
      <c r="I56" s="54"/>
    </row>
    <row r="57" spans="5:12">
      <c r="E57" s="36" t="s">
        <v>409</v>
      </c>
      <c r="F57" s="148" t="s">
        <v>410</v>
      </c>
      <c r="G57" s="48" t="s">
        <v>411</v>
      </c>
      <c r="I57" s="18" t="s">
        <v>412</v>
      </c>
    </row>
    <row r="58" spans="5:12">
      <c r="I58" s="18" t="s">
        <v>413</v>
      </c>
    </row>
    <row r="59" spans="5:12">
      <c r="I59" s="18" t="s">
        <v>414</v>
      </c>
    </row>
    <row r="60" spans="5:12">
      <c r="I60" s="18" t="s">
        <v>415</v>
      </c>
    </row>
    <row r="61" spans="5:12">
      <c r="I61" s="18" t="s">
        <v>416</v>
      </c>
    </row>
    <row r="62" spans="5:12">
      <c r="I62" s="18" t="s">
        <v>417</v>
      </c>
    </row>
    <row r="63" spans="5:12">
      <c r="I63" s="18" t="s">
        <v>418</v>
      </c>
    </row>
    <row r="64" spans="5:12">
      <c r="I64" s="18" t="s">
        <v>419</v>
      </c>
    </row>
    <row r="65" spans="5:9">
      <c r="I65" s="18" t="s">
        <v>420</v>
      </c>
    </row>
    <row r="67" spans="5:9">
      <c r="E67" s="36" t="s">
        <v>421</v>
      </c>
      <c r="F67" s="148" t="s">
        <v>422</v>
      </c>
      <c r="G67" s="48" t="s">
        <v>423</v>
      </c>
      <c r="I67" s="18" t="s">
        <v>424</v>
      </c>
    </row>
    <row r="68" spans="5:9">
      <c r="I68" s="18" t="s">
        <v>425</v>
      </c>
    </row>
    <row r="69" spans="5:9">
      <c r="I69" s="18" t="s">
        <v>426</v>
      </c>
    </row>
    <row r="71" spans="5:9">
      <c r="E71" s="36" t="s">
        <v>427</v>
      </c>
      <c r="F71" s="148" t="s">
        <v>428</v>
      </c>
      <c r="G71" s="48" t="s">
        <v>429</v>
      </c>
      <c r="I71" s="18" t="s">
        <v>430</v>
      </c>
    </row>
    <row r="72" spans="5:9">
      <c r="I72" s="18" t="s">
        <v>431</v>
      </c>
    </row>
    <row r="73" spans="5:9">
      <c r="I73" s="18" t="s">
        <v>432</v>
      </c>
    </row>
    <row r="74" spans="5:9">
      <c r="I74" s="18" t="s">
        <v>433</v>
      </c>
    </row>
    <row r="76" spans="5:9">
      <c r="F76" s="148" t="s">
        <v>434</v>
      </c>
      <c r="G76" s="48" t="s">
        <v>435</v>
      </c>
      <c r="I76" s="18" t="s">
        <v>436</v>
      </c>
    </row>
    <row r="77" spans="5:9">
      <c r="E77" s="36" t="s">
        <v>437</v>
      </c>
      <c r="F77" s="148" t="s">
        <v>438</v>
      </c>
      <c r="G77" s="48" t="s">
        <v>439</v>
      </c>
      <c r="I77" s="18" t="s">
        <v>440</v>
      </c>
    </row>
    <row r="78" spans="5:9">
      <c r="I78" s="18" t="s">
        <v>441</v>
      </c>
    </row>
    <row r="79" spans="5:9">
      <c r="I79" s="18" t="s">
        <v>442</v>
      </c>
    </row>
  </sheetData>
  <sheetProtection algorithmName="SHA-512" hashValue="/ydnK2tsnQ0u1N+/6nsVoYdfPdPmg5jJmm0sz1DDetNH8rdiDEWSsrM03r4iPlPt2n1snFEm+GUCpMJUWQMdAw==" saltValue="b7e1wdItFHqi4StKz7zX5w==" spinCount="100000" sheet="1" objects="1" scenarios="1"/>
  <phoneticPr fontId="12" type="noConversion"/>
  <hyperlinks>
    <hyperlink ref="O72" r:id="rId1" display="activate@catalystnz.co.nz" xr:uid="{00000000-0004-0000-1400-000000000000}"/>
  </hyperlinks>
  <pageMargins left="0.75" right="0.75" top="1" bottom="1" header="0.5" footer="0.5"/>
  <pageSetup paperSize="9" scale="75" orientation="landscape" horizontalDpi="200" verticalDpi="0" r:id="rId2"/>
  <headerFooter alignWithMargins="0"/>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5">
    <pageSetUpPr fitToPage="1"/>
  </sheetPr>
  <dimension ref="D1:W59"/>
  <sheetViews>
    <sheetView showGridLines="0" showRowColHeaders="0" showZeros="0" topLeftCell="A19" zoomScale="75" zoomScaleNormal="75" zoomScaleSheetLayoutView="75" workbookViewId="0">
      <selection activeCell="A2" sqref="A2"/>
    </sheetView>
  </sheetViews>
  <sheetFormatPr defaultRowHeight="13.15"/>
  <cols>
    <col min="1" max="1" width="11.7109375" customWidth="1"/>
    <col min="4" max="4" width="10.7109375" customWidth="1"/>
    <col min="5" max="5" width="10.140625" bestFit="1" customWidth="1"/>
    <col min="6" max="6" width="9.28515625" bestFit="1" customWidth="1"/>
    <col min="8" max="9" width="9.28515625" bestFit="1" customWidth="1"/>
    <col min="10" max="23" width="9.28515625" customWidth="1"/>
    <col min="25" max="25" width="9.28515625" bestFit="1" customWidth="1"/>
    <col min="26" max="26" width="10" bestFit="1" customWidth="1"/>
    <col min="27" max="29" width="9.28515625" bestFit="1" customWidth="1"/>
    <col min="31" max="31" width="9.28515625" bestFit="1" customWidth="1"/>
  </cols>
  <sheetData>
    <row r="1" spans="4:23" ht="7.5" customHeight="1" thickBot="1"/>
    <row r="2" spans="4:23">
      <c r="D2" s="26"/>
      <c r="E2" s="27"/>
      <c r="F2" s="27"/>
      <c r="G2" s="27"/>
      <c r="H2" s="27"/>
      <c r="I2" s="27"/>
      <c r="J2" s="27"/>
      <c r="K2" s="27"/>
      <c r="L2" s="27"/>
      <c r="M2" s="27"/>
      <c r="N2" s="27"/>
      <c r="O2" s="27"/>
      <c r="P2" s="27"/>
      <c r="Q2" s="27"/>
      <c r="R2" s="27"/>
      <c r="S2" s="27"/>
      <c r="T2" s="28"/>
    </row>
    <row r="3" spans="4:23">
      <c r="D3" s="5"/>
      <c r="T3" s="7"/>
    </row>
    <row r="4" spans="4:23">
      <c r="D4" s="5"/>
      <c r="T4" s="7"/>
    </row>
    <row r="5" spans="4:23">
      <c r="D5" s="5"/>
      <c r="T5" s="7"/>
    </row>
    <row r="6" spans="4:23">
      <c r="D6" s="5"/>
      <c r="T6" s="7"/>
    </row>
    <row r="7" spans="4:23" ht="24.95" customHeight="1">
      <c r="D7" s="5"/>
      <c r="J7" s="288" t="s">
        <v>443</v>
      </c>
      <c r="K7" s="288"/>
      <c r="L7" s="288"/>
      <c r="M7" s="288"/>
      <c r="N7" s="288"/>
      <c r="T7" s="7"/>
    </row>
    <row r="8" spans="4:23">
      <c r="D8" s="5"/>
      <c r="J8" s="319" t="s">
        <v>444</v>
      </c>
      <c r="K8" s="319"/>
      <c r="L8" s="319"/>
      <c r="M8" s="319"/>
      <c r="N8" s="319"/>
      <c r="T8" s="7"/>
    </row>
    <row r="9" spans="4:23">
      <c r="D9" s="5"/>
      <c r="T9" s="7"/>
    </row>
    <row r="10" spans="4:23">
      <c r="D10" s="5"/>
      <c r="E10" s="6"/>
      <c r="F10" s="316" t="s">
        <v>445</v>
      </c>
      <c r="G10" s="317"/>
      <c r="H10" s="317"/>
      <c r="I10" s="317"/>
      <c r="J10" s="317"/>
      <c r="K10" s="318"/>
      <c r="T10" s="7"/>
    </row>
    <row r="11" spans="4:23">
      <c r="D11" s="5"/>
      <c r="E11" s="6"/>
      <c r="F11" s="15" t="s">
        <v>446</v>
      </c>
      <c r="G11" s="15" t="s">
        <v>447</v>
      </c>
      <c r="H11" s="15" t="s">
        <v>448</v>
      </c>
      <c r="I11" s="15" t="s">
        <v>449</v>
      </c>
      <c r="J11" s="15" t="s">
        <v>450</v>
      </c>
      <c r="K11" s="6" t="s">
        <v>81</v>
      </c>
      <c r="M11" s="16"/>
      <c r="N11" s="16"/>
      <c r="O11" s="16"/>
      <c r="P11" s="16"/>
      <c r="T11" s="7"/>
      <c r="W11" s="3"/>
    </row>
    <row r="12" spans="4:23">
      <c r="D12" s="5"/>
      <c r="E12" s="6" t="s">
        <v>129</v>
      </c>
      <c r="F12" s="12">
        <f ca="1">(Summary!E12/1000)*3.6</f>
        <v>0</v>
      </c>
      <c r="G12" s="12">
        <f ca="1">Summary!F12</f>
        <v>0</v>
      </c>
      <c r="H12" s="12">
        <f ca="1">Summary!G12*25.1</f>
        <v>0</v>
      </c>
      <c r="I12" s="12">
        <f ca="1">Summary!H12*0.03534</f>
        <v>0</v>
      </c>
      <c r="J12" s="12">
        <f ca="1">Summary!I12*0.0381</f>
        <v>0</v>
      </c>
      <c r="K12" s="12">
        <f ca="1">SUM(F12:J12)</f>
        <v>0</v>
      </c>
      <c r="L12" s="24">
        <f ca="1">K12</f>
        <v>0</v>
      </c>
      <c r="T12" s="7"/>
    </row>
    <row r="13" spans="4:23">
      <c r="D13" s="5"/>
      <c r="E13" s="6" t="s">
        <v>134</v>
      </c>
      <c r="F13" s="12">
        <f ca="1">(Summary!E13/1000)*3.6</f>
        <v>0</v>
      </c>
      <c r="G13" s="12">
        <f ca="1">Summary!F13</f>
        <v>0</v>
      </c>
      <c r="H13" s="12">
        <f ca="1">Summary!G13*25.1</f>
        <v>0</v>
      </c>
      <c r="I13" s="12">
        <f ca="1">Summary!H13*0.03534</f>
        <v>0</v>
      </c>
      <c r="J13" s="12">
        <f ca="1">Summary!I13*0.0381</f>
        <v>0</v>
      </c>
      <c r="K13" s="12">
        <f t="shared" ref="K13:K23" ca="1" si="0">SUM(F13:J13)</f>
        <v>0</v>
      </c>
      <c r="L13" s="24">
        <f t="shared" ref="L13:L23" ca="1" si="1">L12+K13</f>
        <v>0</v>
      </c>
      <c r="M13" s="17"/>
      <c r="N13" s="17"/>
      <c r="O13" s="17"/>
      <c r="P13" s="17"/>
      <c r="T13" s="7"/>
    </row>
    <row r="14" spans="4:23">
      <c r="D14" s="5"/>
      <c r="E14" s="6" t="s">
        <v>131</v>
      </c>
      <c r="F14" s="12">
        <f ca="1">(Summary!E14/1000)*3.6</f>
        <v>0</v>
      </c>
      <c r="G14" s="12">
        <f ca="1">Summary!F14</f>
        <v>0</v>
      </c>
      <c r="H14" s="12">
        <f ca="1">Summary!G14*25.1</f>
        <v>0</v>
      </c>
      <c r="I14" s="12">
        <f ca="1">Summary!H14*0.03534</f>
        <v>0</v>
      </c>
      <c r="J14" s="12">
        <f ca="1">Summary!I14*0.0381</f>
        <v>0</v>
      </c>
      <c r="K14" s="12">
        <f t="shared" ca="1" si="0"/>
        <v>0</v>
      </c>
      <c r="L14" s="24">
        <f t="shared" ca="1" si="1"/>
        <v>0</v>
      </c>
      <c r="M14" s="17"/>
      <c r="N14" s="17"/>
      <c r="O14" s="17"/>
      <c r="P14" s="17"/>
      <c r="T14" s="7"/>
    </row>
    <row r="15" spans="4:23">
      <c r="D15" s="5"/>
      <c r="E15" s="6" t="s">
        <v>130</v>
      </c>
      <c r="F15" s="12">
        <f ca="1">(Summary!E15/1000)*3.6</f>
        <v>0</v>
      </c>
      <c r="G15" s="12">
        <f ca="1">Summary!F15</f>
        <v>0</v>
      </c>
      <c r="H15" s="12">
        <f ca="1">Summary!G15*25.1</f>
        <v>0</v>
      </c>
      <c r="I15" s="12">
        <f ca="1">Summary!H15*0.03534</f>
        <v>0</v>
      </c>
      <c r="J15" s="12">
        <f ca="1">Summary!I15*0.0381</f>
        <v>0</v>
      </c>
      <c r="K15" s="12">
        <f t="shared" ca="1" si="0"/>
        <v>0</v>
      </c>
      <c r="L15" s="24">
        <f t="shared" ca="1" si="1"/>
        <v>0</v>
      </c>
      <c r="M15" s="17"/>
      <c r="N15" s="17"/>
      <c r="O15" s="17"/>
      <c r="P15" s="17"/>
      <c r="T15" s="7"/>
    </row>
    <row r="16" spans="4:23">
      <c r="D16" s="5"/>
      <c r="E16" s="6" t="s">
        <v>135</v>
      </c>
      <c r="F16" s="12">
        <f ca="1">(Summary!E16/1000)*3.6</f>
        <v>0</v>
      </c>
      <c r="G16" s="12">
        <f ca="1">Summary!F16</f>
        <v>0</v>
      </c>
      <c r="H16" s="12">
        <f ca="1">Summary!G16*25.1</f>
        <v>0</v>
      </c>
      <c r="I16" s="12">
        <f ca="1">Summary!H16*0.03534</f>
        <v>0</v>
      </c>
      <c r="J16" s="12">
        <f ca="1">Summary!I16*0.0381</f>
        <v>0</v>
      </c>
      <c r="K16" s="12">
        <f t="shared" ca="1" si="0"/>
        <v>0</v>
      </c>
      <c r="L16" s="24">
        <f t="shared" ca="1" si="1"/>
        <v>0</v>
      </c>
      <c r="M16" s="17"/>
      <c r="N16" s="17"/>
      <c r="O16" s="17"/>
      <c r="P16" s="17"/>
      <c r="T16" s="7"/>
    </row>
    <row r="17" spans="4:20">
      <c r="D17" s="5"/>
      <c r="E17" s="6" t="s">
        <v>138</v>
      </c>
      <c r="F17" s="12">
        <f ca="1">(Summary!E17/1000)*3.6</f>
        <v>0</v>
      </c>
      <c r="G17" s="12">
        <f ca="1">Summary!F17</f>
        <v>0</v>
      </c>
      <c r="H17" s="12">
        <f ca="1">Summary!G17*25.1</f>
        <v>0</v>
      </c>
      <c r="I17" s="12">
        <f ca="1">Summary!H17*0.03534</f>
        <v>0</v>
      </c>
      <c r="J17" s="12">
        <f ca="1">Summary!I17*0.0381</f>
        <v>0</v>
      </c>
      <c r="K17" s="12">
        <f t="shared" ca="1" si="0"/>
        <v>0</v>
      </c>
      <c r="L17" s="24">
        <f t="shared" ca="1" si="1"/>
        <v>0</v>
      </c>
      <c r="M17" s="17"/>
      <c r="N17" s="17"/>
      <c r="O17" s="17"/>
      <c r="P17" s="17"/>
      <c r="T17" s="7"/>
    </row>
    <row r="18" spans="4:20">
      <c r="D18" s="5"/>
      <c r="E18" s="6" t="s">
        <v>140</v>
      </c>
      <c r="F18" s="12">
        <f ca="1">(Summary!E18/1000)*3.6</f>
        <v>0</v>
      </c>
      <c r="G18" s="12">
        <f ca="1">Summary!F18</f>
        <v>0</v>
      </c>
      <c r="H18" s="12">
        <f ca="1">Summary!G18*25.1</f>
        <v>0</v>
      </c>
      <c r="I18" s="12">
        <f ca="1">Summary!H18*0.03534</f>
        <v>0</v>
      </c>
      <c r="J18" s="12">
        <f ca="1">Summary!I18*0.0381</f>
        <v>0</v>
      </c>
      <c r="K18" s="12">
        <f t="shared" ca="1" si="0"/>
        <v>0</v>
      </c>
      <c r="L18" s="24">
        <f t="shared" ca="1" si="1"/>
        <v>0</v>
      </c>
      <c r="M18" s="17"/>
      <c r="N18" s="17"/>
      <c r="O18" s="17"/>
      <c r="P18" s="17"/>
      <c r="T18" s="7"/>
    </row>
    <row r="19" spans="4:20">
      <c r="D19" s="5"/>
      <c r="E19" s="6" t="s">
        <v>141</v>
      </c>
      <c r="F19" s="12">
        <f ca="1">(Summary!E19/1000)*3.6</f>
        <v>0</v>
      </c>
      <c r="G19" s="12">
        <f ca="1">Summary!F19</f>
        <v>0</v>
      </c>
      <c r="H19" s="12">
        <f ca="1">Summary!G19*25.1</f>
        <v>0</v>
      </c>
      <c r="I19" s="12">
        <f ca="1">Summary!H19*0.03534</f>
        <v>0</v>
      </c>
      <c r="J19" s="12">
        <f ca="1">Summary!I19*0.0381</f>
        <v>0</v>
      </c>
      <c r="K19" s="12">
        <f t="shared" ca="1" si="0"/>
        <v>0</v>
      </c>
      <c r="L19" s="24">
        <f t="shared" ca="1" si="1"/>
        <v>0</v>
      </c>
      <c r="M19" s="17"/>
      <c r="N19" s="17"/>
      <c r="O19" s="17"/>
      <c r="P19" s="17"/>
      <c r="T19" s="7"/>
    </row>
    <row r="20" spans="4:20">
      <c r="D20" s="5"/>
      <c r="E20" s="6" t="s">
        <v>143</v>
      </c>
      <c r="F20" s="12">
        <f ca="1">(Summary!E20/1000)*3.6</f>
        <v>0</v>
      </c>
      <c r="G20" s="12">
        <f ca="1">Summary!F20</f>
        <v>0</v>
      </c>
      <c r="H20" s="12">
        <f ca="1">Summary!G20*25.1</f>
        <v>0</v>
      </c>
      <c r="I20" s="12">
        <f ca="1">Summary!H20*0.03534</f>
        <v>0</v>
      </c>
      <c r="J20" s="12">
        <f ca="1">Summary!I20*0.0381</f>
        <v>0</v>
      </c>
      <c r="K20" s="12">
        <f t="shared" ca="1" si="0"/>
        <v>0</v>
      </c>
      <c r="L20" s="24">
        <f t="shared" ca="1" si="1"/>
        <v>0</v>
      </c>
      <c r="M20" s="17"/>
      <c r="N20" s="17"/>
      <c r="O20" s="17"/>
      <c r="P20" s="17"/>
      <c r="T20" s="7"/>
    </row>
    <row r="21" spans="4:20">
      <c r="D21" s="5"/>
      <c r="E21" s="6" t="s">
        <v>127</v>
      </c>
      <c r="F21" s="12">
        <f ca="1">(Summary!E21/1000)*3.6</f>
        <v>0</v>
      </c>
      <c r="G21" s="12">
        <f ca="1">Summary!F21</f>
        <v>0</v>
      </c>
      <c r="H21" s="12">
        <f ca="1">Summary!G21*25.1</f>
        <v>0</v>
      </c>
      <c r="I21" s="12">
        <f ca="1">Summary!H21*0.03534</f>
        <v>0</v>
      </c>
      <c r="J21" s="12">
        <f ca="1">Summary!I21*0.0381</f>
        <v>0</v>
      </c>
      <c r="K21" s="12">
        <f t="shared" ca="1" si="0"/>
        <v>0</v>
      </c>
      <c r="L21" s="24">
        <f t="shared" ca="1" si="1"/>
        <v>0</v>
      </c>
      <c r="M21" s="17"/>
      <c r="N21" s="17"/>
      <c r="O21" s="17"/>
      <c r="P21" s="17"/>
      <c r="T21" s="7"/>
    </row>
    <row r="22" spans="4:20">
      <c r="D22" s="5"/>
      <c r="E22" s="6" t="s">
        <v>132</v>
      </c>
      <c r="F22" s="12">
        <f ca="1">(Summary!E22/1000)*3.6</f>
        <v>0</v>
      </c>
      <c r="G22" s="12">
        <f ca="1">Summary!F22</f>
        <v>0</v>
      </c>
      <c r="H22" s="12">
        <f ca="1">Summary!G22*25.1</f>
        <v>0</v>
      </c>
      <c r="I22" s="12">
        <f ca="1">Summary!H22*0.03534</f>
        <v>0</v>
      </c>
      <c r="J22" s="12">
        <f ca="1">Summary!I22*0.0381</f>
        <v>0</v>
      </c>
      <c r="K22" s="12">
        <f t="shared" ca="1" si="0"/>
        <v>0</v>
      </c>
      <c r="L22" s="24">
        <f t="shared" ca="1" si="1"/>
        <v>0</v>
      </c>
      <c r="M22" s="17"/>
      <c r="N22" s="17"/>
      <c r="O22" s="17"/>
      <c r="P22" s="17"/>
      <c r="T22" s="7"/>
    </row>
    <row r="23" spans="4:20">
      <c r="D23" s="5"/>
      <c r="E23" s="6" t="s">
        <v>136</v>
      </c>
      <c r="F23" s="12">
        <f ca="1">(Summary!E23/1000)*3.6</f>
        <v>0</v>
      </c>
      <c r="G23" s="12">
        <f ca="1">Summary!F23</f>
        <v>0</v>
      </c>
      <c r="H23" s="12">
        <f ca="1">Summary!G23*25.1</f>
        <v>0</v>
      </c>
      <c r="I23" s="12">
        <f ca="1">Summary!H23*0.03534</f>
        <v>0</v>
      </c>
      <c r="J23" s="12">
        <f ca="1">Summary!I23*0.0381</f>
        <v>0</v>
      </c>
      <c r="K23" s="12">
        <f t="shared" ca="1" si="0"/>
        <v>0</v>
      </c>
      <c r="L23" s="24">
        <f t="shared" ca="1" si="1"/>
        <v>0</v>
      </c>
      <c r="M23" s="17"/>
      <c r="N23" s="17"/>
      <c r="O23" s="17"/>
      <c r="P23" s="17"/>
      <c r="T23" s="7"/>
    </row>
    <row r="24" spans="4:20">
      <c r="D24" s="5"/>
      <c r="E24" s="6"/>
      <c r="F24" s="12">
        <f ca="1">SUM(F12:F23)</f>
        <v>0</v>
      </c>
      <c r="G24" s="12">
        <f ca="1">SUM(G12:G23)</f>
        <v>0</v>
      </c>
      <c r="H24" s="12">
        <f ca="1">SUM(H12:H23)</f>
        <v>0</v>
      </c>
      <c r="I24" s="12">
        <f ca="1">SUM(I12:I23)</f>
        <v>0</v>
      </c>
      <c r="J24" s="12">
        <f ca="1">SUM(J12:J23)</f>
        <v>0</v>
      </c>
      <c r="K24" s="12">
        <f ca="1">SUM(F24:J24)</f>
        <v>0</v>
      </c>
      <c r="M24" s="17"/>
      <c r="N24" s="17"/>
      <c r="O24" s="17"/>
      <c r="P24" s="17"/>
      <c r="T24" s="7"/>
    </row>
    <row r="25" spans="4:20">
      <c r="D25" s="5"/>
      <c r="T25" s="7"/>
    </row>
    <row r="26" spans="4:20">
      <c r="D26" s="5"/>
      <c r="T26" s="7"/>
    </row>
    <row r="27" spans="4:20">
      <c r="D27" s="5"/>
      <c r="T27" s="7"/>
    </row>
    <row r="28" spans="4:20">
      <c r="D28" s="5"/>
      <c r="T28" s="7"/>
    </row>
    <row r="29" spans="4:20">
      <c r="D29" s="5"/>
      <c r="T29" s="7"/>
    </row>
    <row r="30" spans="4:20">
      <c r="D30" s="5"/>
      <c r="T30" s="7"/>
    </row>
    <row r="31" spans="4:20">
      <c r="D31" s="5"/>
      <c r="T31" s="7"/>
    </row>
    <row r="32" spans="4:20">
      <c r="D32" s="5"/>
      <c r="T32" s="7"/>
    </row>
    <row r="33" spans="4:20">
      <c r="D33" s="5"/>
      <c r="T33" s="7"/>
    </row>
    <row r="34" spans="4:20">
      <c r="D34" s="5"/>
      <c r="T34" s="7"/>
    </row>
    <row r="35" spans="4:20">
      <c r="D35" s="5"/>
      <c r="T35" s="7"/>
    </row>
    <row r="36" spans="4:20">
      <c r="D36" s="5"/>
      <c r="T36" s="7"/>
    </row>
    <row r="37" spans="4:20">
      <c r="D37" s="5"/>
      <c r="T37" s="7"/>
    </row>
    <row r="38" spans="4:20">
      <c r="D38" s="5"/>
      <c r="T38" s="7"/>
    </row>
    <row r="39" spans="4:20">
      <c r="D39" s="5"/>
      <c r="T39" s="7"/>
    </row>
    <row r="40" spans="4:20">
      <c r="D40" s="5"/>
      <c r="T40" s="7"/>
    </row>
    <row r="41" spans="4:20">
      <c r="D41" s="5"/>
      <c r="T41" s="7"/>
    </row>
    <row r="42" spans="4:20">
      <c r="D42" s="5"/>
      <c r="T42" s="7"/>
    </row>
    <row r="43" spans="4:20">
      <c r="D43" s="5"/>
      <c r="T43" s="7"/>
    </row>
    <row r="44" spans="4:20">
      <c r="D44" s="5"/>
      <c r="T44" s="7"/>
    </row>
    <row r="45" spans="4:20">
      <c r="D45" s="5"/>
      <c r="T45" s="7"/>
    </row>
    <row r="46" spans="4:20">
      <c r="D46" s="5"/>
      <c r="T46" s="7"/>
    </row>
    <row r="47" spans="4:20">
      <c r="D47" s="5"/>
      <c r="T47" s="7"/>
    </row>
    <row r="48" spans="4:20" ht="13.9" thickBot="1">
      <c r="D48" s="8"/>
      <c r="E48" s="9"/>
      <c r="F48" s="9"/>
      <c r="G48" s="9"/>
      <c r="H48" s="9"/>
      <c r="I48" s="9"/>
      <c r="J48" s="9"/>
      <c r="K48" s="9"/>
      <c r="L48" s="9"/>
      <c r="M48" s="9"/>
      <c r="N48" s="9"/>
      <c r="O48" s="9"/>
      <c r="P48" s="9"/>
      <c r="Q48" s="25" t="s">
        <v>451</v>
      </c>
      <c r="R48" s="9"/>
      <c r="S48" s="9"/>
      <c r="T48" s="10"/>
    </row>
    <row r="59" spans="15:15">
      <c r="O59" s="18"/>
    </row>
  </sheetData>
  <sheetProtection password="D732" sheet="1" objects="1" scenarios="1" selectLockedCells="1"/>
  <mergeCells count="3">
    <mergeCell ref="F10:K10"/>
    <mergeCell ref="J7:N7"/>
    <mergeCell ref="J8:N8"/>
  </mergeCells>
  <phoneticPr fontId="0" type="noConversion"/>
  <printOptions horizontalCentered="1"/>
  <pageMargins left="0.74803149606299213" right="0.74803149606299213" top="0.98425196850393704" bottom="0.98425196850393704" header="0.51181102362204722" footer="0.51181102362204722"/>
  <pageSetup paperSize="9" scale="76" orientation="landscape" horizontalDpi="300" verticalDpi="300" r:id="rId1"/>
  <headerFooter alignWithMargins="0"/>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83116-87E4-4246-B44B-33D7718B017D}">
  <sheetPr codeName="Sheet6">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96</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l9caQIeQTjam7gbXxfq4oFxpFG4+27b4l/UaYmd/SBkK5UWc5xF0sNZ7ESdVZJ0BIhIIUnuSbOCGshzAdVbpgg==" saltValue="+KdFJKijW0bq8JB3QCOapw=="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9C922135-FA93-42E9-83D6-02AC0EBD003F}">
      <formula1>$AL$4:$AL$5</formula1>
    </dataValidation>
  </dataValidations>
  <hyperlinks>
    <hyperlink ref="I40" location="Refrigerant!A1" display="Refrigerant" xr:uid="{BA3C9B75-3D13-429E-B66B-88766FC62C6B}"/>
    <hyperlink ref="G36" location="'Flight calculator'!B7" display="What is it?" xr:uid="{83EBDAFD-79BC-4C52-A85E-EA1104858D2A}"/>
  </hyperlinks>
  <pageMargins left="0.75" right="0.75" top="1" bottom="1" header="0.5" footer="0.5"/>
  <pageSetup paperSize="9" scale="68"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CD49A-E860-4D7D-98CC-DCDCCEC6C403}">
  <sheetPr codeName="Sheet7">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97</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goMvr/CyfLSgSPDkZ94f4hR85Q/T+yQ0QUZNiykulC33hWezspMvDc0aymOvWESSZdBZ/bOu8+zkS3tiKfNhnw==" saltValue="arSisFui1zSx/DBDJ6hMCQ=="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C09E53F8-531B-4351-8219-B0B676E16DF9}">
      <formula1>$AL$4:$AL$5</formula1>
    </dataValidation>
  </dataValidations>
  <hyperlinks>
    <hyperlink ref="I40" location="Refrigerant!A1" display="Refrigerant" xr:uid="{0B7E68A9-A967-442B-8375-2D775BDEEFE5}"/>
    <hyperlink ref="G36" location="'Flight calculator'!B7" display="What is it?" xr:uid="{C211A40F-FAE9-466E-BC9E-2240EE2CE4F1}"/>
  </hyperlinks>
  <pageMargins left="0.75" right="0.75" top="1" bottom="1" header="0.5" footer="0.5"/>
  <pageSetup paperSize="9" scale="68"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F6CF8-8A79-4D56-9C8B-05F0CC26E9CC}">
  <sheetPr codeName="Sheet8">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98</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JIo/XN6jMozVGeAZMLvj0v42H5S++buwgnk8dAlxvM8jNRQWZ6hYj2Rv2TjLMkeYLVtr7U+81cv7Qfp/v1+xw==" saltValue="O4knLR0glUVSQAyn8s0wkA=="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A53D129C-57B5-45A0-B1F5-177116DF1613}">
      <formula1>$AL$4:$AL$5</formula1>
    </dataValidation>
  </dataValidations>
  <hyperlinks>
    <hyperlink ref="I40" location="Refrigerant!A1" display="Refrigerant" xr:uid="{2BE0E1D8-B6D2-4A53-A44F-82B9EF88E457}"/>
    <hyperlink ref="G36" location="'Flight calculator'!B7" display="What is it?" xr:uid="{8386F711-7053-493A-9050-E93DB2D8365E}"/>
  </hyperlinks>
  <pageMargins left="0.75" right="0.75" top="1" bottom="1" header="0.5" footer="0.5"/>
  <pageSetup paperSize="9" scale="68"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BA32-B5EC-4248-B6E9-67A66DFD1CC0}">
  <sheetPr codeName="Sheet9">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99</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5+773XjkYx9r8Vei2F2O6bTYaAio2xoUMzqVOvB+tNDMGjBkDUOJB/2w03Z0J0zN0tYVH2Bo9HWDYREmrtkLbQ==" saltValue="hoSCBj6+I36T/tuiOvoHEg=="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FEF4D6A3-B8D1-4DB0-9E78-D34524C2016E}">
      <formula1>$AL$4:$AL$5</formula1>
    </dataValidation>
  </dataValidations>
  <hyperlinks>
    <hyperlink ref="I40" location="Refrigerant!A1" display="Refrigerant" xr:uid="{C9A08676-A016-4AB6-BA44-96F081F746A9}"/>
    <hyperlink ref="G36" location="'Flight calculator'!B7" display="What is it?" xr:uid="{0C3D881C-058B-4F80-90DB-DA0DE7D73F5C}"/>
  </hyperlinks>
  <pageMargins left="0.75" right="0.75" top="1" bottom="1" header="0.5" footer="0.5"/>
  <pageSetup paperSize="9" scale="68"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D5EC-A956-464B-8062-470B0E9EAD71}">
  <sheetPr codeName="Sheet10">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100</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XxuXUc4oQrlVhKyYT9W7UlR6m3XuwcMKPEm2uvJbcwmIj4Wgo6ZCqvxXV/iv9yvIAeiqrxPfKQmLDU9hS88NCQ==" saltValue="vDOzWIyMRS/UVP6Fx4rdvQ=="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DB498860-8027-4675-8886-0CBCB612FBF1}">
      <formula1>$AL$4:$AL$5</formula1>
    </dataValidation>
  </dataValidations>
  <hyperlinks>
    <hyperlink ref="I40" location="Refrigerant!A1" display="Refrigerant" xr:uid="{CB6B4752-1161-49BC-AE6D-580C263C4E45}"/>
    <hyperlink ref="G36" location="'Flight calculator'!B7" display="What is it?" xr:uid="{0716F01F-F4C0-4C6F-B8D3-505558495831}"/>
  </hyperlinks>
  <pageMargins left="0.75" right="0.75" top="1" bottom="1" header="0.5" footer="0.5"/>
  <pageSetup paperSize="9" scale="68"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0FFD2-1905-4153-8AC4-38C6BD0F05E6}">
  <sheetPr codeName="Sheet11">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101</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t="s">
        <v>91</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SnfbqobB4lpWWeFnRBOFlnBa1UUeI5/vZSm+AaLBhFsTn8jflZTRoGbXz6Hh8qWSomeYzwNwb6lpT6Exva0p3g==" saltValue="2vkwFIKkbMTs/mohug6FHw=="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D735A50D-3A34-4111-BB0F-4F42F4191CFF}">
      <formula1>$AL$4:$AL$5</formula1>
    </dataValidation>
  </dataValidations>
  <hyperlinks>
    <hyperlink ref="I40" location="Refrigerant!A1" display="Refrigerant" xr:uid="{57EDA0B8-E0A7-4579-8410-F2159CF37556}"/>
    <hyperlink ref="G36" location="'Flight calculator'!B7" display="What is it?" xr:uid="{488D14BC-871F-46E2-87D6-DEEDF2131A90}"/>
  </hyperlinks>
  <pageMargins left="0.75" right="0.75" top="1" bottom="1" header="0.5" footer="0.5"/>
  <pageSetup paperSize="9" scale="68"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84C25-2A1A-4976-A15B-B864848E17E0}">
  <sheetPr codeName="Sheet12">
    <pageSetUpPr autoPageBreaks="0"/>
  </sheetPr>
  <dimension ref="C3:AL58"/>
  <sheetViews>
    <sheetView showGridLines="0" showRowColHeaders="0" showZeros="0" zoomScale="75" workbookViewId="0">
      <selection activeCell="C4" sqref="C4"/>
    </sheetView>
  </sheetViews>
  <sheetFormatPr defaultColWidth="9.140625" defaultRowHeight="13.15"/>
  <cols>
    <col min="1" max="1" width="4.5703125" customWidth="1"/>
    <col min="2" max="2" width="6" customWidth="1"/>
    <col min="3" max="3" width="35" customWidth="1"/>
    <col min="4" max="8" width="9.7109375" customWidth="1"/>
    <col min="9" max="9" width="35" customWidth="1"/>
    <col min="10" max="13" width="9.7109375" customWidth="1"/>
    <col min="14" max="14" width="10.28515625" customWidth="1"/>
    <col min="15" max="15" width="10.42578125" customWidth="1"/>
    <col min="16" max="17" width="9.7109375" customWidth="1"/>
    <col min="18" max="28" width="8.7109375" customWidth="1"/>
    <col min="32" max="39" width="6.7109375" customWidth="1"/>
    <col min="42" max="49" width="6.7109375" customWidth="1"/>
    <col min="51" max="51" width="12" customWidth="1"/>
    <col min="52" max="59" width="6.7109375" customWidth="1"/>
  </cols>
  <sheetData>
    <row r="3" spans="3:38" ht="21">
      <c r="C3" s="276" t="s">
        <v>32</v>
      </c>
      <c r="D3" s="277"/>
      <c r="E3" s="277"/>
      <c r="F3" s="277"/>
      <c r="G3" s="70"/>
      <c r="H3" s="66" t="s">
        <v>102</v>
      </c>
      <c r="I3" s="70"/>
      <c r="J3" s="70"/>
      <c r="K3" s="70"/>
      <c r="L3" s="70"/>
      <c r="M3" s="70"/>
      <c r="N3" s="70"/>
      <c r="O3" s="70"/>
      <c r="P3" s="70"/>
      <c r="Q3" s="70"/>
      <c r="R3" s="70"/>
      <c r="S3" s="70"/>
      <c r="T3" s="70"/>
      <c r="U3" s="70"/>
      <c r="V3" s="70"/>
      <c r="W3" s="70"/>
      <c r="X3" s="70"/>
      <c r="Y3" s="70"/>
      <c r="Z3" s="70"/>
      <c r="AA3" s="70"/>
      <c r="AB3" s="70"/>
    </row>
    <row r="4" spans="3:38">
      <c r="C4" s="71"/>
      <c r="D4" s="71"/>
      <c r="E4" s="71"/>
      <c r="F4" s="71"/>
      <c r="G4" s="71"/>
      <c r="H4" s="71"/>
      <c r="I4" s="71"/>
      <c r="J4" s="70"/>
      <c r="K4" s="70"/>
      <c r="L4" s="70"/>
      <c r="M4" s="70"/>
      <c r="N4" s="70"/>
      <c r="O4" s="70"/>
      <c r="P4" s="70"/>
      <c r="Q4" s="70"/>
      <c r="R4" s="70"/>
      <c r="S4" s="70"/>
      <c r="T4" s="70"/>
      <c r="U4" s="70"/>
      <c r="V4" s="70"/>
      <c r="W4" s="70"/>
      <c r="X4" s="70"/>
      <c r="Y4" s="70"/>
      <c r="Z4" s="70"/>
      <c r="AA4" s="70"/>
      <c r="AB4" s="70"/>
      <c r="AL4" s="18" t="s">
        <v>34</v>
      </c>
    </row>
    <row r="5" spans="3:38" ht="12.75" customHeight="1">
      <c r="C5" s="278" t="s">
        <v>35</v>
      </c>
      <c r="D5" s="278"/>
      <c r="E5" s="278"/>
      <c r="F5" s="278"/>
      <c r="G5" s="279"/>
      <c r="H5" s="71"/>
      <c r="I5" s="71"/>
      <c r="J5" s="70"/>
      <c r="K5" s="70"/>
      <c r="L5" s="70"/>
      <c r="M5" s="70"/>
      <c r="N5" s="70"/>
      <c r="O5" s="70"/>
      <c r="P5" s="70"/>
      <c r="Q5" s="70"/>
      <c r="R5" s="70"/>
      <c r="S5" s="70"/>
      <c r="T5" s="70"/>
      <c r="U5" s="70"/>
      <c r="V5" s="70"/>
      <c r="W5" s="70"/>
      <c r="X5" s="70"/>
      <c r="Y5" s="70"/>
      <c r="Z5" s="70"/>
      <c r="AA5" s="70"/>
      <c r="AB5" s="70"/>
      <c r="AL5" s="18" t="s">
        <v>36</v>
      </c>
    </row>
    <row r="6" spans="3:38" ht="15" customHeight="1">
      <c r="C6" s="70"/>
      <c r="D6" s="70"/>
      <c r="E6" s="70"/>
      <c r="F6" s="70"/>
      <c r="G6" s="70"/>
      <c r="H6" s="71"/>
      <c r="I6" s="71"/>
      <c r="J6" s="70"/>
      <c r="K6" s="70"/>
      <c r="L6" s="70"/>
      <c r="M6" s="70"/>
      <c r="N6" s="70"/>
      <c r="O6" s="70"/>
      <c r="P6" s="70"/>
      <c r="Q6" s="70"/>
      <c r="R6" s="70"/>
      <c r="S6" s="70"/>
      <c r="T6" s="70"/>
      <c r="U6" s="70"/>
      <c r="V6" s="70"/>
      <c r="W6" s="70"/>
      <c r="X6" s="70"/>
      <c r="Y6" s="70"/>
      <c r="Z6" s="70"/>
      <c r="AA6" s="70"/>
      <c r="AB6" s="70"/>
    </row>
    <row r="7" spans="3:38" ht="15">
      <c r="C7" s="71"/>
      <c r="D7" s="71"/>
      <c r="E7" s="71"/>
      <c r="F7" s="71"/>
      <c r="G7" s="71"/>
      <c r="H7" s="71"/>
      <c r="I7" s="71"/>
      <c r="J7" s="280"/>
      <c r="K7" s="281"/>
      <c r="L7" s="281"/>
      <c r="M7" s="72"/>
      <c r="N7" s="70"/>
      <c r="O7" s="70"/>
      <c r="P7" s="70"/>
      <c r="Q7" s="70"/>
      <c r="R7" s="70"/>
      <c r="S7" s="70"/>
      <c r="T7" s="70"/>
      <c r="U7" s="70"/>
      <c r="V7" s="70"/>
      <c r="W7" s="70"/>
      <c r="X7" s="70"/>
      <c r="Y7" s="70"/>
      <c r="Z7" s="70"/>
      <c r="AA7" s="70"/>
      <c r="AB7" s="70"/>
    </row>
    <row r="8" spans="3:38" ht="15.6">
      <c r="C8" s="70"/>
      <c r="D8" s="72"/>
      <c r="E8" s="72"/>
      <c r="F8" s="72"/>
      <c r="G8" s="72"/>
      <c r="H8" s="65" t="s">
        <v>37</v>
      </c>
      <c r="I8" s="72"/>
      <c r="J8" s="73"/>
      <c r="K8" s="73"/>
      <c r="L8" s="73"/>
      <c r="M8" s="73"/>
      <c r="N8" s="73"/>
      <c r="O8" s="79" t="s">
        <v>38</v>
      </c>
      <c r="P8" s="73"/>
      <c r="Q8" s="73"/>
      <c r="R8" s="73"/>
      <c r="S8" s="70"/>
      <c r="T8" s="70"/>
      <c r="U8" s="70"/>
      <c r="V8" s="70"/>
      <c r="W8" s="70"/>
      <c r="X8" s="70"/>
      <c r="Y8" s="70"/>
      <c r="Z8" s="70"/>
      <c r="AA8" s="70"/>
      <c r="AB8" s="70"/>
    </row>
    <row r="9" spans="3:38" ht="15" customHeight="1">
      <c r="C9" s="72"/>
      <c r="D9" s="72"/>
      <c r="E9" s="72"/>
      <c r="F9" s="72"/>
      <c r="G9" s="72"/>
      <c r="H9" s="72"/>
      <c r="I9" s="72"/>
      <c r="J9" s="73"/>
      <c r="K9" s="73"/>
      <c r="L9" s="73"/>
      <c r="M9" s="73"/>
      <c r="N9" s="73"/>
      <c r="O9" s="67"/>
      <c r="P9" s="67"/>
      <c r="Q9" s="67"/>
      <c r="R9" s="67"/>
      <c r="S9" s="67"/>
      <c r="T9" s="67"/>
      <c r="U9" s="67"/>
      <c r="V9" s="67"/>
      <c r="W9" s="67"/>
      <c r="X9" s="70"/>
      <c r="Y9" s="70"/>
      <c r="Z9" s="70"/>
      <c r="AA9" s="70"/>
      <c r="AB9" s="70"/>
    </row>
    <row r="10" spans="3:38" ht="15" customHeight="1">
      <c r="C10" s="68" t="s">
        <v>39</v>
      </c>
      <c r="D10" s="63" t="s">
        <v>40</v>
      </c>
      <c r="E10" s="220"/>
      <c r="F10" s="211">
        <f>E10*'Emission Factors'!F14/1000</f>
        <v>0</v>
      </c>
      <c r="G10" s="64" t="s">
        <v>41</v>
      </c>
      <c r="H10" s="72"/>
      <c r="I10" s="68" t="s">
        <v>42</v>
      </c>
      <c r="J10" s="63" t="s">
        <v>43</v>
      </c>
      <c r="K10" s="221"/>
      <c r="L10" s="212">
        <f>K10*'Emission Factors'!F17/1000</f>
        <v>0</v>
      </c>
      <c r="M10" s="64" t="s">
        <v>41</v>
      </c>
      <c r="N10" s="73"/>
      <c r="O10" s="275" t="s">
        <v>44</v>
      </c>
      <c r="P10" s="275"/>
      <c r="Q10" s="275"/>
      <c r="R10" s="275"/>
      <c r="S10" s="275"/>
      <c r="T10" s="275"/>
      <c r="U10" s="275"/>
      <c r="V10" s="275"/>
      <c r="W10" s="275"/>
      <c r="X10" s="275"/>
      <c r="Y10" s="275"/>
      <c r="Z10" s="275"/>
      <c r="AA10" s="275"/>
      <c r="AB10" s="275"/>
    </row>
    <row r="11" spans="3:38" ht="15">
      <c r="C11" s="69" t="s">
        <v>45</v>
      </c>
      <c r="D11" s="64" t="s">
        <v>46</v>
      </c>
      <c r="E11" s="220"/>
      <c r="F11" s="211">
        <f>E11*'Emission Factors'!F13*1/1000</f>
        <v>0</v>
      </c>
      <c r="G11" s="64" t="s">
        <v>41</v>
      </c>
      <c r="H11" s="72"/>
      <c r="I11" s="68" t="s">
        <v>47</v>
      </c>
      <c r="J11" s="63" t="s">
        <v>48</v>
      </c>
      <c r="K11" s="221"/>
      <c r="L11" s="212">
        <f>K11*'Emission Factors'!F15/1000</f>
        <v>0</v>
      </c>
      <c r="M11" s="64" t="s">
        <v>41</v>
      </c>
      <c r="N11" s="73"/>
      <c r="O11" s="275"/>
      <c r="P11" s="275"/>
      <c r="Q11" s="275"/>
      <c r="R11" s="275"/>
      <c r="S11" s="275"/>
      <c r="T11" s="275"/>
      <c r="U11" s="275"/>
      <c r="V11" s="275"/>
      <c r="W11" s="275"/>
      <c r="X11" s="275"/>
      <c r="Y11" s="275"/>
      <c r="Z11" s="275"/>
      <c r="AA11" s="275"/>
      <c r="AB11" s="275"/>
    </row>
    <row r="12" spans="3:38" ht="15">
      <c r="C12" s="69" t="s">
        <v>49</v>
      </c>
      <c r="D12" s="64" t="s">
        <v>50</v>
      </c>
      <c r="E12" s="220"/>
      <c r="F12" s="211">
        <f>E12*'Emission Factors'!F11*1/1000</f>
        <v>0</v>
      </c>
      <c r="G12" s="64" t="s">
        <v>41</v>
      </c>
      <c r="H12" s="72"/>
      <c r="I12" s="68" t="s">
        <v>51</v>
      </c>
      <c r="J12" s="63" t="s">
        <v>48</v>
      </c>
      <c r="K12" s="221"/>
      <c r="L12" s="212">
        <f>K12*'Emission Factors'!F16/1000</f>
        <v>0</v>
      </c>
      <c r="M12" s="64" t="s">
        <v>41</v>
      </c>
      <c r="N12" s="73"/>
      <c r="O12" s="275"/>
      <c r="P12" s="275"/>
      <c r="Q12" s="275"/>
      <c r="R12" s="275"/>
      <c r="S12" s="275"/>
      <c r="T12" s="275"/>
      <c r="U12" s="275"/>
      <c r="V12" s="275"/>
      <c r="W12" s="275"/>
      <c r="X12" s="275"/>
      <c r="Y12" s="275"/>
      <c r="Z12" s="275"/>
      <c r="AA12" s="275"/>
      <c r="AB12" s="275"/>
    </row>
    <row r="13" spans="3:38" ht="15">
      <c r="C13" s="72"/>
      <c r="D13" s="72"/>
      <c r="E13" s="60"/>
      <c r="F13" s="60"/>
      <c r="G13" s="72"/>
      <c r="H13" s="72"/>
      <c r="I13" s="72"/>
      <c r="J13" s="73"/>
      <c r="K13" s="78"/>
      <c r="L13" s="78"/>
      <c r="M13" s="73"/>
      <c r="N13" s="73"/>
      <c r="O13" s="67"/>
      <c r="P13" s="67"/>
      <c r="Q13" s="67"/>
      <c r="R13" s="67"/>
      <c r="S13" s="67"/>
      <c r="T13" s="67"/>
      <c r="U13" s="67"/>
      <c r="V13" s="67"/>
      <c r="W13" s="67"/>
      <c r="X13" s="70"/>
      <c r="Y13" s="70"/>
      <c r="Z13" s="70"/>
      <c r="AA13" s="70"/>
      <c r="AB13" s="70"/>
    </row>
    <row r="14" spans="3:38" ht="15.6">
      <c r="C14" s="70"/>
      <c r="D14" s="72"/>
      <c r="E14" s="60"/>
      <c r="F14" s="60"/>
      <c r="G14" s="72"/>
      <c r="H14" s="65" t="s">
        <v>52</v>
      </c>
      <c r="I14" s="72"/>
      <c r="J14" s="73"/>
      <c r="K14" s="78"/>
      <c r="L14" s="78"/>
      <c r="M14" s="73"/>
      <c r="N14" s="73"/>
      <c r="O14" s="73"/>
      <c r="P14" s="73"/>
      <c r="Q14" s="73"/>
      <c r="R14" s="73"/>
      <c r="S14" s="70"/>
      <c r="T14" s="70"/>
      <c r="U14" s="70"/>
      <c r="V14" s="70"/>
      <c r="W14" s="70"/>
      <c r="X14" s="70"/>
      <c r="Y14" s="70"/>
      <c r="Z14" s="70"/>
      <c r="AA14" s="70"/>
      <c r="AB14" s="70"/>
    </row>
    <row r="15" spans="3:38" ht="15.75" customHeight="1">
      <c r="C15" s="74" t="s">
        <v>47</v>
      </c>
      <c r="D15" s="72"/>
      <c r="E15" s="60"/>
      <c r="F15" s="60"/>
      <c r="G15" s="72"/>
      <c r="H15" s="72"/>
      <c r="I15" s="74" t="s">
        <v>51</v>
      </c>
      <c r="J15" s="73"/>
      <c r="K15" s="78"/>
      <c r="L15" s="78"/>
      <c r="M15" s="73"/>
      <c r="N15" s="73"/>
      <c r="O15" s="275" t="s">
        <v>53</v>
      </c>
      <c r="P15" s="275"/>
      <c r="Q15" s="275"/>
      <c r="R15" s="275"/>
      <c r="S15" s="275"/>
      <c r="T15" s="275"/>
      <c r="U15" s="275"/>
      <c r="V15" s="275"/>
      <c r="W15" s="275"/>
      <c r="X15" s="275"/>
      <c r="Y15" s="275"/>
      <c r="Z15" s="275"/>
      <c r="AA15" s="275"/>
      <c r="AB15" s="275"/>
    </row>
    <row r="16" spans="3:38" ht="15" customHeight="1">
      <c r="C16" s="68" t="s">
        <v>54</v>
      </c>
      <c r="D16" s="63" t="s">
        <v>55</v>
      </c>
      <c r="E16" s="221"/>
      <c r="F16" s="211">
        <f>E16*('Emission Factors'!F27/1000)</f>
        <v>0</v>
      </c>
      <c r="G16" s="64" t="s">
        <v>41</v>
      </c>
      <c r="H16" s="72"/>
      <c r="I16" s="155" t="s">
        <v>56</v>
      </c>
      <c r="J16" s="63" t="s">
        <v>55</v>
      </c>
      <c r="K16" s="221"/>
      <c r="L16" s="211">
        <f>K16*('Emission Factors'!F33/1000)</f>
        <v>0</v>
      </c>
      <c r="M16" s="64" t="s">
        <v>41</v>
      </c>
      <c r="N16" s="73"/>
      <c r="O16" s="275"/>
      <c r="P16" s="275"/>
      <c r="Q16" s="275"/>
      <c r="R16" s="275"/>
      <c r="S16" s="275"/>
      <c r="T16" s="275"/>
      <c r="U16" s="275"/>
      <c r="V16" s="275"/>
      <c r="W16" s="275"/>
      <c r="X16" s="275"/>
      <c r="Y16" s="275"/>
      <c r="Z16" s="275"/>
      <c r="AA16" s="275"/>
      <c r="AB16" s="275"/>
    </row>
    <row r="17" spans="3:33" ht="15">
      <c r="C17" s="68" t="s">
        <v>56</v>
      </c>
      <c r="D17" s="63" t="s">
        <v>55</v>
      </c>
      <c r="E17" s="221"/>
      <c r="F17" s="211">
        <f>E17*('Emission Factors'!F28/1000)</f>
        <v>0</v>
      </c>
      <c r="G17" s="64" t="s">
        <v>41</v>
      </c>
      <c r="H17" s="72"/>
      <c r="I17" s="155" t="s">
        <v>57</v>
      </c>
      <c r="J17" s="63" t="s">
        <v>55</v>
      </c>
      <c r="K17" s="221"/>
      <c r="L17" s="211">
        <f>K17*('Emission Factors'!F34/1000)</f>
        <v>0</v>
      </c>
      <c r="M17" s="64" t="s">
        <v>41</v>
      </c>
      <c r="N17" s="73"/>
      <c r="O17" s="275"/>
      <c r="P17" s="275"/>
      <c r="Q17" s="275"/>
      <c r="R17" s="275"/>
      <c r="S17" s="275"/>
      <c r="T17" s="275"/>
      <c r="U17" s="275"/>
      <c r="V17" s="275"/>
      <c r="W17" s="275"/>
      <c r="X17" s="275"/>
      <c r="Y17" s="275"/>
      <c r="Z17" s="275"/>
      <c r="AA17" s="275"/>
      <c r="AB17" s="275"/>
      <c r="AG17" s="62"/>
    </row>
    <row r="18" spans="3:33" ht="15">
      <c r="C18" s="68" t="s">
        <v>57</v>
      </c>
      <c r="D18" s="63" t="s">
        <v>55</v>
      </c>
      <c r="E18" s="221"/>
      <c r="F18" s="211">
        <f>E18*('Emission Factors'!F29/1000)</f>
        <v>0</v>
      </c>
      <c r="G18" s="64" t="s">
        <v>41</v>
      </c>
      <c r="H18" s="72"/>
      <c r="I18" s="155" t="s">
        <v>58</v>
      </c>
      <c r="J18" s="63" t="s">
        <v>55</v>
      </c>
      <c r="K18" s="221"/>
      <c r="L18" s="211">
        <f>K18*('Emission Factors'!F35/1000)</f>
        <v>0</v>
      </c>
      <c r="M18" s="64" t="s">
        <v>41</v>
      </c>
      <c r="N18" s="73"/>
      <c r="O18" s="275"/>
      <c r="P18" s="275"/>
      <c r="Q18" s="275"/>
      <c r="R18" s="275"/>
      <c r="S18" s="275"/>
      <c r="T18" s="275"/>
      <c r="U18" s="275"/>
      <c r="V18" s="275"/>
      <c r="W18" s="275"/>
      <c r="X18" s="275"/>
      <c r="Y18" s="275"/>
      <c r="Z18" s="275"/>
      <c r="AA18" s="275"/>
      <c r="AB18" s="275"/>
      <c r="AG18" s="62"/>
    </row>
    <row r="19" spans="3:33" ht="15">
      <c r="C19" s="68" t="s">
        <v>58</v>
      </c>
      <c r="D19" s="63" t="s">
        <v>55</v>
      </c>
      <c r="E19" s="221"/>
      <c r="F19" s="211">
        <f>E19*('Emission Factors'!F30/1000)</f>
        <v>0</v>
      </c>
      <c r="G19" s="64" t="s">
        <v>41</v>
      </c>
      <c r="H19" s="72"/>
      <c r="I19" s="69" t="s">
        <v>59</v>
      </c>
      <c r="J19" s="64" t="s">
        <v>48</v>
      </c>
      <c r="K19" s="221"/>
      <c r="L19" s="212">
        <f>K19*'Emission Factors'!F16/1000</f>
        <v>0</v>
      </c>
      <c r="M19" s="64" t="s">
        <v>41</v>
      </c>
      <c r="N19" s="73"/>
      <c r="O19" s="275"/>
      <c r="P19" s="275"/>
      <c r="Q19" s="275"/>
      <c r="R19" s="275"/>
      <c r="S19" s="275"/>
      <c r="T19" s="275"/>
      <c r="U19" s="275"/>
      <c r="V19" s="275"/>
      <c r="W19" s="275"/>
      <c r="X19" s="275"/>
      <c r="Y19" s="275"/>
      <c r="Z19" s="275"/>
      <c r="AA19" s="275"/>
      <c r="AB19" s="275"/>
      <c r="AG19" s="62"/>
    </row>
    <row r="20" spans="3:33" ht="15">
      <c r="C20" s="68" t="s">
        <v>60</v>
      </c>
      <c r="D20" s="63" t="s">
        <v>55</v>
      </c>
      <c r="E20" s="221"/>
      <c r="F20" s="211">
        <f>E20*('Emission Factors'!F31/1000)</f>
        <v>0</v>
      </c>
      <c r="G20" s="64" t="s">
        <v>41</v>
      </c>
      <c r="H20" s="72"/>
      <c r="I20" s="72"/>
      <c r="J20" s="72"/>
      <c r="K20" s="72"/>
      <c r="L20" s="72"/>
      <c r="M20" s="72"/>
      <c r="N20" s="73"/>
      <c r="O20" s="275"/>
      <c r="P20" s="275"/>
      <c r="Q20" s="275"/>
      <c r="R20" s="275"/>
      <c r="S20" s="275"/>
      <c r="T20" s="275"/>
      <c r="U20" s="275"/>
      <c r="V20" s="275"/>
      <c r="W20" s="275"/>
      <c r="X20" s="275"/>
      <c r="Y20" s="275"/>
      <c r="Z20" s="275"/>
      <c r="AA20" s="275"/>
      <c r="AB20" s="275"/>
      <c r="AG20" s="62"/>
    </row>
    <row r="21" spans="3:33" ht="15">
      <c r="C21" s="69" t="s">
        <v>59</v>
      </c>
      <c r="D21" s="64" t="s">
        <v>48</v>
      </c>
      <c r="E21" s="221"/>
      <c r="F21" s="211">
        <f>E21*('Emission Factors'!$F$15/1000)</f>
        <v>0</v>
      </c>
      <c r="G21" s="64" t="s">
        <v>41</v>
      </c>
      <c r="H21" s="72"/>
      <c r="I21" s="72"/>
      <c r="J21" s="73"/>
      <c r="K21" s="78"/>
      <c r="L21" s="78"/>
      <c r="M21" s="73"/>
      <c r="N21" s="73"/>
      <c r="O21" s="275"/>
      <c r="P21" s="275"/>
      <c r="Q21" s="275"/>
      <c r="R21" s="275"/>
      <c r="S21" s="275"/>
      <c r="T21" s="275"/>
      <c r="U21" s="275"/>
      <c r="V21" s="275"/>
      <c r="W21" s="275"/>
      <c r="X21" s="275"/>
      <c r="Y21" s="275"/>
      <c r="Z21" s="275"/>
      <c r="AA21" s="275"/>
      <c r="AB21" s="275"/>
      <c r="AG21" s="62"/>
    </row>
    <row r="22" spans="3:33" ht="15">
      <c r="C22" s="60"/>
      <c r="D22" s="60"/>
      <c r="E22" s="60"/>
      <c r="F22" s="60"/>
      <c r="G22" s="60"/>
      <c r="H22" s="72"/>
      <c r="I22" s="72"/>
      <c r="J22" s="73"/>
      <c r="K22" s="78"/>
      <c r="L22" s="78"/>
      <c r="M22" s="73"/>
      <c r="N22" s="73"/>
      <c r="O22" s="275"/>
      <c r="P22" s="275"/>
      <c r="Q22" s="275"/>
      <c r="R22" s="275"/>
      <c r="S22" s="275"/>
      <c r="T22" s="275"/>
      <c r="U22" s="275"/>
      <c r="V22" s="275"/>
      <c r="W22" s="275"/>
      <c r="X22" s="275"/>
      <c r="Y22" s="275"/>
      <c r="Z22" s="275"/>
      <c r="AA22" s="275"/>
      <c r="AB22" s="275"/>
    </row>
    <row r="23" spans="3:33" ht="15.6">
      <c r="C23" s="74" t="s">
        <v>61</v>
      </c>
      <c r="D23" s="72"/>
      <c r="E23" s="60"/>
      <c r="F23" s="60"/>
      <c r="G23" s="72"/>
      <c r="H23" s="72"/>
      <c r="I23" s="74" t="s">
        <v>62</v>
      </c>
      <c r="J23" s="73"/>
      <c r="K23" s="78"/>
      <c r="L23" s="78"/>
      <c r="M23" s="73"/>
      <c r="N23" s="73"/>
      <c r="O23" s="73"/>
      <c r="P23" s="73"/>
      <c r="Q23" s="73"/>
      <c r="R23" s="73"/>
      <c r="S23" s="70"/>
      <c r="T23" s="70"/>
      <c r="U23" s="70"/>
      <c r="V23" s="70"/>
      <c r="W23" s="70"/>
      <c r="X23" s="70"/>
      <c r="Y23" s="70"/>
      <c r="Z23" s="70"/>
      <c r="AA23" s="70"/>
      <c r="AB23" s="70"/>
    </row>
    <row r="24" spans="3:33" ht="15" customHeight="1">
      <c r="C24" s="68" t="s">
        <v>63</v>
      </c>
      <c r="D24" s="63" t="s">
        <v>55</v>
      </c>
      <c r="E24" s="221"/>
      <c r="F24" s="211">
        <f>E24*'Emission Factors'!F37/1000</f>
        <v>0</v>
      </c>
      <c r="G24" s="64" t="s">
        <v>41</v>
      </c>
      <c r="H24" s="72"/>
      <c r="I24" s="68" t="s">
        <v>64</v>
      </c>
      <c r="J24" s="63" t="s">
        <v>55</v>
      </c>
      <c r="K24" s="221"/>
      <c r="L24" s="211">
        <f>K24*'Emission Factors'!F43/1000</f>
        <v>0</v>
      </c>
      <c r="M24" s="64" t="s">
        <v>41</v>
      </c>
      <c r="N24" s="73"/>
      <c r="O24" s="275" t="s">
        <v>65</v>
      </c>
      <c r="P24" s="275"/>
      <c r="Q24" s="275"/>
      <c r="R24" s="275"/>
      <c r="S24" s="275"/>
      <c r="T24" s="275"/>
      <c r="U24" s="275"/>
      <c r="V24" s="275"/>
      <c r="W24" s="275"/>
      <c r="X24" s="275"/>
      <c r="Y24" s="275"/>
      <c r="Z24" s="275"/>
      <c r="AA24" s="275"/>
      <c r="AB24" s="275"/>
    </row>
    <row r="25" spans="3:33" ht="15.6">
      <c r="C25" s="68" t="s">
        <v>66</v>
      </c>
      <c r="D25" s="63" t="s">
        <v>55</v>
      </c>
      <c r="E25" s="221"/>
      <c r="F25" s="211">
        <f>E25*'Emission Factors'!F38/1000</f>
        <v>0</v>
      </c>
      <c r="G25" s="64" t="s">
        <v>41</v>
      </c>
      <c r="H25" s="72"/>
      <c r="I25" s="68" t="s">
        <v>67</v>
      </c>
      <c r="J25" s="63" t="s">
        <v>68</v>
      </c>
      <c r="K25" s="221"/>
      <c r="L25" s="211">
        <f>K25*'Emission Factors'!F44/1000</f>
        <v>0</v>
      </c>
      <c r="M25" s="64" t="s">
        <v>41</v>
      </c>
      <c r="N25" s="73"/>
      <c r="O25" s="275"/>
      <c r="P25" s="275"/>
      <c r="Q25" s="275"/>
      <c r="R25" s="275"/>
      <c r="S25" s="275"/>
      <c r="T25" s="275"/>
      <c r="U25" s="275"/>
      <c r="V25" s="275"/>
      <c r="W25" s="275"/>
      <c r="X25" s="275"/>
      <c r="Y25" s="275"/>
      <c r="Z25" s="275"/>
      <c r="AA25" s="275"/>
      <c r="AB25" s="275"/>
    </row>
    <row r="26" spans="3:33" ht="15">
      <c r="C26" s="68" t="s">
        <v>69</v>
      </c>
      <c r="D26" s="64" t="s">
        <v>55</v>
      </c>
      <c r="E26" s="221"/>
      <c r="F26" s="211">
        <f>E26*'Emission Factors'!F39/1000</f>
        <v>0</v>
      </c>
      <c r="G26" s="64" t="s">
        <v>41</v>
      </c>
      <c r="H26" s="72"/>
      <c r="I26" s="72"/>
      <c r="J26" s="73"/>
      <c r="K26" s="78"/>
      <c r="L26" s="78"/>
      <c r="M26" s="73"/>
      <c r="N26" s="73"/>
      <c r="O26" s="275"/>
      <c r="P26" s="275"/>
      <c r="Q26" s="275"/>
      <c r="R26" s="275"/>
      <c r="S26" s="275"/>
      <c r="T26" s="275"/>
      <c r="U26" s="275"/>
      <c r="V26" s="275"/>
      <c r="W26" s="275"/>
      <c r="X26" s="275"/>
      <c r="Y26" s="275"/>
      <c r="Z26" s="275"/>
      <c r="AA26" s="275"/>
      <c r="AB26" s="275"/>
    </row>
    <row r="27" spans="3:33" ht="15">
      <c r="C27" s="68" t="s">
        <v>70</v>
      </c>
      <c r="D27" s="64" t="s">
        <v>55</v>
      </c>
      <c r="E27" s="221"/>
      <c r="F27" s="211">
        <f>E27*'Emission Factors'!F40/1000</f>
        <v>0</v>
      </c>
      <c r="G27" s="64" t="s">
        <v>41</v>
      </c>
      <c r="H27" s="72"/>
      <c r="I27" s="72"/>
      <c r="J27" s="73"/>
      <c r="K27" s="78"/>
      <c r="L27" s="78"/>
      <c r="M27" s="73"/>
      <c r="N27" s="73"/>
      <c r="O27" s="96"/>
      <c r="P27" s="96"/>
      <c r="Q27" s="96"/>
      <c r="R27" s="96"/>
      <c r="S27" s="96"/>
      <c r="T27" s="96"/>
      <c r="U27" s="96"/>
      <c r="V27" s="96"/>
      <c r="W27" s="96"/>
      <c r="X27" s="96"/>
      <c r="Y27" s="96"/>
      <c r="Z27" s="96"/>
      <c r="AA27" s="96"/>
      <c r="AB27" s="96"/>
    </row>
    <row r="28" spans="3:33" ht="15">
      <c r="C28" s="68" t="s">
        <v>71</v>
      </c>
      <c r="D28" s="64" t="s">
        <v>55</v>
      </c>
      <c r="E28" s="221"/>
      <c r="F28" s="211">
        <f>E28*'Emission Factors'!F41/1000</f>
        <v>0</v>
      </c>
      <c r="G28" s="64" t="s">
        <v>41</v>
      </c>
      <c r="H28" s="72"/>
      <c r="I28" s="72"/>
      <c r="J28" s="73"/>
      <c r="K28" s="78"/>
      <c r="L28" s="78"/>
      <c r="M28" s="73"/>
      <c r="N28" s="73"/>
      <c r="O28" s="96"/>
      <c r="P28" s="96"/>
      <c r="Q28" s="96"/>
      <c r="R28" s="96"/>
      <c r="S28" s="96"/>
      <c r="T28" s="96"/>
      <c r="U28" s="96"/>
      <c r="V28" s="96"/>
      <c r="W28" s="96"/>
      <c r="X28" s="96"/>
      <c r="Y28" s="96"/>
      <c r="Z28" s="96"/>
      <c r="AA28" s="96"/>
      <c r="AB28" s="96"/>
    </row>
    <row r="29" spans="3:33" ht="15">
      <c r="C29" s="72"/>
      <c r="D29" s="60"/>
      <c r="E29" s="60"/>
      <c r="F29" s="60"/>
      <c r="G29" s="72"/>
      <c r="H29" s="72"/>
      <c r="I29" s="72"/>
      <c r="J29" s="73"/>
      <c r="K29" s="78"/>
      <c r="L29" s="78"/>
      <c r="M29" s="73"/>
      <c r="N29" s="73"/>
      <c r="O29" s="73"/>
      <c r="P29" s="73"/>
      <c r="Q29" s="73"/>
      <c r="R29" s="73"/>
      <c r="S29" s="70"/>
      <c r="T29" s="70"/>
      <c r="U29" s="70"/>
      <c r="V29" s="70"/>
      <c r="W29" s="70"/>
      <c r="X29" s="70"/>
      <c r="Y29" s="70"/>
      <c r="Z29" s="70"/>
      <c r="AA29" s="70"/>
      <c r="AB29" s="70"/>
    </row>
    <row r="30" spans="3:33" ht="15.6">
      <c r="C30" s="74" t="s">
        <v>72</v>
      </c>
      <c r="D30" s="60"/>
      <c r="E30" s="60"/>
      <c r="F30" s="60"/>
      <c r="G30" s="72"/>
      <c r="H30" s="72"/>
      <c r="I30" s="74" t="s">
        <v>73</v>
      </c>
      <c r="J30" s="73"/>
      <c r="K30" s="78"/>
      <c r="L30" s="78"/>
      <c r="M30" s="73"/>
      <c r="N30" s="73"/>
      <c r="O30" s="73"/>
      <c r="P30" s="73"/>
      <c r="Q30" s="73"/>
      <c r="R30" s="73"/>
      <c r="S30" s="70"/>
      <c r="T30" s="70"/>
      <c r="U30" s="70"/>
      <c r="V30" s="70"/>
      <c r="W30" s="70"/>
      <c r="X30" s="70"/>
      <c r="Y30" s="70"/>
      <c r="Z30" s="70"/>
      <c r="AA30" s="70"/>
      <c r="AB30" s="70"/>
    </row>
    <row r="31" spans="3:33" ht="15" customHeight="1">
      <c r="C31" s="68" t="s">
        <v>74</v>
      </c>
      <c r="D31" s="63" t="s">
        <v>55</v>
      </c>
      <c r="E31" s="222"/>
      <c r="F31" s="211">
        <f>IF($F$36="Yes",($E31*'Emission Factors'!$F19*1/1000)*1.89,$E31*'Emission Factors'!$F19*1/1000)</f>
        <v>0</v>
      </c>
      <c r="G31" s="64" t="s">
        <v>41</v>
      </c>
      <c r="H31" s="72"/>
      <c r="I31" s="68" t="s">
        <v>75</v>
      </c>
      <c r="J31" s="63" t="s">
        <v>55</v>
      </c>
      <c r="K31" s="221"/>
      <c r="L31" s="211">
        <f>K31*'Emission Factors'!F42/1000</f>
        <v>0</v>
      </c>
      <c r="M31" s="64" t="s">
        <v>41</v>
      </c>
      <c r="N31" s="73"/>
      <c r="O31" s="275" t="s">
        <v>76</v>
      </c>
      <c r="P31" s="275"/>
      <c r="Q31" s="275"/>
      <c r="R31" s="275"/>
      <c r="S31" s="275"/>
      <c r="T31" s="275"/>
      <c r="U31" s="275"/>
      <c r="V31" s="275"/>
      <c r="W31" s="275"/>
      <c r="X31" s="275"/>
      <c r="Y31" s="275"/>
      <c r="Z31" s="275"/>
      <c r="AA31" s="275"/>
      <c r="AB31" s="275"/>
    </row>
    <row r="32" spans="3:33" ht="15">
      <c r="C32" s="155" t="s">
        <v>77</v>
      </c>
      <c r="D32" s="63" t="s">
        <v>55</v>
      </c>
      <c r="E32" s="222"/>
      <c r="F32" s="211">
        <f>IF($F$36="Yes",($E32*'Emission Factors'!$F20*1/1000)*1.89,$E32*'Emission Factors'!$F20*1/1000)</f>
        <v>0</v>
      </c>
      <c r="G32" s="64" t="s">
        <v>41</v>
      </c>
      <c r="H32" s="72"/>
      <c r="I32" s="69" t="s">
        <v>78</v>
      </c>
      <c r="J32" s="63" t="s">
        <v>55</v>
      </c>
      <c r="K32" s="221"/>
      <c r="L32" s="212">
        <f>$K32*'Emission Factors'!$F45/1000</f>
        <v>0</v>
      </c>
      <c r="M32" s="64" t="s">
        <v>41</v>
      </c>
      <c r="N32" s="73"/>
      <c r="O32" s="275"/>
      <c r="P32" s="275"/>
      <c r="Q32" s="275"/>
      <c r="R32" s="275"/>
      <c r="S32" s="275"/>
      <c r="T32" s="275"/>
      <c r="U32" s="275"/>
      <c r="V32" s="275"/>
      <c r="W32" s="275"/>
      <c r="X32" s="275"/>
      <c r="Y32" s="275"/>
      <c r="Z32" s="275"/>
      <c r="AA32" s="275"/>
      <c r="AB32" s="275"/>
    </row>
    <row r="33" spans="3:35" ht="15">
      <c r="C33" s="155" t="s">
        <v>79</v>
      </c>
      <c r="D33" s="63" t="s">
        <v>55</v>
      </c>
      <c r="E33" s="222"/>
      <c r="F33" s="211">
        <f>IF($F$36="Yes",($E33*'Emission Factors'!$F21*1/1000)*1.89,$E33*'Emission Factors'!$F21*1/1000)</f>
        <v>0</v>
      </c>
      <c r="G33" s="64" t="s">
        <v>41</v>
      </c>
      <c r="H33" s="72"/>
      <c r="I33" s="69" t="s">
        <v>80</v>
      </c>
      <c r="J33" s="63" t="s">
        <v>55</v>
      </c>
      <c r="K33" s="221"/>
      <c r="L33" s="212">
        <f>$K33*'Emission Factors'!$F46/1000</f>
        <v>0</v>
      </c>
      <c r="M33" s="64" t="s">
        <v>41</v>
      </c>
      <c r="N33" s="73"/>
      <c r="O33" s="275"/>
      <c r="P33" s="275"/>
      <c r="Q33" s="275"/>
      <c r="R33" s="275"/>
      <c r="S33" s="275"/>
      <c r="T33" s="275"/>
      <c r="U33" s="275"/>
      <c r="V33" s="275"/>
      <c r="W33" s="275"/>
      <c r="X33" s="275"/>
      <c r="Y33" s="275"/>
      <c r="Z33" s="275"/>
      <c r="AA33" s="275"/>
      <c r="AB33" s="275"/>
    </row>
    <row r="34" spans="3:35" ht="15">
      <c r="C34" s="69" t="s">
        <v>81</v>
      </c>
      <c r="D34" s="64" t="s">
        <v>55</v>
      </c>
      <c r="E34" s="213">
        <f>SUM(E31:E33)</f>
        <v>0</v>
      </c>
      <c r="F34" s="211">
        <f>SUM(F31:F33)</f>
        <v>0</v>
      </c>
      <c r="G34" s="64" t="s">
        <v>41</v>
      </c>
      <c r="H34" s="72"/>
      <c r="I34" s="69" t="s">
        <v>82</v>
      </c>
      <c r="J34" s="63" t="s">
        <v>55</v>
      </c>
      <c r="K34" s="221"/>
      <c r="L34" s="212">
        <f>$K34*'Emission Factors'!$F47/1000</f>
        <v>0</v>
      </c>
      <c r="M34" s="64" t="s">
        <v>41</v>
      </c>
      <c r="N34" s="73"/>
      <c r="O34" s="275"/>
      <c r="P34" s="275"/>
      <c r="Q34" s="275"/>
      <c r="R34" s="275"/>
      <c r="S34" s="275"/>
      <c r="T34" s="275"/>
      <c r="U34" s="275"/>
      <c r="V34" s="275"/>
      <c r="W34" s="275"/>
      <c r="X34" s="275"/>
      <c r="Y34" s="275"/>
      <c r="Z34" s="275"/>
      <c r="AA34" s="275"/>
      <c r="AB34" s="275"/>
    </row>
    <row r="35" spans="3:35" ht="15">
      <c r="C35" s="97"/>
      <c r="D35" s="60"/>
      <c r="E35" s="98"/>
      <c r="F35" s="99"/>
      <c r="G35" s="60"/>
      <c r="H35" s="72"/>
      <c r="I35" s="97"/>
      <c r="J35" s="101"/>
      <c r="K35" s="101"/>
      <c r="L35" s="101"/>
      <c r="M35" s="102"/>
      <c r="N35" s="73"/>
      <c r="O35" s="96"/>
      <c r="P35" s="96"/>
      <c r="Q35" s="96"/>
      <c r="R35" s="96"/>
      <c r="S35" s="96"/>
      <c r="T35" s="96"/>
      <c r="U35" s="96"/>
      <c r="V35" s="96"/>
      <c r="W35" s="96"/>
      <c r="X35" s="96"/>
      <c r="Y35" s="96"/>
      <c r="Z35" s="96"/>
      <c r="AA35" s="96"/>
      <c r="AB35" s="96"/>
    </row>
    <row r="36" spans="3:35" ht="15">
      <c r="C36" s="282" t="s">
        <v>83</v>
      </c>
      <c r="D36" s="282"/>
      <c r="E36" s="282"/>
      <c r="F36" s="154" t="s">
        <v>34</v>
      </c>
      <c r="G36" s="264" t="s">
        <v>84</v>
      </c>
      <c r="H36" s="72"/>
      <c r="I36" s="72"/>
      <c r="J36" s="73"/>
      <c r="K36" s="78"/>
      <c r="L36" s="78"/>
      <c r="M36" s="73"/>
      <c r="N36" s="73"/>
      <c r="O36" s="73"/>
      <c r="P36" s="73"/>
      <c r="Q36" s="73"/>
      <c r="R36" s="73"/>
      <c r="S36" s="70"/>
      <c r="T36" s="70"/>
      <c r="U36" s="70"/>
      <c r="V36" s="70"/>
      <c r="W36" s="70"/>
      <c r="X36" s="70"/>
      <c r="Y36" s="70"/>
      <c r="Z36" s="70"/>
      <c r="AA36" s="70"/>
      <c r="AB36" s="70"/>
    </row>
    <row r="37" spans="3:35" ht="15">
      <c r="C37" s="60"/>
      <c r="D37" s="60"/>
      <c r="E37" s="60"/>
      <c r="F37" s="60"/>
      <c r="G37" s="100"/>
      <c r="H37" s="72"/>
      <c r="I37" s="72"/>
      <c r="J37" s="73"/>
      <c r="K37" s="78"/>
      <c r="L37" s="78"/>
      <c r="M37" s="73"/>
      <c r="N37" s="73"/>
      <c r="O37" s="73"/>
      <c r="P37" s="73"/>
      <c r="Q37" s="73"/>
      <c r="R37" s="73"/>
      <c r="S37" s="70"/>
      <c r="T37" s="70"/>
      <c r="U37" s="70"/>
      <c r="V37" s="70"/>
      <c r="W37" s="70"/>
      <c r="X37" s="70"/>
      <c r="Y37" s="70"/>
      <c r="Z37" s="70"/>
      <c r="AA37" s="70"/>
      <c r="AB37" s="70"/>
    </row>
    <row r="38" spans="3:35" ht="15.75" customHeight="1">
      <c r="C38" s="70"/>
      <c r="D38" s="60"/>
      <c r="E38" s="60"/>
      <c r="F38" s="60"/>
      <c r="G38" s="72"/>
      <c r="H38" s="65" t="s">
        <v>85</v>
      </c>
      <c r="I38" s="72"/>
      <c r="J38" s="73"/>
      <c r="K38" s="78"/>
      <c r="L38" s="78"/>
      <c r="M38" s="73"/>
      <c r="N38" s="73"/>
      <c r="O38" s="275" t="s">
        <v>86</v>
      </c>
      <c r="P38" s="275"/>
      <c r="Q38" s="275"/>
      <c r="R38" s="275"/>
      <c r="S38" s="275"/>
      <c r="T38" s="275"/>
      <c r="U38" s="275"/>
      <c r="V38" s="275"/>
      <c r="W38" s="275"/>
      <c r="X38" s="275"/>
      <c r="Y38" s="275"/>
      <c r="Z38" s="275"/>
      <c r="AA38" s="275"/>
      <c r="AB38" s="275"/>
    </row>
    <row r="39" spans="3:35" ht="15.6">
      <c r="C39" s="74" t="s">
        <v>87</v>
      </c>
      <c r="D39" s="60"/>
      <c r="E39" s="60"/>
      <c r="F39" s="60"/>
      <c r="G39" s="72"/>
      <c r="H39" s="72"/>
      <c r="I39" s="72"/>
      <c r="J39" s="73"/>
      <c r="K39" s="78"/>
      <c r="L39" s="78"/>
      <c r="M39" s="73"/>
      <c r="N39" s="73"/>
      <c r="O39" s="275"/>
      <c r="P39" s="275"/>
      <c r="Q39" s="275"/>
      <c r="R39" s="275"/>
      <c r="S39" s="275"/>
      <c r="T39" s="275"/>
      <c r="U39" s="275"/>
      <c r="V39" s="275"/>
      <c r="W39" s="275"/>
      <c r="X39" s="275"/>
      <c r="Y39" s="275"/>
      <c r="Z39" s="275"/>
      <c r="AA39" s="275"/>
      <c r="AB39" s="275"/>
    </row>
    <row r="40" spans="3:35" ht="15">
      <c r="C40" s="68" t="s">
        <v>88</v>
      </c>
      <c r="D40" s="63" t="s">
        <v>43</v>
      </c>
      <c r="E40" s="223"/>
      <c r="F40" s="211">
        <f>IF($F$44="Yes",$E40*'Emission Factors'!F24*1/1000,$E40*'Emission Factors'!F22*1/1000)</f>
        <v>0</v>
      </c>
      <c r="G40" s="64" t="s">
        <v>41</v>
      </c>
      <c r="H40" s="72"/>
      <c r="I40" s="115" t="s">
        <v>23</v>
      </c>
      <c r="J40" s="64" t="s">
        <v>41</v>
      </c>
      <c r="K40" s="221"/>
      <c r="L40" s="78"/>
      <c r="M40" s="73"/>
      <c r="N40" s="73"/>
      <c r="O40" s="275"/>
      <c r="P40" s="275"/>
      <c r="Q40" s="275"/>
      <c r="R40" s="275"/>
      <c r="S40" s="275"/>
      <c r="T40" s="275"/>
      <c r="U40" s="275"/>
      <c r="V40" s="275"/>
      <c r="W40" s="275"/>
      <c r="X40" s="275"/>
      <c r="Y40" s="275"/>
      <c r="Z40" s="275"/>
      <c r="AA40" s="275"/>
      <c r="AB40" s="275"/>
    </row>
    <row r="41" spans="3:35" ht="15.6">
      <c r="C41" s="68" t="s">
        <v>89</v>
      </c>
      <c r="D41" s="63" t="s">
        <v>90</v>
      </c>
      <c r="E41" s="223"/>
      <c r="F41" s="211">
        <f>IF($F$44="Yes",$E41*'Emission Factors'!F24*1/1000,$E41*'Emission Factors'!F22*1/1000)*200</f>
        <v>0</v>
      </c>
      <c r="G41" s="64" t="s">
        <v>41</v>
      </c>
      <c r="H41" s="72"/>
      <c r="I41" s="68">
        <v>99</v>
      </c>
      <c r="J41" s="63" t="s">
        <v>92</v>
      </c>
      <c r="K41" s="223"/>
      <c r="L41" s="211">
        <f>K41*'Emission Factors'!F48/1000</f>
        <v>0</v>
      </c>
      <c r="M41" s="64" t="s">
        <v>41</v>
      </c>
      <c r="N41" s="73"/>
      <c r="O41" s="275"/>
      <c r="P41" s="275"/>
      <c r="Q41" s="275"/>
      <c r="R41" s="275"/>
      <c r="S41" s="275"/>
      <c r="T41" s="275"/>
      <c r="U41" s="275"/>
      <c r="V41" s="275"/>
      <c r="W41" s="275"/>
      <c r="X41" s="275"/>
      <c r="Y41" s="275"/>
      <c r="Z41" s="275"/>
      <c r="AA41" s="275"/>
      <c r="AB41" s="275"/>
      <c r="AH41" s="62"/>
      <c r="AI41" s="62"/>
    </row>
    <row r="42" spans="3:35" ht="15">
      <c r="C42" s="68" t="s">
        <v>93</v>
      </c>
      <c r="D42" s="63" t="s">
        <v>43</v>
      </c>
      <c r="E42" s="223"/>
      <c r="F42" s="211">
        <f>IF($F$44="Yes",$E42*'Emission Factors'!F25*1/1000,$E42*'Emission Factors'!F23*1/1000)</f>
        <v>0</v>
      </c>
      <c r="G42" s="64" t="s">
        <v>41</v>
      </c>
      <c r="H42" s="72"/>
      <c r="I42" s="72"/>
      <c r="J42" s="73"/>
      <c r="K42" s="73"/>
      <c r="L42" s="73"/>
      <c r="M42" s="73"/>
      <c r="N42" s="73"/>
      <c r="O42" s="275"/>
      <c r="P42" s="275"/>
      <c r="Q42" s="275"/>
      <c r="R42" s="275"/>
      <c r="S42" s="275"/>
      <c r="T42" s="275"/>
      <c r="U42" s="275"/>
      <c r="V42" s="275"/>
      <c r="W42" s="275"/>
      <c r="X42" s="275"/>
      <c r="Y42" s="275"/>
      <c r="Z42" s="275"/>
      <c r="AA42" s="275"/>
      <c r="AB42" s="275"/>
      <c r="AH42" s="62"/>
      <c r="AI42" s="62"/>
    </row>
    <row r="43" spans="3:35" ht="15">
      <c r="C43" s="75"/>
      <c r="D43" s="75"/>
      <c r="E43" s="76"/>
      <c r="F43" s="77"/>
      <c r="G43" s="72"/>
      <c r="H43" s="72"/>
      <c r="I43" s="72"/>
      <c r="J43" s="73"/>
      <c r="K43" s="73"/>
      <c r="L43" s="73"/>
      <c r="M43" s="73"/>
      <c r="N43" s="73"/>
      <c r="O43" s="275"/>
      <c r="P43" s="275"/>
      <c r="Q43" s="275"/>
      <c r="R43" s="275"/>
      <c r="S43" s="275"/>
      <c r="T43" s="275"/>
      <c r="U43" s="275"/>
      <c r="V43" s="275"/>
      <c r="W43" s="275"/>
      <c r="X43" s="275"/>
      <c r="Y43" s="275"/>
      <c r="Z43" s="275"/>
      <c r="AA43" s="275"/>
      <c r="AB43" s="275"/>
      <c r="AH43" s="62"/>
      <c r="AI43" s="62"/>
    </row>
    <row r="44" spans="3:35" ht="15">
      <c r="C44" s="282" t="s">
        <v>94</v>
      </c>
      <c r="D44" s="282"/>
      <c r="E44" s="282"/>
      <c r="F44" s="154" t="s">
        <v>36</v>
      </c>
      <c r="G44" s="100"/>
      <c r="H44" s="283" t="s">
        <v>95</v>
      </c>
      <c r="I44" s="283"/>
      <c r="J44" s="283"/>
      <c r="K44" s="283"/>
      <c r="L44" s="283"/>
      <c r="M44" s="283"/>
      <c r="N44" s="73"/>
      <c r="O44" s="96"/>
      <c r="P44" s="96"/>
      <c r="Q44" s="96"/>
      <c r="R44" s="96"/>
      <c r="S44" s="96"/>
      <c r="T44" s="96"/>
      <c r="U44" s="96"/>
      <c r="V44" s="96"/>
      <c r="W44" s="96"/>
      <c r="X44" s="96"/>
      <c r="Y44" s="96"/>
      <c r="Z44" s="96"/>
      <c r="AA44" s="96"/>
      <c r="AB44" s="96"/>
      <c r="AH44" s="62"/>
      <c r="AI44" s="62"/>
    </row>
    <row r="45" spans="3:35" ht="15">
      <c r="C45" s="75"/>
      <c r="D45" s="75"/>
      <c r="E45" s="76"/>
      <c r="F45" s="77"/>
      <c r="G45" s="72"/>
      <c r="H45" s="283"/>
      <c r="I45" s="283"/>
      <c r="J45" s="283"/>
      <c r="K45" s="283"/>
      <c r="L45" s="283"/>
      <c r="M45" s="283"/>
      <c r="N45" s="73"/>
      <c r="O45" s="96"/>
      <c r="P45" s="96"/>
      <c r="Q45" s="96"/>
      <c r="R45" s="96"/>
      <c r="S45" s="96"/>
      <c r="T45" s="96"/>
      <c r="U45" s="96"/>
      <c r="V45" s="96"/>
      <c r="W45" s="96"/>
      <c r="X45" s="96"/>
      <c r="Y45" s="96"/>
      <c r="Z45" s="96"/>
      <c r="AA45" s="96"/>
      <c r="AB45" s="96"/>
      <c r="AH45" s="62"/>
      <c r="AI45" s="62"/>
    </row>
    <row r="46" spans="3:35" ht="15">
      <c r="C46" s="130" t="s">
        <v>31</v>
      </c>
      <c r="D46" s="61"/>
      <c r="E46" s="61"/>
      <c r="F46" s="61"/>
      <c r="G46" s="61"/>
      <c r="H46" s="61"/>
      <c r="I46" s="61"/>
      <c r="J46" s="62"/>
      <c r="K46" s="62"/>
      <c r="L46" s="62"/>
      <c r="M46" s="62"/>
      <c r="N46" s="62"/>
      <c r="P46" s="62"/>
      <c r="Q46" s="62"/>
      <c r="R46" s="62"/>
      <c r="AH46" s="62"/>
      <c r="AI46" s="62"/>
    </row>
    <row r="47" spans="3:35">
      <c r="C47" s="4"/>
      <c r="D47" s="4"/>
      <c r="E47" s="4"/>
      <c r="F47" s="4"/>
      <c r="G47" s="4"/>
      <c r="H47" s="4"/>
      <c r="I47" s="4"/>
    </row>
    <row r="48" spans="3:35">
      <c r="C48" s="4"/>
      <c r="D48" s="4"/>
      <c r="E48" s="4"/>
      <c r="F48" s="4"/>
      <c r="G48" s="4"/>
      <c r="H48" s="4"/>
      <c r="I48" s="4"/>
    </row>
    <row r="49" spans="3:10">
      <c r="C49" s="4"/>
      <c r="D49" s="4"/>
      <c r="E49" s="4"/>
      <c r="F49" s="4"/>
      <c r="G49" s="4"/>
      <c r="H49" s="4"/>
      <c r="I49" s="4"/>
    </row>
    <row r="50" spans="3:10">
      <c r="C50" s="4"/>
      <c r="D50" s="4"/>
      <c r="E50" s="4"/>
      <c r="F50" s="4"/>
      <c r="G50" s="4"/>
      <c r="H50" s="4"/>
      <c r="I50" s="4"/>
    </row>
    <row r="51" spans="3:10">
      <c r="D51" s="53"/>
      <c r="E51" s="53"/>
      <c r="F51" s="53"/>
    </row>
    <row r="58" spans="3:10">
      <c r="H58" s="11"/>
      <c r="J58" s="11"/>
    </row>
  </sheetData>
  <sheetProtection algorithmName="SHA-512" hashValue="mc77lvATabf5kHaGT5WqS/7O9pNmUCpNWCVpZKIR9rLfla3QF11xhzWmy6dx4lZwUoDmxtQTc++1cFIOAlj1tg==" saltValue="+/7i3Kq4FPz9oF4TsNrdGA==" spinCount="100000" sheet="1" objects="1" scenarios="1" selectLockedCells="1"/>
  <mergeCells count="11">
    <mergeCell ref="O31:AB34"/>
    <mergeCell ref="C36:E36"/>
    <mergeCell ref="O38:AB43"/>
    <mergeCell ref="C44:E44"/>
    <mergeCell ref="H44:M45"/>
    <mergeCell ref="O24:AB26"/>
    <mergeCell ref="C3:F3"/>
    <mergeCell ref="C5:G5"/>
    <mergeCell ref="J7:L7"/>
    <mergeCell ref="O10:AB12"/>
    <mergeCell ref="O15:AB22"/>
  </mergeCells>
  <dataValidations count="1">
    <dataValidation type="list" allowBlank="1" showInputMessage="1" showErrorMessage="1" sqref="F36 F44" xr:uid="{C8BD47C0-2702-4509-BB22-8EA9BF300906}">
      <formula1>$AL$4:$AL$5</formula1>
    </dataValidation>
  </dataValidations>
  <hyperlinks>
    <hyperlink ref="I40" location="Refrigerant!A1" display="Refrigerant" xr:uid="{0B303D48-9C46-4C06-B7EE-95371431703A}"/>
    <hyperlink ref="G36" location="'Flight calculator'!B7" display="What is it?" xr:uid="{B3C7DA53-1CC7-4637-A8EE-9B8AF4799810}"/>
  </hyperlinks>
  <pageMargins left="0.75" right="0.75" top="1" bottom="1" header="0.5" footer="0.5"/>
  <pageSetup paperSize="9" scale="68"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C1A438F9CA0E1E438A83C1E351FF4B98" ma:contentTypeVersion="16" ma:contentTypeDescription="Create a new document." ma:contentTypeScope="" ma:versionID="09dd7ebff98bb60bc75fb50d43628036">
  <xsd:schema xmlns:xsd="http://www.w3.org/2001/XMLSchema" xmlns:xs="http://www.w3.org/2001/XMLSchema" xmlns:p="http://schemas.microsoft.com/office/2006/metadata/properties" xmlns:ns2="0338c844-315d-494a-b53d-b7de49abe824" xmlns:ns3="0d423a90-aa2f-4383-934b-d88ccf73e840" targetNamespace="http://schemas.microsoft.com/office/2006/metadata/properties" ma:root="true" ma:fieldsID="388500d16deb7ed2bad2e3d653b06c67" ns2:_="" ns3:_="">
    <xsd:import namespace="0338c844-315d-494a-b53d-b7de49abe824"/>
    <xsd:import namespace="0d423a90-aa2f-4383-934b-d88ccf73e84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2:SharedWithUsers" minOccurs="0"/>
                <xsd:element ref="ns2:SharedWithDetails" minOccurs="0"/>
                <xsd:element ref="ns3:MediaServiceLocation" minOccurs="0"/>
                <xsd:element ref="ns3:lcf76f155ced4ddcb4097134ff3c332f" minOccurs="0"/>
                <xsd:element ref="ns2:TaxCatchAll"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38c844-315d-494a-b53d-b7de49abe82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f04f5fd9-a14a-44a0-aeae-ab023016d940}" ma:internalName="TaxCatchAll" ma:showField="CatchAllData" ma:web="0338c844-315d-494a-b53d-b7de49abe82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d423a90-aa2f-4383-934b-d88ccf73e840"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bdbe07b7-0bf2-41a2-9f22-44e5e9cd0769" ma:termSetId="09814cd3-568e-fe90-9814-8d621ff8fb84" ma:anchorId="fba54fb3-c3e1-fe81-a776-ca4b69148c4d" ma:open="true" ma:isKeyword="false">
      <xsd:complexType>
        <xsd:sequence>
          <xsd:element ref="pc:Terms" minOccurs="0" maxOccurs="1"/>
        </xsd:sequence>
      </xsd:complexType>
    </xsd:element>
    <xsd:element name="MediaLengthInSeconds" ma:index="26"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0338c844-315d-494a-b53d-b7de49abe824">SPFKUHYX4QXY-1391235020-6444</_dlc_DocId>
    <_dlc_DocIdUrl xmlns="0338c844-315d-494a-b53d-b7de49abe824">
      <Url>https://catalystnznz.sharepoint.com/sites/TadpoleShared/_layouts/15/DocIdRedir.aspx?ID=SPFKUHYX4QXY-1391235020-6444</Url>
      <Description>SPFKUHYX4QXY-1391235020-6444</Description>
    </_dlc_DocIdUrl>
    <lcf76f155ced4ddcb4097134ff3c332f xmlns="0d423a90-aa2f-4383-934b-d88ccf73e840">
      <Terms xmlns="http://schemas.microsoft.com/office/infopath/2007/PartnerControls"/>
    </lcf76f155ced4ddcb4097134ff3c332f>
    <TaxCatchAll xmlns="0338c844-315d-494a-b53d-b7de49ab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01A1F9-4D26-4105-B982-D1797946C2C0}"/>
</file>

<file path=customXml/itemProps2.xml><?xml version="1.0" encoding="utf-8"?>
<ds:datastoreItem xmlns:ds="http://schemas.openxmlformats.org/officeDocument/2006/customXml" ds:itemID="{B9845001-369B-4183-9C8D-33910082F6BF}"/>
</file>

<file path=customXml/itemProps3.xml><?xml version="1.0" encoding="utf-8"?>
<ds:datastoreItem xmlns:ds="http://schemas.openxmlformats.org/officeDocument/2006/customXml" ds:itemID="{B83CD0E5-F5AB-4464-A15F-EBB1DB3613F2}"/>
</file>

<file path=customXml/itemProps4.xml><?xml version="1.0" encoding="utf-8"?>
<ds:datastoreItem xmlns:ds="http://schemas.openxmlformats.org/officeDocument/2006/customXml" ds:itemID="{DB361DA1-2ABD-4593-8373-19E72528B7B8}"/>
</file>

<file path=docProps/app.xml><?xml version="1.0" encoding="utf-8"?>
<Properties xmlns="http://schemas.openxmlformats.org/officeDocument/2006/extended-properties" xmlns:vt="http://schemas.openxmlformats.org/officeDocument/2006/docPropsVTypes">
  <Application>Microsoft Excel Online</Application>
  <Manager/>
  <Company>Catalyst R&amp;D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ACE v1.01</dc:title>
  <dc:subject/>
  <dc:creator>Justin Ford-Robertson</dc:creator>
  <cp:keywords/>
  <dc:description>Updates on Petrol/Diesel 4Apr07</dc:description>
  <cp:lastModifiedBy>Chris Lotter [chl0905]</cp:lastModifiedBy>
  <cp:revision/>
  <dcterms:created xsi:type="dcterms:W3CDTF">2007-02-13T22:59:58Z</dcterms:created>
  <dcterms:modified xsi:type="dcterms:W3CDTF">2023-08-19T09:29:53Z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0x010100C1A438F9CA0E1E438A83C1E351FF4B98</vt:lpwstr>
  </property>
  <property fmtid="{D5CDD505-2E9C-101B-9397-08002B2CF9AE}" pid="3" name="Order">
    <vt:r8>1553800</vt:r8>
  </property>
  <property fmtid="{D5CDD505-2E9C-101B-9397-08002B2CF9AE}" pid="4" name="_dlc_DocIdItemGuid">
    <vt:lpwstr>3ff574dd-6cb3-4188-a59d-2f8399da6495</vt:lpwstr>
  </property>
  <property fmtid="{D5CDD505-2E9C-101B-9397-08002B2CF9AE}" pid="5" name="AuthorIds_UIVersion_2048">
    <vt:lpwstr>22</vt:lpwstr>
  </property>
  <property fmtid="{D5CDD505-2E9C-101B-9397-08002B2CF9AE}" pid="6" name="AuthorIds_UIVersion_5632">
    <vt:lpwstr>20</vt:lpwstr>
  </property>
  <property fmtid="{D5CDD505-2E9C-101B-9397-08002B2CF9AE}" pid="7" name="AuthorIds_UIVersion_9216">
    <vt:lpwstr>20</vt:lpwstr>
  </property>
  <property fmtid="{D5CDD505-2E9C-101B-9397-08002B2CF9AE}" pid="8" name="MediaServiceImageTags">
    <vt:lpwstr/>
  </property>
</Properties>
</file>