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phiroce\FTP\Paper\CSL_202007\revision\20201104\"/>
    </mc:Choice>
  </mc:AlternateContent>
  <xr:revisionPtr revIDLastSave="0" documentId="13_ncr:1_{1A2F9968-2A6F-45BF-B4B3-314FB56C6EEC}" xr6:coauthVersionLast="45" xr6:coauthVersionMax="45" xr10:uidLastSave="{00000000-0000-0000-0000-000000000000}"/>
  <bookViews>
    <workbookView xWindow="900" yWindow="-120" windowWidth="28020" windowHeight="16440" activeTab="4" xr2:uid="{4B737080-1358-4C95-A654-4413D34EB4A0}"/>
  </bookViews>
  <sheets>
    <sheet name="Table1" sheetId="66" r:id="rId1"/>
    <sheet name="Table2" sheetId="62" r:id="rId2"/>
    <sheet name="Table3" sheetId="63" r:id="rId3"/>
    <sheet name="Table4" sheetId="64" r:id="rId4"/>
    <sheet name="Table5" sheetId="6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66" l="1"/>
  <c r="T9" i="66" s="1"/>
  <c r="D9" i="66" s="1"/>
  <c r="Q9" i="66"/>
  <c r="S9" i="66" s="1"/>
  <c r="C9" i="66" s="1"/>
  <c r="P9" i="66"/>
  <c r="O9" i="66"/>
  <c r="R8" i="66"/>
  <c r="T8" i="66" s="1"/>
  <c r="D8" i="66" s="1"/>
  <c r="Q8" i="66"/>
  <c r="S8" i="66" s="1"/>
  <c r="C8" i="66" s="1"/>
  <c r="P8" i="66"/>
  <c r="O8" i="66"/>
  <c r="R7" i="66"/>
  <c r="T7" i="66" s="1"/>
  <c r="D7" i="66" s="1"/>
  <c r="Q7" i="66"/>
  <c r="S7" i="66" s="1"/>
  <c r="C7" i="66" s="1"/>
  <c r="P7" i="66"/>
  <c r="O7" i="66"/>
  <c r="R6" i="66"/>
  <c r="T6" i="66" s="1"/>
  <c r="D6" i="66" s="1"/>
  <c r="Q6" i="66"/>
  <c r="S6" i="66" s="1"/>
  <c r="C6" i="66" s="1"/>
  <c r="P6" i="66"/>
  <c r="O6" i="66"/>
  <c r="R5" i="66"/>
  <c r="T5" i="66" s="1"/>
  <c r="D5" i="66" s="1"/>
  <c r="Q5" i="66"/>
  <c r="S5" i="66" s="1"/>
  <c r="C5" i="66" s="1"/>
  <c r="P5" i="66"/>
  <c r="O5" i="66"/>
  <c r="R4" i="66"/>
  <c r="T4" i="66" s="1"/>
  <c r="D4" i="66" s="1"/>
  <c r="Q4" i="66"/>
  <c r="S4" i="66" s="1"/>
  <c r="C4" i="66" s="1"/>
  <c r="P4" i="66"/>
  <c r="O4" i="66"/>
  <c r="D9" i="65"/>
  <c r="D8" i="65"/>
  <c r="D7" i="65"/>
  <c r="D5" i="65"/>
  <c r="D4" i="65"/>
  <c r="T14" i="64"/>
  <c r="V14" i="64" s="1"/>
  <c r="F14" i="64" s="1"/>
  <c r="S14" i="64"/>
  <c r="U14" i="64" s="1"/>
  <c r="E14" i="64" s="1"/>
  <c r="R14" i="64"/>
  <c r="Q14" i="64"/>
  <c r="D14" i="64"/>
  <c r="T13" i="64"/>
  <c r="V13" i="64" s="1"/>
  <c r="F13" i="64" s="1"/>
  <c r="S13" i="64"/>
  <c r="U13" i="64" s="1"/>
  <c r="E13" i="64" s="1"/>
  <c r="R13" i="64"/>
  <c r="Q13" i="64"/>
  <c r="D13" i="64"/>
  <c r="U12" i="64"/>
  <c r="T12" i="64"/>
  <c r="V12" i="64" s="1"/>
  <c r="F12" i="64" s="1"/>
  <c r="S12" i="64"/>
  <c r="R12" i="64"/>
  <c r="Q12" i="64"/>
  <c r="E12" i="64" s="1"/>
  <c r="D12" i="64"/>
  <c r="V11" i="64"/>
  <c r="U11" i="64"/>
  <c r="T11" i="64"/>
  <c r="S11" i="64"/>
  <c r="R11" i="64"/>
  <c r="F11" i="64" s="1"/>
  <c r="Q11" i="64"/>
  <c r="E11" i="64" s="1"/>
  <c r="D11" i="64"/>
  <c r="V10" i="64"/>
  <c r="T10" i="64"/>
  <c r="S10" i="64"/>
  <c r="U10" i="64" s="1"/>
  <c r="E10" i="64" s="1"/>
  <c r="R10" i="64"/>
  <c r="F10" i="64" s="1"/>
  <c r="Q10" i="64"/>
  <c r="V9" i="64"/>
  <c r="T9" i="64"/>
  <c r="S9" i="64"/>
  <c r="U9" i="64" s="1"/>
  <c r="E9" i="64" s="1"/>
  <c r="R9" i="64"/>
  <c r="F9" i="64" s="1"/>
  <c r="Q9" i="64"/>
  <c r="V8" i="64"/>
  <c r="T8" i="64"/>
  <c r="S8" i="64"/>
  <c r="U8" i="64" s="1"/>
  <c r="E8" i="64" s="1"/>
  <c r="R8" i="64"/>
  <c r="F8" i="64" s="1"/>
  <c r="Q8" i="64"/>
  <c r="D8" i="64"/>
  <c r="H6" i="63"/>
  <c r="I6" i="63"/>
  <c r="J6" i="63"/>
  <c r="K6" i="63"/>
  <c r="L6" i="63"/>
  <c r="M6" i="63"/>
  <c r="N6" i="63"/>
  <c r="G6" i="63"/>
  <c r="Q6" i="63" s="1"/>
  <c r="S6" i="63" s="1"/>
  <c r="F6" i="63"/>
  <c r="R6" i="63" s="1"/>
  <c r="T6" i="63" s="1"/>
  <c r="E6" i="63"/>
  <c r="R7" i="63"/>
  <c r="T7" i="63" s="1"/>
  <c r="D7" i="63" s="1"/>
  <c r="Q7" i="63"/>
  <c r="S7" i="63" s="1"/>
  <c r="C7" i="63" s="1"/>
  <c r="P7" i="63"/>
  <c r="O7" i="63"/>
  <c r="A7" i="63"/>
  <c r="A6" i="63"/>
  <c r="R5" i="63"/>
  <c r="T5" i="63" s="1"/>
  <c r="D5" i="63" s="1"/>
  <c r="Q5" i="63"/>
  <c r="S5" i="63" s="1"/>
  <c r="C5" i="63" s="1"/>
  <c r="P5" i="63"/>
  <c r="O5" i="63"/>
  <c r="A5" i="63"/>
  <c r="R4" i="63"/>
  <c r="T4" i="63" s="1"/>
  <c r="D4" i="63" s="1"/>
  <c r="Q4" i="63"/>
  <c r="S4" i="63" s="1"/>
  <c r="C4" i="63" s="1"/>
  <c r="P4" i="63"/>
  <c r="O4" i="63"/>
  <c r="A4" i="63"/>
  <c r="W12" i="62"/>
  <c r="V12" i="62"/>
  <c r="U12" i="62"/>
  <c r="T12" i="62"/>
  <c r="S12" i="62"/>
  <c r="G12" i="62" s="1"/>
  <c r="R12" i="62"/>
  <c r="F12" i="62" s="1"/>
  <c r="C12" i="62"/>
  <c r="W11" i="62"/>
  <c r="U11" i="62"/>
  <c r="T11" i="62"/>
  <c r="V11" i="62" s="1"/>
  <c r="F11" i="62" s="1"/>
  <c r="S11" i="62"/>
  <c r="G11" i="62" s="1"/>
  <c r="R11" i="62"/>
  <c r="W10" i="62"/>
  <c r="U10" i="62"/>
  <c r="T10" i="62"/>
  <c r="V10" i="62" s="1"/>
  <c r="F10" i="62" s="1"/>
  <c r="S10" i="62"/>
  <c r="G10" i="62" s="1"/>
  <c r="R10" i="62"/>
  <c r="W9" i="62"/>
  <c r="U9" i="62"/>
  <c r="T9" i="62"/>
  <c r="V9" i="62" s="1"/>
  <c r="F9" i="62" s="1"/>
  <c r="S9" i="62"/>
  <c r="G9" i="62" s="1"/>
  <c r="R9" i="62"/>
  <c r="C9" i="62"/>
  <c r="U8" i="62"/>
  <c r="W8" i="62" s="1"/>
  <c r="G8" i="62" s="1"/>
  <c r="T8" i="62"/>
  <c r="V8" i="62" s="1"/>
  <c r="F8" i="62" s="1"/>
  <c r="S8" i="62"/>
  <c r="R8" i="62"/>
  <c r="C8" i="62"/>
  <c r="V7" i="62"/>
  <c r="U7" i="62"/>
  <c r="W7" i="62" s="1"/>
  <c r="G7" i="62" s="1"/>
  <c r="T7" i="62"/>
  <c r="S7" i="62"/>
  <c r="R7" i="62"/>
  <c r="F7" i="62" s="1"/>
  <c r="C7" i="62"/>
  <c r="W6" i="62"/>
  <c r="V6" i="62"/>
  <c r="U6" i="62"/>
  <c r="T6" i="62"/>
  <c r="S6" i="62"/>
  <c r="G6" i="62" s="1"/>
  <c r="R6" i="62"/>
  <c r="F6" i="62" s="1"/>
  <c r="C6" i="62"/>
  <c r="W5" i="62"/>
  <c r="U5" i="62"/>
  <c r="T5" i="62"/>
  <c r="V5" i="62" s="1"/>
  <c r="F5" i="62" s="1"/>
  <c r="S5" i="62"/>
  <c r="G5" i="62" s="1"/>
  <c r="R5" i="62"/>
  <c r="C5" i="62"/>
  <c r="U4" i="62"/>
  <c r="W4" i="62" s="1"/>
  <c r="G4" i="62" s="1"/>
  <c r="T4" i="62"/>
  <c r="V4" i="62" s="1"/>
  <c r="F4" i="62" s="1"/>
  <c r="S4" i="62"/>
  <c r="R4" i="62"/>
  <c r="C4" i="62"/>
  <c r="O6" i="63" l="1"/>
  <c r="C6" i="63" s="1"/>
  <c r="P6" i="63"/>
  <c r="D6" i="63" s="1"/>
</calcChain>
</file>

<file path=xl/sharedStrings.xml><?xml version="1.0" encoding="utf-8"?>
<sst xmlns="http://schemas.openxmlformats.org/spreadsheetml/2006/main" count="245" uniqueCount="57">
  <si>
    <t>DR</t>
    <phoneticPr fontId="1" type="noConversion"/>
  </si>
  <si>
    <t>-</t>
    <phoneticPr fontId="1" type="noConversion"/>
  </si>
  <si>
    <t>Valid</t>
    <phoneticPr fontId="1" type="noConversion"/>
  </si>
  <si>
    <t>Test</t>
    <phoneticPr fontId="1" type="noConversion"/>
  </si>
  <si>
    <t>Network</t>
    <phoneticPr fontId="1" type="noConversion"/>
  </si>
  <si>
    <t>Iter.</t>
    <phoneticPr fontId="1" type="noConversion"/>
  </si>
  <si>
    <t>PER (%)</t>
    <phoneticPr fontId="1" type="noConversion"/>
  </si>
  <si>
    <t>Params.
(M)</t>
    <phoneticPr fontId="1" type="noConversion"/>
  </si>
  <si>
    <t>Window</t>
    <phoneticPr fontId="1" type="noConversion"/>
  </si>
  <si>
    <t>Left</t>
    <phoneticPr fontId="1" type="noConversion"/>
  </si>
  <si>
    <t>Right</t>
    <phoneticPr fontId="1" type="noConversion"/>
  </si>
  <si>
    <t>Param. (M)</t>
    <phoneticPr fontId="1" type="noConversion"/>
  </si>
  <si>
    <t>SDR</t>
    <phoneticPr fontId="1" type="noConversion"/>
  </si>
  <si>
    <t>SRF-7L</t>
    <phoneticPr fontId="1" type="noConversion"/>
  </si>
  <si>
    <t>SRF-2L</t>
    <phoneticPr fontId="1" type="noConversion"/>
  </si>
  <si>
    <t>Routing
Method</t>
    <phoneticPr fontId="1" type="noConversion"/>
  </si>
  <si>
    <t>SRF-5L</t>
    <phoneticPr fontId="1" type="noConversion"/>
  </si>
  <si>
    <t>SRF-1L</t>
    <phoneticPr fontId="1" type="noConversion"/>
  </si>
  <si>
    <t>TF-5L</t>
    <phoneticPr fontId="1" type="noConversion"/>
  </si>
  <si>
    <t>WER(%)</t>
    <phoneticPr fontId="1" type="noConversion"/>
  </si>
  <si>
    <t>Param. 
(M)</t>
    <phoneticPr fontId="1" type="noConversion"/>
  </si>
  <si>
    <t>dev-93</t>
    <phoneticPr fontId="1" type="noConversion"/>
  </si>
  <si>
    <t>eval-92</t>
    <phoneticPr fontId="1" type="noConversion"/>
  </si>
  <si>
    <t>TF-10L</t>
    <phoneticPr fontId="1" type="noConversion"/>
  </si>
  <si>
    <t>TF-20L</t>
    <phoneticPr fontId="1" type="noConversion"/>
  </si>
  <si>
    <t>Full</t>
    <phoneticPr fontId="1" type="noConversion"/>
  </si>
  <si>
    <t>Receptive field (ms)</t>
    <phoneticPr fontId="1" type="noConversion"/>
  </si>
  <si>
    <t>Left-side</t>
    <phoneticPr fontId="1" type="noConversion"/>
  </si>
  <si>
    <t>Both-side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</si>
  <si>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</si>
  <si>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</si>
  <si>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</si>
  <si>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fifth</t>
    <phoneticPr fontId="1" type="noConversion"/>
  </si>
  <si>
    <t>Look ahead 
frames</t>
    <phoneticPr fontId="1" type="noConversion"/>
  </si>
  <si>
    <t>Average</t>
    <phoneticPr fontId="1" type="noConversion"/>
  </si>
  <si>
    <t>stddev</t>
    <phoneticPr fontId="1" type="noConversion"/>
  </si>
  <si>
    <t>stderr</t>
    <phoneticPr fontId="1" type="noConversion"/>
  </si>
  <si>
    <t>Ave PER (%)</t>
    <phoneticPr fontId="1" type="noConversion"/>
  </si>
  <si>
    <t>CNN-10L-maxout</t>
    <phoneticPr fontId="1" type="noConversion"/>
  </si>
  <si>
    <t>BLSTM-5L-250H</t>
    <phoneticPr fontId="1" type="noConversion"/>
  </si>
  <si>
    <t>ULSTM-3L-421H</t>
    <phoneticPr fontId="1" type="noConversion"/>
  </si>
  <si>
    <t>RNN-T-3L-250H</t>
    <phoneticPr fontId="1" type="noConversion"/>
  </si>
  <si>
    <t>SRF-L7-Small</t>
    <phoneticPr fontId="1" type="noConversion"/>
  </si>
  <si>
    <t>BLSTM-5L-500H</t>
    <phoneticPr fontId="1" type="noConversion"/>
  </si>
  <si>
    <t>CNN-15L-Maxout</t>
    <phoneticPr fontId="1" type="noConversion"/>
  </si>
  <si>
    <t>Capsule
Dim.</t>
    <phoneticPr fontId="1" type="noConversion"/>
  </si>
  <si>
    <t>Receptive 
field (ms)</t>
    <phoneticPr fontId="1" type="noConversion"/>
  </si>
  <si>
    <t>BLSTM-5L</t>
    <phoneticPr fontId="1" type="noConversion"/>
  </si>
  <si>
    <t>ULSTM-5L</t>
    <phoneticPr fontId="1" type="noConversion"/>
  </si>
  <si>
    <t>SRF-10L-Small</t>
    <phoneticPr fontId="1" type="noConversion"/>
  </si>
  <si>
    <t>SRF-10L-Big</t>
    <phoneticPr fontId="1" type="noConversion"/>
  </si>
  <si>
    <t>SRF-7L-Big</t>
    <phoneticPr fontId="1" type="noConversion"/>
  </si>
  <si>
    <t>first</t>
    <phoneticPr fontId="1" type="noConversion"/>
  </si>
  <si>
    <t>Receptive
field (ms)</t>
    <phoneticPr fontId="1" type="noConversion"/>
  </si>
  <si>
    <t>* The gray cells are the values in the first manuscript</t>
    <phoneticPr fontId="1" type="noConversion"/>
  </si>
  <si>
    <t>* The gray cells are the values in the first manuscript.</t>
    <phoneticPr fontId="1" type="noConversion"/>
  </si>
  <si>
    <t>* Only the section in the bold lines are in the revised manuscript.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</si>
</sst>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81" formatCode="0_ "/>
    <numFmt numFmtId="184" formatCode="#,##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77" fontId="2" fillId="0" borderId="20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2" fillId="0" borderId="21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181" fontId="2" fillId="0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4" fontId="2" fillId="0" borderId="4" xfId="0" applyNumberFormat="1" applyFont="1" applyFill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181" fontId="2" fillId="0" borderId="3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30" xfId="0" applyNumberFormat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176" fontId="2" fillId="0" borderId="29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176" fontId="2" fillId="0" borderId="28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176" fontId="2" fillId="2" borderId="30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29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4" fontId="2" fillId="0" borderId="1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84" fontId="2" fillId="0" borderId="14" xfId="0" applyNumberFormat="1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66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4501-48D2-4196-910E-2C729D947DF0}">
  <dimension ref="A1:V11"/>
  <sheetViews>
    <sheetView workbookViewId="0">
      <selection activeCell="A11" sqref="A11:T11"/>
    </sheetView>
  </sheetViews>
  <sheetFormatPr defaultRowHeight="16.5" x14ac:dyDescent="0.3"/>
  <cols>
    <col min="1" max="1" width="7.375" bestFit="1" customWidth="1"/>
    <col min="2" max="2" width="4.375" bestFit="1" customWidth="1"/>
    <col min="3" max="4" width="8.75" customWidth="1"/>
    <col min="5" max="16" width="5.375" bestFit="1" customWidth="1"/>
    <col min="17" max="17" width="5.125" bestFit="1" customWidth="1"/>
    <col min="18" max="18" width="4.5" bestFit="1" customWidth="1"/>
    <col min="19" max="19" width="5.125" bestFit="1" customWidth="1"/>
    <col min="20" max="20" width="4.5" bestFit="1" customWidth="1"/>
  </cols>
  <sheetData>
    <row r="1" spans="1:22" ht="17.25" thickBot="1" x14ac:dyDescent="0.35">
      <c r="A1" s="1"/>
      <c r="B1" s="1"/>
      <c r="C1" s="104"/>
      <c r="D1" s="104"/>
      <c r="E1" s="122" t="s">
        <v>52</v>
      </c>
      <c r="F1" s="122"/>
      <c r="G1" s="105" t="s">
        <v>29</v>
      </c>
      <c r="H1" s="105"/>
      <c r="I1" s="105" t="s">
        <v>30</v>
      </c>
      <c r="J1" s="105"/>
      <c r="K1" s="105" t="s">
        <v>31</v>
      </c>
      <c r="L1" s="105"/>
      <c r="M1" s="122" t="s">
        <v>32</v>
      </c>
      <c r="N1" s="122"/>
      <c r="O1" s="122" t="s">
        <v>34</v>
      </c>
      <c r="P1" s="122"/>
      <c r="Q1" s="1"/>
      <c r="R1" s="1"/>
      <c r="T1" s="1"/>
    </row>
    <row r="2" spans="1:22" x14ac:dyDescent="0.3">
      <c r="A2" s="125" t="s">
        <v>15</v>
      </c>
      <c r="B2" s="127" t="s">
        <v>5</v>
      </c>
      <c r="C2" s="128" t="s">
        <v>6</v>
      </c>
      <c r="D2" s="129"/>
      <c r="E2" s="107" t="s">
        <v>6</v>
      </c>
      <c r="F2" s="121"/>
      <c r="G2" s="121" t="s">
        <v>6</v>
      </c>
      <c r="H2" s="121"/>
      <c r="I2" s="121" t="s">
        <v>6</v>
      </c>
      <c r="J2" s="121"/>
      <c r="K2" s="121" t="s">
        <v>6</v>
      </c>
      <c r="L2" s="121"/>
      <c r="M2" s="121" t="s">
        <v>6</v>
      </c>
      <c r="N2" s="121"/>
      <c r="O2" s="123" t="s">
        <v>37</v>
      </c>
      <c r="P2" s="107"/>
      <c r="Q2" s="120" t="s">
        <v>35</v>
      </c>
      <c r="R2" s="120"/>
      <c r="S2" s="120" t="s">
        <v>36</v>
      </c>
      <c r="T2" s="120"/>
    </row>
    <row r="3" spans="1:22" x14ac:dyDescent="0.3">
      <c r="A3" s="126"/>
      <c r="B3" s="121"/>
      <c r="C3" s="94" t="s">
        <v>2</v>
      </c>
      <c r="D3" s="5" t="s">
        <v>3</v>
      </c>
      <c r="E3" s="100" t="s">
        <v>2</v>
      </c>
      <c r="F3" s="94" t="s">
        <v>3</v>
      </c>
      <c r="G3" s="94" t="s">
        <v>2</v>
      </c>
      <c r="H3" s="94" t="s">
        <v>3</v>
      </c>
      <c r="I3" s="94" t="s">
        <v>2</v>
      </c>
      <c r="J3" s="94" t="s">
        <v>3</v>
      </c>
      <c r="K3" s="94" t="s">
        <v>2</v>
      </c>
      <c r="L3" s="94" t="s">
        <v>3</v>
      </c>
      <c r="M3" s="94" t="s">
        <v>2</v>
      </c>
      <c r="N3" s="94" t="s">
        <v>3</v>
      </c>
      <c r="O3" s="94" t="s">
        <v>2</v>
      </c>
      <c r="P3" s="94" t="s">
        <v>3</v>
      </c>
      <c r="Q3" s="94" t="s">
        <v>2</v>
      </c>
      <c r="R3" s="94" t="s">
        <v>3</v>
      </c>
      <c r="S3" s="94" t="s">
        <v>2</v>
      </c>
      <c r="T3" s="94" t="s">
        <v>3</v>
      </c>
    </row>
    <row r="4" spans="1:22" x14ac:dyDescent="0.3">
      <c r="A4" s="126" t="s">
        <v>0</v>
      </c>
      <c r="B4" s="94">
        <v>1</v>
      </c>
      <c r="C4" s="4" t="str">
        <f>CONCATENATE(ROUNDUP(O4,1),"(±",ROUNDUP(S4,1),")")</f>
        <v>25.7(±0.5)</v>
      </c>
      <c r="D4" s="27" t="str">
        <f>CONCATENATE(ROUNDUP(P4,1),"(±",ROUNDUP(T4,1),")")</f>
        <v>26.8(±0.4)</v>
      </c>
      <c r="E4" s="62">
        <v>26.1</v>
      </c>
      <c r="F4" s="63">
        <v>27.1</v>
      </c>
      <c r="G4" s="4">
        <v>26</v>
      </c>
      <c r="H4" s="4">
        <v>26.9</v>
      </c>
      <c r="I4" s="21">
        <v>25.4</v>
      </c>
      <c r="J4" s="21">
        <v>26.4</v>
      </c>
      <c r="K4" s="21">
        <v>24.9</v>
      </c>
      <c r="L4" s="21">
        <v>26.3</v>
      </c>
      <c r="M4" s="21">
        <v>25.8</v>
      </c>
      <c r="N4" s="21">
        <v>27.2</v>
      </c>
      <c r="O4" s="4">
        <f t="shared" ref="O4:P9" si="0">AVERAGE(M4,K4,I4,G4,E4)</f>
        <v>25.639999999999997</v>
      </c>
      <c r="P4" s="4">
        <f t="shared" si="0"/>
        <v>26.78</v>
      </c>
      <c r="Q4" s="4">
        <f t="shared" ref="Q4:R9" si="1">_xlfn.STDEV.S(E4,M4,G4,I4,K4)</f>
        <v>0.4929503017546506</v>
      </c>
      <c r="R4" s="4">
        <f t="shared" si="1"/>
        <v>0.40865633483405112</v>
      </c>
      <c r="S4" s="4">
        <f>1.96*(Q4/SQRT(5))</f>
        <v>0.43208999062695358</v>
      </c>
      <c r="T4" s="4">
        <f>1.96*(R4/SQRT(5))</f>
        <v>0.35820307089694253</v>
      </c>
    </row>
    <row r="5" spans="1:22" x14ac:dyDescent="0.3">
      <c r="A5" s="126"/>
      <c r="B5" s="94">
        <v>2</v>
      </c>
      <c r="C5" s="4" t="str">
        <f t="shared" ref="C5:D9" si="2">CONCATENATE(ROUNDUP(O5,1),"(±",ROUNDUP(S5,1),")")</f>
        <v>25.4(±0.3)</v>
      </c>
      <c r="D5" s="27" t="str">
        <f t="shared" si="2"/>
        <v>26.7(±0.4)</v>
      </c>
      <c r="E5" s="62">
        <v>25.9</v>
      </c>
      <c r="F5" s="63">
        <v>27</v>
      </c>
      <c r="G5" s="4">
        <v>25.3</v>
      </c>
      <c r="H5" s="4">
        <v>26.1</v>
      </c>
      <c r="I5" s="21">
        <v>25.2</v>
      </c>
      <c r="J5" s="21">
        <v>26.3</v>
      </c>
      <c r="K5" s="4">
        <v>25.3</v>
      </c>
      <c r="L5" s="4">
        <v>27</v>
      </c>
      <c r="M5" s="4">
        <v>25.2</v>
      </c>
      <c r="N5" s="4">
        <v>26.8</v>
      </c>
      <c r="O5" s="4">
        <f t="shared" si="0"/>
        <v>25.380000000000003</v>
      </c>
      <c r="P5" s="4">
        <f t="shared" si="0"/>
        <v>26.639999999999997</v>
      </c>
      <c r="Q5" s="4">
        <f t="shared" si="1"/>
        <v>0.29495762407505199</v>
      </c>
      <c r="R5" s="4">
        <f t="shared" si="1"/>
        <v>0.41593268686170787</v>
      </c>
      <c r="S5" s="4">
        <f t="shared" ref="S5:T9" si="3">1.96*(Q5/SQRT(5))</f>
        <v>0.25854175678214875</v>
      </c>
      <c r="T5" s="4">
        <f t="shared" si="3"/>
        <v>0.36458107465966966</v>
      </c>
    </row>
    <row r="6" spans="1:22" x14ac:dyDescent="0.3">
      <c r="A6" s="126"/>
      <c r="B6" s="94">
        <v>3</v>
      </c>
      <c r="C6" s="4" t="str">
        <f t="shared" si="2"/>
        <v>25.5(±0.4)</v>
      </c>
      <c r="D6" s="27" t="str">
        <f t="shared" si="2"/>
        <v>26.8(±0.5)</v>
      </c>
      <c r="E6" s="62">
        <v>26</v>
      </c>
      <c r="F6" s="63">
        <v>27.1</v>
      </c>
      <c r="G6" s="4">
        <v>25.2</v>
      </c>
      <c r="H6" s="4">
        <v>26.3</v>
      </c>
      <c r="I6" s="21">
        <v>25.4</v>
      </c>
      <c r="J6" s="21">
        <v>26.2</v>
      </c>
      <c r="K6" s="4">
        <v>25.4</v>
      </c>
      <c r="L6" s="4">
        <v>27.4</v>
      </c>
      <c r="M6" s="4">
        <v>25.1</v>
      </c>
      <c r="N6" s="4">
        <v>26.8</v>
      </c>
      <c r="O6" s="4">
        <f t="shared" si="0"/>
        <v>25.42</v>
      </c>
      <c r="P6" s="4">
        <f t="shared" si="0"/>
        <v>26.76</v>
      </c>
      <c r="Q6" s="4">
        <f t="shared" si="1"/>
        <v>0.3492849839314594</v>
      </c>
      <c r="R6" s="4">
        <f t="shared" si="1"/>
        <v>0.51283525619832326</v>
      </c>
      <c r="S6" s="4">
        <f t="shared" si="3"/>
        <v>0.30616178729554067</v>
      </c>
      <c r="T6" s="4">
        <f t="shared" si="3"/>
        <v>0.44951992169424465</v>
      </c>
    </row>
    <row r="7" spans="1:22" x14ac:dyDescent="0.3">
      <c r="A7" s="133" t="s">
        <v>12</v>
      </c>
      <c r="B7" s="94">
        <v>1</v>
      </c>
      <c r="C7" s="4" t="str">
        <f t="shared" si="2"/>
        <v>24.4(±0.6)</v>
      </c>
      <c r="D7" s="27" t="str">
        <f t="shared" si="2"/>
        <v>25.7(±0.5)</v>
      </c>
      <c r="E7" s="62">
        <v>25</v>
      </c>
      <c r="F7" s="63">
        <v>26.2</v>
      </c>
      <c r="G7" s="4">
        <v>24.3</v>
      </c>
      <c r="H7" s="4">
        <v>26.2</v>
      </c>
      <c r="I7" s="4">
        <v>23.6</v>
      </c>
      <c r="J7" s="4">
        <v>25.2</v>
      </c>
      <c r="K7" s="4">
        <v>24.8</v>
      </c>
      <c r="L7" s="4">
        <v>25.7</v>
      </c>
      <c r="M7" s="21">
        <v>24</v>
      </c>
      <c r="N7" s="21">
        <v>25</v>
      </c>
      <c r="O7" s="4">
        <f t="shared" si="0"/>
        <v>24.34</v>
      </c>
      <c r="P7" s="4">
        <f t="shared" si="0"/>
        <v>25.660000000000004</v>
      </c>
      <c r="Q7" s="4">
        <f t="shared" si="1"/>
        <v>0.57271284253105381</v>
      </c>
      <c r="R7" s="4">
        <f t="shared" si="1"/>
        <v>0.55497747702046407</v>
      </c>
      <c r="S7" s="4">
        <f t="shared" si="3"/>
        <v>0.50200494021473496</v>
      </c>
      <c r="T7" s="4">
        <f t="shared" si="3"/>
        <v>0.48645920692284134</v>
      </c>
    </row>
    <row r="8" spans="1:22" x14ac:dyDescent="0.3">
      <c r="A8" s="126"/>
      <c r="B8" s="94">
        <v>2</v>
      </c>
      <c r="C8" s="4" t="str">
        <f t="shared" si="2"/>
        <v>24.5(±0.6)</v>
      </c>
      <c r="D8" s="27" t="str">
        <f t="shared" si="2"/>
        <v>25.9(±0.4)</v>
      </c>
      <c r="E8" s="62">
        <v>23.6</v>
      </c>
      <c r="F8" s="63">
        <v>25.3</v>
      </c>
      <c r="G8" s="4">
        <v>25</v>
      </c>
      <c r="H8" s="4">
        <v>26.3</v>
      </c>
      <c r="I8" s="21">
        <v>24.8</v>
      </c>
      <c r="J8" s="21">
        <v>25.9</v>
      </c>
      <c r="K8" s="4">
        <v>23.8</v>
      </c>
      <c r="L8" s="4">
        <v>25.6</v>
      </c>
      <c r="M8" s="21">
        <v>24.9</v>
      </c>
      <c r="N8" s="21">
        <v>26.1</v>
      </c>
      <c r="O8" s="4">
        <f t="shared" si="0"/>
        <v>24.419999999999998</v>
      </c>
      <c r="P8" s="4">
        <f t="shared" si="0"/>
        <v>25.839999999999996</v>
      </c>
      <c r="Q8" s="4">
        <f t="shared" si="1"/>
        <v>0.66483080554378571</v>
      </c>
      <c r="R8" s="4">
        <f t="shared" si="1"/>
        <v>0.39749213828703572</v>
      </c>
      <c r="S8" s="4">
        <f t="shared" si="3"/>
        <v>0.58274989489488482</v>
      </c>
      <c r="T8" s="4">
        <f t="shared" si="3"/>
        <v>0.348417221158771</v>
      </c>
    </row>
    <row r="9" spans="1:22" ht="17.25" thickBot="1" x14ac:dyDescent="0.35">
      <c r="A9" s="134"/>
      <c r="B9" s="7">
        <v>3</v>
      </c>
      <c r="C9" s="25" t="str">
        <f t="shared" si="2"/>
        <v>24.2(±0.6)</v>
      </c>
      <c r="D9" s="28" t="str">
        <f t="shared" si="2"/>
        <v>25.4(±0.7)</v>
      </c>
      <c r="E9" s="62">
        <v>24.5</v>
      </c>
      <c r="F9" s="63">
        <v>26</v>
      </c>
      <c r="G9" s="4">
        <v>23.5</v>
      </c>
      <c r="H9" s="4">
        <v>24.4</v>
      </c>
      <c r="I9" s="21">
        <v>24.7</v>
      </c>
      <c r="J9" s="21">
        <v>25.7</v>
      </c>
      <c r="K9" s="21">
        <v>23.4</v>
      </c>
      <c r="L9" s="21">
        <v>24.9</v>
      </c>
      <c r="M9" s="21">
        <v>24.8</v>
      </c>
      <c r="N9" s="21">
        <v>26</v>
      </c>
      <c r="O9" s="4">
        <f t="shared" si="0"/>
        <v>24.18</v>
      </c>
      <c r="P9" s="4">
        <f t="shared" si="0"/>
        <v>25.4</v>
      </c>
      <c r="Q9" s="4">
        <f t="shared" si="1"/>
        <v>0.67601775124622332</v>
      </c>
      <c r="R9" s="4">
        <f t="shared" si="1"/>
        <v>0.7176350047203669</v>
      </c>
      <c r="S9" s="4">
        <f t="shared" si="3"/>
        <v>0.59255568514697454</v>
      </c>
      <c r="T9" s="4">
        <f t="shared" si="3"/>
        <v>0.62903481620654411</v>
      </c>
    </row>
    <row r="10" spans="1:22" x14ac:dyDescent="0.3">
      <c r="A10" s="136" t="s">
        <v>55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7"/>
      <c r="V10" s="137"/>
    </row>
    <row r="11" spans="1:22" x14ac:dyDescent="0.3">
      <c r="A11" s="136" t="s">
        <v>56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7"/>
      <c r="V11" s="137"/>
    </row>
  </sheetData>
  <mergeCells count="22">
    <mergeCell ref="Q2:R2"/>
    <mergeCell ref="S2:T2"/>
    <mergeCell ref="A4:A6"/>
    <mergeCell ref="A7:A9"/>
    <mergeCell ref="A10:T10"/>
    <mergeCell ref="A11:T11"/>
    <mergeCell ref="O1:P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AD5A-18E1-418C-B2AC-CA369A09905C}">
  <dimension ref="A1:W14"/>
  <sheetViews>
    <sheetView workbookViewId="0">
      <selection activeCell="A14" sqref="A14:W14"/>
    </sheetView>
  </sheetViews>
  <sheetFormatPr defaultRowHeight="16.5" x14ac:dyDescent="0.3"/>
  <cols>
    <col min="1" max="1" width="6.375" bestFit="1" customWidth="1"/>
    <col min="2" max="2" width="5.375" bestFit="1" customWidth="1"/>
    <col min="3" max="3" width="7.25" bestFit="1" customWidth="1"/>
    <col min="4" max="4" width="8.5" bestFit="1" customWidth="1"/>
    <col min="5" max="5" width="10.5" customWidth="1"/>
    <col min="6" max="7" width="8.75" bestFit="1" customWidth="1"/>
    <col min="8" max="19" width="5.375" bestFit="1" customWidth="1"/>
    <col min="20" max="20" width="5.125" bestFit="1" customWidth="1"/>
    <col min="21" max="21" width="4.5" bestFit="1" customWidth="1"/>
    <col min="22" max="22" width="5.125" bestFit="1" customWidth="1"/>
    <col min="23" max="23" width="4.5" bestFit="1" customWidth="1"/>
  </cols>
  <sheetData>
    <row r="1" spans="1:23" ht="17.25" thickBot="1" x14ac:dyDescent="0.35">
      <c r="A1" s="1"/>
      <c r="B1" s="1"/>
      <c r="C1" s="1"/>
      <c r="F1" s="104"/>
      <c r="G1" s="104"/>
      <c r="H1" s="104" t="s">
        <v>52</v>
      </c>
      <c r="I1" s="104"/>
      <c r="J1" s="105" t="s">
        <v>29</v>
      </c>
      <c r="K1" s="105"/>
      <c r="L1" s="105" t="s">
        <v>30</v>
      </c>
      <c r="M1" s="105"/>
      <c r="N1" s="105" t="s">
        <v>31</v>
      </c>
      <c r="O1" s="105"/>
      <c r="P1" s="104" t="s">
        <v>32</v>
      </c>
      <c r="Q1" s="104"/>
      <c r="R1" s="122" t="s">
        <v>34</v>
      </c>
      <c r="S1" s="122"/>
      <c r="T1" s="93"/>
      <c r="U1" s="1"/>
      <c r="V1" s="1"/>
      <c r="W1" s="1"/>
    </row>
    <row r="2" spans="1:23" x14ac:dyDescent="0.3">
      <c r="A2" s="130" t="s">
        <v>8</v>
      </c>
      <c r="B2" s="128"/>
      <c r="C2" s="127" t="s">
        <v>7</v>
      </c>
      <c r="D2" s="108" t="s">
        <v>46</v>
      </c>
      <c r="E2" s="108" t="s">
        <v>33</v>
      </c>
      <c r="F2" s="110" t="s">
        <v>6</v>
      </c>
      <c r="G2" s="111"/>
      <c r="H2" s="106" t="s">
        <v>6</v>
      </c>
      <c r="I2" s="107"/>
      <c r="J2" s="106" t="s">
        <v>6</v>
      </c>
      <c r="K2" s="107"/>
      <c r="L2" s="106" t="s">
        <v>6</v>
      </c>
      <c r="M2" s="107"/>
      <c r="N2" s="106" t="s">
        <v>6</v>
      </c>
      <c r="O2" s="107"/>
      <c r="P2" s="106" t="s">
        <v>6</v>
      </c>
      <c r="Q2" s="106"/>
      <c r="R2" s="121" t="s">
        <v>6</v>
      </c>
      <c r="S2" s="121"/>
      <c r="T2" s="106" t="s">
        <v>35</v>
      </c>
      <c r="U2" s="107"/>
      <c r="V2" s="106" t="s">
        <v>36</v>
      </c>
      <c r="W2" s="107"/>
    </row>
    <row r="3" spans="1:23" x14ac:dyDescent="0.3">
      <c r="A3" s="97" t="s">
        <v>9</v>
      </c>
      <c r="B3" s="94" t="s">
        <v>10</v>
      </c>
      <c r="C3" s="121"/>
      <c r="D3" s="109"/>
      <c r="E3" s="109"/>
      <c r="F3" s="100" t="s">
        <v>2</v>
      </c>
      <c r="G3" s="5" t="s">
        <v>3</v>
      </c>
      <c r="H3" s="100" t="s">
        <v>2</v>
      </c>
      <c r="I3" s="94" t="s">
        <v>3</v>
      </c>
      <c r="J3" s="94" t="s">
        <v>2</v>
      </c>
      <c r="K3" s="94" t="s">
        <v>3</v>
      </c>
      <c r="L3" s="94" t="s">
        <v>2</v>
      </c>
      <c r="M3" s="94" t="s">
        <v>3</v>
      </c>
      <c r="N3" s="94" t="s">
        <v>2</v>
      </c>
      <c r="O3" s="94" t="s">
        <v>3</v>
      </c>
      <c r="P3" s="94" t="s">
        <v>2</v>
      </c>
      <c r="Q3" s="99" t="s">
        <v>3</v>
      </c>
      <c r="R3" s="94" t="s">
        <v>2</v>
      </c>
      <c r="S3" s="94" t="s">
        <v>3</v>
      </c>
      <c r="T3" s="100" t="s">
        <v>2</v>
      </c>
      <c r="U3" s="94" t="s">
        <v>3</v>
      </c>
      <c r="V3" s="94" t="s">
        <v>2</v>
      </c>
      <c r="W3" s="94" t="s">
        <v>3</v>
      </c>
    </row>
    <row r="4" spans="1:23" x14ac:dyDescent="0.3">
      <c r="A4" s="97">
        <v>0</v>
      </c>
      <c r="B4" s="94">
        <v>0</v>
      </c>
      <c r="C4" s="6">
        <f>207682/1000000</f>
        <v>0.20768200000000001</v>
      </c>
      <c r="D4" s="93">
        <v>70</v>
      </c>
      <c r="E4" s="29">
        <v>3</v>
      </c>
      <c r="F4" s="4" t="str">
        <f>CONCATENATE(ROUNDUP(R4,1),"(±",ROUNDUP(V4,1),")")</f>
        <v>24.4(±0.6)</v>
      </c>
      <c r="G4" s="27" t="str">
        <f>CONCATENATE(ROUNDUP(S4,1),"(±",ROUNDUP(W4,1),")")</f>
        <v>25.7(±0.5)</v>
      </c>
      <c r="H4" s="62">
        <v>25</v>
      </c>
      <c r="I4" s="63">
        <v>26.2</v>
      </c>
      <c r="J4" s="21">
        <v>24.3</v>
      </c>
      <c r="K4" s="21">
        <v>26.2</v>
      </c>
      <c r="L4" s="21">
        <v>23.6</v>
      </c>
      <c r="M4" s="21">
        <v>25.2</v>
      </c>
      <c r="N4" s="21">
        <v>24.8</v>
      </c>
      <c r="O4" s="21">
        <v>25.7</v>
      </c>
      <c r="P4" s="21">
        <v>24</v>
      </c>
      <c r="Q4" s="66">
        <v>25</v>
      </c>
      <c r="R4" s="4">
        <f>AVERAGE(P4,N4,L4,J4,H4)</f>
        <v>24.34</v>
      </c>
      <c r="S4" s="4">
        <f>AVERAGE(Q4,O4,M4,K4,I4)</f>
        <v>25.660000000000004</v>
      </c>
      <c r="T4" s="67">
        <f t="shared" ref="T4:U12" si="0">_xlfn.STDEV.S(H4,P4,J4,L4,N4)</f>
        <v>0.57271284253105381</v>
      </c>
      <c r="U4" s="4">
        <f t="shared" si="0"/>
        <v>0.55497747702046407</v>
      </c>
      <c r="V4" s="4">
        <f>1.96*(T4/SQRT(5))</f>
        <v>0.50200494021473496</v>
      </c>
      <c r="W4" s="4">
        <f>1.96*(U4/SQRT(5))</f>
        <v>0.48645920692284134</v>
      </c>
    </row>
    <row r="5" spans="1:23" x14ac:dyDescent="0.3">
      <c r="A5" s="97">
        <v>1</v>
      </c>
      <c r="B5" s="94">
        <v>0</v>
      </c>
      <c r="C5" s="6">
        <f>298402/1000000</f>
        <v>0.298402</v>
      </c>
      <c r="D5" s="92">
        <v>110</v>
      </c>
      <c r="E5" s="29">
        <v>3</v>
      </c>
      <c r="F5" s="4" t="str">
        <f t="shared" ref="F5:G12" si="1">CONCATENATE(ROUNDUP(R5,1),"(±",ROUNDUP(V5,1),")")</f>
        <v>23.6(±0.4)</v>
      </c>
      <c r="G5" s="27" t="str">
        <f t="shared" si="1"/>
        <v>25(±0.4)</v>
      </c>
      <c r="H5" s="48">
        <v>23.6</v>
      </c>
      <c r="I5" s="21">
        <v>25.2</v>
      </c>
      <c r="J5" s="21">
        <v>23.7</v>
      </c>
      <c r="K5" s="21">
        <v>25.3</v>
      </c>
      <c r="L5" s="21">
        <v>23.8</v>
      </c>
      <c r="M5" s="21">
        <v>25.1</v>
      </c>
      <c r="N5" s="21">
        <v>23.7</v>
      </c>
      <c r="O5" s="21">
        <v>25.1</v>
      </c>
      <c r="P5" s="21">
        <v>22.9</v>
      </c>
      <c r="Q5" s="66">
        <v>24.3</v>
      </c>
      <c r="R5" s="4">
        <f t="shared" ref="R5:S12" si="2">AVERAGE(P5,N5,L5,J5,H5)</f>
        <v>23.54</v>
      </c>
      <c r="S5" s="4">
        <f t="shared" si="2"/>
        <v>25</v>
      </c>
      <c r="T5" s="67">
        <f t="shared" si="0"/>
        <v>0.36469165057621006</v>
      </c>
      <c r="U5" s="4">
        <f t="shared" si="0"/>
        <v>0.39999999999999986</v>
      </c>
      <c r="V5" s="4">
        <f t="shared" ref="V5:W12" si="3">1.96*(T5/SQRT(5))</f>
        <v>0.31966632603388234</v>
      </c>
      <c r="W5" s="4">
        <f t="shared" si="3"/>
        <v>0.35061545887196688</v>
      </c>
    </row>
    <row r="6" spans="1:23" x14ac:dyDescent="0.3">
      <c r="A6" s="97">
        <v>1</v>
      </c>
      <c r="B6" s="94">
        <v>1</v>
      </c>
      <c r="C6" s="6">
        <f>389122/1000000</f>
        <v>0.38912200000000002</v>
      </c>
      <c r="D6" s="94">
        <v>150</v>
      </c>
      <c r="E6" s="65">
        <v>7</v>
      </c>
      <c r="F6" s="21" t="str">
        <f t="shared" si="1"/>
        <v>22.7(±0.6)</v>
      </c>
      <c r="G6" s="68" t="str">
        <f t="shared" si="1"/>
        <v>24.1(±0.3)</v>
      </c>
      <c r="H6" s="62">
        <v>23</v>
      </c>
      <c r="I6" s="63">
        <v>24.2</v>
      </c>
      <c r="J6" s="21">
        <v>21.8</v>
      </c>
      <c r="K6" s="21">
        <v>23.7</v>
      </c>
      <c r="L6" s="21">
        <v>22.4</v>
      </c>
      <c r="M6" s="21">
        <v>23.8</v>
      </c>
      <c r="N6" s="21">
        <v>23.3</v>
      </c>
      <c r="O6" s="21">
        <v>23.9</v>
      </c>
      <c r="P6" s="21">
        <v>23</v>
      </c>
      <c r="Q6" s="66">
        <v>24.5</v>
      </c>
      <c r="R6" s="21">
        <f t="shared" si="2"/>
        <v>22.699999999999996</v>
      </c>
      <c r="S6" s="21">
        <f t="shared" si="2"/>
        <v>24.020000000000003</v>
      </c>
      <c r="T6" s="48">
        <f t="shared" si="0"/>
        <v>0.60000000000000009</v>
      </c>
      <c r="U6" s="21">
        <f t="shared" si="0"/>
        <v>0.3271085446759226</v>
      </c>
      <c r="V6" s="21">
        <f t="shared" si="3"/>
        <v>0.5259231883079506</v>
      </c>
      <c r="W6" s="21">
        <f t="shared" si="3"/>
        <v>0.28672328123122481</v>
      </c>
    </row>
    <row r="7" spans="1:23" x14ac:dyDescent="0.3">
      <c r="A7" s="97">
        <v>2</v>
      </c>
      <c r="B7" s="94">
        <v>0</v>
      </c>
      <c r="C7" s="6">
        <f>389122/1000000</f>
        <v>0.38912200000000002</v>
      </c>
      <c r="D7" s="94">
        <v>150</v>
      </c>
      <c r="E7" s="65">
        <v>3</v>
      </c>
      <c r="F7" s="21" t="str">
        <f t="shared" si="1"/>
        <v>23.1(±0.2)</v>
      </c>
      <c r="G7" s="68" t="str">
        <f t="shared" si="1"/>
        <v>24.5(±0.2)</v>
      </c>
      <c r="H7" s="48">
        <v>23</v>
      </c>
      <c r="I7" s="21">
        <v>24.3</v>
      </c>
      <c r="J7" s="21">
        <v>23</v>
      </c>
      <c r="K7" s="21">
        <v>24.7</v>
      </c>
      <c r="L7" s="21">
        <v>23.1</v>
      </c>
      <c r="M7" s="21">
        <v>24.2</v>
      </c>
      <c r="N7" s="21">
        <v>23.3</v>
      </c>
      <c r="O7" s="21">
        <v>24.5</v>
      </c>
      <c r="P7" s="21">
        <v>22.9</v>
      </c>
      <c r="Q7" s="66">
        <v>24.5</v>
      </c>
      <c r="R7" s="21">
        <f t="shared" si="2"/>
        <v>23.060000000000002</v>
      </c>
      <c r="S7" s="21">
        <f t="shared" si="2"/>
        <v>24.44</v>
      </c>
      <c r="T7" s="48">
        <f t="shared" si="0"/>
        <v>0.15165750888103177</v>
      </c>
      <c r="U7" s="21">
        <f t="shared" si="0"/>
        <v>0.19493588689617913</v>
      </c>
      <c r="V7" s="21">
        <f t="shared" si="3"/>
        <v>0.13293366766925591</v>
      </c>
      <c r="W7" s="21">
        <f t="shared" si="3"/>
        <v>0.17086883858679425</v>
      </c>
    </row>
    <row r="8" spans="1:23" x14ac:dyDescent="0.3">
      <c r="A8" s="97">
        <v>2</v>
      </c>
      <c r="B8" s="94">
        <v>1</v>
      </c>
      <c r="C8" s="6">
        <f>479842/1000000</f>
        <v>0.47984199999999999</v>
      </c>
      <c r="D8" s="94">
        <v>190</v>
      </c>
      <c r="E8" s="30">
        <v>7</v>
      </c>
      <c r="F8" s="21" t="str">
        <f t="shared" si="1"/>
        <v>22.5(±0.6)</v>
      </c>
      <c r="G8" s="68" t="str">
        <f t="shared" si="1"/>
        <v>23.7(±0.6)</v>
      </c>
      <c r="H8" s="48">
        <v>22.8</v>
      </c>
      <c r="I8" s="21">
        <v>24.2</v>
      </c>
      <c r="J8" s="21">
        <v>21.5</v>
      </c>
      <c r="K8" s="21">
        <v>22.6</v>
      </c>
      <c r="L8" s="21">
        <v>22.5</v>
      </c>
      <c r="M8" s="21">
        <v>23.6</v>
      </c>
      <c r="N8" s="21">
        <v>22.6</v>
      </c>
      <c r="O8" s="21">
        <v>24</v>
      </c>
      <c r="P8" s="21">
        <v>23</v>
      </c>
      <c r="Q8" s="66">
        <v>24.1</v>
      </c>
      <c r="R8" s="21">
        <f t="shared" si="2"/>
        <v>22.479999999999997</v>
      </c>
      <c r="S8" s="21">
        <f t="shared" si="2"/>
        <v>23.700000000000003</v>
      </c>
      <c r="T8" s="48">
        <f t="shared" si="0"/>
        <v>0.5805170109479999</v>
      </c>
      <c r="U8" s="21">
        <f t="shared" si="0"/>
        <v>0.6557438524301995</v>
      </c>
      <c r="V8" s="21">
        <f t="shared" si="3"/>
        <v>0.50884559544128916</v>
      </c>
      <c r="W8" s="21">
        <f t="shared" si="3"/>
        <v>0.57478482930571451</v>
      </c>
    </row>
    <row r="9" spans="1:23" x14ac:dyDescent="0.3">
      <c r="A9" s="32">
        <v>2</v>
      </c>
      <c r="B9" s="94">
        <v>2</v>
      </c>
      <c r="C9" s="6">
        <f>570562/1000000</f>
        <v>0.57056200000000001</v>
      </c>
      <c r="D9" s="94">
        <v>230</v>
      </c>
      <c r="E9" s="65">
        <v>11</v>
      </c>
      <c r="F9" s="21" t="str">
        <f t="shared" si="1"/>
        <v>20.8(±0.4)</v>
      </c>
      <c r="G9" s="68" t="str">
        <f t="shared" si="1"/>
        <v>22.2(±0.3)</v>
      </c>
      <c r="H9" s="62">
        <v>20.5</v>
      </c>
      <c r="I9" s="63">
        <v>21.9</v>
      </c>
      <c r="J9" s="21">
        <v>20.9</v>
      </c>
      <c r="K9" s="21">
        <v>22.3</v>
      </c>
      <c r="L9" s="21">
        <v>21.1</v>
      </c>
      <c r="M9" s="21">
        <v>22.5</v>
      </c>
      <c r="N9" s="21">
        <v>20.2</v>
      </c>
      <c r="O9" s="21">
        <v>21.7</v>
      </c>
      <c r="P9" s="21">
        <v>20.9</v>
      </c>
      <c r="Q9" s="66">
        <v>22.2</v>
      </c>
      <c r="R9" s="21">
        <f t="shared" si="2"/>
        <v>20.72</v>
      </c>
      <c r="S9" s="21">
        <f t="shared" si="2"/>
        <v>22.119999999999997</v>
      </c>
      <c r="T9" s="48">
        <f t="shared" si="0"/>
        <v>0.3633180424916993</v>
      </c>
      <c r="U9" s="21">
        <f t="shared" si="0"/>
        <v>0.31937438845342675</v>
      </c>
      <c r="V9" s="21">
        <f t="shared" si="3"/>
        <v>0.31846230546172988</v>
      </c>
      <c r="W9" s="21">
        <f t="shared" si="3"/>
        <v>0.27994399439888012</v>
      </c>
    </row>
    <row r="10" spans="1:23" x14ac:dyDescent="0.3">
      <c r="A10" s="32">
        <v>3</v>
      </c>
      <c r="B10" s="94">
        <v>2</v>
      </c>
      <c r="C10" s="6">
        <v>0.66</v>
      </c>
      <c r="D10" s="94">
        <v>310</v>
      </c>
      <c r="E10" s="65">
        <v>11</v>
      </c>
      <c r="F10" s="21" t="str">
        <f t="shared" si="1"/>
        <v>21(±0.3)</v>
      </c>
      <c r="G10" s="68" t="str">
        <f t="shared" si="1"/>
        <v>22.5(±0.4)</v>
      </c>
      <c r="H10" s="48">
        <v>20.8</v>
      </c>
      <c r="I10" s="21">
        <v>21.9</v>
      </c>
      <c r="J10" s="21">
        <v>21.2</v>
      </c>
      <c r="K10" s="21">
        <v>22.8</v>
      </c>
      <c r="L10" s="21">
        <v>21.2</v>
      </c>
      <c r="M10" s="21">
        <v>22.5</v>
      </c>
      <c r="N10" s="21">
        <v>20.7</v>
      </c>
      <c r="O10" s="21">
        <v>22.3</v>
      </c>
      <c r="P10" s="21">
        <v>21.1</v>
      </c>
      <c r="Q10" s="66">
        <v>22.7</v>
      </c>
      <c r="R10" s="21">
        <f t="shared" si="2"/>
        <v>21</v>
      </c>
      <c r="S10" s="21">
        <f t="shared" si="2"/>
        <v>22.439999999999998</v>
      </c>
      <c r="T10" s="48">
        <f t="shared" si="0"/>
        <v>0.2345207879911714</v>
      </c>
      <c r="U10" s="21">
        <f t="shared" si="0"/>
        <v>0.35777087639996685</v>
      </c>
      <c r="V10" s="21">
        <f t="shared" si="3"/>
        <v>0.20556653424134963</v>
      </c>
      <c r="W10" s="21">
        <f t="shared" si="3"/>
        <v>0.31360000000000043</v>
      </c>
    </row>
    <row r="11" spans="1:23" x14ac:dyDescent="0.3">
      <c r="A11" s="32">
        <v>4</v>
      </c>
      <c r="B11" s="94">
        <v>1</v>
      </c>
      <c r="C11" s="6">
        <v>0.66</v>
      </c>
      <c r="D11" s="94">
        <v>310</v>
      </c>
      <c r="E11" s="65">
        <v>7</v>
      </c>
      <c r="F11" s="21" t="str">
        <f t="shared" si="1"/>
        <v>21.1(±0.1)</v>
      </c>
      <c r="G11" s="68" t="str">
        <f t="shared" si="1"/>
        <v>22.5(±0.3)</v>
      </c>
      <c r="H11" s="48">
        <v>21</v>
      </c>
      <c r="I11" s="21">
        <v>22.9</v>
      </c>
      <c r="J11" s="21">
        <v>21.1</v>
      </c>
      <c r="K11" s="21">
        <v>22.6</v>
      </c>
      <c r="L11" s="21">
        <v>20.9</v>
      </c>
      <c r="M11" s="21">
        <v>22.1</v>
      </c>
      <c r="N11" s="21">
        <v>21.1</v>
      </c>
      <c r="O11" s="21">
        <v>22.6</v>
      </c>
      <c r="P11" s="21">
        <v>21.1</v>
      </c>
      <c r="Q11" s="66">
        <v>22.3</v>
      </c>
      <c r="R11" s="21">
        <f t="shared" si="2"/>
        <v>21.04</v>
      </c>
      <c r="S11" s="21">
        <f t="shared" si="2"/>
        <v>22.5</v>
      </c>
      <c r="T11" s="48">
        <f t="shared" si="0"/>
        <v>8.9442719099992865E-2</v>
      </c>
      <c r="U11" s="21">
        <f t="shared" si="0"/>
        <v>0.30822070014844799</v>
      </c>
      <c r="V11" s="21">
        <f t="shared" si="3"/>
        <v>7.8400000000001122E-2</v>
      </c>
      <c r="W11" s="21">
        <f t="shared" si="3"/>
        <v>0.2701673555409676</v>
      </c>
    </row>
    <row r="12" spans="1:23" ht="17.25" thickBot="1" x14ac:dyDescent="0.35">
      <c r="A12" s="33">
        <v>5</v>
      </c>
      <c r="B12" s="7">
        <v>0</v>
      </c>
      <c r="C12" s="34">
        <f>661282/1000000</f>
        <v>0.66128200000000004</v>
      </c>
      <c r="D12" s="69">
        <v>310</v>
      </c>
      <c r="E12" s="70">
        <v>3</v>
      </c>
      <c r="F12" s="24" t="str">
        <f t="shared" si="1"/>
        <v>22.6(±0.3)</v>
      </c>
      <c r="G12" s="71" t="str">
        <f t="shared" si="1"/>
        <v>24.2(±0.5)</v>
      </c>
      <c r="H12" s="48">
        <v>23</v>
      </c>
      <c r="I12" s="21">
        <v>24.3</v>
      </c>
      <c r="J12" s="21">
        <v>22.5</v>
      </c>
      <c r="K12" s="21">
        <v>23.8</v>
      </c>
      <c r="L12" s="21">
        <v>22.5</v>
      </c>
      <c r="M12" s="21">
        <v>24</v>
      </c>
      <c r="N12" s="21">
        <v>22.3</v>
      </c>
      <c r="O12" s="21">
        <v>23.9</v>
      </c>
      <c r="P12" s="21">
        <v>22.5</v>
      </c>
      <c r="Q12" s="66">
        <v>25</v>
      </c>
      <c r="R12" s="21">
        <f t="shared" si="2"/>
        <v>22.56</v>
      </c>
      <c r="S12" s="21">
        <f t="shared" si="2"/>
        <v>24.2</v>
      </c>
      <c r="T12" s="48">
        <f t="shared" si="0"/>
        <v>0.26076809620810582</v>
      </c>
      <c r="U12" s="21">
        <f t="shared" si="0"/>
        <v>0.48476798574163299</v>
      </c>
      <c r="V12" s="21">
        <f t="shared" si="3"/>
        <v>0.22857331427793565</v>
      </c>
      <c r="W12" s="21">
        <f t="shared" si="3"/>
        <v>0.42491787441810452</v>
      </c>
    </row>
    <row r="13" spans="1:23" x14ac:dyDescent="0.3">
      <c r="A13" s="136" t="s">
        <v>54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</row>
    <row r="14" spans="1:23" x14ac:dyDescent="0.3">
      <c r="A14" s="136" t="s">
        <v>56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</row>
  </sheetData>
  <mergeCells count="22">
    <mergeCell ref="P2:Q2"/>
    <mergeCell ref="R2:S2"/>
    <mergeCell ref="T2:U2"/>
    <mergeCell ref="V2:W2"/>
    <mergeCell ref="A13:W13"/>
    <mergeCell ref="A14:W14"/>
    <mergeCell ref="R1:S1"/>
    <mergeCell ref="A2:B2"/>
    <mergeCell ref="C2:C3"/>
    <mergeCell ref="D2:D3"/>
    <mergeCell ref="E2:E3"/>
    <mergeCell ref="F2:G2"/>
    <mergeCell ref="H2:I2"/>
    <mergeCell ref="J2:K2"/>
    <mergeCell ref="L2:M2"/>
    <mergeCell ref="N2:O2"/>
    <mergeCell ref="F1:G1"/>
    <mergeCell ref="H1:I1"/>
    <mergeCell ref="J1:K1"/>
    <mergeCell ref="L1:M1"/>
    <mergeCell ref="N1:O1"/>
    <mergeCell ref="P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055A-33A3-438B-8059-8457081C76E6}">
  <dimension ref="A1:V9"/>
  <sheetViews>
    <sheetView workbookViewId="0">
      <selection activeCell="A9" sqref="A9:T9"/>
    </sheetView>
  </sheetViews>
  <sheetFormatPr defaultRowHeight="16.5" x14ac:dyDescent="0.3"/>
  <cols>
    <col min="1" max="1" width="7.25" bestFit="1" customWidth="1"/>
    <col min="2" max="2" width="7.375" bestFit="1" customWidth="1"/>
    <col min="3" max="4" width="8.75" bestFit="1" customWidth="1"/>
    <col min="5" max="5" width="5.125" bestFit="1" customWidth="1"/>
    <col min="6" max="6" width="4.5" bestFit="1" customWidth="1"/>
    <col min="7" max="7" width="5.125" bestFit="1" customWidth="1"/>
    <col min="8" max="8" width="4.5" bestFit="1" customWidth="1"/>
    <col min="9" max="9" width="5.125" bestFit="1" customWidth="1"/>
    <col min="10" max="10" width="4.5" bestFit="1" customWidth="1"/>
    <col min="11" max="11" width="5.125" bestFit="1" customWidth="1"/>
    <col min="12" max="12" width="4.5" bestFit="1" customWidth="1"/>
    <col min="13" max="13" width="5.125" bestFit="1" customWidth="1"/>
    <col min="14" max="14" width="4.5" bestFit="1" customWidth="1"/>
    <col min="15" max="16" width="5.375" bestFit="1" customWidth="1"/>
    <col min="17" max="17" width="5.125" bestFit="1" customWidth="1"/>
    <col min="18" max="18" width="4.5" bestFit="1" customWidth="1"/>
    <col min="19" max="19" width="5.125" bestFit="1" customWidth="1"/>
    <col min="20" max="20" width="4.5" bestFit="1" customWidth="1"/>
  </cols>
  <sheetData>
    <row r="1" spans="1:22" ht="17.25" thickBot="1" x14ac:dyDescent="0.35">
      <c r="A1" s="1"/>
      <c r="B1" s="1"/>
      <c r="C1" s="104"/>
      <c r="D1" s="104"/>
      <c r="E1" s="122" t="s">
        <v>52</v>
      </c>
      <c r="F1" s="122"/>
      <c r="G1" s="105" t="s">
        <v>29</v>
      </c>
      <c r="H1" s="105"/>
      <c r="I1" s="105" t="s">
        <v>30</v>
      </c>
      <c r="J1" s="105"/>
      <c r="K1" s="105" t="s">
        <v>31</v>
      </c>
      <c r="L1" s="105"/>
      <c r="M1" s="122" t="s">
        <v>32</v>
      </c>
      <c r="N1" s="122"/>
      <c r="O1" s="122" t="s">
        <v>34</v>
      </c>
      <c r="P1" s="122"/>
      <c r="Q1" s="1"/>
      <c r="R1" s="1"/>
      <c r="S1" s="1"/>
      <c r="T1" s="1"/>
    </row>
    <row r="2" spans="1:22" x14ac:dyDescent="0.3">
      <c r="A2" s="131" t="s">
        <v>7</v>
      </c>
      <c r="B2" s="108" t="s">
        <v>45</v>
      </c>
      <c r="C2" s="124" t="s">
        <v>6</v>
      </c>
      <c r="D2" s="111"/>
      <c r="E2" s="132" t="s">
        <v>6</v>
      </c>
      <c r="F2" s="120"/>
      <c r="G2" s="120" t="s">
        <v>6</v>
      </c>
      <c r="H2" s="120"/>
      <c r="I2" s="120" t="s">
        <v>6</v>
      </c>
      <c r="J2" s="120"/>
      <c r="K2" s="120" t="s">
        <v>6</v>
      </c>
      <c r="L2" s="120"/>
      <c r="M2" s="120" t="s">
        <v>6</v>
      </c>
      <c r="N2" s="120"/>
      <c r="O2" s="123" t="s">
        <v>6</v>
      </c>
      <c r="P2" s="107"/>
      <c r="Q2" s="120" t="s">
        <v>35</v>
      </c>
      <c r="R2" s="120"/>
      <c r="S2" s="120" t="s">
        <v>36</v>
      </c>
      <c r="T2" s="120"/>
    </row>
    <row r="3" spans="1:22" x14ac:dyDescent="0.3">
      <c r="A3" s="119"/>
      <c r="B3" s="120"/>
      <c r="C3" s="94" t="s">
        <v>2</v>
      </c>
      <c r="D3" s="5" t="s">
        <v>3</v>
      </c>
      <c r="E3" s="95" t="s">
        <v>2</v>
      </c>
      <c r="F3" s="92" t="s">
        <v>3</v>
      </c>
      <c r="G3" s="92" t="s">
        <v>2</v>
      </c>
      <c r="H3" s="92" t="s">
        <v>3</v>
      </c>
      <c r="I3" s="92" t="s">
        <v>2</v>
      </c>
      <c r="J3" s="92" t="s">
        <v>3</v>
      </c>
      <c r="K3" s="92" t="s">
        <v>2</v>
      </c>
      <c r="L3" s="92" t="s">
        <v>3</v>
      </c>
      <c r="M3" s="92" t="s">
        <v>2</v>
      </c>
      <c r="N3" s="92" t="s">
        <v>3</v>
      </c>
      <c r="O3" s="94" t="s">
        <v>2</v>
      </c>
      <c r="P3" s="94" t="s">
        <v>3</v>
      </c>
      <c r="Q3" s="94" t="s">
        <v>2</v>
      </c>
      <c r="R3" s="94" t="s">
        <v>3</v>
      </c>
      <c r="S3" s="94" t="s">
        <v>2</v>
      </c>
      <c r="T3" s="94" t="s">
        <v>3</v>
      </c>
    </row>
    <row r="4" spans="1:22" x14ac:dyDescent="0.3">
      <c r="A4" s="35">
        <f>138526/1000000</f>
        <v>0.13852600000000001</v>
      </c>
      <c r="B4" s="92">
        <v>2</v>
      </c>
      <c r="C4" s="4" t="str">
        <f>CONCATENATE(ROUNDUP(O4,1),"(±",ROUNDUP(S4,1),")")</f>
        <v>26.6(±0.2)</v>
      </c>
      <c r="D4" s="27" t="str">
        <f>CONCATENATE(ROUNDUP(P4,1),"(±",ROUNDUP(T4,1),")")</f>
        <v>27.9(±0.2)</v>
      </c>
      <c r="E4" s="60">
        <v>26.7</v>
      </c>
      <c r="F4" s="56">
        <v>28</v>
      </c>
      <c r="G4" s="2">
        <v>26.4</v>
      </c>
      <c r="H4" s="2">
        <v>27.9</v>
      </c>
      <c r="I4" s="2">
        <v>26.7</v>
      </c>
      <c r="J4" s="2">
        <v>27.5</v>
      </c>
      <c r="K4" s="2">
        <v>26.6</v>
      </c>
      <c r="L4" s="2">
        <v>27.9</v>
      </c>
      <c r="M4" s="2">
        <v>26.6</v>
      </c>
      <c r="N4" s="2">
        <v>27.8</v>
      </c>
      <c r="O4" s="4">
        <f>AVERAGE(M4,K4,I4,G4,E4)</f>
        <v>26.6</v>
      </c>
      <c r="P4" s="4">
        <f>AVERAGE(N4,L4,J4,H4,F4)</f>
        <v>27.82</v>
      </c>
      <c r="Q4" s="4">
        <f t="shared" ref="Q4:R7" si="0">_xlfn.STDEV.S(E4,M4,G4,I4,K4)</f>
        <v>0.12247448713915919</v>
      </c>
      <c r="R4" s="4">
        <f t="shared" si="0"/>
        <v>0.19235384061671312</v>
      </c>
      <c r="S4" s="4">
        <f>1.96*(Q4/SQRT(5))</f>
        <v>0.10735362127101281</v>
      </c>
      <c r="T4" s="4">
        <f>1.96*(R4/SQRT(5))</f>
        <v>0.16860557523403519</v>
      </c>
    </row>
    <row r="5" spans="1:22" x14ac:dyDescent="0.3">
      <c r="A5" s="35">
        <f>191818/1000000</f>
        <v>0.19181799999999999</v>
      </c>
      <c r="B5" s="92">
        <v>4</v>
      </c>
      <c r="C5" s="4" t="str">
        <f t="shared" ref="C5:D7" si="1">CONCATENATE(ROUNDUP(O5,1),"(±",ROUNDUP(S5,1),")")</f>
        <v>23.6(±0.4)</v>
      </c>
      <c r="D5" s="27" t="str">
        <f t="shared" si="1"/>
        <v>25.1(±0.3)</v>
      </c>
      <c r="E5" s="60">
        <v>24.1</v>
      </c>
      <c r="F5" s="56">
        <v>25.2</v>
      </c>
      <c r="G5" s="2">
        <v>23.3</v>
      </c>
      <c r="H5" s="2">
        <v>24.7</v>
      </c>
      <c r="I5" s="2">
        <v>23.5</v>
      </c>
      <c r="J5" s="2">
        <v>25</v>
      </c>
      <c r="K5" s="2">
        <v>23.1</v>
      </c>
      <c r="L5" s="2">
        <v>25.4</v>
      </c>
      <c r="M5" s="2">
        <v>23.7</v>
      </c>
      <c r="N5" s="2">
        <v>25</v>
      </c>
      <c r="O5" s="4">
        <f t="shared" ref="O5:P7" si="2">AVERAGE(M5,K5,I5,G5,E5)</f>
        <v>23.54</v>
      </c>
      <c r="P5" s="4">
        <f t="shared" si="2"/>
        <v>25.060000000000002</v>
      </c>
      <c r="Q5" s="4">
        <f t="shared" si="0"/>
        <v>0.38470768123342686</v>
      </c>
      <c r="R5" s="4">
        <f t="shared" si="0"/>
        <v>0.26076809620810565</v>
      </c>
      <c r="S5" s="4">
        <f t="shared" ref="S5:T7" si="3">1.96*(Q5/SQRT(5))</f>
        <v>0.33721115046807087</v>
      </c>
      <c r="T5" s="4">
        <f t="shared" si="3"/>
        <v>0.22857331427793548</v>
      </c>
    </row>
    <row r="6" spans="1:22" x14ac:dyDescent="0.3">
      <c r="A6" s="36">
        <f>389122/1000000</f>
        <v>0.38912200000000002</v>
      </c>
      <c r="B6" s="94">
        <v>8</v>
      </c>
      <c r="C6" s="4" t="str">
        <f t="shared" si="1"/>
        <v>22.7(±0.6)</v>
      </c>
      <c r="D6" s="27" t="str">
        <f t="shared" si="1"/>
        <v>24.1(±0.3)</v>
      </c>
      <c r="E6" s="60">
        <f>Table2!H6</f>
        <v>23</v>
      </c>
      <c r="F6" s="60">
        <f>Table2!I6</f>
        <v>24.2</v>
      </c>
      <c r="G6" s="135">
        <f>Table2!J6</f>
        <v>21.8</v>
      </c>
      <c r="H6" s="135">
        <f>Table2!K6</f>
        <v>23.7</v>
      </c>
      <c r="I6" s="135">
        <f>Table2!L6</f>
        <v>22.4</v>
      </c>
      <c r="J6" s="135">
        <f>Table2!M6</f>
        <v>23.8</v>
      </c>
      <c r="K6" s="135">
        <f>Table2!N6</f>
        <v>23.3</v>
      </c>
      <c r="L6" s="135">
        <f>Table2!O6</f>
        <v>23.9</v>
      </c>
      <c r="M6" s="135">
        <f>Table2!P6</f>
        <v>23</v>
      </c>
      <c r="N6" s="135">
        <f>Table2!Q6</f>
        <v>24.5</v>
      </c>
      <c r="O6" s="4">
        <f t="shared" ref="O6" si="4">AVERAGE(M6,K6,I6,G6,E6)</f>
        <v>22.699999999999996</v>
      </c>
      <c r="P6" s="4">
        <f t="shared" ref="P6" si="5">AVERAGE(N6,L6,J6,H6,F6)</f>
        <v>24.020000000000003</v>
      </c>
      <c r="Q6" s="4">
        <f t="shared" ref="Q6" si="6">_xlfn.STDEV.S(E6,M6,G6,I6,K6)</f>
        <v>0.60000000000000009</v>
      </c>
      <c r="R6" s="4">
        <f t="shared" ref="R6" si="7">_xlfn.STDEV.S(F6,N6,H6,J6,L6)</f>
        <v>0.3271085446759226</v>
      </c>
      <c r="S6" s="4">
        <f t="shared" ref="S6" si="8">1.96*(Q6/SQRT(5))</f>
        <v>0.5259231883079506</v>
      </c>
      <c r="T6" s="4">
        <f t="shared" ref="T6" si="9">1.96*(R6/SQRT(5))</f>
        <v>0.28672328123122481</v>
      </c>
    </row>
    <row r="7" spans="1:22" ht="17.25" thickBot="1" x14ac:dyDescent="0.35">
      <c r="A7" s="37">
        <f>1146354/1000000</f>
        <v>1.1463540000000001</v>
      </c>
      <c r="B7" s="38">
        <v>16</v>
      </c>
      <c r="C7" s="25" t="str">
        <f t="shared" si="1"/>
        <v>20.6(±0.2)</v>
      </c>
      <c r="D7" s="28" t="str">
        <f t="shared" si="1"/>
        <v>21.9(±0.2)</v>
      </c>
      <c r="E7" s="60">
        <v>20.8</v>
      </c>
      <c r="F7" s="56">
        <v>22.1</v>
      </c>
      <c r="G7" s="2">
        <v>20.6</v>
      </c>
      <c r="H7" s="2">
        <v>21.9</v>
      </c>
      <c r="I7" s="2">
        <v>20.6</v>
      </c>
      <c r="J7" s="2">
        <v>21.8</v>
      </c>
      <c r="K7" s="2">
        <v>20.3</v>
      </c>
      <c r="L7" s="2">
        <v>21.7</v>
      </c>
      <c r="M7" s="2">
        <v>20.6</v>
      </c>
      <c r="N7" s="2">
        <v>22</v>
      </c>
      <c r="O7" s="4">
        <f t="shared" si="2"/>
        <v>20.580000000000002</v>
      </c>
      <c r="P7" s="4">
        <f t="shared" si="2"/>
        <v>21.9</v>
      </c>
      <c r="Q7" s="4">
        <f t="shared" si="0"/>
        <v>0.17888543819998323</v>
      </c>
      <c r="R7" s="4">
        <f t="shared" si="0"/>
        <v>0.15811388300841953</v>
      </c>
      <c r="S7" s="4">
        <f t="shared" si="3"/>
        <v>0.15680000000000002</v>
      </c>
      <c r="T7" s="4">
        <f t="shared" si="3"/>
        <v>0.1385929291125638</v>
      </c>
    </row>
    <row r="8" spans="1:22" x14ac:dyDescent="0.3">
      <c r="A8" s="136" t="s">
        <v>54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7"/>
      <c r="V8" s="137"/>
    </row>
    <row r="9" spans="1:22" x14ac:dyDescent="0.3">
      <c r="A9" s="136" t="s">
        <v>56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7"/>
      <c r="V9" s="137"/>
    </row>
  </sheetData>
  <mergeCells count="20">
    <mergeCell ref="Q2:R2"/>
    <mergeCell ref="S2:T2"/>
    <mergeCell ref="A8:T8"/>
    <mergeCell ref="A9:T9"/>
    <mergeCell ref="O1:P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C91D-D4B0-4B73-9D4A-BFFF3D5B4DCE}">
  <dimension ref="A1:V16"/>
  <sheetViews>
    <sheetView workbookViewId="0">
      <selection activeCell="A16" sqref="A16:V16"/>
    </sheetView>
  </sheetViews>
  <sheetFormatPr defaultRowHeight="16.5" x14ac:dyDescent="0.3"/>
  <cols>
    <col min="1" max="1" width="14.75" bestFit="1" customWidth="1"/>
    <col min="2" max="2" width="8.625" bestFit="1" customWidth="1"/>
    <col min="3" max="3" width="10.625" customWidth="1"/>
    <col min="4" max="4" width="9.625" bestFit="1" customWidth="1"/>
    <col min="5" max="6" width="8.75" bestFit="1" customWidth="1"/>
    <col min="7" max="7" width="5.125" bestFit="1" customWidth="1"/>
    <col min="8" max="8" width="5" bestFit="1" customWidth="1"/>
    <col min="9" max="9" width="5.125" bestFit="1" customWidth="1"/>
    <col min="10" max="10" width="5" bestFit="1" customWidth="1"/>
    <col min="11" max="11" width="5.125" bestFit="1" customWidth="1"/>
    <col min="12" max="12" width="4.5" bestFit="1" customWidth="1"/>
    <col min="13" max="13" width="5.125" bestFit="1" customWidth="1"/>
    <col min="14" max="14" width="4.5" bestFit="1" customWidth="1"/>
    <col min="15" max="15" width="5.125" bestFit="1" customWidth="1"/>
    <col min="16" max="16" width="4.5" bestFit="1" customWidth="1"/>
    <col min="17" max="17" width="5.125" bestFit="1" customWidth="1"/>
    <col min="18" max="18" width="4.5" bestFit="1" customWidth="1"/>
    <col min="19" max="19" width="5.125" bestFit="1" customWidth="1"/>
    <col min="20" max="20" width="4.5" bestFit="1" customWidth="1"/>
    <col min="21" max="21" width="5.125" bestFit="1" customWidth="1"/>
    <col min="22" max="22" width="4.5" bestFit="1" customWidth="1"/>
  </cols>
  <sheetData>
    <row r="1" spans="1:22" ht="17.25" thickBot="1" x14ac:dyDescent="0.35">
      <c r="A1" s="31"/>
      <c r="B1" s="31"/>
      <c r="C1" s="31"/>
      <c r="D1" s="31"/>
      <c r="E1" s="104"/>
      <c r="F1" s="104"/>
      <c r="G1" s="122" t="s">
        <v>52</v>
      </c>
      <c r="H1" s="122"/>
      <c r="I1" s="105" t="s">
        <v>29</v>
      </c>
      <c r="J1" s="105"/>
      <c r="K1" s="105" t="s">
        <v>30</v>
      </c>
      <c r="L1" s="105"/>
      <c r="M1" s="105" t="s">
        <v>31</v>
      </c>
      <c r="N1" s="105"/>
      <c r="O1" s="122" t="s">
        <v>32</v>
      </c>
      <c r="P1" s="122"/>
      <c r="Q1" s="122" t="s">
        <v>34</v>
      </c>
      <c r="R1" s="122"/>
      <c r="S1" s="122"/>
      <c r="T1" s="122"/>
      <c r="U1" s="102"/>
      <c r="V1" s="102"/>
    </row>
    <row r="2" spans="1:22" x14ac:dyDescent="0.3">
      <c r="A2" s="118" t="s">
        <v>4</v>
      </c>
      <c r="B2" s="108" t="s">
        <v>53</v>
      </c>
      <c r="C2" s="108" t="s">
        <v>33</v>
      </c>
      <c r="D2" s="116" t="s">
        <v>11</v>
      </c>
      <c r="E2" s="116" t="s">
        <v>6</v>
      </c>
      <c r="F2" s="117"/>
      <c r="G2" s="132" t="s">
        <v>6</v>
      </c>
      <c r="H2" s="120"/>
      <c r="I2" s="120" t="s">
        <v>6</v>
      </c>
      <c r="J2" s="120"/>
      <c r="K2" s="120" t="s">
        <v>6</v>
      </c>
      <c r="L2" s="120"/>
      <c r="M2" s="120" t="s">
        <v>6</v>
      </c>
      <c r="N2" s="120"/>
      <c r="O2" s="121" t="s">
        <v>6</v>
      </c>
      <c r="P2" s="121"/>
      <c r="Q2" s="121" t="s">
        <v>6</v>
      </c>
      <c r="R2" s="121"/>
      <c r="S2" s="120" t="s">
        <v>35</v>
      </c>
      <c r="T2" s="120"/>
      <c r="U2" s="120" t="s">
        <v>36</v>
      </c>
      <c r="V2" s="120"/>
    </row>
    <row r="3" spans="1:22" x14ac:dyDescent="0.3">
      <c r="A3" s="119"/>
      <c r="B3" s="109"/>
      <c r="C3" s="109"/>
      <c r="D3" s="120"/>
      <c r="E3" s="92" t="s">
        <v>2</v>
      </c>
      <c r="F3" s="8" t="s">
        <v>3</v>
      </c>
      <c r="G3" s="95" t="s">
        <v>2</v>
      </c>
      <c r="H3" s="92" t="s">
        <v>3</v>
      </c>
      <c r="I3" s="92" t="s">
        <v>2</v>
      </c>
      <c r="J3" s="92" t="s">
        <v>3</v>
      </c>
      <c r="K3" s="92" t="s">
        <v>2</v>
      </c>
      <c r="L3" s="92" t="s">
        <v>3</v>
      </c>
      <c r="M3" s="92" t="s">
        <v>2</v>
      </c>
      <c r="N3" s="92" t="s">
        <v>3</v>
      </c>
      <c r="O3" s="94" t="s">
        <v>2</v>
      </c>
      <c r="P3" s="94" t="s">
        <v>3</v>
      </c>
      <c r="Q3" s="94" t="s">
        <v>2</v>
      </c>
      <c r="R3" s="94" t="s">
        <v>3</v>
      </c>
      <c r="S3" s="94" t="s">
        <v>2</v>
      </c>
      <c r="T3" s="94" t="s">
        <v>3</v>
      </c>
      <c r="U3" s="94" t="s">
        <v>2</v>
      </c>
      <c r="V3" s="94" t="s">
        <v>3</v>
      </c>
    </row>
    <row r="4" spans="1:22" x14ac:dyDescent="0.3">
      <c r="A4" s="96" t="s">
        <v>39</v>
      </c>
      <c r="B4" s="92" t="s">
        <v>28</v>
      </c>
      <c r="C4" s="92" t="s">
        <v>25</v>
      </c>
      <c r="D4" s="4">
        <v>6.8</v>
      </c>
      <c r="E4" s="92" t="s">
        <v>1</v>
      </c>
      <c r="F4" s="8">
        <v>18.399999999999999</v>
      </c>
      <c r="G4" s="95" t="s">
        <v>1</v>
      </c>
      <c r="H4" s="92" t="s">
        <v>1</v>
      </c>
      <c r="I4" s="92" t="s">
        <v>1</v>
      </c>
      <c r="J4" s="92" t="s">
        <v>1</v>
      </c>
      <c r="K4" s="92" t="s">
        <v>1</v>
      </c>
      <c r="L4" s="92" t="s">
        <v>1</v>
      </c>
      <c r="M4" s="92" t="s">
        <v>1</v>
      </c>
      <c r="N4" s="92" t="s">
        <v>1</v>
      </c>
      <c r="O4" s="92" t="s">
        <v>1</v>
      </c>
      <c r="P4" s="92" t="s">
        <v>1</v>
      </c>
      <c r="Q4" s="92"/>
      <c r="R4" s="92"/>
      <c r="S4" s="39"/>
      <c r="T4" s="39"/>
      <c r="U4" s="39"/>
      <c r="V4" s="39"/>
    </row>
    <row r="5" spans="1:22" x14ac:dyDescent="0.3">
      <c r="A5" s="96" t="s">
        <v>40</v>
      </c>
      <c r="B5" s="92" t="s">
        <v>27</v>
      </c>
      <c r="C5" s="92">
        <v>0</v>
      </c>
      <c r="D5" s="4">
        <v>3.8</v>
      </c>
      <c r="E5" s="92" t="s">
        <v>1</v>
      </c>
      <c r="F5" s="8">
        <v>19.600000000000001</v>
      </c>
      <c r="G5" s="95" t="s">
        <v>1</v>
      </c>
      <c r="H5" s="92" t="s">
        <v>1</v>
      </c>
      <c r="I5" s="92" t="s">
        <v>1</v>
      </c>
      <c r="J5" s="92" t="s">
        <v>1</v>
      </c>
      <c r="K5" s="92" t="s">
        <v>1</v>
      </c>
      <c r="L5" s="92" t="s">
        <v>1</v>
      </c>
      <c r="M5" s="92" t="s">
        <v>1</v>
      </c>
      <c r="N5" s="92" t="s">
        <v>1</v>
      </c>
      <c r="O5" s="92" t="s">
        <v>1</v>
      </c>
      <c r="P5" s="92" t="s">
        <v>1</v>
      </c>
      <c r="Q5" s="92"/>
      <c r="R5" s="92"/>
      <c r="S5" s="39"/>
      <c r="T5" s="39"/>
      <c r="U5" s="39"/>
      <c r="V5" s="39"/>
    </row>
    <row r="6" spans="1:22" x14ac:dyDescent="0.3">
      <c r="A6" s="17" t="s">
        <v>38</v>
      </c>
      <c r="B6" s="20">
        <v>410</v>
      </c>
      <c r="C6" s="20">
        <v>20</v>
      </c>
      <c r="D6" s="21">
        <v>4.3</v>
      </c>
      <c r="E6" s="94">
        <v>16.7</v>
      </c>
      <c r="F6" s="5">
        <v>18.2</v>
      </c>
      <c r="G6" s="95" t="s">
        <v>1</v>
      </c>
      <c r="H6" s="92" t="s">
        <v>1</v>
      </c>
      <c r="I6" s="92" t="s">
        <v>1</v>
      </c>
      <c r="J6" s="92" t="s">
        <v>1</v>
      </c>
      <c r="K6" s="92" t="s">
        <v>1</v>
      </c>
      <c r="L6" s="92" t="s">
        <v>1</v>
      </c>
      <c r="M6" s="92" t="s">
        <v>1</v>
      </c>
      <c r="N6" s="92" t="s">
        <v>1</v>
      </c>
      <c r="O6" s="92" t="s">
        <v>1</v>
      </c>
      <c r="P6" s="92" t="s">
        <v>1</v>
      </c>
      <c r="Q6" s="92"/>
      <c r="R6" s="92"/>
      <c r="S6" s="39"/>
      <c r="T6" s="39"/>
      <c r="U6" s="39"/>
      <c r="V6" s="39"/>
    </row>
    <row r="7" spans="1:22" ht="17.25" thickBot="1" x14ac:dyDescent="0.35">
      <c r="A7" s="10" t="s">
        <v>41</v>
      </c>
      <c r="B7" s="11" t="s">
        <v>28</v>
      </c>
      <c r="C7" s="11" t="s">
        <v>25</v>
      </c>
      <c r="D7" s="12">
        <v>4.3</v>
      </c>
      <c r="E7" s="11" t="s">
        <v>1</v>
      </c>
      <c r="F7" s="13">
        <v>17.7</v>
      </c>
      <c r="G7" s="42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1</v>
      </c>
      <c r="M7" s="9" t="s">
        <v>1</v>
      </c>
      <c r="N7" s="9" t="s">
        <v>1</v>
      </c>
      <c r="O7" s="9" t="s">
        <v>1</v>
      </c>
      <c r="P7" s="9" t="s">
        <v>1</v>
      </c>
      <c r="Q7" s="9"/>
      <c r="R7" s="9"/>
      <c r="S7" s="43"/>
      <c r="T7" s="43"/>
      <c r="U7" s="43"/>
      <c r="V7" s="43"/>
    </row>
    <row r="8" spans="1:22" ht="17.25" thickTop="1" x14ac:dyDescent="0.3">
      <c r="A8" s="14" t="s">
        <v>18</v>
      </c>
      <c r="B8" s="15" t="s">
        <v>28</v>
      </c>
      <c r="C8" s="15" t="s">
        <v>25</v>
      </c>
      <c r="D8" s="16">
        <f>1985471/1000000</f>
        <v>1.985471</v>
      </c>
      <c r="E8" s="64" t="str">
        <f>CONCATENATE(ROUNDUP(Q8,1),"(±",ROUNDUP(U8,1),")")</f>
        <v>20.3(±0.9)</v>
      </c>
      <c r="F8" s="72" t="str">
        <f>CONCATENATE(ROUNDUP(R8,1),"(±",ROUNDUP(V8,1),")")</f>
        <v>21.7(±1.4)</v>
      </c>
      <c r="G8" s="53">
        <v>19.399999999999999</v>
      </c>
      <c r="H8" s="54">
        <v>20</v>
      </c>
      <c r="I8" s="46">
        <v>18.899999999999999</v>
      </c>
      <c r="J8" s="46">
        <v>19.899999999999999</v>
      </c>
      <c r="K8" s="46">
        <v>20.7</v>
      </c>
      <c r="L8" s="45">
        <v>23.2</v>
      </c>
      <c r="M8" s="46">
        <v>20.9</v>
      </c>
      <c r="N8" s="45">
        <v>22.5</v>
      </c>
      <c r="O8" s="45">
        <v>21.2</v>
      </c>
      <c r="P8" s="45">
        <v>22.6</v>
      </c>
      <c r="Q8" s="50">
        <f t="shared" ref="Q8:R14" si="0">AVERAGE(G8,I8,K8,M8,O8)</f>
        <v>20.220000000000002</v>
      </c>
      <c r="R8" s="50">
        <f t="shared" si="0"/>
        <v>21.639999999999997</v>
      </c>
      <c r="S8" s="52">
        <f t="shared" ref="S8:T14" si="1">_xlfn.STDEV.S(G8,I8,K8,M8,O8)</f>
        <v>1.0084641788382969</v>
      </c>
      <c r="T8" s="52">
        <f t="shared" si="1"/>
        <v>1.566205605915137</v>
      </c>
      <c r="U8" s="2">
        <f t="shared" ref="U8:V14" si="2">1.96*(S8/SQRT(5))</f>
        <v>0.88395782704832715</v>
      </c>
      <c r="V8" s="2">
        <f t="shared" si="2"/>
        <v>1.3728397430144572</v>
      </c>
    </row>
    <row r="9" spans="1:22" x14ac:dyDescent="0.3">
      <c r="A9" s="17" t="s">
        <v>23</v>
      </c>
      <c r="B9" s="40" t="s">
        <v>28</v>
      </c>
      <c r="C9" s="40" t="s">
        <v>25</v>
      </c>
      <c r="D9" s="21">
        <v>3.63</v>
      </c>
      <c r="E9" s="64" t="str">
        <f t="shared" ref="E9:F14" si="3">CONCATENATE(ROUNDUP(Q9,1),"(±",ROUNDUP(U9,1),")")</f>
        <v>18.1(±0.3)</v>
      </c>
      <c r="F9" s="72" t="str">
        <f t="shared" si="3"/>
        <v>19.2(±0.3)</v>
      </c>
      <c r="G9" s="55">
        <v>17.600000000000001</v>
      </c>
      <c r="H9" s="56">
        <v>18.8</v>
      </c>
      <c r="I9" s="100">
        <v>18.2</v>
      </c>
      <c r="J9" s="26">
        <v>19</v>
      </c>
      <c r="K9" s="100">
        <v>18.399999999999999</v>
      </c>
      <c r="L9" s="3">
        <v>19.399999999999999</v>
      </c>
      <c r="M9" s="26">
        <v>18</v>
      </c>
      <c r="N9" s="3">
        <v>19.100000000000001</v>
      </c>
      <c r="O9" s="100">
        <v>18.100000000000001</v>
      </c>
      <c r="P9" s="3">
        <v>19.399999999999999</v>
      </c>
      <c r="Q9" s="3">
        <f t="shared" si="0"/>
        <v>18.059999999999995</v>
      </c>
      <c r="R9" s="3">
        <f t="shared" si="0"/>
        <v>19.139999999999997</v>
      </c>
      <c r="S9" s="52">
        <f t="shared" si="1"/>
        <v>0.29664793948382551</v>
      </c>
      <c r="T9" s="52">
        <f t="shared" si="1"/>
        <v>0.26076809620810498</v>
      </c>
      <c r="U9" s="2">
        <f t="shared" si="2"/>
        <v>0.2600233835638624</v>
      </c>
      <c r="V9" s="2">
        <f t="shared" si="2"/>
        <v>0.22857331427793492</v>
      </c>
    </row>
    <row r="10" spans="1:22" ht="17.25" thickBot="1" x14ac:dyDescent="0.35">
      <c r="A10" s="18" t="s">
        <v>24</v>
      </c>
      <c r="B10" s="19" t="s">
        <v>28</v>
      </c>
      <c r="C10" s="19" t="s">
        <v>25</v>
      </c>
      <c r="D10" s="12">
        <v>6.93</v>
      </c>
      <c r="E10" s="11" t="str">
        <f t="shared" si="3"/>
        <v>17.3(±0.2)</v>
      </c>
      <c r="F10" s="13" t="str">
        <f t="shared" si="3"/>
        <v>18.7(±0.2)</v>
      </c>
      <c r="G10" s="57">
        <v>17.100000000000001</v>
      </c>
      <c r="H10" s="58">
        <v>18.399999999999999</v>
      </c>
      <c r="I10" s="47">
        <v>17.5</v>
      </c>
      <c r="J10" s="44">
        <v>18.600000000000001</v>
      </c>
      <c r="K10" s="47">
        <v>17.399999999999999</v>
      </c>
      <c r="L10" s="44">
        <v>18.8</v>
      </c>
      <c r="M10" s="47">
        <v>17.3</v>
      </c>
      <c r="N10" s="44">
        <v>18.7</v>
      </c>
      <c r="O10" s="47">
        <v>17.2</v>
      </c>
      <c r="P10" s="44">
        <v>18.8</v>
      </c>
      <c r="Q10" s="44">
        <f t="shared" si="0"/>
        <v>17.3</v>
      </c>
      <c r="R10" s="44">
        <f t="shared" si="0"/>
        <v>18.66</v>
      </c>
      <c r="S10" s="51">
        <f t="shared" si="1"/>
        <v>0.15811388300841842</v>
      </c>
      <c r="T10" s="51">
        <f t="shared" si="1"/>
        <v>0.16733200530681577</v>
      </c>
      <c r="U10" s="51">
        <f t="shared" si="2"/>
        <v>0.13859292911256282</v>
      </c>
      <c r="V10" s="51">
        <f t="shared" si="2"/>
        <v>0.14667296956153908</v>
      </c>
    </row>
    <row r="11" spans="1:22" ht="17.25" thickTop="1" x14ac:dyDescent="0.3">
      <c r="A11" s="14" t="s">
        <v>17</v>
      </c>
      <c r="B11" s="41">
        <v>150</v>
      </c>
      <c r="C11" s="41">
        <v>7</v>
      </c>
      <c r="D11" s="16">
        <f>1013482/1000000</f>
        <v>1.013482</v>
      </c>
      <c r="E11" s="64" t="str">
        <f t="shared" si="3"/>
        <v>20(±0.3)</v>
      </c>
      <c r="F11" s="72" t="str">
        <f t="shared" si="3"/>
        <v>21.3(±0.3)</v>
      </c>
      <c r="G11" s="53">
        <v>20.2</v>
      </c>
      <c r="H11" s="59">
        <v>21.5</v>
      </c>
      <c r="I11" s="49">
        <v>19.899999999999999</v>
      </c>
      <c r="J11" s="50">
        <v>20.7</v>
      </c>
      <c r="K11" s="50">
        <v>20.100000000000001</v>
      </c>
      <c r="L11" s="50">
        <v>21.5</v>
      </c>
      <c r="M11" s="50">
        <v>19.600000000000001</v>
      </c>
      <c r="N11" s="50">
        <v>21.3</v>
      </c>
      <c r="O11" s="50">
        <v>19.899999999999999</v>
      </c>
      <c r="P11" s="50">
        <v>21.1</v>
      </c>
      <c r="Q11" s="50">
        <f t="shared" si="0"/>
        <v>19.939999999999998</v>
      </c>
      <c r="R11" s="50">
        <f t="shared" si="0"/>
        <v>21.22</v>
      </c>
      <c r="S11" s="52">
        <f t="shared" si="1"/>
        <v>0.23021728866442642</v>
      </c>
      <c r="T11" s="52">
        <f t="shared" si="1"/>
        <v>0.33466401061363044</v>
      </c>
      <c r="U11" s="2">
        <f t="shared" si="2"/>
        <v>0.2017943507633449</v>
      </c>
      <c r="V11" s="2">
        <f t="shared" si="2"/>
        <v>0.29334593912307716</v>
      </c>
    </row>
    <row r="12" spans="1:22" x14ac:dyDescent="0.3">
      <c r="A12" s="17" t="s">
        <v>14</v>
      </c>
      <c r="B12" s="20">
        <v>230</v>
      </c>
      <c r="C12" s="20">
        <v>11</v>
      </c>
      <c r="D12" s="6">
        <f>994522/1000000</f>
        <v>0.99452200000000002</v>
      </c>
      <c r="E12" s="64" t="str">
        <f>CONCATENATE(ROUNDUP(Q12,1),"(±",ROUNDUP(U12,1),")")</f>
        <v>18.6(±0.4)</v>
      </c>
      <c r="F12" s="72" t="str">
        <f>CONCATENATE(ROUNDUP(R12,1),"(±",ROUNDUP(V12,1),")")</f>
        <v>20.2(±0.7)</v>
      </c>
      <c r="G12" s="60">
        <v>19.2</v>
      </c>
      <c r="H12" s="56">
        <v>21.3</v>
      </c>
      <c r="I12" s="26">
        <v>18.8</v>
      </c>
      <c r="J12" s="3">
        <v>20.2</v>
      </c>
      <c r="K12" s="3">
        <v>18.399999999999999</v>
      </c>
      <c r="L12" s="3">
        <v>19.7</v>
      </c>
      <c r="M12" s="3">
        <v>18.5</v>
      </c>
      <c r="N12" s="3">
        <v>19.899999999999999</v>
      </c>
      <c r="O12" s="3">
        <v>18.100000000000001</v>
      </c>
      <c r="P12" s="3">
        <v>19.5</v>
      </c>
      <c r="Q12" s="3">
        <f>AVERAGE(G12,I12,K12,M12,O12)</f>
        <v>18.600000000000001</v>
      </c>
      <c r="R12" s="3">
        <f>AVERAGE(H12,J12,L12,N12,P12)</f>
        <v>20.119999999999997</v>
      </c>
      <c r="S12" s="52">
        <f>_xlfn.STDEV.S(G12,I12,K12,M12,O12)</f>
        <v>0.41833001326703734</v>
      </c>
      <c r="T12" s="52">
        <f>_xlfn.STDEV.S(H12,J12,L12,N12,P12)</f>
        <v>0.70851958335673448</v>
      </c>
      <c r="U12" s="2">
        <f>1.96*(S12/SQRT(5))</f>
        <v>0.36668242390384587</v>
      </c>
      <c r="V12" s="2">
        <f>1.96*(T12/SQRT(5))</f>
        <v>0.62104479709599081</v>
      </c>
    </row>
    <row r="13" spans="1:22" x14ac:dyDescent="0.3">
      <c r="A13" s="17" t="s">
        <v>16</v>
      </c>
      <c r="B13" s="20">
        <v>470</v>
      </c>
      <c r="C13" s="20">
        <v>23</v>
      </c>
      <c r="D13" s="21">
        <f>1579162/1000000</f>
        <v>1.579162</v>
      </c>
      <c r="E13" s="64" t="str">
        <f>CONCATENATE(ROUNDUP(Q13,1),"(±",ROUNDUP(U13,1),")")</f>
        <v>16.4(±0.2)</v>
      </c>
      <c r="F13" s="72" t="str">
        <f>CONCATENATE(ROUNDUP(R13,1),"(±",ROUNDUP(V13,1),")")</f>
        <v>18.2(±0.3)</v>
      </c>
      <c r="G13" s="55">
        <v>16.7</v>
      </c>
      <c r="H13" s="61">
        <v>18.399999999999999</v>
      </c>
      <c r="I13" s="26">
        <v>16.100000000000001</v>
      </c>
      <c r="J13" s="3">
        <v>18.100000000000001</v>
      </c>
      <c r="K13" s="3">
        <v>16.5</v>
      </c>
      <c r="L13" s="3">
        <v>18.100000000000001</v>
      </c>
      <c r="M13" s="3">
        <v>16.399999999999999</v>
      </c>
      <c r="N13" s="3">
        <v>17.899999999999999</v>
      </c>
      <c r="O13" s="3">
        <v>16.3</v>
      </c>
      <c r="P13" s="3">
        <v>18.5</v>
      </c>
      <c r="Q13" s="3">
        <f>AVERAGE(G13,I13,K13,M13,O13)</f>
        <v>16.399999999999999</v>
      </c>
      <c r="R13" s="3">
        <f>AVERAGE(H13,J13,L13,N13,P13)</f>
        <v>18.2</v>
      </c>
      <c r="S13" s="2">
        <f>_xlfn.STDEV.S(G13,I13,K13,M13,O13)</f>
        <v>0.22360679774997816</v>
      </c>
      <c r="T13" s="2">
        <f>_xlfn.STDEV.S(H13,J13,L13,N13,P13)</f>
        <v>0.24494897427831766</v>
      </c>
      <c r="U13" s="2">
        <f>1.96*(S13/SQRT(5))</f>
        <v>0.19599999999999929</v>
      </c>
      <c r="V13" s="2">
        <f>1.96*(T13/SQRT(5))</f>
        <v>0.21470724254202497</v>
      </c>
    </row>
    <row r="14" spans="1:22" ht="17.25" thickBot="1" x14ac:dyDescent="0.35">
      <c r="A14" s="22" t="s">
        <v>13</v>
      </c>
      <c r="B14" s="23">
        <v>630</v>
      </c>
      <c r="C14" s="23">
        <v>31</v>
      </c>
      <c r="D14" s="24">
        <f>1968922/1000000</f>
        <v>1.9689220000000001</v>
      </c>
      <c r="E14" s="73" t="str">
        <f t="shared" si="3"/>
        <v>16.1(±0.1)</v>
      </c>
      <c r="F14" s="74" t="str">
        <f t="shared" si="3"/>
        <v>17.6(±0.2)</v>
      </c>
      <c r="G14" s="60">
        <v>16</v>
      </c>
      <c r="H14" s="61">
        <v>17.399999999999999</v>
      </c>
      <c r="I14" s="26">
        <v>16.100000000000001</v>
      </c>
      <c r="J14" s="3">
        <v>17.7</v>
      </c>
      <c r="K14" s="3">
        <v>15.9</v>
      </c>
      <c r="L14" s="3">
        <v>17.5</v>
      </c>
      <c r="M14" s="3">
        <v>16.2</v>
      </c>
      <c r="N14" s="3">
        <v>17.8</v>
      </c>
      <c r="O14" s="3">
        <v>16.100000000000001</v>
      </c>
      <c r="P14" s="3">
        <v>17.600000000000001</v>
      </c>
      <c r="Q14" s="50">
        <f t="shared" si="0"/>
        <v>16.060000000000002</v>
      </c>
      <c r="R14" s="50">
        <f t="shared" si="0"/>
        <v>17.600000000000001</v>
      </c>
      <c r="S14" s="2">
        <f t="shared" si="1"/>
        <v>0.11401754250991371</v>
      </c>
      <c r="T14" s="2">
        <f t="shared" si="1"/>
        <v>0.15811388300841953</v>
      </c>
      <c r="U14" s="2">
        <f t="shared" si="2"/>
        <v>9.9940782466418493E-2</v>
      </c>
      <c r="V14" s="2">
        <f t="shared" si="2"/>
        <v>0.1385929291125638</v>
      </c>
    </row>
    <row r="15" spans="1:22" x14ac:dyDescent="0.3">
      <c r="A15" s="136" t="s">
        <v>54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</row>
    <row r="16" spans="1:22" x14ac:dyDescent="0.3">
      <c r="A16" s="136" t="s">
        <v>56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</row>
  </sheetData>
  <mergeCells count="23">
    <mergeCell ref="A16:V16"/>
    <mergeCell ref="M2:N2"/>
    <mergeCell ref="O2:P2"/>
    <mergeCell ref="Q2:R2"/>
    <mergeCell ref="S2:T2"/>
    <mergeCell ref="U2:V2"/>
    <mergeCell ref="A15:V15"/>
    <mergeCell ref="Q1:R1"/>
    <mergeCell ref="S1:T1"/>
    <mergeCell ref="A2:A3"/>
    <mergeCell ref="B2:B3"/>
    <mergeCell ref="C2:C3"/>
    <mergeCell ref="D2:D3"/>
    <mergeCell ref="E2:F2"/>
    <mergeCell ref="G2:H2"/>
    <mergeCell ref="I2:J2"/>
    <mergeCell ref="K2:L2"/>
    <mergeCell ref="E1:F1"/>
    <mergeCell ref="G1:H1"/>
    <mergeCell ref="I1:J1"/>
    <mergeCell ref="K1:L1"/>
    <mergeCell ref="M1:N1"/>
    <mergeCell ref="O1: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CB58-D831-4947-A19B-42EDCCB62F3D}">
  <dimension ref="A1:F11"/>
  <sheetViews>
    <sheetView tabSelected="1" workbookViewId="0">
      <selection activeCell="B18" sqref="B18"/>
    </sheetView>
  </sheetViews>
  <sheetFormatPr defaultRowHeight="16.5" x14ac:dyDescent="0.3"/>
  <cols>
    <col min="1" max="1" width="14.875" bestFit="1" customWidth="1"/>
  </cols>
  <sheetData>
    <row r="1" spans="1:6" x14ac:dyDescent="0.3">
      <c r="A1" s="112" t="s">
        <v>4</v>
      </c>
      <c r="B1" s="114" t="s">
        <v>26</v>
      </c>
      <c r="C1" s="114" t="s">
        <v>33</v>
      </c>
      <c r="D1" s="114" t="s">
        <v>20</v>
      </c>
      <c r="E1" s="116" t="s">
        <v>19</v>
      </c>
      <c r="F1" s="117"/>
    </row>
    <row r="2" spans="1:6" x14ac:dyDescent="0.3">
      <c r="A2" s="113"/>
      <c r="B2" s="115"/>
      <c r="C2" s="115"/>
      <c r="D2" s="115"/>
      <c r="E2" s="92" t="s">
        <v>21</v>
      </c>
      <c r="F2" s="8" t="s">
        <v>22</v>
      </c>
    </row>
    <row r="3" spans="1:6" x14ac:dyDescent="0.3">
      <c r="A3" s="83" t="s">
        <v>43</v>
      </c>
      <c r="B3" s="84" t="s">
        <v>25</v>
      </c>
      <c r="C3" s="84" t="s">
        <v>25</v>
      </c>
      <c r="D3" s="84">
        <v>26</v>
      </c>
      <c r="E3" s="61">
        <v>30.1</v>
      </c>
      <c r="F3" s="85" t="s">
        <v>1</v>
      </c>
    </row>
    <row r="4" spans="1:6" x14ac:dyDescent="0.3">
      <c r="A4" s="77" t="s">
        <v>47</v>
      </c>
      <c r="B4" s="64" t="s">
        <v>25</v>
      </c>
      <c r="C4" s="64" t="s">
        <v>25</v>
      </c>
      <c r="D4" s="50">
        <f>21100540/1000000</f>
        <v>21.100539999999999</v>
      </c>
      <c r="E4" s="64">
        <v>22.2</v>
      </c>
      <c r="F4" s="72">
        <v>17.3</v>
      </c>
    </row>
    <row r="5" spans="1:6" ht="17.25" thickBot="1" x14ac:dyDescent="0.35">
      <c r="A5" s="10" t="s">
        <v>48</v>
      </c>
      <c r="B5" s="11" t="s">
        <v>27</v>
      </c>
      <c r="C5" s="11">
        <v>0</v>
      </c>
      <c r="D5" s="44">
        <f>21104300/1000000</f>
        <v>21.104299999999999</v>
      </c>
      <c r="E5" s="44">
        <v>31.3</v>
      </c>
      <c r="F5" s="13">
        <v>25.9</v>
      </c>
    </row>
    <row r="6" spans="1:6" ht="18" thickTop="1" thickBot="1" x14ac:dyDescent="0.35">
      <c r="A6" s="89" t="s">
        <v>44</v>
      </c>
      <c r="B6" s="86">
        <v>610</v>
      </c>
      <c r="C6" s="86">
        <v>30</v>
      </c>
      <c r="D6" s="87">
        <v>21.1</v>
      </c>
      <c r="E6" s="87">
        <v>58.4</v>
      </c>
      <c r="F6" s="88">
        <v>53.8</v>
      </c>
    </row>
    <row r="7" spans="1:6" ht="18" thickTop="1" thickBot="1" x14ac:dyDescent="0.35">
      <c r="A7" s="78" t="s">
        <v>24</v>
      </c>
      <c r="B7" s="79" t="s">
        <v>25</v>
      </c>
      <c r="C7" s="79" t="s">
        <v>25</v>
      </c>
      <c r="D7" s="80">
        <f>21133024/1000000</f>
        <v>21.133023999999999</v>
      </c>
      <c r="E7" s="79">
        <v>25.4</v>
      </c>
      <c r="F7" s="81">
        <v>21.6</v>
      </c>
    </row>
    <row r="8" spans="1:6" ht="17.25" thickTop="1" x14ac:dyDescent="0.3">
      <c r="A8" s="96" t="s">
        <v>42</v>
      </c>
      <c r="B8" s="92">
        <v>1190</v>
      </c>
      <c r="C8" s="92">
        <v>59</v>
      </c>
      <c r="D8" s="2">
        <f>7753972/1000000</f>
        <v>7.7539720000000001</v>
      </c>
      <c r="E8" s="90">
        <v>26.4</v>
      </c>
      <c r="F8" s="91">
        <v>20.3</v>
      </c>
    </row>
    <row r="9" spans="1:6" x14ac:dyDescent="0.3">
      <c r="A9" s="97" t="s">
        <v>51</v>
      </c>
      <c r="B9" s="94">
        <v>1190</v>
      </c>
      <c r="C9" s="94">
        <v>59</v>
      </c>
      <c r="D9" s="76">
        <f>15452092/1000000</f>
        <v>15.452092</v>
      </c>
      <c r="E9" s="94">
        <v>25.3</v>
      </c>
      <c r="F9" s="5">
        <v>19.399999999999999</v>
      </c>
    </row>
    <row r="10" spans="1:6" x14ac:dyDescent="0.3">
      <c r="A10" s="101" t="s">
        <v>49</v>
      </c>
      <c r="B10" s="64">
        <v>1510</v>
      </c>
      <c r="C10" s="64">
        <v>75</v>
      </c>
      <c r="D10" s="75">
        <v>10.5</v>
      </c>
      <c r="E10" s="75">
        <v>23.4</v>
      </c>
      <c r="F10" s="82">
        <v>18.600000000000001</v>
      </c>
    </row>
    <row r="11" spans="1:6" ht="17.25" thickBot="1" x14ac:dyDescent="0.35">
      <c r="A11" s="98" t="s">
        <v>50</v>
      </c>
      <c r="B11" s="7">
        <v>1510</v>
      </c>
      <c r="C11" s="7">
        <v>75</v>
      </c>
      <c r="D11" s="7">
        <v>21.1</v>
      </c>
      <c r="E11" s="103">
        <v>22.2</v>
      </c>
      <c r="F11" s="74">
        <v>17.100000000000001</v>
      </c>
    </row>
  </sheetData>
  <mergeCells count="5">
    <mergeCell ref="A1:A2"/>
    <mergeCell ref="B1:B2"/>
    <mergeCell ref="C1:C2"/>
    <mergeCell ref="D1:D2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이경민</dc:creator>
  <cp:lastModifiedBy>이경민</cp:lastModifiedBy>
  <cp:lastPrinted>2020-10-15T01:47:44Z</cp:lastPrinted>
  <dcterms:created xsi:type="dcterms:W3CDTF">2020-04-20T15:11:58Z</dcterms:created>
  <dcterms:modified xsi:type="dcterms:W3CDTF">2020-11-04T00:03:07Z</dcterms:modified>
</cp:coreProperties>
</file>