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ONTEN\Bahan Aplikasi SlipGaji\"/>
    </mc:Choice>
  </mc:AlternateContent>
  <xr:revisionPtr revIDLastSave="0" documentId="13_ncr:1_{85627A0B-0819-425F-A1DE-763D434EE14F}" xr6:coauthVersionLast="47" xr6:coauthVersionMax="47" xr10:uidLastSave="{00000000-0000-0000-0000-000000000000}"/>
  <bookViews>
    <workbookView xWindow="-120" yWindow="-120" windowWidth="20730" windowHeight="11160" xr2:uid="{A91DCE99-DDD3-4CEF-B673-012231D2DEC7}"/>
  </bookViews>
  <sheets>
    <sheet name="DAFTAR GAJI" sheetId="1" r:id="rId1"/>
  </sheets>
  <externalReferences>
    <externalReference r:id="rId2"/>
  </externalReferences>
  <definedNames>
    <definedName name="DFT_GAJI">'DAFTAR GAJI'!$A$8:$P$12</definedName>
    <definedName name="GAJI">'DAFTAR GAJI'!$A$7:$R$11</definedName>
    <definedName name="TABEL_BAGIAN">'DAFTAR GAJI'!$U$3:$Z$4</definedName>
    <definedName name="TABEL_GAJI">'DAFTAR GAJI'!$U$11:$X$14</definedName>
    <definedName name="TABEL_JABATAN">'DAFTAR GAJI'!$U$7:$W$8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G8" i="1" s="1"/>
  <c r="AM10" i="1"/>
  <c r="AM7" i="1"/>
  <c r="AI7" i="1"/>
  <c r="AI6" i="1"/>
  <c r="D8" i="1"/>
  <c r="D9" i="1"/>
  <c r="D10" i="1"/>
  <c r="D11" i="1"/>
  <c r="D7" i="1"/>
  <c r="AI8" i="1" s="1"/>
  <c r="B4" i="1"/>
  <c r="I8" i="1"/>
  <c r="I9" i="1"/>
  <c r="I10" i="1"/>
  <c r="I11" i="1"/>
  <c r="I7" i="1"/>
  <c r="AM6" i="1" s="1"/>
  <c r="AK10" i="1"/>
  <c r="AM3" i="1" l="1"/>
  <c r="G11" i="1"/>
  <c r="H11" i="1" s="1"/>
  <c r="G9" i="1"/>
  <c r="H9" i="1" s="1"/>
  <c r="G7" i="1"/>
  <c r="H7" i="1" s="1"/>
  <c r="J7" i="1" s="1"/>
  <c r="M7" i="1" s="1"/>
  <c r="AI13" i="1" s="1"/>
  <c r="G10" i="1"/>
  <c r="H10" i="1" s="1"/>
  <c r="H8" i="1"/>
  <c r="L7" i="1" l="1"/>
  <c r="AI12" i="1" s="1"/>
  <c r="K7" i="1"/>
  <c r="AI11" i="1" s="1"/>
  <c r="O7" i="1"/>
  <c r="AM11" i="1" s="1"/>
  <c r="AI10" i="1"/>
  <c r="J8" i="1"/>
  <c r="O8" i="1" s="1"/>
  <c r="J9" i="1"/>
  <c r="O9" i="1" s="1"/>
  <c r="J10" i="1"/>
  <c r="O10" i="1" s="1"/>
  <c r="J11" i="1"/>
  <c r="O11" i="1" s="1"/>
  <c r="AI16" i="1" l="1"/>
  <c r="N7" i="1"/>
  <c r="Q7" i="1" s="1"/>
  <c r="AM16" i="1" s="1"/>
  <c r="K10" i="1"/>
  <c r="M10" i="1"/>
  <c r="K8" i="1"/>
  <c r="M8" i="1"/>
  <c r="K11" i="1"/>
  <c r="M11" i="1"/>
  <c r="K9" i="1"/>
  <c r="M9" i="1"/>
  <c r="L10" i="1"/>
  <c r="L8" i="1"/>
  <c r="L11" i="1"/>
  <c r="L9" i="1"/>
  <c r="AI18" i="1" l="1"/>
  <c r="N9" i="1"/>
  <c r="Q9" i="1" s="1"/>
  <c r="N11" i="1"/>
  <c r="Q11" i="1" s="1"/>
  <c r="N8" i="1"/>
  <c r="Q8" i="1" s="1"/>
  <c r="N10" i="1"/>
  <c r="Q10" i="1" s="1"/>
</calcChain>
</file>

<file path=xl/sharedStrings.xml><?xml version="1.0" encoding="utf-8"?>
<sst xmlns="http://schemas.openxmlformats.org/spreadsheetml/2006/main" count="101" uniqueCount="84">
  <si>
    <t>Nama Karyawan</t>
  </si>
  <si>
    <t>Kode Karyawan</t>
  </si>
  <si>
    <t>Bagian</t>
  </si>
  <si>
    <t>Gaji Pokok</t>
  </si>
  <si>
    <t>Tunj. Istri</t>
  </si>
  <si>
    <t>Jabatan</t>
  </si>
  <si>
    <t>Jml Kar.</t>
  </si>
  <si>
    <t>PT. Q.Excel</t>
  </si>
  <si>
    <t>Jln Dieng Km 17 WONOSOBO</t>
  </si>
  <si>
    <t>Tlp. Fax 0281 225445</t>
  </si>
  <si>
    <t>No. Urut</t>
  </si>
  <si>
    <t>:</t>
  </si>
  <si>
    <t>Nama Kontak WA</t>
  </si>
  <si>
    <t>PENDAPATAN</t>
  </si>
  <si>
    <t>POTONGAN</t>
  </si>
  <si>
    <t>JUMLAH PENDAPATAN</t>
  </si>
  <si>
    <t>JUMLAH POTONGAN</t>
  </si>
  <si>
    <t>GAJI BERSIH</t>
  </si>
  <si>
    <t>Bendahara,</t>
  </si>
  <si>
    <t>KU-009-ST</t>
  </si>
  <si>
    <t>AD-004-MJ</t>
  </si>
  <si>
    <t>PM-006-ST</t>
  </si>
  <si>
    <t>GD-002-ST</t>
  </si>
  <si>
    <t>TABEL REFERENSI</t>
  </si>
  <si>
    <t>Tabel Bagian</t>
  </si>
  <si>
    <t>Kode Kar</t>
  </si>
  <si>
    <t>PR</t>
  </si>
  <si>
    <t>KU</t>
  </si>
  <si>
    <t>AD</t>
  </si>
  <si>
    <t>PM</t>
  </si>
  <si>
    <t>GD</t>
  </si>
  <si>
    <t>Produksi</t>
  </si>
  <si>
    <t>Keuangan</t>
  </si>
  <si>
    <t>Administrasi</t>
  </si>
  <si>
    <t>Pemasaran</t>
  </si>
  <si>
    <t>Gudang</t>
  </si>
  <si>
    <t>Tabel Jabatan</t>
  </si>
  <si>
    <t>Kode Kar.</t>
  </si>
  <si>
    <t>MJ</t>
  </si>
  <si>
    <t>ST</t>
  </si>
  <si>
    <t>Manager</t>
  </si>
  <si>
    <t>Staf</t>
  </si>
  <si>
    <t>Tabel Gaji</t>
  </si>
  <si>
    <t>Gol.</t>
  </si>
  <si>
    <t>Tunj. Gol</t>
  </si>
  <si>
    <t>Tunj. Istri/Suami</t>
  </si>
  <si>
    <t>A</t>
  </si>
  <si>
    <t>B</t>
  </si>
  <si>
    <t>C</t>
  </si>
  <si>
    <t>Tunj.Anak 2%</t>
  </si>
  <si>
    <t>Karyawan 1</t>
  </si>
  <si>
    <t>Karyawan 2</t>
  </si>
  <si>
    <t>Karyawan 3</t>
  </si>
  <si>
    <t>Karyawan 4</t>
  </si>
  <si>
    <t>Ahmad Ubarjo</t>
  </si>
  <si>
    <t>Dina Mahesani</t>
  </si>
  <si>
    <t>Kuni Anabi</t>
  </si>
  <si>
    <t>Ahsan Falik</t>
  </si>
  <si>
    <t>Dunba Kartika</t>
  </si>
  <si>
    <t>PR-003-MJ</t>
  </si>
  <si>
    <t>GAJI POKOK</t>
  </si>
  <si>
    <t>TUNJANGAN GOL</t>
  </si>
  <si>
    <t>TUNJANGAN ISTRI</t>
  </si>
  <si>
    <t>TUNJANGAN ANAK</t>
  </si>
  <si>
    <t>BPJS</t>
  </si>
  <si>
    <t>PPh</t>
  </si>
  <si>
    <t>Slip Gaji  :</t>
  </si>
  <si>
    <t>GAJI KARYAWAN PT "Q.Excel</t>
  </si>
  <si>
    <t xml:space="preserve">Jln. Jendral Sudirman No 50 Jawa Barat tlp 021 5444544 </t>
  </si>
  <si>
    <t>Tanngal</t>
  </si>
  <si>
    <t>GOL</t>
  </si>
  <si>
    <t>NO URUT</t>
  </si>
  <si>
    <t>NAMA LENGKAP</t>
  </si>
  <si>
    <t>KODE</t>
  </si>
  <si>
    <t>JABATAN</t>
  </si>
  <si>
    <t>TGL. MASUK</t>
  </si>
  <si>
    <t>JML. ANAK</t>
  </si>
  <si>
    <t xml:space="preserve"> MASA KERJA</t>
  </si>
  <si>
    <t>BAGIAN</t>
  </si>
  <si>
    <t>TUNJANGAN</t>
  </si>
  <si>
    <t>GAJI KOTOR</t>
  </si>
  <si>
    <t>PAJAK 2.5%</t>
  </si>
  <si>
    <t>NAMA KONTAK</t>
  </si>
  <si>
    <t>+6285876826700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</si>
</sst>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-&quot;Rp&quot;* #,##0_-;\-&quot;Rp&quot;* #,##0_-;_-&quot;Rp&quot;* &quot;-&quot;_-;_-@_-"/>
    <numFmt numFmtId="165" formatCode="dd\-mm\-yyyy;@"/>
  </numFmts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1"/>
      <name val="Arial Narrow"/>
      <family val="2"/>
    </font>
    <font>
      <b/>
      <sz val="24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 vertical="center" wrapText="1"/>
    </xf>
    <xf numFmtId="0" fontId="0" fillId="6" borderId="1" xfId="0" applyFill="1" applyBorder="1"/>
    <xf numFmtId="0" fontId="5" fillId="6" borderId="2" xfId="0" applyFont="1" applyFill="1" applyBorder="1"/>
    <xf numFmtId="0" fontId="6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0" xfId="0" applyFont="1" applyFill="1"/>
    <xf numFmtId="0" fontId="7" fillId="6" borderId="0" xfId="0" applyFont="1" applyFill="1"/>
    <xf numFmtId="0" fontId="0" fillId="6" borderId="5" xfId="0" applyFill="1" applyBorder="1"/>
    <xf numFmtId="0" fontId="5" fillId="6" borderId="6" xfId="0" applyFont="1" applyFill="1" applyBorder="1"/>
    <xf numFmtId="0" fontId="5" fillId="6" borderId="6" xfId="0" applyFont="1" applyFill="1" applyBorder="1" applyAlignment="1">
      <alignment horizontal="center"/>
    </xf>
    <xf numFmtId="0" fontId="5" fillId="6" borderId="0" xfId="0" applyFont="1" applyFill="1" applyAlignment="1">
      <alignment vertical="center"/>
    </xf>
    <xf numFmtId="0" fontId="8" fillId="6" borderId="0" xfId="0" applyFont="1" applyFill="1" applyAlignment="1">
      <alignment horizontal="left" vertical="center"/>
    </xf>
    <xf numFmtId="0" fontId="8" fillId="6" borderId="0" xfId="0" applyFont="1" applyFill="1" applyAlignment="1">
      <alignment vertical="center"/>
    </xf>
    <xf numFmtId="0" fontId="8" fillId="6" borderId="7" xfId="0" applyFont="1" applyFill="1" applyBorder="1" applyAlignment="1">
      <alignment vertical="center"/>
    </xf>
    <xf numFmtId="164" fontId="5" fillId="6" borderId="8" xfId="0" applyNumberFormat="1" applyFont="1" applyFill="1" applyBorder="1" applyAlignment="1">
      <alignment vertical="center"/>
    </xf>
    <xf numFmtId="164" fontId="5" fillId="6" borderId="0" xfId="0" applyNumberFormat="1" applyFont="1" applyFill="1" applyAlignment="1">
      <alignment vertical="center"/>
    </xf>
    <xf numFmtId="164" fontId="5" fillId="6" borderId="0" xfId="0" applyNumberFormat="1" applyFont="1" applyFill="1" applyAlignment="1">
      <alignment vertical="center" wrapText="1"/>
    </xf>
    <xf numFmtId="164" fontId="5" fillId="6" borderId="0" xfId="0" applyNumberFormat="1" applyFont="1" applyFill="1"/>
    <xf numFmtId="0" fontId="8" fillId="6" borderId="9" xfId="0" applyFont="1" applyFill="1" applyBorder="1" applyAlignment="1">
      <alignment vertical="center"/>
    </xf>
    <xf numFmtId="164" fontId="8" fillId="6" borderId="9" xfId="0" applyNumberFormat="1" applyFont="1" applyFill="1" applyBorder="1" applyAlignment="1">
      <alignment vertical="center"/>
    </xf>
    <xf numFmtId="164" fontId="8" fillId="6" borderId="0" xfId="0" applyNumberFormat="1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vertical="top"/>
    </xf>
    <xf numFmtId="0" fontId="7" fillId="6" borderId="0" xfId="0" applyFont="1" applyFill="1" applyAlignment="1">
      <alignment horizontal="left" vertical="top"/>
    </xf>
    <xf numFmtId="0" fontId="7" fillId="6" borderId="0" xfId="0" applyFont="1" applyFill="1" applyAlignment="1">
      <alignment horizontal="center" vertical="top"/>
    </xf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0" borderId="0" xfId="0" applyAlignment="1">
      <alignment horizontal="center"/>
    </xf>
    <xf numFmtId="165" fontId="0" fillId="0" borderId="0" xfId="0" applyNumberFormat="1"/>
    <xf numFmtId="22" fontId="0" fillId="0" borderId="0" xfId="0" applyNumberFormat="1"/>
    <xf numFmtId="0" fontId="11" fillId="0" borderId="0" xfId="0" applyFont="1"/>
    <xf numFmtId="0" fontId="12" fillId="0" borderId="0" xfId="0" applyFont="1"/>
    <xf numFmtId="0" fontId="1" fillId="7" borderId="13" xfId="0" applyFont="1" applyFill="1" applyBorder="1"/>
    <xf numFmtId="0" fontId="12" fillId="9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" fillId="7" borderId="13" xfId="0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4" fontId="13" fillId="0" borderId="13" xfId="0" applyNumberFormat="1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" fillId="7" borderId="13" xfId="0" applyNumberFormat="1" applyFont="1" applyFill="1" applyBorder="1" applyAlignment="1">
      <alignment horizontal="center" vertical="center"/>
    </xf>
    <xf numFmtId="164" fontId="13" fillId="9" borderId="13" xfId="0" applyNumberFormat="1" applyFont="1" applyFill="1" applyBorder="1" applyAlignment="1">
      <alignment vertical="center"/>
    </xf>
    <xf numFmtId="0" fontId="13" fillId="9" borderId="13" xfId="0" applyFont="1" applyFill="1" applyBorder="1" applyAlignment="1">
      <alignment vertical="center"/>
    </xf>
    <xf numFmtId="164" fontId="3" fillId="7" borderId="13" xfId="0" applyNumberFormat="1" applyFont="1" applyFill="1" applyBorder="1" applyAlignment="1">
      <alignment horizontal="center" vertical="center"/>
    </xf>
    <xf numFmtId="41" fontId="12" fillId="0" borderId="13" xfId="0" applyNumberFormat="1" applyFont="1" applyBorder="1" applyAlignment="1">
      <alignment vertical="center"/>
    </xf>
    <xf numFmtId="10" fontId="12" fillId="0" borderId="13" xfId="0" applyNumberFormat="1" applyFont="1" applyBorder="1" applyAlignment="1">
      <alignment vertical="center"/>
    </xf>
    <xf numFmtId="164" fontId="12" fillId="0" borderId="0" xfId="0" applyNumberFormat="1" applyFont="1" applyAlignment="1">
      <alignment vertical="center"/>
    </xf>
    <xf numFmtId="0" fontId="3" fillId="7" borderId="13" xfId="0" applyFont="1" applyFill="1" applyBorder="1" applyAlignment="1">
      <alignment horizontal="center"/>
    </xf>
    <xf numFmtId="10" fontId="12" fillId="0" borderId="13" xfId="0" applyNumberFormat="1" applyFont="1" applyBorder="1"/>
    <xf numFmtId="41" fontId="12" fillId="0" borderId="13" xfId="0" applyNumberFormat="1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165" fontId="0" fillId="0" borderId="13" xfId="0" applyNumberFormat="1" applyBorder="1"/>
    <xf numFmtId="3" fontId="0" fillId="0" borderId="13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Border="1"/>
    <xf numFmtId="165" fontId="0" fillId="0" borderId="18" xfId="0" applyNumberFormat="1" applyBorder="1"/>
    <xf numFmtId="3" fontId="0" fillId="0" borderId="18" xfId="0" applyNumberFormat="1" applyBorder="1" applyAlignment="1">
      <alignment horizontal="center"/>
    </xf>
    <xf numFmtId="0" fontId="4" fillId="4" borderId="17" xfId="0" applyFont="1" applyFill="1" applyBorder="1" applyAlignment="1">
      <alignment horizontal="center" vertical="center" wrapText="1"/>
    </xf>
    <xf numFmtId="165" fontId="7" fillId="6" borderId="0" xfId="0" applyNumberFormat="1" applyFont="1" applyFill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2" fillId="5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0" fontId="0" fillId="0" borderId="13" xfId="0" quotePrefix="1" applyBorder="1"/>
    <xf numFmtId="0" fontId="13" fillId="0" borderId="14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4" fillId="3" borderId="13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/>
    </xf>
    <xf numFmtId="165" fontId="4" fillId="3" borderId="13" xfId="0" applyNumberFormat="1" applyFont="1" applyFill="1" applyBorder="1" applyAlignment="1">
      <alignment horizontal="center" vertical="center" wrapText="1"/>
    </xf>
    <xf numFmtId="165" fontId="4" fillId="3" borderId="17" xfId="0" applyNumberFormat="1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left" vertical="top"/>
    </xf>
    <xf numFmtId="0" fontId="4" fillId="10" borderId="13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6" xfId="0" applyFont="1" applyBorder="1" applyAlignment="1">
      <alignment horizontal="left" vertical="center" wrapText="1"/>
    </xf>
    <xf numFmtId="164" fontId="13" fillId="0" borderId="14" xfId="0" applyNumberFormat="1" applyFont="1" applyBorder="1" applyAlignment="1">
      <alignment horizontal="left" vertical="center"/>
    </xf>
    <xf numFmtId="164" fontId="13" fillId="0" borderId="15" xfId="0" applyNumberFormat="1" applyFont="1" applyBorder="1" applyAlignment="1">
      <alignment horizontal="left" vertical="center"/>
    </xf>
    <xf numFmtId="164" fontId="13" fillId="0" borderId="16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266700</xdr:colOff>
      <xdr:row>0</xdr:row>
      <xdr:rowOff>0</xdr:rowOff>
    </xdr:from>
    <xdr:ext cx="971550" cy="829167"/>
    <xdr:pic>
      <xdr:nvPicPr>
        <xdr:cNvPr id="2" name="Picture 1">
          <a:extLst>
            <a:ext uri="{FF2B5EF4-FFF2-40B4-BE49-F238E27FC236}">
              <a16:creationId xmlns:a16="http://schemas.microsoft.com/office/drawing/2014/main" id="{5F3FF162-DC7C-4329-858B-A68F04056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bright="4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00" y="0"/>
          <a:ext cx="971550" cy="82916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%20OWNER\Downloads\Slip%20Gaji-With%20Mac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GAJI"/>
      <sheetName val="SLIP GAJI"/>
      <sheetName val="Sheet3"/>
    </sheetNames>
    <sheetDataSet>
      <sheetData sheetId="0">
        <row r="6">
          <cell r="N6" t="str">
            <v>BPJS / JAMSOSTEK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AD26-DCCE-4BD2-A5A2-88EB799EEB30}">
  <sheetPr codeName="Sheet1"/>
  <dimension ref="A1:AN22"/>
  <sheetViews>
    <sheetView tabSelected="1" workbookViewId="0">
      <selection activeCell="E12" sqref="E12"/>
    </sheetView>
  </sheetViews>
  <sheetFormatPr defaultRowHeight="15" x14ac:dyDescent="0.25"/>
  <cols>
    <col min="1" max="1" width="7.85546875" style="30" customWidth="1"/>
    <col min="2" max="2" width="15.85546875" bestFit="1" customWidth="1"/>
    <col min="3" max="3" width="14.140625" customWidth="1"/>
    <col min="4" max="4" width="11.7109375" customWidth="1"/>
    <col min="5" max="5" width="15.7109375" style="31" customWidth="1"/>
    <col min="6" max="6" width="7.5703125" customWidth="1"/>
    <col min="7" max="7" width="9.5703125" customWidth="1"/>
    <col min="8" max="8" width="8" customWidth="1"/>
    <col min="9" max="9" width="13" customWidth="1"/>
    <col min="10" max="10" width="13.140625" customWidth="1"/>
    <col min="11" max="11" width="10.85546875" customWidth="1"/>
    <col min="12" max="12" width="12.28515625" customWidth="1"/>
    <col min="13" max="13" width="14.42578125" bestFit="1" customWidth="1"/>
    <col min="14" max="14" width="13.42578125" customWidth="1"/>
    <col min="15" max="15" width="12.85546875" customWidth="1"/>
    <col min="16" max="16" width="9" customWidth="1"/>
    <col min="17" max="17" width="12.28515625" customWidth="1"/>
    <col min="18" max="18" width="11.5703125" customWidth="1"/>
    <col min="19" max="20" width="2.7109375" customWidth="1"/>
    <col min="21" max="21" width="26.85546875" bestFit="1" customWidth="1"/>
    <col min="22" max="22" width="11.85546875" bestFit="1" customWidth="1"/>
    <col min="23" max="23" width="9.7109375" bestFit="1" customWidth="1"/>
    <col min="24" max="24" width="17.28515625" customWidth="1"/>
    <col min="25" max="25" width="10.7109375" bestFit="1" customWidth="1"/>
    <col min="26" max="26" width="7.7109375" bestFit="1" customWidth="1"/>
    <col min="27" max="30" width="2.7109375" customWidth="1"/>
    <col min="32" max="32" width="3" customWidth="1"/>
    <col min="33" max="33" width="21.85546875" customWidth="1"/>
    <col min="34" max="34" width="2.42578125" customWidth="1"/>
    <col min="35" max="35" width="15.5703125" customWidth="1"/>
    <col min="37" max="37" width="20" customWidth="1"/>
    <col min="38" max="38" width="2" customWidth="1"/>
    <col min="39" max="39" width="12.7109375" bestFit="1" customWidth="1"/>
    <col min="40" max="40" width="3.28515625" customWidth="1"/>
  </cols>
  <sheetData>
    <row r="1" spans="1:40" ht="22.5" customHeight="1" x14ac:dyDescent="0.4">
      <c r="B1" s="66" t="s">
        <v>67</v>
      </c>
      <c r="C1" s="66"/>
      <c r="D1" s="66"/>
      <c r="E1" s="66"/>
      <c r="U1" s="33" t="s">
        <v>23</v>
      </c>
      <c r="V1" s="34"/>
      <c r="W1" s="34"/>
      <c r="X1" s="34"/>
      <c r="Y1" s="34"/>
      <c r="Z1" s="34"/>
      <c r="AF1" s="2"/>
      <c r="AG1" s="3"/>
      <c r="AH1" s="3"/>
      <c r="AI1" s="4" t="s">
        <v>7</v>
      </c>
      <c r="AJ1" s="3"/>
      <c r="AK1" s="3"/>
      <c r="AL1" s="3"/>
      <c r="AM1" s="3"/>
      <c r="AN1" s="5"/>
    </row>
    <row r="2" spans="1:40" ht="15.75" x14ac:dyDescent="0.25">
      <c r="B2" s="67" t="s">
        <v>68</v>
      </c>
      <c r="E2"/>
      <c r="U2" s="72" t="s">
        <v>24</v>
      </c>
      <c r="V2" s="73"/>
      <c r="W2" s="73"/>
      <c r="X2" s="73"/>
      <c r="Y2" s="73"/>
      <c r="Z2" s="74"/>
      <c r="AF2" s="6"/>
      <c r="AG2" s="7"/>
      <c r="AH2" s="7"/>
      <c r="AI2" s="7" t="s">
        <v>8</v>
      </c>
      <c r="AJ2" s="7"/>
      <c r="AK2" s="7"/>
      <c r="AL2" s="7"/>
      <c r="AM2" s="8" t="s">
        <v>66</v>
      </c>
      <c r="AN2" s="9"/>
    </row>
    <row r="3" spans="1:40" ht="15.75" x14ac:dyDescent="0.25">
      <c r="A3" s="68" t="s">
        <v>69</v>
      </c>
      <c r="B3" s="32">
        <f ca="1">NOW()</f>
        <v>44767.489389351853</v>
      </c>
      <c r="U3" s="35" t="s">
        <v>25</v>
      </c>
      <c r="V3" s="36" t="s">
        <v>26</v>
      </c>
      <c r="W3" s="36" t="s">
        <v>27</v>
      </c>
      <c r="X3" s="36" t="s">
        <v>28</v>
      </c>
      <c r="Y3" s="36" t="s">
        <v>29</v>
      </c>
      <c r="Z3" s="36" t="s">
        <v>30</v>
      </c>
      <c r="AF3" s="6"/>
      <c r="AG3" s="7"/>
      <c r="AH3" s="7"/>
      <c r="AI3" s="7" t="s">
        <v>9</v>
      </c>
      <c r="AJ3" s="7"/>
      <c r="AK3" s="7"/>
      <c r="AL3" s="7"/>
      <c r="AM3" s="65">
        <f ca="1">B3</f>
        <v>44767.489389351853</v>
      </c>
      <c r="AN3" s="9"/>
    </row>
    <row r="4" spans="1:40" ht="16.5" thickBot="1" x14ac:dyDescent="0.3">
      <c r="A4" s="69" t="s">
        <v>6</v>
      </c>
      <c r="B4" s="69">
        <f>COUNTA(A7:A11)</f>
        <v>5</v>
      </c>
      <c r="E4"/>
      <c r="U4" s="35" t="s">
        <v>2</v>
      </c>
      <c r="V4" s="37" t="s">
        <v>31</v>
      </c>
      <c r="W4" s="37" t="s">
        <v>32</v>
      </c>
      <c r="X4" s="37" t="s">
        <v>33</v>
      </c>
      <c r="Y4" s="37" t="s">
        <v>34</v>
      </c>
      <c r="Z4" s="37" t="s">
        <v>35</v>
      </c>
      <c r="AF4" s="6"/>
      <c r="AG4" s="10"/>
      <c r="AH4" s="10"/>
      <c r="AI4" s="10"/>
      <c r="AJ4" s="10"/>
      <c r="AK4" s="10"/>
      <c r="AL4" s="10"/>
      <c r="AM4" s="11"/>
      <c r="AN4" s="9"/>
    </row>
    <row r="5" spans="1:40" ht="15.75" x14ac:dyDescent="0.25">
      <c r="A5" s="75" t="s">
        <v>71</v>
      </c>
      <c r="B5" s="75" t="s">
        <v>72</v>
      </c>
      <c r="C5" s="75" t="s">
        <v>73</v>
      </c>
      <c r="D5" s="75" t="s">
        <v>74</v>
      </c>
      <c r="E5" s="78" t="s">
        <v>75</v>
      </c>
      <c r="F5" s="75" t="s">
        <v>76</v>
      </c>
      <c r="G5" s="75" t="s">
        <v>77</v>
      </c>
      <c r="H5" s="75" t="s">
        <v>70</v>
      </c>
      <c r="I5" s="75" t="s">
        <v>78</v>
      </c>
      <c r="J5" s="75" t="s">
        <v>60</v>
      </c>
      <c r="K5" s="77" t="s">
        <v>79</v>
      </c>
      <c r="L5" s="77"/>
      <c r="M5" s="77"/>
      <c r="N5" s="81" t="s">
        <v>80</v>
      </c>
      <c r="O5" s="83" t="s">
        <v>81</v>
      </c>
      <c r="P5" s="89" t="s">
        <v>64</v>
      </c>
      <c r="Q5" s="85" t="s">
        <v>17</v>
      </c>
      <c r="R5" s="87" t="s">
        <v>82</v>
      </c>
      <c r="U5" s="38"/>
      <c r="V5" s="38"/>
      <c r="W5" s="38"/>
      <c r="X5" s="38"/>
      <c r="Y5" s="38"/>
      <c r="Z5" s="38"/>
      <c r="AF5" s="6"/>
      <c r="AG5" s="7" t="s">
        <v>10</v>
      </c>
      <c r="AH5" s="7" t="s">
        <v>11</v>
      </c>
      <c r="AI5" s="70">
        <v>1</v>
      </c>
      <c r="AJ5" s="7"/>
      <c r="AK5" s="7"/>
      <c r="AL5" s="7"/>
      <c r="AM5" s="7"/>
      <c r="AN5" s="9"/>
    </row>
    <row r="6" spans="1:40" s="1" customFormat="1" ht="16.5" thickBot="1" x14ac:dyDescent="0.3">
      <c r="A6" s="76"/>
      <c r="B6" s="76"/>
      <c r="C6" s="76"/>
      <c r="D6" s="76"/>
      <c r="E6" s="79"/>
      <c r="F6" s="76"/>
      <c r="G6" s="76"/>
      <c r="H6" s="76"/>
      <c r="I6" s="76"/>
      <c r="J6" s="76"/>
      <c r="K6" s="64" t="s">
        <v>44</v>
      </c>
      <c r="L6" s="64" t="s">
        <v>4</v>
      </c>
      <c r="M6" s="64" t="s">
        <v>49</v>
      </c>
      <c r="N6" s="82"/>
      <c r="O6" s="84"/>
      <c r="P6" s="89"/>
      <c r="Q6" s="86"/>
      <c r="R6" s="88"/>
      <c r="U6" s="90" t="s">
        <v>36</v>
      </c>
      <c r="V6" s="91"/>
      <c r="W6" s="92"/>
      <c r="X6" s="38"/>
      <c r="Y6" s="38"/>
      <c r="Z6" s="38"/>
      <c r="AF6" s="6"/>
      <c r="AG6" s="12" t="s">
        <v>1</v>
      </c>
      <c r="AH6" s="12" t="s">
        <v>11</v>
      </c>
      <c r="AI6" s="13" t="str">
        <f>VLOOKUP($AI$5,GAJI,3,0)</f>
        <v>PR-003-MJ</v>
      </c>
      <c r="AJ6" s="12"/>
      <c r="AK6" s="1" t="s">
        <v>2</v>
      </c>
      <c r="AL6" s="1" t="s">
        <v>11</v>
      </c>
      <c r="AM6" s="14" t="str">
        <f>VLOOKUP($AI$5,GAJI,9,0)</f>
        <v>Produksi</v>
      </c>
      <c r="AN6" s="9"/>
    </row>
    <row r="7" spans="1:40" ht="15.75" x14ac:dyDescent="0.25">
      <c r="A7" s="60">
        <v>1</v>
      </c>
      <c r="B7" s="61" t="s">
        <v>54</v>
      </c>
      <c r="C7" s="61" t="s">
        <v>59</v>
      </c>
      <c r="D7" s="61" t="str">
        <f>HLOOKUP(RIGHT(C7,2),TABEL_JABATAN,2)</f>
        <v>Manager</v>
      </c>
      <c r="E7" s="62">
        <v>38481</v>
      </c>
      <c r="F7" s="60">
        <v>3</v>
      </c>
      <c r="G7" s="60">
        <f ca="1">DATEDIF(E7,$B$3,"Y")</f>
        <v>17</v>
      </c>
      <c r="H7" s="60" t="str">
        <f ca="1">IF(G7&gt;=15,"C",IF(G7&gt;=10,"B","A"))</f>
        <v>C</v>
      </c>
      <c r="I7" s="61" t="str">
        <f>HLOOKUP(LEFT(C7,2),TABEL_BAGIAN,2,FALSE)</f>
        <v>Produksi</v>
      </c>
      <c r="J7" s="63">
        <f ca="1">VLOOKUP(H7,TABEL_GAJI,2,FALSE)</f>
        <v>8500000</v>
      </c>
      <c r="K7" s="63">
        <f ca="1">VLOOKUP(H7,TABEL_GAJI,3,FALSE)*J7</f>
        <v>297500</v>
      </c>
      <c r="L7" s="63">
        <f ca="1">VLOOKUP(H7,TABEL_GAJI,4,FALSE)*J7</f>
        <v>263500</v>
      </c>
      <c r="M7" s="63">
        <f ca="1">2%*J7</f>
        <v>170000</v>
      </c>
      <c r="N7" s="63">
        <f ca="1">SUM(J7:M7)</f>
        <v>9231000</v>
      </c>
      <c r="O7" s="63">
        <f ca="1">2.5%*J7</f>
        <v>212500</v>
      </c>
      <c r="P7" s="57">
        <v>25000</v>
      </c>
      <c r="Q7" s="63">
        <f ca="1">N7-O7-P7</f>
        <v>8993500</v>
      </c>
      <c r="R7" s="61" t="s">
        <v>50</v>
      </c>
      <c r="U7" s="39" t="s">
        <v>37</v>
      </c>
      <c r="V7" s="40" t="s">
        <v>38</v>
      </c>
      <c r="W7" s="40" t="s">
        <v>39</v>
      </c>
      <c r="X7" s="41"/>
      <c r="Y7" s="41"/>
      <c r="Z7" s="41"/>
      <c r="AF7" s="6"/>
      <c r="AG7" s="12" t="s">
        <v>0</v>
      </c>
      <c r="AH7" s="12" t="s">
        <v>11</v>
      </c>
      <c r="AI7" s="13" t="str">
        <f>VLOOKUP($AI$5,GAJI,2,0)</f>
        <v>Ahmad Ubarjo</v>
      </c>
      <c r="AJ7" s="12"/>
      <c r="AK7" s="12" t="s">
        <v>12</v>
      </c>
      <c r="AL7" s="12" t="s">
        <v>11</v>
      </c>
      <c r="AM7" s="14" t="str">
        <f>VLOOKUP($AI$5,GAJI,18,0)</f>
        <v>Karyawan 1</v>
      </c>
      <c r="AN7" s="9"/>
    </row>
    <row r="8" spans="1:40" ht="15.75" x14ac:dyDescent="0.25">
      <c r="A8" s="56">
        <v>2</v>
      </c>
      <c r="B8" s="57" t="s">
        <v>55</v>
      </c>
      <c r="C8" s="57" t="s">
        <v>19</v>
      </c>
      <c r="D8" s="57" t="str">
        <f>HLOOKUP(RIGHT(C8,2),TABEL_JABATAN,2)</f>
        <v>Staf</v>
      </c>
      <c r="E8" s="58">
        <v>41190</v>
      </c>
      <c r="F8" s="56">
        <v>1</v>
      </c>
      <c r="G8" s="60">
        <f t="shared" ref="G8:G11" ca="1" si="0">DATEDIF(E8,$B$3,"Y")</f>
        <v>9</v>
      </c>
      <c r="H8" s="56" t="str">
        <f t="shared" ref="H8:H11" ca="1" si="1">IF(G8&gt;=15,"C",IF(G8&gt;=10,"B","A"))</f>
        <v>A</v>
      </c>
      <c r="I8" s="57" t="str">
        <f>HLOOKUP(LEFT(C8,2),TABEL_BAGIAN,2,FALSE)</f>
        <v>Keuangan</v>
      </c>
      <c r="J8" s="59">
        <f ca="1">VLOOKUP(H8,TABEL_GAJI,2,FALSE)</f>
        <v>4500000</v>
      </c>
      <c r="K8" s="59">
        <f ca="1">VLOOKUP(H8,TABEL_GAJI,3,FALSE)*J8</f>
        <v>135000</v>
      </c>
      <c r="L8" s="59">
        <f ca="1">VLOOKUP(H8,TABEL_GAJI,4,FALSE)*J8</f>
        <v>67500</v>
      </c>
      <c r="M8" s="59">
        <f t="shared" ref="M8:M11" ca="1" si="2">2%*J8</f>
        <v>90000</v>
      </c>
      <c r="N8" s="59">
        <f t="shared" ref="N8:N11" ca="1" si="3">SUM(J8:M8)</f>
        <v>4792500</v>
      </c>
      <c r="O8" s="59">
        <f t="shared" ref="O8:O11" ca="1" si="4">2.5%*J8</f>
        <v>112500</v>
      </c>
      <c r="P8" s="57">
        <v>25000</v>
      </c>
      <c r="Q8" s="63">
        <f t="shared" ref="Q8:Q11" ca="1" si="5">N8-O8-P8</f>
        <v>4655000</v>
      </c>
      <c r="R8" s="57" t="s">
        <v>51</v>
      </c>
      <c r="U8" s="42" t="s">
        <v>5</v>
      </c>
      <c r="V8" s="42" t="s">
        <v>40</v>
      </c>
      <c r="W8" s="43" t="s">
        <v>41</v>
      </c>
      <c r="X8" s="44"/>
      <c r="Y8" s="44"/>
      <c r="Z8" s="44"/>
      <c r="AF8" s="6"/>
      <c r="AG8" s="12" t="s">
        <v>5</v>
      </c>
      <c r="AH8" s="12" t="s">
        <v>11</v>
      </c>
      <c r="AI8" s="14" t="str">
        <f>VLOOKUP($AI$5,GAJI,4,0)</f>
        <v>Manager</v>
      </c>
      <c r="AJ8" s="12"/>
      <c r="AK8" s="12"/>
      <c r="AL8" s="12"/>
      <c r="AM8" s="12"/>
      <c r="AN8" s="9"/>
    </row>
    <row r="9" spans="1:40" ht="16.5" thickBot="1" x14ac:dyDescent="0.3">
      <c r="A9" s="56">
        <v>3</v>
      </c>
      <c r="B9" s="57" t="s">
        <v>56</v>
      </c>
      <c r="C9" s="57" t="s">
        <v>20</v>
      </c>
      <c r="D9" s="57" t="str">
        <f>HLOOKUP(RIGHT(C9,2),TABEL_JABATAN,2)</f>
        <v>Manager</v>
      </c>
      <c r="E9" s="58">
        <v>43957</v>
      </c>
      <c r="F9" s="56">
        <v>2</v>
      </c>
      <c r="G9" s="60">
        <f t="shared" ca="1" si="0"/>
        <v>2</v>
      </c>
      <c r="H9" s="56" t="str">
        <f t="shared" ca="1" si="1"/>
        <v>A</v>
      </c>
      <c r="I9" s="57" t="str">
        <f>HLOOKUP(LEFT(C9,2),TABEL_BAGIAN,2,FALSE)</f>
        <v>Administrasi</v>
      </c>
      <c r="J9" s="59">
        <f ca="1">VLOOKUP(H9,TABEL_GAJI,2,FALSE)</f>
        <v>4500000</v>
      </c>
      <c r="K9" s="59">
        <f ca="1">VLOOKUP(H9,TABEL_GAJI,3,FALSE)*J9</f>
        <v>135000</v>
      </c>
      <c r="L9" s="59">
        <f ca="1">VLOOKUP(H9,TABEL_GAJI,4,FALSE)*J9</f>
        <v>67500</v>
      </c>
      <c r="M9" s="59">
        <f t="shared" ca="1" si="2"/>
        <v>90000</v>
      </c>
      <c r="N9" s="59">
        <f t="shared" ca="1" si="3"/>
        <v>4792500</v>
      </c>
      <c r="O9" s="59">
        <f t="shared" ca="1" si="4"/>
        <v>112500</v>
      </c>
      <c r="P9" s="57">
        <v>25000</v>
      </c>
      <c r="Q9" s="63">
        <f t="shared" ca="1" si="5"/>
        <v>4655000</v>
      </c>
      <c r="R9" s="57" t="s">
        <v>52</v>
      </c>
      <c r="U9" s="44"/>
      <c r="V9" s="44"/>
      <c r="W9" s="45"/>
      <c r="X9" s="44"/>
      <c r="Y9" s="44"/>
      <c r="Z9" s="44"/>
      <c r="AF9" s="6"/>
      <c r="AG9" s="15" t="s">
        <v>13</v>
      </c>
      <c r="AH9" s="15"/>
      <c r="AI9" s="15"/>
      <c r="AJ9" s="15"/>
      <c r="AK9" s="15" t="s">
        <v>14</v>
      </c>
      <c r="AL9" s="15"/>
      <c r="AM9" s="15"/>
      <c r="AN9" s="9"/>
    </row>
    <row r="10" spans="1:40" ht="16.5" thickTop="1" x14ac:dyDescent="0.25">
      <c r="A10" s="56">
        <v>4</v>
      </c>
      <c r="B10" s="57" t="s">
        <v>57</v>
      </c>
      <c r="C10" s="57" t="s">
        <v>21</v>
      </c>
      <c r="D10" s="57" t="str">
        <f>HLOOKUP(RIGHT(C10,2),TABEL_JABATAN,2)</f>
        <v>Staf</v>
      </c>
      <c r="E10" s="58">
        <v>39942</v>
      </c>
      <c r="F10" s="56">
        <v>3</v>
      </c>
      <c r="G10" s="60">
        <f t="shared" ca="1" si="0"/>
        <v>13</v>
      </c>
      <c r="H10" s="56" t="str">
        <f t="shared" ca="1" si="1"/>
        <v>B</v>
      </c>
      <c r="I10" s="57" t="str">
        <f>HLOOKUP(LEFT(C10,2),TABEL_BAGIAN,2,FALSE)</f>
        <v>Pemasaran</v>
      </c>
      <c r="J10" s="59">
        <f ca="1">VLOOKUP(H10,TABEL_GAJI,2,FALSE)</f>
        <v>6000000</v>
      </c>
      <c r="K10" s="59">
        <f ca="1">VLOOKUP(H10,TABEL_GAJI,3,FALSE)*J10</f>
        <v>195000</v>
      </c>
      <c r="L10" s="59">
        <f ca="1">VLOOKUP(H10,TABEL_GAJI,4,FALSE)*J10</f>
        <v>132000</v>
      </c>
      <c r="M10" s="59">
        <f t="shared" ca="1" si="2"/>
        <v>120000</v>
      </c>
      <c r="N10" s="59">
        <f t="shared" ca="1" si="3"/>
        <v>6447000</v>
      </c>
      <c r="O10" s="59">
        <f t="shared" ca="1" si="4"/>
        <v>150000</v>
      </c>
      <c r="P10" s="57">
        <v>25000</v>
      </c>
      <c r="Q10" s="63">
        <f t="shared" ca="1" si="5"/>
        <v>6272000</v>
      </c>
      <c r="R10" s="57" t="s">
        <v>53</v>
      </c>
      <c r="U10" s="93" t="s">
        <v>42</v>
      </c>
      <c r="V10" s="94"/>
      <c r="W10" s="94"/>
      <c r="X10" s="95"/>
      <c r="Y10" s="44"/>
      <c r="Z10" s="44"/>
      <c r="AF10" s="6"/>
      <c r="AG10" s="12" t="s">
        <v>60</v>
      </c>
      <c r="AH10" s="12" t="s">
        <v>11</v>
      </c>
      <c r="AI10" s="16">
        <f ca="1">VLOOKUP($AI$5,GAJI,10,0)</f>
        <v>8500000</v>
      </c>
      <c r="AJ10" s="12"/>
      <c r="AK10" s="12" t="str">
        <f>'[1]DATA GAJI'!N6</f>
        <v>BPJS / JAMSOSTEK</v>
      </c>
      <c r="AL10" s="12" t="s">
        <v>11</v>
      </c>
      <c r="AM10" s="17">
        <f>VLOOKUP($AI$5,GAJI,16,0)</f>
        <v>25000</v>
      </c>
      <c r="AN10" s="9"/>
    </row>
    <row r="11" spans="1:40" ht="15.75" x14ac:dyDescent="0.25">
      <c r="A11" s="56">
        <v>5</v>
      </c>
      <c r="B11" s="57" t="s">
        <v>58</v>
      </c>
      <c r="C11" s="57" t="s">
        <v>22</v>
      </c>
      <c r="D11" s="57" t="str">
        <f>HLOOKUP(RIGHT(C11,2),TABEL_JABATAN,2)</f>
        <v>Staf</v>
      </c>
      <c r="E11" s="58">
        <v>40459</v>
      </c>
      <c r="F11" s="56">
        <v>3</v>
      </c>
      <c r="G11" s="60">
        <f t="shared" ca="1" si="0"/>
        <v>11</v>
      </c>
      <c r="H11" s="56" t="str">
        <f t="shared" ca="1" si="1"/>
        <v>B</v>
      </c>
      <c r="I11" s="57" t="str">
        <f>HLOOKUP(LEFT(C11,2),TABEL_BAGIAN,2,FALSE)</f>
        <v>Gudang</v>
      </c>
      <c r="J11" s="59">
        <f ca="1">VLOOKUP(H11,TABEL_GAJI,2,FALSE)</f>
        <v>6000000</v>
      </c>
      <c r="K11" s="59">
        <f ca="1">VLOOKUP(H11,TABEL_GAJI,3,FALSE)*J11</f>
        <v>195000</v>
      </c>
      <c r="L11" s="59">
        <f ca="1">VLOOKUP(H11,TABEL_GAJI,4,FALSE)*J11</f>
        <v>132000</v>
      </c>
      <c r="M11" s="59">
        <f t="shared" ca="1" si="2"/>
        <v>120000</v>
      </c>
      <c r="N11" s="59">
        <f t="shared" ca="1" si="3"/>
        <v>6447000</v>
      </c>
      <c r="O11" s="59">
        <f t="shared" ca="1" si="4"/>
        <v>150000</v>
      </c>
      <c r="P11" s="57">
        <v>25000</v>
      </c>
      <c r="Q11" s="63">
        <f t="shared" ca="1" si="5"/>
        <v>6272000</v>
      </c>
      <c r="R11" s="71" t="s">
        <v>83</v>
      </c>
      <c r="U11" s="46" t="s">
        <v>43</v>
      </c>
      <c r="V11" s="47" t="s">
        <v>3</v>
      </c>
      <c r="W11" s="48" t="s">
        <v>44</v>
      </c>
      <c r="X11" s="47" t="s">
        <v>45</v>
      </c>
      <c r="Y11" s="44"/>
      <c r="Z11" s="44"/>
      <c r="AF11" s="6"/>
      <c r="AG11" s="12" t="s">
        <v>61</v>
      </c>
      <c r="AH11" s="12" t="s">
        <v>11</v>
      </c>
      <c r="AI11" s="17">
        <f ca="1">VLOOKUP($AI$5,GAJI,11,0)</f>
        <v>297500</v>
      </c>
      <c r="AJ11" s="12"/>
      <c r="AK11" s="12" t="s">
        <v>65</v>
      </c>
      <c r="AL11" s="12" t="s">
        <v>11</v>
      </c>
      <c r="AM11" s="18">
        <f ca="1">VLOOKUP($AI$5,GAJI,15,0)</f>
        <v>212500</v>
      </c>
      <c r="AN11" s="9"/>
    </row>
    <row r="12" spans="1:40" ht="15.75" x14ac:dyDescent="0.25">
      <c r="U12" s="49" t="s">
        <v>46</v>
      </c>
      <c r="V12" s="50">
        <v>4500000</v>
      </c>
      <c r="W12" s="51">
        <v>0.03</v>
      </c>
      <c r="X12" s="51">
        <v>1.4999999999999999E-2</v>
      </c>
      <c r="Y12" s="52"/>
      <c r="Z12" s="44"/>
      <c r="AF12" s="6"/>
      <c r="AG12" s="12" t="s">
        <v>62</v>
      </c>
      <c r="AH12" s="12" t="s">
        <v>11</v>
      </c>
      <c r="AI12" s="17">
        <f ca="1">VLOOKUP($AI$5,GAJI,12,0)</f>
        <v>263500</v>
      </c>
      <c r="AJ12" s="12"/>
      <c r="AK12" s="7"/>
      <c r="AL12" s="7"/>
      <c r="AM12" s="19"/>
      <c r="AN12" s="9"/>
    </row>
    <row r="13" spans="1:40" ht="15.75" x14ac:dyDescent="0.25">
      <c r="U13" s="53" t="s">
        <v>47</v>
      </c>
      <c r="V13" s="50">
        <v>6000000</v>
      </c>
      <c r="W13" s="54">
        <v>3.2500000000000001E-2</v>
      </c>
      <c r="X13" s="54">
        <v>2.1999999999999999E-2</v>
      </c>
      <c r="Y13" s="34"/>
      <c r="Z13" s="34"/>
      <c r="AF13" s="6"/>
      <c r="AG13" s="12" t="s">
        <v>63</v>
      </c>
      <c r="AH13" s="12" t="s">
        <v>11</v>
      </c>
      <c r="AI13" s="17">
        <f ca="1">VLOOKUP($AI$5,GAJI,13,0)</f>
        <v>170000</v>
      </c>
      <c r="AJ13" s="12"/>
      <c r="AK13" s="12"/>
      <c r="AL13" s="12"/>
      <c r="AM13" s="17"/>
      <c r="AN13" s="9"/>
    </row>
    <row r="14" spans="1:40" ht="15.75" x14ac:dyDescent="0.25">
      <c r="U14" s="53" t="s">
        <v>48</v>
      </c>
      <c r="V14" s="55">
        <v>8500000</v>
      </c>
      <c r="W14" s="54">
        <v>3.5000000000000003E-2</v>
      </c>
      <c r="X14" s="54">
        <v>3.1E-2</v>
      </c>
      <c r="Y14" s="34"/>
      <c r="Z14" s="34"/>
      <c r="AF14" s="6"/>
      <c r="AG14" s="12"/>
      <c r="AH14" s="12"/>
      <c r="AI14" s="17"/>
      <c r="AJ14" s="12"/>
      <c r="AK14" s="12"/>
      <c r="AL14" s="12"/>
      <c r="AM14" s="17"/>
      <c r="AN14" s="9"/>
    </row>
    <row r="15" spans="1:40" ht="16.5" thickBot="1" x14ac:dyDescent="0.3">
      <c r="AF15" s="6"/>
      <c r="AG15" s="12"/>
      <c r="AH15" s="12"/>
      <c r="AI15" s="17"/>
      <c r="AJ15" s="12"/>
      <c r="AK15" s="12"/>
      <c r="AL15" s="12"/>
      <c r="AM15" s="17"/>
      <c r="AN15" s="9"/>
    </row>
    <row r="16" spans="1:40" ht="17.25" thickTop="1" thickBot="1" x14ac:dyDescent="0.3">
      <c r="AF16" s="6"/>
      <c r="AG16" s="20" t="s">
        <v>15</v>
      </c>
      <c r="AH16" s="20"/>
      <c r="AI16" s="21">
        <f ca="1">SUM(AI10:AI14)</f>
        <v>9231000</v>
      </c>
      <c r="AJ16" s="20"/>
      <c r="AK16" s="20" t="s">
        <v>16</v>
      </c>
      <c r="AL16" s="20"/>
      <c r="AM16" s="21">
        <f ca="1">SUM(AM10:AM15)</f>
        <v>237500</v>
      </c>
      <c r="AN16" s="9"/>
    </row>
    <row r="17" spans="32:40" ht="16.5" thickTop="1" x14ac:dyDescent="0.25">
      <c r="AF17" s="6"/>
      <c r="AG17" s="12"/>
      <c r="AH17" s="12"/>
      <c r="AI17" s="12"/>
      <c r="AJ17" s="12"/>
      <c r="AK17" s="12"/>
      <c r="AL17" s="12"/>
      <c r="AM17" s="7"/>
      <c r="AN17" s="9"/>
    </row>
    <row r="18" spans="32:40" ht="15.75" x14ac:dyDescent="0.25">
      <c r="AF18" s="6"/>
      <c r="AG18" s="14" t="s">
        <v>17</v>
      </c>
      <c r="AH18" s="12" t="s">
        <v>11</v>
      </c>
      <c r="AI18" s="22">
        <f ca="1">AI16-AM16</f>
        <v>8993500</v>
      </c>
      <c r="AJ18" s="12"/>
      <c r="AK18" s="12"/>
      <c r="AL18" s="12"/>
      <c r="AM18" s="23" t="s">
        <v>18</v>
      </c>
      <c r="AN18" s="9"/>
    </row>
    <row r="19" spans="32:40" ht="15.75" x14ac:dyDescent="0.25">
      <c r="AF19" s="6"/>
      <c r="AG19" s="12"/>
      <c r="AH19" s="12"/>
      <c r="AI19" s="80"/>
      <c r="AJ19" s="80"/>
      <c r="AK19" s="80"/>
      <c r="AL19" s="80"/>
      <c r="AM19" s="24"/>
      <c r="AN19" s="9"/>
    </row>
    <row r="20" spans="32:40" ht="15.75" x14ac:dyDescent="0.25">
      <c r="AF20" s="6"/>
      <c r="AG20" s="12"/>
      <c r="AH20" s="12"/>
      <c r="AI20" s="80"/>
      <c r="AJ20" s="80"/>
      <c r="AK20" s="80"/>
      <c r="AL20" s="80"/>
      <c r="AM20" s="24"/>
      <c r="AN20" s="9"/>
    </row>
    <row r="21" spans="32:40" ht="15.75" x14ac:dyDescent="0.25">
      <c r="AF21" s="6"/>
      <c r="AG21" s="12"/>
      <c r="AH21" s="12"/>
      <c r="AI21" s="25"/>
      <c r="AJ21" s="25"/>
      <c r="AK21" s="25"/>
      <c r="AL21" s="25"/>
      <c r="AM21" s="26"/>
      <c r="AN21" s="9"/>
    </row>
    <row r="22" spans="32:40" x14ac:dyDescent="0.25">
      <c r="AF22" s="27"/>
      <c r="AG22" s="28"/>
      <c r="AH22" s="28"/>
      <c r="AI22" s="28"/>
      <c r="AJ22" s="28"/>
      <c r="AK22" s="28"/>
      <c r="AL22" s="28"/>
      <c r="AM22" s="28"/>
      <c r="AN22" s="29"/>
    </row>
  </sheetData>
  <mergeCells count="20">
    <mergeCell ref="C5:C6"/>
    <mergeCell ref="B5:B6"/>
    <mergeCell ref="A5:A6"/>
    <mergeCell ref="AI19:AL20"/>
    <mergeCell ref="J5:J6"/>
    <mergeCell ref="I5:I6"/>
    <mergeCell ref="H5:H6"/>
    <mergeCell ref="G5:G6"/>
    <mergeCell ref="N5:N6"/>
    <mergeCell ref="O5:O6"/>
    <mergeCell ref="Q5:Q6"/>
    <mergeCell ref="R5:R6"/>
    <mergeCell ref="P5:P6"/>
    <mergeCell ref="U6:W6"/>
    <mergeCell ref="U10:X10"/>
    <mergeCell ref="U2:Z2"/>
    <mergeCell ref="F5:F6"/>
    <mergeCell ref="K5:M5"/>
    <mergeCell ref="E5:E6"/>
    <mergeCell ref="D5:D6"/>
  </mergeCells>
  <phoneticPr fontId="10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DAFTAR GAJI</vt:lpstr>
      <vt:lpstr>DFT_GAJI</vt:lpstr>
      <vt:lpstr>GAJI</vt:lpstr>
      <vt:lpstr>TABEL_BAGIAN</vt:lpstr>
      <vt:lpstr>TABEL_GAJI</vt:lpstr>
      <vt:lpstr>TABEL_JABATAN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OWNER</dc:creator>
  <cp:lastModifiedBy>PC OWNER</cp:lastModifiedBy>
  <cp:lastPrinted>2022-07-24T04:06:59Z</cp:lastPrinted>
  <dcterms:created xsi:type="dcterms:W3CDTF">2022-07-24T02:13:38Z</dcterms:created>
  <dcterms:modified xsi:type="dcterms:W3CDTF">2022-07-25T04:45:07Z</dcterms:modified>
</cp:coreProperties>
</file>