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spyroszoumpoulis1/Dropbox (Personal)/Research/COVID/Local_Code/Final_Data/"/>
    </mc:Choice>
  </mc:AlternateContent>
  <xr:revisionPtr revIDLastSave="0" documentId="13_ncr:1_{40ED6C9C-16E3-9D40-B47D-D4219C702821}" xr6:coauthVersionLast="45" xr6:coauthVersionMax="45" xr10:uidLastSave="{00000000-0000-0000-0000-000000000000}"/>
  <bookViews>
    <workbookView xWindow="45960" yWindow="2680" windowWidth="20060" windowHeight="16540" tabRatio="920" firstSheet="11" activeTab="15" xr2:uid="{00000000-000D-0000-FFFF-FFFF00000000}"/>
  </bookViews>
  <sheets>
    <sheet name="age_group_0_9" sheetId="1" r:id="rId1"/>
    <sheet name="age_group_10_19" sheetId="3" r:id="rId2"/>
    <sheet name="age_group_20_29" sheetId="4" r:id="rId3"/>
    <sheet name="age_group_30_39" sheetId="5" r:id="rId4"/>
    <sheet name="age_group_40_49" sheetId="15" r:id="rId5"/>
    <sheet name="age_group_50_59" sheetId="6" r:id="rId6"/>
    <sheet name="age_group_60_69" sheetId="16" r:id="rId7"/>
    <sheet name="age_group_70_79" sheetId="7" r:id="rId8"/>
    <sheet name="age_group_80_plus" sheetId="17" r:id="rId9"/>
    <sheet name="value_working" sheetId="9" r:id="rId10"/>
    <sheet name="fraction_working" sheetId="10" r:id="rId11"/>
    <sheet name="population" sheetId="11" r:id="rId12"/>
    <sheet name="ICU_hospital" sheetId="12" r:id="rId13"/>
    <sheet name="SEIR_params" sheetId="13" r:id="rId14"/>
    <sheet name="SEIR_params_conf_range_lower" sheetId="18" r:id="rId15"/>
    <sheet name="SEIR_params_conf_range_upper" sheetId="19" r:id="rId16"/>
    <sheet name="death_cost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9" l="1"/>
  <c r="M4" i="19"/>
  <c r="M5" i="19"/>
  <c r="M6" i="19"/>
  <c r="M7" i="19"/>
  <c r="M8" i="19"/>
  <c r="M9" i="19"/>
  <c r="M10" i="19"/>
  <c r="M2" i="19"/>
  <c r="J3" i="19"/>
  <c r="J4" i="19"/>
  <c r="J5" i="19"/>
  <c r="J6" i="19"/>
  <c r="J7" i="19"/>
  <c r="J8" i="19"/>
  <c r="J9" i="19"/>
  <c r="J10" i="19"/>
  <c r="J2" i="19"/>
  <c r="H3" i="19"/>
  <c r="H4" i="19"/>
  <c r="H5" i="19"/>
  <c r="H6" i="19"/>
  <c r="H7" i="19"/>
  <c r="H8" i="19"/>
  <c r="H9" i="19"/>
  <c r="H10" i="19"/>
  <c r="H2" i="19"/>
  <c r="J5" i="18"/>
  <c r="H3" i="18"/>
  <c r="M3" i="18" s="1"/>
  <c r="H4" i="18"/>
  <c r="M4" i="18" s="1"/>
  <c r="H5" i="18"/>
  <c r="M5" i="18" s="1"/>
  <c r="H6" i="18"/>
  <c r="M6" i="18" s="1"/>
  <c r="H7" i="18"/>
  <c r="M7" i="18" s="1"/>
  <c r="H8" i="18"/>
  <c r="M8" i="18" s="1"/>
  <c r="H9" i="18"/>
  <c r="M9" i="18" s="1"/>
  <c r="H10" i="18"/>
  <c r="J10" i="18" s="1"/>
  <c r="H2" i="18"/>
  <c r="M2" i="18" s="1"/>
  <c r="N3" i="13"/>
  <c r="N4" i="13"/>
  <c r="N5" i="13"/>
  <c r="N6" i="13"/>
  <c r="N7" i="13"/>
  <c r="N8" i="13"/>
  <c r="N9" i="13"/>
  <c r="N10" i="13"/>
  <c r="N2" i="13"/>
  <c r="K3" i="13"/>
  <c r="K4" i="13"/>
  <c r="K5" i="13"/>
  <c r="K6" i="13"/>
  <c r="K7" i="13"/>
  <c r="K8" i="13"/>
  <c r="K9" i="13"/>
  <c r="K10" i="13"/>
  <c r="K2" i="13"/>
  <c r="I3" i="13"/>
  <c r="I4" i="13"/>
  <c r="I5" i="13"/>
  <c r="I6" i="13"/>
  <c r="I7" i="13"/>
  <c r="I8" i="13"/>
  <c r="I9" i="13"/>
  <c r="I10" i="13"/>
  <c r="I2" i="13"/>
  <c r="F3" i="19"/>
  <c r="F4" i="19"/>
  <c r="F5" i="19"/>
  <c r="F6" i="19"/>
  <c r="F7" i="19"/>
  <c r="F8" i="19"/>
  <c r="F9" i="19"/>
  <c r="F10" i="19"/>
  <c r="F2" i="19"/>
  <c r="F3" i="18"/>
  <c r="F4" i="18"/>
  <c r="F5" i="18"/>
  <c r="F6" i="18"/>
  <c r="F7" i="18"/>
  <c r="F8" i="18"/>
  <c r="F9" i="18"/>
  <c r="F10" i="18"/>
  <c r="F2" i="18"/>
  <c r="L3" i="18"/>
  <c r="N3" i="18" s="1"/>
  <c r="L4" i="18"/>
  <c r="L5" i="18"/>
  <c r="L6" i="18"/>
  <c r="L7" i="18"/>
  <c r="L8" i="18"/>
  <c r="L9" i="18"/>
  <c r="L10" i="18"/>
  <c r="N10" i="18" s="1"/>
  <c r="L2" i="18"/>
  <c r="N2" i="18" s="1"/>
  <c r="I2" i="18"/>
  <c r="I3" i="18"/>
  <c r="I4" i="18"/>
  <c r="I5" i="18"/>
  <c r="I6" i="18"/>
  <c r="I7" i="18"/>
  <c r="K7" i="18" s="1"/>
  <c r="I8" i="18"/>
  <c r="I9" i="18"/>
  <c r="I10" i="18"/>
  <c r="I3" i="19"/>
  <c r="I4" i="19"/>
  <c r="K4" i="19" s="1"/>
  <c r="I5" i="19"/>
  <c r="I6" i="19"/>
  <c r="I7" i="19"/>
  <c r="I8" i="19"/>
  <c r="I9" i="19"/>
  <c r="K9" i="19" s="1"/>
  <c r="I10" i="19"/>
  <c r="K10" i="19" s="1"/>
  <c r="L3" i="19"/>
  <c r="L4" i="19"/>
  <c r="L5" i="19"/>
  <c r="L6" i="19"/>
  <c r="L7" i="19"/>
  <c r="N7" i="19" s="1"/>
  <c r="L8" i="19"/>
  <c r="L9" i="19"/>
  <c r="L10" i="19"/>
  <c r="L2" i="19"/>
  <c r="N2" i="19" s="1"/>
  <c r="K6" i="19"/>
  <c r="K8" i="19"/>
  <c r="I2" i="19"/>
  <c r="K5" i="18"/>
  <c r="K4" i="18"/>
  <c r="N6" i="19"/>
  <c r="N8" i="19"/>
  <c r="N9" i="19"/>
  <c r="K5" i="19"/>
  <c r="N4" i="18"/>
  <c r="N9" i="18"/>
  <c r="K8" i="18"/>
  <c r="K9" i="18"/>
  <c r="K10" i="18"/>
  <c r="C10" i="19"/>
  <c r="C9" i="19"/>
  <c r="E9" i="19" s="1"/>
  <c r="C8" i="19"/>
  <c r="E8" i="19" s="1"/>
  <c r="C7" i="19"/>
  <c r="C6" i="19"/>
  <c r="C5" i="19"/>
  <c r="E5" i="19" s="1"/>
  <c r="C4" i="19"/>
  <c r="E4" i="19" s="1"/>
  <c r="C3" i="19"/>
  <c r="C2" i="19"/>
  <c r="E2" i="19" s="1"/>
  <c r="C10" i="18"/>
  <c r="E10" i="18" s="1"/>
  <c r="C9" i="18"/>
  <c r="C8" i="18"/>
  <c r="C7" i="18"/>
  <c r="C6" i="18"/>
  <c r="C5" i="18"/>
  <c r="E5" i="18" s="1"/>
  <c r="C4" i="18"/>
  <c r="C3" i="18"/>
  <c r="C2" i="18"/>
  <c r="N5" i="19"/>
  <c r="N4" i="19"/>
  <c r="N3" i="19"/>
  <c r="K3" i="19"/>
  <c r="N6" i="18"/>
  <c r="K6" i="18"/>
  <c r="E6" i="18"/>
  <c r="N5" i="18"/>
  <c r="K3" i="18"/>
  <c r="O3" i="13"/>
  <c r="O4" i="13"/>
  <c r="O5" i="13"/>
  <c r="O6" i="13"/>
  <c r="O7" i="13"/>
  <c r="O8" i="13"/>
  <c r="O9" i="13"/>
  <c r="O10" i="13"/>
  <c r="O2" i="13"/>
  <c r="M3" i="13"/>
  <c r="M4" i="13"/>
  <c r="M5" i="13"/>
  <c r="M6" i="13"/>
  <c r="M7" i="13"/>
  <c r="M8" i="13"/>
  <c r="M9" i="13"/>
  <c r="M10" i="13"/>
  <c r="M2" i="13"/>
  <c r="L3" i="13"/>
  <c r="L4" i="13"/>
  <c r="L5" i="13"/>
  <c r="L6" i="13"/>
  <c r="L7" i="13"/>
  <c r="L8" i="13"/>
  <c r="L9" i="13"/>
  <c r="L10" i="13"/>
  <c r="L2" i="13"/>
  <c r="J3" i="13"/>
  <c r="J4" i="13"/>
  <c r="J5" i="13"/>
  <c r="J6" i="13"/>
  <c r="J7" i="13"/>
  <c r="J8" i="13"/>
  <c r="J9" i="13"/>
  <c r="J10" i="13"/>
  <c r="J2" i="13"/>
  <c r="M10" i="18" l="1"/>
  <c r="J8" i="18"/>
  <c r="J7" i="18"/>
  <c r="J4" i="18"/>
  <c r="J2" i="18"/>
  <c r="J3" i="18"/>
  <c r="J9" i="18"/>
  <c r="J6" i="18"/>
  <c r="N10" i="19"/>
  <c r="K7" i="19"/>
  <c r="K2" i="19"/>
  <c r="E10" i="19"/>
  <c r="E3" i="19"/>
  <c r="E6" i="19"/>
  <c r="E7" i="19"/>
  <c r="N7" i="18"/>
  <c r="N8" i="18"/>
  <c r="K2" i="18"/>
  <c r="E7" i="18"/>
  <c r="E8" i="18"/>
  <c r="E9" i="18"/>
  <c r="E2" i="18"/>
  <c r="E3" i="18"/>
  <c r="E4" i="18"/>
  <c r="D10" i="13" l="1"/>
  <c r="D9" i="13"/>
  <c r="D8" i="13"/>
  <c r="D7" i="13"/>
  <c r="D6" i="13"/>
  <c r="D5" i="13"/>
  <c r="D4" i="13"/>
  <c r="D3" i="13"/>
  <c r="D2" i="13"/>
  <c r="F10" i="13" l="1"/>
  <c r="G10" i="13" s="1"/>
  <c r="F3" i="13"/>
  <c r="G3" i="13" s="1"/>
  <c r="F4" i="13"/>
  <c r="G4" i="13" s="1"/>
  <c r="F7" i="13"/>
  <c r="G7" i="13" s="1"/>
  <c r="F8" i="13"/>
  <c r="G8" i="13" s="1"/>
  <c r="F9" i="13"/>
  <c r="G9" i="13" s="1"/>
  <c r="F2" i="13"/>
  <c r="G2" i="13" s="1"/>
  <c r="F5" i="13"/>
  <c r="G5" i="13" s="1"/>
  <c r="F6" i="13"/>
  <c r="G6" i="13" s="1"/>
  <c r="K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tc={2A3B9AD6-4410-4883-A004-2E1DBF7B0302}</author>
    <author>tc={52F0ED80-8986-E24B-A1AB-23A522AC9201}</author>
    <author>tc={76DD1E49-01CF-9F4A-AEA8-88EFDD3931B9}</author>
    <author>tc={78B41FA7-695A-3640-B333-A8F4B6ECF265}</author>
    <author>tc={6CC5E804-71F6-B245-A0A6-526DC86E4847}</author>
    <author>tc={FAB066BC-F554-774E-99FE-AFBD352821CE}</author>
    <author>tc={AAE6A714-B7EC-2949-AC31-BBE5E03DDAA0}</author>
    <author>tc={D58F803C-9A16-0A4A-92B3-BC575A9E7A95}</author>
    <author>tc={B735A29E-97CB-3147-A0BE-FAE14DC5834A}</author>
    <author>tc={E8177191-FE1D-C743-AB98-FF9B1E929BD1}</author>
    <author>tc={A0291C1F-83E6-4845-8724-FB3B11D93488}</author>
    <author>tc={FFBBE6C4-DE4A-9146-8009-B9F064C3363F}</author>
  </authors>
  <commentList>
    <comment ref="B1" authorId="0" shapeId="0" xr:uid="{00000000-0006-0000-0A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expressed in units of 1/day. Salje 2020, page 7 supplement</t>
      </text>
    </comment>
    <comment ref="C1" authorId="1" shapeId="0" xr:uid="{52F0ED80-8986-E24B-A1AB-23A522AC9201}">
      <text>
        <t>[Threaded comment]
Your version of Excel allows you to read this threaded comment; however, any edits to it will get removed if the file is opened in a newer version of Excel. Learn more: https://go.microsoft.com/fwlink/?linkid=870924
Comment:
    Slaje 2020, p. 7 supplement</t>
      </text>
    </comment>
    <comment ref="D1" authorId="2" shapeId="0" xr:uid="{76DD1E49-01CF-9F4A-AEA8-88EFDD3931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 </t>
      </text>
    </comment>
    <comment ref="E1" authorId="3" shapeId="0" xr:uid="{78B41FA7-695A-3640-B333-A8F4B6ECF26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</t>
      </text>
    </comment>
    <comment ref="H1" authorId="4" shapeId="0" xr:uid="{6CC5E804-71F6-B245-A0A6-526DC86E484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I1" authorId="5" shapeId="0" xr:uid="{FAB066BC-F554-774E-99FE-AFBD352821CE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J1" authorId="6" shapeId="0" xr:uid="{AAE6A714-B7EC-2949-AC31-BBE5E03DDAA0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</t>
      </text>
    </comment>
    <comment ref="K1" authorId="7" shapeId="0" xr:uid="{D58F803C-9A16-0A4A-92B3-BC575A9E7A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
</t>
      </text>
    </comment>
    <comment ref="L1" authorId="8" shapeId="0" xr:uid="{B735A29E-97CB-3147-A0BE-FAE14DC5834A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</t>
      </text>
    </comment>
    <comment ref="M1" authorId="9" shapeId="0" xr:uid="{E8177191-FE1D-C743-AB98-FF9B1E929BD1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</t>
      </text>
    </comment>
    <comment ref="N1" authorId="10" shapeId="0" xr:uid="{A0291C1F-83E6-4845-8724-FB3B11D93488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S4. Note that we are accounting for 17,57 days of mean time spent in the ICU, plus 1,5 days of mean pre-ICU time.</t>
      </text>
    </comment>
    <comment ref="O1" authorId="11" shapeId="0" xr:uid="{FFBBE6C4-DE4A-9146-8009-B9F064C3363F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S4. Note that we are accounting for 17,57 days of mean time spent in the ICU, plus 1,5 days of mean pre-ICU time.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tc={B07E6B55-2928-BC42-B412-479369305A1B}</author>
    <author>tc={E88FAA3B-0505-2944-8698-53D5E3A5D954}</author>
    <author>tc={831DA857-C6FC-2F45-B53B-1B9560BAD3CF}</author>
    <author>tc={ACBB1B72-3919-D044-946A-C4842632E2C5}</author>
    <author>tc={2D83C08B-371A-8148-AE4F-3268486E263F}</author>
    <author>tc={50BC316B-AE4B-594D-80C2-E9B35E99EDCC}</author>
    <author>tc={5D8CE4D1-11B8-6C4B-ADA2-06B16764E3F0}</author>
    <author>tc={8C0FD025-0FA5-BD44-A1F3-98804444E197}</author>
    <author>tc={33CB8B0A-AAF2-FE4F-8D32-6BACEC3AC868}</author>
    <author>tc={570F55DE-C228-194E-A5D1-15684C4FF537}</author>
    <author>tc={F6AEC5C1-C6AB-E941-8C24-141262492F6E}</author>
  </authors>
  <commentList>
    <comment ref="B1" authorId="0" shapeId="0" xr:uid="{B07E6B55-2928-BC42-B412-479369305A1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expressed in units of 1/day. Salje 2020, page 7 supplement</t>
      </text>
    </comment>
    <comment ref="C1" authorId="1" shapeId="0" xr:uid="{E88FAA3B-0505-2944-8698-53D5E3A5D9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 </t>
      </text>
    </comment>
    <comment ref="D1" authorId="2" shapeId="0" xr:uid="{831DA857-C6FC-2F45-B53B-1B9560BAD3CF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</t>
      </text>
    </comment>
    <comment ref="G1" authorId="3" shapeId="0" xr:uid="{ACBB1B72-3919-D044-946A-C4842632E2C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H1" authorId="4" shapeId="0" xr:uid="{2D83C08B-371A-8148-AE4F-3268486E263F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I1" authorId="5" shapeId="0" xr:uid="{50BC316B-AE4B-594D-80C2-E9B35E99E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</t>
      </text>
    </comment>
    <comment ref="J1" authorId="6" shapeId="0" xr:uid="{5D8CE4D1-11B8-6C4B-ADA2-06B16764E3F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
</t>
      </text>
    </comment>
    <comment ref="K1" authorId="7" shapeId="0" xr:uid="{8C0FD025-0FA5-BD44-A1F3-98804444E19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</t>
      </text>
    </comment>
    <comment ref="L1" authorId="8" shapeId="0" xr:uid="{33CB8B0A-AAF2-FE4F-8D32-6BACEC3AC868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</t>
      </text>
    </comment>
    <comment ref="M1" authorId="9" shapeId="0" xr:uid="{570F55DE-C228-194E-A5D1-15684C4FF53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S4. Note that we are accounting for 17,57 days of mean time spent in the ICU, plus 1,5 days of mean pre-ICU time.</t>
      </text>
    </comment>
    <comment ref="N1" authorId="10" shapeId="0" xr:uid="{F6AEC5C1-C6AB-E941-8C24-141262492F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S4. Note that we are accounting for 17,57 days of mean time spent in the ICU, plus 1,5 days of mean pre-ICU time.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tc={D7920145-2DFB-9E4C-8B14-1FB06F24669D}</author>
    <author>tc={38EDD177-FF73-224F-A37E-EC0EEBF1FB2C}</author>
    <author>tc={3FC7D4FE-33A1-104C-A8DB-7584568E9DC6}</author>
    <author>tc={F648BBA4-5D98-DC4C-8843-8ED9BC46087A}</author>
    <author>tc={E2CB9157-51AC-C540-93B7-FA7DDDFA7607}</author>
    <author>tc={0C65A74A-135B-124F-A148-83F234F40BF0}</author>
    <author>tc={F21F7917-45B8-5441-8262-C46FABEFF299}</author>
    <author>tc={9448ACD0-DFE3-1A41-AD8D-6C68A46E51C2}</author>
    <author>tc={3BB9D8F2-8E80-224A-A04F-B6EBF491A825}</author>
    <author>tc={A907C871-B1A9-7543-978B-F0033AB945AC}</author>
    <author>tc={59E532F1-C183-A541-BA5D-6CF33BEAD01D}</author>
  </authors>
  <commentList>
    <comment ref="B1" authorId="0" shapeId="0" xr:uid="{D7920145-2DFB-9E4C-8B14-1FB06F2466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expressed in units of 1/day. Salje 2020, page 7 supplement</t>
      </text>
    </comment>
    <comment ref="C1" authorId="1" shapeId="0" xr:uid="{38EDD177-FF73-224F-A37E-EC0EEBF1FB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 </t>
      </text>
    </comment>
    <comment ref="D1" authorId="2" shapeId="0" xr:uid="{3FC7D4FE-33A1-104C-A8DB-7584568E9DC6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</t>
      </text>
    </comment>
    <comment ref="G1" authorId="3" shapeId="0" xr:uid="{F648BBA4-5D98-DC4C-8843-8ED9BC46087A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H1" authorId="4" shapeId="0" xr:uid="{E2CB9157-51AC-C540-93B7-FA7DDDFA760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I1" authorId="5" shapeId="0" xr:uid="{0C65A74A-135B-124F-A148-83F234F40BF0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</t>
      </text>
    </comment>
    <comment ref="J1" authorId="6" shapeId="0" xr:uid="{F21F7917-45B8-5441-8262-C46FABEFF2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
</t>
      </text>
    </comment>
    <comment ref="K1" authorId="7" shapeId="0" xr:uid="{9448ACD0-DFE3-1A41-AD8D-6C68A46E51C2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</t>
      </text>
    </comment>
    <comment ref="L1" authorId="8" shapeId="0" xr:uid="{3BB9D8F2-8E80-224A-A04F-B6EBF491A82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</t>
      </text>
    </comment>
    <comment ref="M1" authorId="9" shapeId="0" xr:uid="{A907C871-B1A9-7543-978B-F0033AB945AC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S4. Note that we are accounting for 17,57 days of mean time spent in the ICU, plus 1,5 days of mean pre-ICU time.</t>
      </text>
    </comment>
    <comment ref="N1" authorId="10" shapeId="0" xr:uid="{59E532F1-C183-A541-BA5D-6CF33BEAD01D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S4. Note that we are accounting for 17,57 days of mean time spent in the ICU, plus 1,5 days of mean pre-ICU time.</t>
      </text>
    </comment>
  </commentList>
</comments>
</file>

<file path=xl/sharedStrings.xml><?xml version="1.0" encoding="utf-8"?>
<sst xmlns="http://schemas.openxmlformats.org/spreadsheetml/2006/main" count="165" uniqueCount="35">
  <si>
    <t>home</t>
  </si>
  <si>
    <t>work</t>
  </si>
  <si>
    <t>school</t>
  </si>
  <si>
    <t>transport</t>
  </si>
  <si>
    <t>leisure</t>
  </si>
  <si>
    <t>other</t>
  </si>
  <si>
    <t>Ile-de-France</t>
  </si>
  <si>
    <t>ICU</t>
  </si>
  <si>
    <t>Hospital</t>
  </si>
  <si>
    <t>mu</t>
  </si>
  <si>
    <t>sigma</t>
  </si>
  <si>
    <t>p_ss</t>
  </si>
  <si>
    <t>p_H</t>
  </si>
  <si>
    <t>p_ICU</t>
  </si>
  <si>
    <t>lambda_HR</t>
  </si>
  <si>
    <t>lambda_HD</t>
  </si>
  <si>
    <t>lambda_ICUR</t>
  </si>
  <si>
    <t>lambda_ICUD</t>
  </si>
  <si>
    <t>death_cost</t>
  </si>
  <si>
    <t>TOTAL</t>
  </si>
  <si>
    <t>age_group_0_9</t>
  </si>
  <si>
    <t>age_group_30_39</t>
  </si>
  <si>
    <t>age_group_20_29</t>
  </si>
  <si>
    <t>age_group_40_49</t>
  </si>
  <si>
    <t>age_group_50_59</t>
  </si>
  <si>
    <t>age_group_60_69</t>
  </si>
  <si>
    <t>age_group_70_79</t>
  </si>
  <si>
    <t>age_group_80_plus</t>
  </si>
  <si>
    <t>age_group_10_19</t>
  </si>
  <si>
    <t>p_ICU_cond_ss</t>
  </si>
  <si>
    <t>p_death_cond_ss</t>
  </si>
  <si>
    <t>lambda_H</t>
  </si>
  <si>
    <t>R_0</t>
  </si>
  <si>
    <t>lambda_ICU</t>
  </si>
  <si>
    <t>p_recov_cond_ss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</si>
</sst>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ArialMT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49" fontId="1" fillId="0" borderId="0" xfId="1" applyNumberFormat="1" applyFont="1" applyBorder="1"/>
    <xf numFmtId="0" fontId="2" fillId="0" borderId="0" xfId="0" applyFont="1"/>
    <xf numFmtId="49" fontId="0" fillId="0" borderId="0" xfId="0" applyNumberFormat="1"/>
    <xf numFmtId="0" fontId="3" fillId="0" borderId="1" xfId="0" applyNumberFormat="1" applyFont="1" applyBorder="1" applyAlignment="1">
      <alignment horizontal="right" vertical="center"/>
    </xf>
    <xf numFmtId="0" fontId="4" fillId="0" borderId="0" xfId="0" applyFont="1"/>
  </cellXfs>
  <cellStyles count="4">
    <cellStyle name="Motif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CU Dan" id="{48AE92E2-D8C6-4C8A-8418-B9724683BC8F}" userId="IANCU Dan" providerId="None"/>
  <person displayName="ZOUMPOULIS Spyros" id="{302FD740-4AC2-E547-9F75-2AE3FDB8116A}" userId="S::spyros.zoumpoulis@insead.edu::d72dc488-9f48-4593-a96c-998e1496f2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5-08T15:35:59.26" personId="{48AE92E2-D8C6-4C8A-8418-B9724683BC8F}" id="{2A3B9AD6-4410-4883-A004-2E1DBF7B0302}">
    <text>These values are expressed in units of 1/day. Salje 2020, page 7 supplement</text>
  </threadedComment>
  <threadedComment ref="C1" dT="2020-05-20T16:14:06.10" personId="{302FD740-4AC2-E547-9F75-2AE3FDB8116A}" id="{52F0ED80-8986-E24B-A1AB-23A522AC9201}">
    <text>Slaje 2020, p. 7 supplement</text>
  </threadedComment>
  <threadedComment ref="D1" dT="2020-05-20T16:14:46.61" personId="{302FD740-4AC2-E547-9F75-2AE3FDB8116A}" id="{76DD1E49-01CF-9F4A-AEA8-88EFDD3931B9}">
    <text xml:space="preserve">Salje 2020, supplement Table S1 </text>
  </threadedComment>
  <threadedComment ref="E1" dT="2020-05-20T16:40:37.81" personId="{302FD740-4AC2-E547-9F75-2AE3FDB8116A}" id="{78B41FA7-695A-3640-B333-A8F4B6ECF265}">
    <text>Salje 2020, Supplement Table S1</text>
  </threadedComment>
  <threadedComment ref="H1" dT="2020-05-20T16:59:58.24" personId="{302FD740-4AC2-E547-9F75-2AE3FDB8116A}" id="{6CC5E804-71F6-B245-A0A6-526DC86E4847}">
    <text>Salje 2020, Supplement Table S2</text>
  </threadedComment>
  <threadedComment ref="I1" dT="2020-05-20T16:59:58.24" personId="{302FD740-4AC2-E547-9F75-2AE3FDB8116A}" id="{FAB066BC-F554-774E-99FE-AFBD352821CE}">
    <text>Salje 2020, Supplement Table S2</text>
  </threadedComment>
  <threadedComment ref="J1" dT="2020-06-22T18:05:20.56" personId="{302FD740-4AC2-E547-9F75-2AE3FDB8116A}" id="{AAE6A714-B7EC-2949-AC31-BBE5E03DDAA0}">
    <text>Salje 2020, Supplement Table S4</text>
  </threadedComment>
  <threadedComment ref="K1" dT="2020-05-20T17:40:30.68" personId="{302FD740-4AC2-E547-9F75-2AE3FDB8116A}" id="{D58F803C-9A16-0A4A-92B3-BC575A9E7A95}">
    <text xml:space="preserve">Salje 2020, Supplement Table S4
</text>
  </threadedComment>
  <threadedComment ref="L1" dT="2020-05-20T17:40:45.51" personId="{302FD740-4AC2-E547-9F75-2AE3FDB8116A}" id="{B735A29E-97CB-3147-A0BE-FAE14DC5834A}">
    <text>Salje 2020, Supplement Table S4</text>
  </threadedComment>
  <threadedComment ref="M1" dT="2020-06-22T18:05:43.93" personId="{302FD740-4AC2-E547-9F75-2AE3FDB8116A}" id="{E8177191-FE1D-C743-AB98-FF9B1E929BD1}">
    <text>Salje 2020, Supplement Table S4</text>
  </threadedComment>
  <threadedComment ref="N1" dT="2020-05-20T17:41:37.00" personId="{302FD740-4AC2-E547-9F75-2AE3FDB8116A}" id="{A0291C1F-83E6-4845-8724-FB3B11D93488}">
    <text>Salje 2020, Supplement Table S4. Note that we are accounting for 17,57 days of mean time spent in the ICU, plus 1,5 days of mean pre-ICU time.</text>
  </threadedComment>
  <threadedComment ref="O1" dT="2020-05-20T17:45:34.67" personId="{302FD740-4AC2-E547-9F75-2AE3FDB8116A}" id="{FFBBE6C4-DE4A-9146-8009-B9F064C3363F}">
    <text>Salje 2020, Supplement Table S4. Note that we are accounting for 17,57 days of mean time spent in the ICU, plus 1,5 days of mean pre-ICU time.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5-08T15:35:59.26" personId="{48AE92E2-D8C6-4C8A-8418-B9724683BC8F}" id="{B07E6B55-2928-BC42-B412-479369305A1B}">
    <text>These values are expressed in units of 1/day. Salje 2020, page 7 supplement</text>
  </threadedComment>
  <threadedComment ref="C1" dT="2020-05-20T16:14:46.61" personId="{302FD740-4AC2-E547-9F75-2AE3FDB8116A}" id="{E88FAA3B-0505-2944-8698-53D5E3A5D954}">
    <text xml:space="preserve">Salje 2020, supplement Table S1 </text>
  </threadedComment>
  <threadedComment ref="D1" dT="2020-05-20T16:40:37.81" personId="{302FD740-4AC2-E547-9F75-2AE3FDB8116A}" id="{831DA857-C6FC-2F45-B53B-1B9560BAD3CF}">
    <text>Salje 2020, Supplement Table S1</text>
  </threadedComment>
  <threadedComment ref="G1" dT="2020-05-20T16:59:58.24" personId="{302FD740-4AC2-E547-9F75-2AE3FDB8116A}" id="{ACBB1B72-3919-D044-946A-C4842632E2C5}">
    <text>Salje 2020, Supplement Table S2</text>
  </threadedComment>
  <threadedComment ref="H1" dT="2020-05-20T16:59:58.24" personId="{302FD740-4AC2-E547-9F75-2AE3FDB8116A}" id="{2D83C08B-371A-8148-AE4F-3268486E263F}">
    <text>Salje 2020, Supplement Table S2</text>
  </threadedComment>
  <threadedComment ref="I1" dT="2020-06-22T18:05:20.56" personId="{302FD740-4AC2-E547-9F75-2AE3FDB8116A}" id="{50BC316B-AE4B-594D-80C2-E9B35E99EDCC}">
    <text>Salje 2020, Supplement Table S4</text>
  </threadedComment>
  <threadedComment ref="J1" dT="2020-05-20T17:40:30.68" personId="{302FD740-4AC2-E547-9F75-2AE3FDB8116A}" id="{5D8CE4D1-11B8-6C4B-ADA2-06B16764E3F0}">
    <text xml:space="preserve">Salje 2020, Supplement Table S4
</text>
  </threadedComment>
  <threadedComment ref="K1" dT="2020-05-20T17:40:45.51" personId="{302FD740-4AC2-E547-9F75-2AE3FDB8116A}" id="{8C0FD025-0FA5-BD44-A1F3-98804444E197}">
    <text>Salje 2020, Supplement Table S4</text>
  </threadedComment>
  <threadedComment ref="L1" dT="2020-06-22T18:05:43.93" personId="{302FD740-4AC2-E547-9F75-2AE3FDB8116A}" id="{33CB8B0A-AAF2-FE4F-8D32-6BACEC3AC868}">
    <text>Salje 2020, Supplement Table S4</text>
  </threadedComment>
  <threadedComment ref="M1" dT="2020-05-20T17:41:37.00" personId="{302FD740-4AC2-E547-9F75-2AE3FDB8116A}" id="{570F55DE-C228-194E-A5D1-15684C4FF537}">
    <text>Salje 2020, Supplement Table S4. Note that we are accounting for 17,57 days of mean time spent in the ICU, plus 1,5 days of mean pre-ICU time.</text>
  </threadedComment>
  <threadedComment ref="N1" dT="2020-05-20T17:45:34.67" personId="{302FD740-4AC2-E547-9F75-2AE3FDB8116A}" id="{F6AEC5C1-C6AB-E941-8C24-141262492F6E}">
    <text>Salje 2020, Supplement Table S4. Note that we are accounting for 17,57 days of mean time spent in the ICU, plus 1,5 days of mean pre-ICU time.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0-05-08T15:35:59.26" personId="{48AE92E2-D8C6-4C8A-8418-B9724683BC8F}" id="{D7920145-2DFB-9E4C-8B14-1FB06F24669D}">
    <text>These values are expressed in units of 1/day. Salje 2020, page 7 supplement</text>
  </threadedComment>
  <threadedComment ref="C1" dT="2020-05-20T16:14:46.61" personId="{302FD740-4AC2-E547-9F75-2AE3FDB8116A}" id="{38EDD177-FF73-224F-A37E-EC0EEBF1FB2C}">
    <text xml:space="preserve">Salje 2020, supplement Table S1 </text>
  </threadedComment>
  <threadedComment ref="D1" dT="2020-05-20T16:40:37.81" personId="{302FD740-4AC2-E547-9F75-2AE3FDB8116A}" id="{3FC7D4FE-33A1-104C-A8DB-7584568E9DC6}">
    <text>Salje 2020, Supplement Table S1</text>
  </threadedComment>
  <threadedComment ref="G1" dT="2020-05-20T16:59:58.24" personId="{302FD740-4AC2-E547-9F75-2AE3FDB8116A}" id="{F648BBA4-5D98-DC4C-8843-8ED9BC46087A}">
    <text>Salje 2020, Supplement Table S2</text>
  </threadedComment>
  <threadedComment ref="H1" dT="2020-05-20T16:59:58.24" personId="{302FD740-4AC2-E547-9F75-2AE3FDB8116A}" id="{E2CB9157-51AC-C540-93B7-FA7DDDFA7607}">
    <text>Salje 2020, Supplement Table S2</text>
  </threadedComment>
  <threadedComment ref="I1" dT="2020-06-22T18:05:20.56" personId="{302FD740-4AC2-E547-9F75-2AE3FDB8116A}" id="{0C65A74A-135B-124F-A148-83F234F40BF0}">
    <text>Salje 2020, Supplement Table S4</text>
  </threadedComment>
  <threadedComment ref="J1" dT="2020-05-20T17:40:30.68" personId="{302FD740-4AC2-E547-9F75-2AE3FDB8116A}" id="{F21F7917-45B8-5441-8262-C46FABEFF299}">
    <text xml:space="preserve">Salje 2020, Supplement Table S4
</text>
  </threadedComment>
  <threadedComment ref="K1" dT="2020-05-20T17:40:45.51" personId="{302FD740-4AC2-E547-9F75-2AE3FDB8116A}" id="{9448ACD0-DFE3-1A41-AD8D-6C68A46E51C2}">
    <text>Salje 2020, Supplement Table S4</text>
  </threadedComment>
  <threadedComment ref="L1" dT="2020-06-22T18:05:43.93" personId="{302FD740-4AC2-E547-9F75-2AE3FDB8116A}" id="{3BB9D8F2-8E80-224A-A04F-B6EBF491A825}">
    <text>Salje 2020, Supplement Table S4</text>
  </threadedComment>
  <threadedComment ref="M1" dT="2020-05-20T17:41:37.00" personId="{302FD740-4AC2-E547-9F75-2AE3FDB8116A}" id="{A907C871-B1A9-7543-978B-F0033AB945AC}">
    <text>Salje 2020, Supplement Table S4. Note that we are accounting for 17,57 days of mean time spent in the ICU, plus 1,5 days of mean pre-ICU time.</text>
  </threadedComment>
  <threadedComment ref="N1" dT="2020-05-20T17:45:34.67" personId="{302FD740-4AC2-E547-9F75-2AE3FDB8116A}" id="{59E532F1-C183-A541-BA5D-6CF33BEAD01D}">
    <text>Salje 2020, Supplement Table S4. Note that we are accounting for 17,57 days of mean time spent in the ICU, plus 1,5 days of mean pre-ICU time.</text>
  </threadedComment>
</ThreadedComment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F2" sqref="F2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1</v>
      </c>
      <c r="C3">
        <v>0.5</v>
      </c>
      <c r="D3">
        <v>0.5</v>
      </c>
      <c r="E3">
        <v>0</v>
      </c>
      <c r="F3">
        <v>0</v>
      </c>
    </row>
    <row r="4" spans="1:6">
      <c r="A4">
        <v>1</v>
      </c>
      <c r="B4">
        <v>1</v>
      </c>
      <c r="C4">
        <v>1</v>
      </c>
      <c r="D4">
        <v>1</v>
      </c>
      <c r="E4">
        <v>0</v>
      </c>
      <c r="F4">
        <v>0</v>
      </c>
    </row>
    <row r="5" spans="1:6">
      <c r="A5">
        <v>1</v>
      </c>
      <c r="B5">
        <v>1</v>
      </c>
      <c r="C5">
        <v>1</v>
      </c>
      <c r="D5">
        <v>1</v>
      </c>
      <c r="E5">
        <v>0.5</v>
      </c>
      <c r="F5">
        <v>0.5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"/>
  <sheetViews>
    <sheetView workbookViewId="0">
      <selection activeCell="I10" sqref="I10"/>
    </sheetView>
  </sheetViews>
  <sheetFormatPr baseColWidth="10" defaultColWidth="8.83203125" defaultRowHeight="15"/>
  <cols>
    <col min="1" max="1" width="11.6640625" bestFit="1" customWidth="1"/>
    <col min="2" max="2" width="13" bestFit="1" customWidth="1"/>
    <col min="3" max="3" width="18.6640625" customWidth="1"/>
    <col min="4" max="5" width="14.1640625" customWidth="1"/>
    <col min="6" max="6" width="14.5" customWidth="1"/>
    <col min="7" max="7" width="14.6640625" customWidth="1"/>
    <col min="8" max="8" width="14.83203125" customWidth="1"/>
    <col min="9" max="9" width="14" customWidth="1"/>
    <col min="10" max="10" width="16.5" customWidth="1"/>
  </cols>
  <sheetData>
    <row r="1" spans="1:11">
      <c r="B1" t="s">
        <v>20</v>
      </c>
      <c r="C1" t="s">
        <v>28</v>
      </c>
      <c r="D1" t="s">
        <v>22</v>
      </c>
      <c r="E1" t="s">
        <v>21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1">
      <c r="A2" s="1" t="s">
        <v>6</v>
      </c>
      <c r="B2">
        <v>0</v>
      </c>
      <c r="C2">
        <v>0</v>
      </c>
      <c r="D2">
        <v>27400.666669999999</v>
      </c>
      <c r="E2">
        <v>40587.229330000002</v>
      </c>
      <c r="F2">
        <v>51900.36</v>
      </c>
      <c r="G2" s="4">
        <v>57623</v>
      </c>
      <c r="H2">
        <v>28811.5</v>
      </c>
      <c r="I2">
        <v>0</v>
      </c>
      <c r="J2">
        <v>0</v>
      </c>
      <c r="K2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"/>
  <sheetViews>
    <sheetView workbookViewId="0">
      <selection activeCell="C2" sqref="C2"/>
    </sheetView>
  </sheetViews>
  <sheetFormatPr baseColWidth="10" defaultColWidth="8.83203125" defaultRowHeight="15"/>
  <cols>
    <col min="1" max="1" width="11.6640625" bestFit="1" customWidth="1"/>
    <col min="2" max="2" width="14.6640625" customWidth="1"/>
    <col min="3" max="3" width="15" customWidth="1"/>
    <col min="4" max="4" width="14.33203125" customWidth="1"/>
    <col min="5" max="5" width="15.1640625" customWidth="1"/>
    <col min="6" max="7" width="14.1640625" customWidth="1"/>
    <col min="8" max="9" width="14" customWidth="1"/>
    <col min="10" max="10" width="17.33203125" customWidth="1"/>
    <col min="11" max="11" width="16" customWidth="1"/>
  </cols>
  <sheetData>
    <row r="1" spans="1:11">
      <c r="B1" t="s">
        <v>20</v>
      </c>
      <c r="C1" t="s">
        <v>28</v>
      </c>
      <c r="D1" t="s">
        <v>22</v>
      </c>
      <c r="E1" t="s">
        <v>21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1">
      <c r="A2" s="1" t="s">
        <v>6</v>
      </c>
      <c r="B2">
        <v>0</v>
      </c>
      <c r="C2">
        <v>0</v>
      </c>
      <c r="D2">
        <v>0.51900000000000002</v>
      </c>
      <c r="E2">
        <v>0.76700000000000013</v>
      </c>
      <c r="F2">
        <v>0.76700000000000013</v>
      </c>
      <c r="G2">
        <v>0.57599999999999985</v>
      </c>
      <c r="H2">
        <v>0.28799999999999998</v>
      </c>
      <c r="I2">
        <v>0</v>
      </c>
      <c r="J2">
        <v>0</v>
      </c>
      <c r="K2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"/>
  <sheetViews>
    <sheetView workbookViewId="0">
      <selection activeCell="E2" sqref="E2"/>
    </sheetView>
  </sheetViews>
  <sheetFormatPr baseColWidth="10" defaultColWidth="8.83203125" defaultRowHeight="15"/>
  <cols>
    <col min="1" max="1" width="11.6640625" bestFit="1" customWidth="1"/>
    <col min="2" max="2" width="13" bestFit="1" customWidth="1"/>
    <col min="3" max="3" width="15" bestFit="1" customWidth="1"/>
    <col min="4" max="4" width="14.33203125" bestFit="1" customWidth="1"/>
    <col min="5" max="7" width="14.6640625" bestFit="1" customWidth="1"/>
    <col min="8" max="9" width="14.6640625" customWidth="1"/>
    <col min="10" max="10" width="15.83203125" bestFit="1" customWidth="1"/>
    <col min="11" max="11" width="11.5" customWidth="1"/>
  </cols>
  <sheetData>
    <row r="1" spans="1:11">
      <c r="B1" t="s">
        <v>20</v>
      </c>
      <c r="C1" t="s">
        <v>28</v>
      </c>
      <c r="D1" t="s">
        <v>22</v>
      </c>
      <c r="E1" t="s">
        <v>21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19</v>
      </c>
    </row>
    <row r="2" spans="1:11">
      <c r="A2" s="1" t="s">
        <v>6</v>
      </c>
      <c r="B2" s="2">
        <v>1594856</v>
      </c>
      <c r="C2" s="2">
        <v>1546109</v>
      </c>
      <c r="D2" s="2">
        <v>1651917</v>
      </c>
      <c r="E2" s="2">
        <v>1757848</v>
      </c>
      <c r="F2" s="2">
        <v>1671811</v>
      </c>
      <c r="G2" s="2">
        <v>1538636</v>
      </c>
      <c r="H2" s="2">
        <v>1177841</v>
      </c>
      <c r="I2" s="2">
        <v>792962</v>
      </c>
      <c r="J2" s="2">
        <v>546230</v>
      </c>
      <c r="K2" s="3">
        <f>SUM(A2:G2)</f>
        <v>9761177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E37" sqref="E37"/>
    </sheetView>
  </sheetViews>
  <sheetFormatPr baseColWidth="10" defaultColWidth="8.83203125" defaultRowHeight="15"/>
  <cols>
    <col min="1" max="1" width="11.6640625" bestFit="1" customWidth="1"/>
    <col min="2" max="2" width="13" bestFit="1" customWidth="1"/>
    <col min="3" max="3" width="15" bestFit="1" customWidth="1"/>
  </cols>
  <sheetData>
    <row r="1" spans="1:3">
      <c r="B1" t="s">
        <v>7</v>
      </c>
      <c r="C1" t="s">
        <v>8</v>
      </c>
    </row>
    <row r="2" spans="1:3">
      <c r="A2" s="1" t="s">
        <v>6</v>
      </c>
      <c r="B2">
        <v>2500</v>
      </c>
      <c r="C2">
        <v>20000000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4"/>
  <sheetViews>
    <sheetView workbookViewId="0">
      <selection activeCell="G2" sqref="G2"/>
    </sheetView>
  </sheetViews>
  <sheetFormatPr baseColWidth="10" defaultColWidth="10.83203125" defaultRowHeight="15"/>
  <cols>
    <col min="1" max="1" width="15.83203125" bestFit="1" customWidth="1"/>
    <col min="2" max="3" width="17.1640625" bestFit="1" customWidth="1"/>
    <col min="4" max="6" width="13.6640625" customWidth="1"/>
    <col min="7" max="7" width="13.33203125" customWidth="1"/>
    <col min="8" max="11" width="14" customWidth="1"/>
    <col min="15" max="15" width="12.1640625" bestFit="1" customWidth="1"/>
    <col min="16" max="16" width="12.33203125" bestFit="1" customWidth="1"/>
  </cols>
  <sheetData>
    <row r="1" spans="1:15">
      <c r="B1" t="s">
        <v>9</v>
      </c>
      <c r="C1" t="s">
        <v>10</v>
      </c>
      <c r="D1" t="s">
        <v>11</v>
      </c>
      <c r="E1" t="s">
        <v>29</v>
      </c>
      <c r="F1" t="s">
        <v>13</v>
      </c>
      <c r="G1" t="s">
        <v>12</v>
      </c>
      <c r="H1" t="s">
        <v>30</v>
      </c>
      <c r="I1" t="s">
        <v>34</v>
      </c>
      <c r="J1" t="s">
        <v>31</v>
      </c>
      <c r="K1" t="s">
        <v>14</v>
      </c>
      <c r="L1" t="s">
        <v>15</v>
      </c>
      <c r="M1" t="s">
        <v>33</v>
      </c>
      <c r="N1" t="s">
        <v>16</v>
      </c>
      <c r="O1" t="s">
        <v>17</v>
      </c>
    </row>
    <row r="2" spans="1:15">
      <c r="A2" t="s">
        <v>20</v>
      </c>
      <c r="B2">
        <v>0.25</v>
      </c>
      <c r="C2">
        <v>0.25</v>
      </c>
      <c r="D2" s="2">
        <f>0.2*0.01</f>
        <v>2E-3</v>
      </c>
      <c r="E2" s="2">
        <v>0.222</v>
      </c>
      <c r="F2" s="2">
        <f>D2*E2</f>
        <v>4.44E-4</v>
      </c>
      <c r="G2">
        <f>D2-F2</f>
        <v>1.5560000000000001E-3</v>
      </c>
      <c r="H2" s="5">
        <v>6.0000000000000001E-3</v>
      </c>
      <c r="I2" s="5">
        <f>1-H2</f>
        <v>0.99399999999999999</v>
      </c>
      <c r="J2" s="5">
        <f>1/13.11</f>
        <v>7.6277650648360035E-2</v>
      </c>
      <c r="K2" s="5">
        <f>(I2)*J2</f>
        <v>7.5819984744469868E-2</v>
      </c>
      <c r="L2" s="5">
        <f>H2*J2</f>
        <v>4.5766590389016021E-4</v>
      </c>
      <c r="M2" s="5">
        <f>1/(17.57+1.5)</f>
        <v>5.2438384897745147E-2</v>
      </c>
      <c r="N2" s="5">
        <f>I2*M2</f>
        <v>5.2123754588358676E-2</v>
      </c>
      <c r="O2" s="5">
        <f>H2*M2</f>
        <v>3.1463030938647091E-4</v>
      </c>
    </row>
    <row r="3" spans="1:15">
      <c r="A3" t="s">
        <v>28</v>
      </c>
      <c r="B3">
        <v>0.25</v>
      </c>
      <c r="C3">
        <v>0.25</v>
      </c>
      <c r="D3" s="2">
        <f>0.2*0.01</f>
        <v>2E-3</v>
      </c>
      <c r="E3" s="2">
        <v>0.222</v>
      </c>
      <c r="F3" s="2">
        <f t="shared" ref="F3:F10" si="0">D3*E3</f>
        <v>4.44E-4</v>
      </c>
      <c r="G3">
        <f t="shared" ref="G3:G10" si="1">D3-F3</f>
        <v>1.5560000000000001E-3</v>
      </c>
      <c r="H3" s="5">
        <v>6.0000000000000001E-3</v>
      </c>
      <c r="I3" s="5">
        <f t="shared" ref="I3:I10" si="2">1-H3</f>
        <v>0.99399999999999999</v>
      </c>
      <c r="J3" s="5">
        <f t="shared" ref="J3:J10" si="3">1/13.11</f>
        <v>7.6277650648360035E-2</v>
      </c>
      <c r="K3" s="5">
        <f t="shared" ref="K3:K10" si="4">(I3)*J3</f>
        <v>7.5819984744469868E-2</v>
      </c>
      <c r="L3" s="5">
        <f t="shared" ref="L3:L10" si="5">H3*J3</f>
        <v>4.5766590389016021E-4</v>
      </c>
      <c r="M3" s="5">
        <f t="shared" ref="M3:M10" si="6">1/(17.57+1.5)</f>
        <v>5.2438384897745147E-2</v>
      </c>
      <c r="N3" s="5">
        <f t="shared" ref="N3:N10" si="7">I3*M3</f>
        <v>5.2123754588358676E-2</v>
      </c>
      <c r="O3" s="5">
        <f t="shared" ref="O3:O10" si="8">H3*M3</f>
        <v>3.1463030938647091E-4</v>
      </c>
    </row>
    <row r="4" spans="1:15">
      <c r="A4" t="s">
        <v>22</v>
      </c>
      <c r="B4">
        <v>0.25</v>
      </c>
      <c r="C4">
        <v>0.25</v>
      </c>
      <c r="D4">
        <f>0.6*0.01</f>
        <v>6.0000000000000001E-3</v>
      </c>
      <c r="E4">
        <v>0.115</v>
      </c>
      <c r="F4" s="2">
        <f t="shared" si="0"/>
        <v>6.9000000000000008E-4</v>
      </c>
      <c r="G4">
        <f t="shared" si="1"/>
        <v>5.3100000000000005E-3</v>
      </c>
      <c r="H4" s="5">
        <v>1.0999999999999999E-2</v>
      </c>
      <c r="I4" s="5">
        <f t="shared" si="2"/>
        <v>0.98899999999999999</v>
      </c>
      <c r="J4" s="5">
        <f t="shared" si="3"/>
        <v>7.6277650648360035E-2</v>
      </c>
      <c r="K4" s="5">
        <f t="shared" si="4"/>
        <v>7.5438596491228069E-2</v>
      </c>
      <c r="L4" s="5">
        <f t="shared" si="5"/>
        <v>8.3905415713196032E-4</v>
      </c>
      <c r="M4" s="5">
        <f t="shared" si="6"/>
        <v>5.2438384897745147E-2</v>
      </c>
      <c r="N4" s="5">
        <f t="shared" si="7"/>
        <v>5.1861562663869952E-2</v>
      </c>
      <c r="O4" s="5">
        <f t="shared" si="8"/>
        <v>5.7682223387519661E-4</v>
      </c>
    </row>
    <row r="5" spans="1:15">
      <c r="A5" t="s">
        <v>21</v>
      </c>
      <c r="B5">
        <v>0.25</v>
      </c>
      <c r="C5">
        <v>0.25</v>
      </c>
      <c r="D5">
        <f>1.3*0.01</f>
        <v>1.3000000000000001E-2</v>
      </c>
      <c r="E5">
        <v>0.159</v>
      </c>
      <c r="F5" s="2">
        <f t="shared" si="0"/>
        <v>2.0670000000000003E-3</v>
      </c>
      <c r="G5">
        <f t="shared" si="1"/>
        <v>1.0933000000000002E-2</v>
      </c>
      <c r="H5" s="5">
        <v>1.9E-2</v>
      </c>
      <c r="I5" s="5">
        <f t="shared" si="2"/>
        <v>0.98099999999999998</v>
      </c>
      <c r="J5" s="5">
        <f t="shared" si="3"/>
        <v>7.6277650648360035E-2</v>
      </c>
      <c r="K5" s="5">
        <f t="shared" si="4"/>
        <v>7.4828375286041193E-2</v>
      </c>
      <c r="L5" s="5">
        <f t="shared" si="5"/>
        <v>1.4492753623188406E-3</v>
      </c>
      <c r="M5" s="5">
        <f t="shared" si="6"/>
        <v>5.2438384897745147E-2</v>
      </c>
      <c r="N5" s="5">
        <f t="shared" si="7"/>
        <v>5.1442055584687986E-2</v>
      </c>
      <c r="O5" s="5">
        <f t="shared" si="8"/>
        <v>9.9632931305715768E-4</v>
      </c>
    </row>
    <row r="6" spans="1:15">
      <c r="A6" t="s">
        <v>23</v>
      </c>
      <c r="B6">
        <v>0.25</v>
      </c>
      <c r="C6">
        <v>0.25</v>
      </c>
      <c r="D6">
        <f>1.7*0.01</f>
        <v>1.7000000000000001E-2</v>
      </c>
      <c r="E6">
        <v>0.222</v>
      </c>
      <c r="F6" s="2">
        <f t="shared" si="0"/>
        <v>3.7740000000000004E-3</v>
      </c>
      <c r="G6">
        <f t="shared" si="1"/>
        <v>1.3226000000000002E-2</v>
      </c>
      <c r="H6" s="5">
        <v>3.3000000000000002E-2</v>
      </c>
      <c r="I6" s="5">
        <f t="shared" si="2"/>
        <v>0.96699999999999997</v>
      </c>
      <c r="J6" s="5">
        <f t="shared" si="3"/>
        <v>7.6277650648360035E-2</v>
      </c>
      <c r="K6" s="5">
        <f t="shared" si="4"/>
        <v>7.3760488176964151E-2</v>
      </c>
      <c r="L6" s="5">
        <f t="shared" si="5"/>
        <v>2.5171624713958814E-3</v>
      </c>
      <c r="M6" s="5">
        <f t="shared" si="6"/>
        <v>5.2438384897745147E-2</v>
      </c>
      <c r="N6" s="5">
        <f t="shared" si="7"/>
        <v>5.0707918196119556E-2</v>
      </c>
      <c r="O6" s="5">
        <f t="shared" si="8"/>
        <v>1.7304667016255898E-3</v>
      </c>
    </row>
    <row r="7" spans="1:15">
      <c r="A7" t="s">
        <v>24</v>
      </c>
      <c r="B7">
        <v>0.25</v>
      </c>
      <c r="C7">
        <v>0.25</v>
      </c>
      <c r="D7">
        <f>3.5*0.01</f>
        <v>3.5000000000000003E-2</v>
      </c>
      <c r="E7">
        <v>0.27600000000000002</v>
      </c>
      <c r="F7" s="2">
        <f t="shared" si="0"/>
        <v>9.6600000000000019E-3</v>
      </c>
      <c r="G7">
        <f t="shared" si="1"/>
        <v>2.5340000000000001E-2</v>
      </c>
      <c r="H7" s="5">
        <v>6.5000000000000002E-2</v>
      </c>
      <c r="I7" s="5">
        <f t="shared" si="2"/>
        <v>0.93500000000000005</v>
      </c>
      <c r="J7" s="5">
        <f t="shared" si="3"/>
        <v>7.6277650648360035E-2</v>
      </c>
      <c r="K7" s="5">
        <f t="shared" si="4"/>
        <v>7.1319603356216635E-2</v>
      </c>
      <c r="L7" s="5">
        <f t="shared" si="5"/>
        <v>4.9580472921434025E-3</v>
      </c>
      <c r="M7" s="5">
        <f t="shared" si="6"/>
        <v>5.2438384897745147E-2</v>
      </c>
      <c r="N7" s="5">
        <f t="shared" si="7"/>
        <v>4.9029889879391712E-2</v>
      </c>
      <c r="O7" s="5">
        <f t="shared" si="8"/>
        <v>3.4084950183534348E-3</v>
      </c>
    </row>
    <row r="8" spans="1:15">
      <c r="A8" t="s">
        <v>25</v>
      </c>
      <c r="B8">
        <v>0.25</v>
      </c>
      <c r="C8">
        <v>0.25</v>
      </c>
      <c r="D8">
        <f>7.1*0.01</f>
        <v>7.0999999999999994E-2</v>
      </c>
      <c r="E8">
        <v>0.308</v>
      </c>
      <c r="F8" s="2">
        <f t="shared" si="0"/>
        <v>2.1867999999999999E-2</v>
      </c>
      <c r="G8">
        <f t="shared" si="1"/>
        <v>4.9131999999999995E-2</v>
      </c>
      <c r="H8" s="5">
        <v>0.126</v>
      </c>
      <c r="I8" s="5">
        <f t="shared" si="2"/>
        <v>0.874</v>
      </c>
      <c r="J8" s="5">
        <f t="shared" si="3"/>
        <v>7.6277650648360035E-2</v>
      </c>
      <c r="K8" s="5">
        <f t="shared" si="4"/>
        <v>6.6666666666666666E-2</v>
      </c>
      <c r="L8" s="5">
        <f t="shared" si="5"/>
        <v>9.6109839816933638E-3</v>
      </c>
      <c r="M8" s="5">
        <f t="shared" si="6"/>
        <v>5.2438384897745147E-2</v>
      </c>
      <c r="N8" s="5">
        <f t="shared" si="7"/>
        <v>4.5831148400629261E-2</v>
      </c>
      <c r="O8" s="5">
        <f t="shared" si="8"/>
        <v>6.6072364971158882E-3</v>
      </c>
    </row>
    <row r="9" spans="1:15">
      <c r="A9" t="s">
        <v>26</v>
      </c>
      <c r="B9">
        <v>0.25</v>
      </c>
      <c r="C9">
        <v>0.25</v>
      </c>
      <c r="D9">
        <f>11.3*0.01</f>
        <v>0.113</v>
      </c>
      <c r="E9">
        <v>0.249</v>
      </c>
      <c r="F9" s="2">
        <f t="shared" si="0"/>
        <v>2.8137000000000002E-2</v>
      </c>
      <c r="G9">
        <f t="shared" si="1"/>
        <v>8.4862999999999994E-2</v>
      </c>
      <c r="H9" s="5">
        <v>0.21</v>
      </c>
      <c r="I9" s="5">
        <f t="shared" si="2"/>
        <v>0.79</v>
      </c>
      <c r="J9" s="5">
        <f t="shared" si="3"/>
        <v>7.6277650648360035E-2</v>
      </c>
      <c r="K9" s="5">
        <f t="shared" si="4"/>
        <v>6.0259344012204431E-2</v>
      </c>
      <c r="L9" s="5">
        <f t="shared" si="5"/>
        <v>1.6018306636155607E-2</v>
      </c>
      <c r="M9" s="5">
        <f t="shared" si="6"/>
        <v>5.2438384897745147E-2</v>
      </c>
      <c r="N9" s="5">
        <f t="shared" si="7"/>
        <v>4.1426324069218666E-2</v>
      </c>
      <c r="O9" s="5">
        <f t="shared" si="8"/>
        <v>1.1012060828526481E-2</v>
      </c>
    </row>
    <row r="10" spans="1:15">
      <c r="A10" t="s">
        <v>27</v>
      </c>
      <c r="B10">
        <v>0.25</v>
      </c>
      <c r="C10">
        <v>0.25</v>
      </c>
      <c r="D10">
        <f>32*0.01</f>
        <v>0.32</v>
      </c>
      <c r="E10">
        <v>5.6000000000000001E-2</v>
      </c>
      <c r="F10" s="2">
        <f t="shared" si="0"/>
        <v>1.7920000000000002E-2</v>
      </c>
      <c r="G10">
        <f t="shared" si="1"/>
        <v>0.30208000000000002</v>
      </c>
      <c r="H10" s="5">
        <v>0.316</v>
      </c>
      <c r="I10" s="5">
        <f t="shared" si="2"/>
        <v>0.68399999999999994</v>
      </c>
      <c r="J10" s="5">
        <f t="shared" si="3"/>
        <v>7.6277650648360035E-2</v>
      </c>
      <c r="K10" s="5">
        <f t="shared" si="4"/>
        <v>5.2173913043478258E-2</v>
      </c>
      <c r="L10" s="5">
        <f t="shared" si="5"/>
        <v>2.410373760488177E-2</v>
      </c>
      <c r="M10" s="5">
        <f t="shared" si="6"/>
        <v>5.2438384897745147E-2</v>
      </c>
      <c r="N10" s="5">
        <f t="shared" si="7"/>
        <v>3.5867855270057675E-2</v>
      </c>
      <c r="O10" s="5">
        <f t="shared" si="8"/>
        <v>1.6570529627687465E-2</v>
      </c>
    </row>
    <row r="14" spans="1:15">
      <c r="C14" s="5"/>
    </row>
    <row r="15" spans="1:15">
      <c r="C15" s="5"/>
    </row>
    <row r="16" spans="1:15">
      <c r="C16" s="5"/>
      <c r="L16" s="5"/>
      <c r="M16" s="5"/>
      <c r="N16" s="5"/>
    </row>
    <row r="17" spans="3:14">
      <c r="C17" s="5"/>
      <c r="L17" s="5"/>
      <c r="M17" s="5"/>
      <c r="N17" s="5"/>
    </row>
    <row r="18" spans="3:14">
      <c r="C18" s="5"/>
      <c r="L18" s="5"/>
      <c r="M18" s="5"/>
      <c r="N18" s="5"/>
    </row>
    <row r="19" spans="3:14">
      <c r="C19" s="5"/>
      <c r="L19" s="5"/>
      <c r="M19" s="5"/>
      <c r="N19" s="5"/>
    </row>
    <row r="20" spans="3:14">
      <c r="C20" s="5"/>
      <c r="L20" s="5"/>
      <c r="M20" s="5"/>
      <c r="N20" s="5"/>
    </row>
    <row r="21" spans="3:14">
      <c r="C21" s="5"/>
      <c r="L21" s="5"/>
      <c r="M21" s="5"/>
      <c r="N21" s="5"/>
    </row>
    <row r="22" spans="3:14">
      <c r="C22" s="5"/>
      <c r="L22" s="5"/>
      <c r="M22" s="5"/>
      <c r="N22" s="5"/>
    </row>
    <row r="23" spans="3:14">
      <c r="L23" s="5"/>
      <c r="M23" s="5"/>
      <c r="N23" s="5"/>
    </row>
    <row r="24" spans="3:14">
      <c r="L24" s="5"/>
      <c r="M24" s="5"/>
      <c r="N24" s="5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7186-BF9A-394D-9CDB-2FA0C2DBB84E}">
  <dimension ref="A1:N10"/>
  <sheetViews>
    <sheetView workbookViewId="0">
      <selection activeCell="F2" sqref="F2:F10"/>
    </sheetView>
  </sheetViews>
  <sheetFormatPr baseColWidth="10" defaultRowHeight="15"/>
  <cols>
    <col min="1" max="1" width="15.33203125" customWidth="1"/>
    <col min="4" max="4" width="14.6640625" customWidth="1"/>
    <col min="7" max="8" width="14.33203125" customWidth="1"/>
  </cols>
  <sheetData>
    <row r="1" spans="1:14">
      <c r="B1" t="s">
        <v>32</v>
      </c>
      <c r="C1" t="s">
        <v>11</v>
      </c>
      <c r="D1" t="s">
        <v>29</v>
      </c>
      <c r="E1" t="s">
        <v>13</v>
      </c>
      <c r="F1" t="s">
        <v>12</v>
      </c>
      <c r="G1" t="s">
        <v>30</v>
      </c>
      <c r="H1" t="s">
        <v>34</v>
      </c>
      <c r="I1" t="s">
        <v>31</v>
      </c>
      <c r="J1" t="s">
        <v>14</v>
      </c>
      <c r="K1" t="s">
        <v>15</v>
      </c>
      <c r="L1" t="s">
        <v>33</v>
      </c>
      <c r="M1" t="s">
        <v>16</v>
      </c>
      <c r="N1" t="s">
        <v>17</v>
      </c>
    </row>
    <row r="2" spans="1:14">
      <c r="A2" t="s">
        <v>20</v>
      </c>
      <c r="B2">
        <v>2.8</v>
      </c>
      <c r="C2" s="2">
        <f>0.1*0.01</f>
        <v>1E-3</v>
      </c>
      <c r="D2" s="2">
        <v>0.192</v>
      </c>
      <c r="E2" s="2">
        <f>C2*D2</f>
        <v>1.92E-4</v>
      </c>
      <c r="F2">
        <f>C2-SEIR_params_conf_range_upper!E2</f>
        <v>2.3499999999999997E-4</v>
      </c>
      <c r="G2" s="5">
        <v>3.0000000000000001E-3</v>
      </c>
      <c r="H2" s="5">
        <f>1-SEIR_params_conf_range_upper!G2</f>
        <v>0.98699999999999999</v>
      </c>
      <c r="I2" s="5">
        <f>1/13.61</f>
        <v>7.3475385745775168E-2</v>
      </c>
      <c r="J2" s="5">
        <f>H2*I2</f>
        <v>7.252020573108009E-2</v>
      </c>
      <c r="K2" s="5">
        <f>G2*I2</f>
        <v>2.204261572373255E-4</v>
      </c>
      <c r="L2" s="5">
        <f>1/(18.2+1.5)</f>
        <v>5.0761421319796954E-2</v>
      </c>
      <c r="M2" s="5">
        <f>H2*L2</f>
        <v>5.0101522842639593E-2</v>
      </c>
      <c r="N2" s="5">
        <f>G2*L2</f>
        <v>1.5228426395939087E-4</v>
      </c>
    </row>
    <row r="3" spans="1:14">
      <c r="A3" t="s">
        <v>28</v>
      </c>
      <c r="B3">
        <v>2.8</v>
      </c>
      <c r="C3" s="2">
        <f>0.1*0.01</f>
        <v>1E-3</v>
      </c>
      <c r="D3" s="2">
        <v>0.192</v>
      </c>
      <c r="E3" s="2">
        <f>C3*D3</f>
        <v>1.92E-4</v>
      </c>
      <c r="F3">
        <f>C3-SEIR_params_conf_range_upper!E3</f>
        <v>2.3499999999999997E-4</v>
      </c>
      <c r="G3" s="5">
        <v>3.0000000000000001E-3</v>
      </c>
      <c r="H3" s="5">
        <f>1-SEIR_params_conf_range_upper!G3</f>
        <v>0.98699999999999999</v>
      </c>
      <c r="I3" s="5">
        <f t="shared" ref="I3:I10" si="0">1/13.61</f>
        <v>7.3475385745775168E-2</v>
      </c>
      <c r="J3" s="5">
        <f t="shared" ref="J3:J10" si="1">H3*I3</f>
        <v>7.252020573108009E-2</v>
      </c>
      <c r="K3" s="5">
        <f>G3*I3</f>
        <v>2.204261572373255E-4</v>
      </c>
      <c r="L3" s="5">
        <f t="shared" ref="L3:L10" si="2">1/(18.2+1.5)</f>
        <v>5.0761421319796954E-2</v>
      </c>
      <c r="M3" s="5">
        <f t="shared" ref="M3:M10" si="3">H3*L3</f>
        <v>5.0101522842639593E-2</v>
      </c>
      <c r="N3" s="5">
        <f>G3*L3</f>
        <v>1.5228426395939087E-4</v>
      </c>
    </row>
    <row r="4" spans="1:14">
      <c r="A4" t="s">
        <v>22</v>
      </c>
      <c r="B4">
        <v>2.8</v>
      </c>
      <c r="C4">
        <f>0.4*0.01</f>
        <v>4.0000000000000001E-3</v>
      </c>
      <c r="D4">
        <v>0.10100000000000001</v>
      </c>
      <c r="E4" s="2">
        <f>C4*D4</f>
        <v>4.0400000000000001E-4</v>
      </c>
      <c r="F4">
        <f>C4-SEIR_params_conf_range_upper!E4</f>
        <v>2.6800000000000001E-3</v>
      </c>
      <c r="G4" s="5">
        <v>7.0000000000000001E-3</v>
      </c>
      <c r="H4" s="5">
        <f>1-SEIR_params_conf_range_upper!G4</f>
        <v>0.98399999999999999</v>
      </c>
      <c r="I4" s="5">
        <f t="shared" si="0"/>
        <v>7.3475385745775168E-2</v>
      </c>
      <c r="J4" s="5">
        <f t="shared" si="1"/>
        <v>7.229977957384276E-2</v>
      </c>
      <c r="K4" s="5">
        <f>G4*I4</f>
        <v>5.1432770022042621E-4</v>
      </c>
      <c r="L4" s="5">
        <f t="shared" si="2"/>
        <v>5.0761421319796954E-2</v>
      </c>
      <c r="M4" s="5">
        <f t="shared" si="3"/>
        <v>4.9949238578680201E-2</v>
      </c>
      <c r="N4" s="5">
        <f>G4*L4</f>
        <v>3.5532994923857868E-4</v>
      </c>
    </row>
    <row r="5" spans="1:14">
      <c r="A5" t="s">
        <v>21</v>
      </c>
      <c r="B5">
        <v>2.8</v>
      </c>
      <c r="C5">
        <f>0.8*0.01</f>
        <v>8.0000000000000002E-3</v>
      </c>
      <c r="D5">
        <v>0.14599999999999999</v>
      </c>
      <c r="E5" s="2">
        <f>C5*D5</f>
        <v>1.168E-3</v>
      </c>
      <c r="F5">
        <f>C5-SEIR_params_conf_range_upper!E5</f>
        <v>4.5400000000000006E-3</v>
      </c>
      <c r="G5" s="5">
        <v>1.4999999999999999E-2</v>
      </c>
      <c r="H5" s="5">
        <f>1-SEIR_params_conf_range_upper!G5</f>
        <v>0.97699999999999998</v>
      </c>
      <c r="I5" s="5">
        <f t="shared" si="0"/>
        <v>7.3475385745775168E-2</v>
      </c>
      <c r="J5" s="5">
        <f t="shared" si="1"/>
        <v>7.1785451873622341E-2</v>
      </c>
      <c r="K5" s="5">
        <f>G5*I5</f>
        <v>1.1021307861866275E-3</v>
      </c>
      <c r="L5" s="5">
        <f t="shared" si="2"/>
        <v>5.0761421319796954E-2</v>
      </c>
      <c r="M5" s="5">
        <f t="shared" si="3"/>
        <v>4.9593908629441623E-2</v>
      </c>
      <c r="N5" s="5">
        <f>G5*L5</f>
        <v>7.614213197969543E-4</v>
      </c>
    </row>
    <row r="6" spans="1:14">
      <c r="A6" t="s">
        <v>23</v>
      </c>
      <c r="B6">
        <v>2.8</v>
      </c>
      <c r="C6">
        <f>1*0.01</f>
        <v>0.01</v>
      </c>
      <c r="D6">
        <v>0.21</v>
      </c>
      <c r="E6" s="2">
        <f>C6*D6</f>
        <v>2.0999999999999999E-3</v>
      </c>
      <c r="F6">
        <f>C6-SEIR_params_conf_range_upper!E6</f>
        <v>3.6549999999999994E-3</v>
      </c>
      <c r="G6" s="5">
        <v>2.9000000000000001E-2</v>
      </c>
      <c r="H6" s="5">
        <f>1-SEIR_params_conf_range_upper!G6</f>
        <v>0.96299999999999997</v>
      </c>
      <c r="I6" s="5">
        <f t="shared" si="0"/>
        <v>7.3475385745775168E-2</v>
      </c>
      <c r="J6" s="5">
        <f t="shared" si="1"/>
        <v>7.0756796473181491E-2</v>
      </c>
      <c r="K6" s="5">
        <f>G6*I6</f>
        <v>2.1307861866274799E-3</v>
      </c>
      <c r="L6" s="5">
        <f t="shared" si="2"/>
        <v>5.0761421319796954E-2</v>
      </c>
      <c r="M6" s="5">
        <f t="shared" si="3"/>
        <v>4.8883248730964467E-2</v>
      </c>
      <c r="N6" s="5">
        <f>G6*L6</f>
        <v>1.4720812182741118E-3</v>
      </c>
    </row>
    <row r="7" spans="1:14">
      <c r="A7" t="s">
        <v>24</v>
      </c>
      <c r="B7">
        <v>2.8</v>
      </c>
      <c r="C7">
        <f>2.1*0.01</f>
        <v>2.1000000000000001E-2</v>
      </c>
      <c r="D7">
        <v>0.26500000000000001</v>
      </c>
      <c r="E7" s="2">
        <f>C7*D7</f>
        <v>5.5650000000000005E-3</v>
      </c>
      <c r="F7">
        <f>C7-SEIR_params_conf_range_upper!E7</f>
        <v>5.5019999999999999E-3</v>
      </c>
      <c r="G7" s="5">
        <v>0.06</v>
      </c>
      <c r="H7" s="5">
        <f>1-SEIR_params_conf_range_upper!G7</f>
        <v>0.92999999999999994</v>
      </c>
      <c r="I7" s="5">
        <f t="shared" si="0"/>
        <v>7.3475385745775168E-2</v>
      </c>
      <c r="J7" s="5">
        <f t="shared" si="1"/>
        <v>6.8332108743570902E-2</v>
      </c>
      <c r="K7" s="5">
        <f>G7*I7</f>
        <v>4.40852314474651E-3</v>
      </c>
      <c r="L7" s="5">
        <f t="shared" si="2"/>
        <v>5.0761421319796954E-2</v>
      </c>
      <c r="M7" s="5">
        <f t="shared" si="3"/>
        <v>4.7208121827411166E-2</v>
      </c>
      <c r="N7" s="5">
        <f>G7*L7</f>
        <v>3.0456852791878172E-3</v>
      </c>
    </row>
    <row r="8" spans="1:14">
      <c r="A8" t="s">
        <v>25</v>
      </c>
      <c r="B8">
        <v>2.8</v>
      </c>
      <c r="C8">
        <f>4.2*0.01</f>
        <v>4.2000000000000003E-2</v>
      </c>
      <c r="D8">
        <v>0.29799999999999999</v>
      </c>
      <c r="E8" s="2">
        <f>C8*D8</f>
        <v>1.2516000000000001E-2</v>
      </c>
      <c r="F8">
        <f>C8-SEIR_params_conf_range_upper!E8</f>
        <v>7.0199999999999985E-3</v>
      </c>
      <c r="G8" s="5">
        <v>0.12</v>
      </c>
      <c r="H8" s="5">
        <f>1-SEIR_params_conf_range_upper!G8</f>
        <v>0.86799999999999999</v>
      </c>
      <c r="I8" s="5">
        <f t="shared" si="0"/>
        <v>7.3475385745775168E-2</v>
      </c>
      <c r="J8" s="5">
        <f t="shared" si="1"/>
        <v>6.377663482733284E-2</v>
      </c>
      <c r="K8" s="5">
        <f>G8*I8</f>
        <v>8.8170462894930201E-3</v>
      </c>
      <c r="L8" s="5">
        <f t="shared" si="2"/>
        <v>5.0761421319796954E-2</v>
      </c>
      <c r="M8" s="5">
        <f t="shared" si="3"/>
        <v>4.4060913705583758E-2</v>
      </c>
      <c r="N8" s="5">
        <f>G8*L8</f>
        <v>6.0913705583756344E-3</v>
      </c>
    </row>
    <row r="9" spans="1:14">
      <c r="A9" t="s">
        <v>26</v>
      </c>
      <c r="B9">
        <v>2.8</v>
      </c>
      <c r="C9">
        <f>6.7*0.01</f>
        <v>6.7000000000000004E-2</v>
      </c>
      <c r="D9">
        <v>0.24099999999999999</v>
      </c>
      <c r="E9" s="2">
        <f>C9*D9</f>
        <v>1.6147000000000002E-2</v>
      </c>
      <c r="F9">
        <f>C9-SEIR_params_conf_range_upper!E9</f>
        <v>2.1850000000000001E-2</v>
      </c>
      <c r="G9" s="5">
        <v>0.20300000000000001</v>
      </c>
      <c r="H9" s="5">
        <f>1-SEIR_params_conf_range_upper!G9</f>
        <v>0.78200000000000003</v>
      </c>
      <c r="I9" s="5">
        <f t="shared" si="0"/>
        <v>7.3475385745775168E-2</v>
      </c>
      <c r="J9" s="5">
        <f t="shared" si="1"/>
        <v>5.7457751653196186E-2</v>
      </c>
      <c r="K9" s="5">
        <f>G9*I9</f>
        <v>1.4915503306392359E-2</v>
      </c>
      <c r="L9" s="5">
        <f t="shared" si="2"/>
        <v>5.0761421319796954E-2</v>
      </c>
      <c r="M9" s="5">
        <f t="shared" si="3"/>
        <v>3.9695431472081218E-2</v>
      </c>
      <c r="N9" s="5">
        <f>G9*L9</f>
        <v>1.0304568527918782E-2</v>
      </c>
    </row>
    <row r="10" spans="1:14">
      <c r="A10" t="s">
        <v>27</v>
      </c>
      <c r="B10">
        <v>2.8</v>
      </c>
      <c r="C10">
        <f>19*0.01</f>
        <v>0.19</v>
      </c>
      <c r="D10">
        <v>5.2999999999999999E-2</v>
      </c>
      <c r="E10" s="2">
        <f>C10*D10</f>
        <v>1.0069999999999999E-2</v>
      </c>
      <c r="F10">
        <f>C10-SEIR_params_conf_range_upper!E10</f>
        <v>0.160854</v>
      </c>
      <c r="G10" s="5">
        <v>0.309</v>
      </c>
      <c r="H10" s="5">
        <f>1-SEIR_params_conf_range_upper!G10</f>
        <v>0.67599999999999993</v>
      </c>
      <c r="I10" s="5">
        <f t="shared" si="0"/>
        <v>7.3475385745775168E-2</v>
      </c>
      <c r="J10" s="5">
        <f t="shared" si="1"/>
        <v>4.9669360764144008E-2</v>
      </c>
      <c r="K10" s="5">
        <f>G10*I10</f>
        <v>2.2703894195444527E-2</v>
      </c>
      <c r="L10" s="5">
        <f t="shared" si="2"/>
        <v>5.0761421319796954E-2</v>
      </c>
      <c r="M10" s="5">
        <f t="shared" si="3"/>
        <v>3.4314720812182738E-2</v>
      </c>
      <c r="N10" s="5">
        <f>G10*L10</f>
        <v>1.5685279187817258E-2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9733-2BDF-1F4C-9F7A-A2DE1ED41394}">
  <dimension ref="A1:N10"/>
  <sheetViews>
    <sheetView tabSelected="1" workbookViewId="0">
      <selection activeCell="F14" sqref="F14"/>
    </sheetView>
  </sheetViews>
  <sheetFormatPr baseColWidth="10" defaultRowHeight="15"/>
  <cols>
    <col min="1" max="1" width="16.33203125" customWidth="1"/>
    <col min="3" max="3" width="10.33203125" customWidth="1"/>
    <col min="4" max="4" width="12.33203125" customWidth="1"/>
    <col min="7" max="8" width="14.83203125" customWidth="1"/>
  </cols>
  <sheetData>
    <row r="1" spans="1:14">
      <c r="B1" t="s">
        <v>32</v>
      </c>
      <c r="C1" t="s">
        <v>11</v>
      </c>
      <c r="D1" t="s">
        <v>29</v>
      </c>
      <c r="E1" t="s">
        <v>13</v>
      </c>
      <c r="F1" t="s">
        <v>12</v>
      </c>
      <c r="G1" t="s">
        <v>30</v>
      </c>
      <c r="H1" t="s">
        <v>34</v>
      </c>
      <c r="I1" t="s">
        <v>31</v>
      </c>
      <c r="J1" t="s">
        <v>14</v>
      </c>
      <c r="K1" t="s">
        <v>15</v>
      </c>
      <c r="L1" t="s">
        <v>33</v>
      </c>
      <c r="M1" t="s">
        <v>16</v>
      </c>
      <c r="N1" t="s">
        <v>17</v>
      </c>
    </row>
    <row r="2" spans="1:14">
      <c r="A2" t="s">
        <v>20</v>
      </c>
      <c r="B2">
        <v>2.99</v>
      </c>
      <c r="C2" s="2">
        <f>0.3*0.01</f>
        <v>3.0000000000000001E-3</v>
      </c>
      <c r="D2" s="2">
        <v>0.255</v>
      </c>
      <c r="E2" s="2">
        <f>C2*D2</f>
        <v>7.6500000000000005E-4</v>
      </c>
      <c r="F2">
        <f>C2-SEIR_params_conf_range_lower!E2</f>
        <v>2.8080000000000002E-3</v>
      </c>
      <c r="G2" s="5">
        <v>1.2999999999999999E-2</v>
      </c>
      <c r="H2" s="5">
        <f>1-SEIR_params_conf_range_lower!G2</f>
        <v>0.997</v>
      </c>
      <c r="I2" s="5">
        <f>1/12.66</f>
        <v>7.8988941548183256E-2</v>
      </c>
      <c r="J2" s="5">
        <f>H2*I2</f>
        <v>7.8751974723538704E-2</v>
      </c>
      <c r="K2" s="5">
        <f>G2*I2</f>
        <v>1.0268562401263824E-3</v>
      </c>
      <c r="L2" s="5">
        <f>1/(16.97+1.5)</f>
        <v>5.4141851651326477E-2</v>
      </c>
      <c r="M2" s="5">
        <f>H2*L2</f>
        <v>5.3979426096372497E-2</v>
      </c>
      <c r="N2" s="5">
        <f>G2*L2</f>
        <v>7.0384407146724414E-4</v>
      </c>
    </row>
    <row r="3" spans="1:14">
      <c r="A3" t="s">
        <v>28</v>
      </c>
      <c r="B3">
        <v>2.99</v>
      </c>
      <c r="C3" s="2">
        <f>0.3*0.01</f>
        <v>3.0000000000000001E-3</v>
      </c>
      <c r="D3" s="2">
        <v>0.255</v>
      </c>
      <c r="E3" s="2">
        <f t="shared" ref="E3:E10" si="0">C3*D3</f>
        <v>7.6500000000000005E-4</v>
      </c>
      <c r="F3">
        <f>C3-SEIR_params_conf_range_lower!E3</f>
        <v>2.8080000000000002E-3</v>
      </c>
      <c r="G3" s="5">
        <v>1.2999999999999999E-2</v>
      </c>
      <c r="H3" s="5">
        <f>1-SEIR_params_conf_range_lower!G3</f>
        <v>0.997</v>
      </c>
      <c r="I3" s="5">
        <f t="shared" ref="I3:I10" si="1">1/12.66</f>
        <v>7.8988941548183256E-2</v>
      </c>
      <c r="J3" s="5">
        <f t="shared" ref="J3:J10" si="2">H3*I3</f>
        <v>7.8751974723538704E-2</v>
      </c>
      <c r="K3" s="5">
        <f>G3*I3</f>
        <v>1.0268562401263824E-3</v>
      </c>
      <c r="L3" s="5">
        <f t="shared" ref="L3:L10" si="3">1/(16.97+1.5)</f>
        <v>5.4141851651326477E-2</v>
      </c>
      <c r="M3" s="5">
        <f t="shared" ref="M3:M10" si="4">H3*L3</f>
        <v>5.3979426096372497E-2</v>
      </c>
      <c r="N3" s="5">
        <f t="shared" ref="N3:N10" si="5">G3*L3</f>
        <v>7.0384407146724414E-4</v>
      </c>
    </row>
    <row r="4" spans="1:14">
      <c r="A4" t="s">
        <v>22</v>
      </c>
      <c r="B4">
        <v>2.99</v>
      </c>
      <c r="C4">
        <f>1*0.01</f>
        <v>0.01</v>
      </c>
      <c r="D4">
        <v>0.13200000000000001</v>
      </c>
      <c r="E4" s="2">
        <f t="shared" si="0"/>
        <v>1.32E-3</v>
      </c>
      <c r="F4">
        <f>C4-SEIR_params_conf_range_lower!E4</f>
        <v>9.5960000000000004E-3</v>
      </c>
      <c r="G4" s="5">
        <v>1.6E-2</v>
      </c>
      <c r="H4" s="5">
        <f>1-SEIR_params_conf_range_lower!G4</f>
        <v>0.99299999999999999</v>
      </c>
      <c r="I4" s="5">
        <f t="shared" si="1"/>
        <v>7.8988941548183256E-2</v>
      </c>
      <c r="J4" s="5">
        <f t="shared" si="2"/>
        <v>7.8436018957345977E-2</v>
      </c>
      <c r="K4" s="5">
        <f>G4*I4</f>
        <v>1.2638230647709322E-3</v>
      </c>
      <c r="L4" s="5">
        <f t="shared" si="3"/>
        <v>5.4141851651326477E-2</v>
      </c>
      <c r="M4" s="5">
        <f t="shared" si="4"/>
        <v>5.3762858689767191E-2</v>
      </c>
      <c r="N4" s="5">
        <f t="shared" si="5"/>
        <v>8.6626962642122362E-4</v>
      </c>
    </row>
    <row r="5" spans="1:14">
      <c r="A5" t="s">
        <v>21</v>
      </c>
      <c r="B5">
        <v>2.99</v>
      </c>
      <c r="C5">
        <f>2*0.01</f>
        <v>0.02</v>
      </c>
      <c r="D5">
        <v>0.17299999999999999</v>
      </c>
      <c r="E5" s="2">
        <f t="shared" si="0"/>
        <v>3.46E-3</v>
      </c>
      <c r="F5">
        <f>C5-SEIR_params_conf_range_lower!E5</f>
        <v>1.8832000000000002E-2</v>
      </c>
      <c r="G5" s="5">
        <v>2.3E-2</v>
      </c>
      <c r="H5" s="5">
        <f>1-SEIR_params_conf_range_lower!G5</f>
        <v>0.98499999999999999</v>
      </c>
      <c r="I5" s="5">
        <f t="shared" si="1"/>
        <v>7.8988941548183256E-2</v>
      </c>
      <c r="J5" s="5">
        <f t="shared" si="2"/>
        <v>7.7804107424960509E-2</v>
      </c>
      <c r="K5" s="5">
        <f>G5*I5</f>
        <v>1.8167456556082149E-3</v>
      </c>
      <c r="L5" s="5">
        <f t="shared" si="3"/>
        <v>5.4141851651326477E-2</v>
      </c>
      <c r="M5" s="5">
        <f t="shared" si="4"/>
        <v>5.332972387655658E-2</v>
      </c>
      <c r="N5" s="5">
        <f t="shared" si="5"/>
        <v>1.2452625879805089E-3</v>
      </c>
    </row>
    <row r="6" spans="1:14">
      <c r="A6" t="s">
        <v>23</v>
      </c>
      <c r="B6">
        <v>2.99</v>
      </c>
      <c r="C6">
        <f>2.7*0.01</f>
        <v>2.7000000000000003E-2</v>
      </c>
      <c r="D6">
        <v>0.23499999999999999</v>
      </c>
      <c r="E6" s="2">
        <f t="shared" si="0"/>
        <v>6.3450000000000008E-3</v>
      </c>
      <c r="F6">
        <f>C6-SEIR_params_conf_range_lower!E6</f>
        <v>2.4900000000000002E-2</v>
      </c>
      <c r="G6" s="5">
        <v>3.6999999999999998E-2</v>
      </c>
      <c r="H6" s="5">
        <f>1-SEIR_params_conf_range_lower!G6</f>
        <v>0.97099999999999997</v>
      </c>
      <c r="I6" s="5">
        <f t="shared" si="1"/>
        <v>7.8988941548183256E-2</v>
      </c>
      <c r="J6" s="5">
        <f t="shared" si="2"/>
        <v>7.6698262243285936E-2</v>
      </c>
      <c r="K6" s="5">
        <f>G6*I6</f>
        <v>2.9225908372827805E-3</v>
      </c>
      <c r="L6" s="5">
        <f t="shared" si="3"/>
        <v>5.4141851651326477E-2</v>
      </c>
      <c r="M6" s="5">
        <f t="shared" si="4"/>
        <v>5.2571737953438009E-2</v>
      </c>
      <c r="N6" s="5">
        <f t="shared" si="5"/>
        <v>2.0032485110990797E-3</v>
      </c>
    </row>
    <row r="7" spans="1:14">
      <c r="A7" t="s">
        <v>24</v>
      </c>
      <c r="B7">
        <v>2.99</v>
      </c>
      <c r="C7">
        <f>5.4*0.01</f>
        <v>5.4000000000000006E-2</v>
      </c>
      <c r="D7">
        <v>0.28699999999999998</v>
      </c>
      <c r="E7" s="2">
        <f t="shared" si="0"/>
        <v>1.5498000000000001E-2</v>
      </c>
      <c r="F7">
        <f>C7-SEIR_params_conf_range_lower!E7</f>
        <v>4.8435000000000006E-2</v>
      </c>
      <c r="G7" s="5">
        <v>7.0000000000000007E-2</v>
      </c>
      <c r="H7" s="5">
        <f>1-SEIR_params_conf_range_lower!G7</f>
        <v>0.94</v>
      </c>
      <c r="I7" s="5">
        <f t="shared" si="1"/>
        <v>7.8988941548183256E-2</v>
      </c>
      <c r="J7" s="5">
        <f t="shared" si="2"/>
        <v>7.4249605055292253E-2</v>
      </c>
      <c r="K7" s="5">
        <f>G7*I7</f>
        <v>5.5292259083728288E-3</v>
      </c>
      <c r="L7" s="5">
        <f t="shared" si="3"/>
        <v>5.4141851651326477E-2</v>
      </c>
      <c r="M7" s="5">
        <f t="shared" si="4"/>
        <v>5.0893340552246882E-2</v>
      </c>
      <c r="N7" s="5">
        <f t="shared" si="5"/>
        <v>3.7899296155928536E-3</v>
      </c>
    </row>
    <row r="8" spans="1:14">
      <c r="A8" t="s">
        <v>25</v>
      </c>
      <c r="B8">
        <v>2.99</v>
      </c>
      <c r="C8">
        <f>11*0.01</f>
        <v>0.11</v>
      </c>
      <c r="D8">
        <v>0.318</v>
      </c>
      <c r="E8" s="2">
        <f t="shared" si="0"/>
        <v>3.4980000000000004E-2</v>
      </c>
      <c r="F8">
        <f>C8-SEIR_params_conf_range_lower!E8</f>
        <v>9.7484000000000001E-2</v>
      </c>
      <c r="G8" s="5">
        <v>0.13200000000000001</v>
      </c>
      <c r="H8" s="5">
        <f>1-SEIR_params_conf_range_lower!G8</f>
        <v>0.88</v>
      </c>
      <c r="I8" s="5">
        <f t="shared" si="1"/>
        <v>7.8988941548183256E-2</v>
      </c>
      <c r="J8" s="5">
        <f t="shared" si="2"/>
        <v>6.9510268562401265E-2</v>
      </c>
      <c r="K8" s="5">
        <f>G8*I8</f>
        <v>1.042654028436019E-2</v>
      </c>
      <c r="L8" s="5">
        <f t="shared" si="3"/>
        <v>5.4141851651326477E-2</v>
      </c>
      <c r="M8" s="5">
        <f t="shared" si="4"/>
        <v>4.7644829453167302E-2</v>
      </c>
      <c r="N8" s="5">
        <f t="shared" si="5"/>
        <v>7.1467244179750956E-3</v>
      </c>
    </row>
    <row r="9" spans="1:14">
      <c r="A9" t="s">
        <v>26</v>
      </c>
      <c r="B9">
        <v>2.99</v>
      </c>
      <c r="C9">
        <f>17.5*0.01</f>
        <v>0.17500000000000002</v>
      </c>
      <c r="D9">
        <v>0.25800000000000001</v>
      </c>
      <c r="E9" s="2">
        <f t="shared" si="0"/>
        <v>4.5150000000000003E-2</v>
      </c>
      <c r="F9">
        <f>C9-SEIR_params_conf_range_lower!E9</f>
        <v>0.15885300000000002</v>
      </c>
      <c r="G9" s="5">
        <v>0.218</v>
      </c>
      <c r="H9" s="5">
        <f>1-SEIR_params_conf_range_lower!G9</f>
        <v>0.79699999999999993</v>
      </c>
      <c r="I9" s="5">
        <f t="shared" si="1"/>
        <v>7.8988941548183256E-2</v>
      </c>
      <c r="J9" s="5">
        <f t="shared" si="2"/>
        <v>6.2954186413902047E-2</v>
      </c>
      <c r="K9" s="5">
        <f>G9*I9</f>
        <v>1.7219589257503949E-2</v>
      </c>
      <c r="L9" s="5">
        <f t="shared" si="3"/>
        <v>5.4141851651326477E-2</v>
      </c>
      <c r="M9" s="5">
        <f t="shared" si="4"/>
        <v>4.3151055766107199E-2</v>
      </c>
      <c r="N9" s="5">
        <f t="shared" si="5"/>
        <v>1.1802923659989173E-2</v>
      </c>
    </row>
    <row r="10" spans="1:14">
      <c r="A10" t="s">
        <v>27</v>
      </c>
      <c r="B10">
        <v>2.99</v>
      </c>
      <c r="C10">
        <f>49.4*0.01</f>
        <v>0.49399999999999999</v>
      </c>
      <c r="D10">
        <v>5.8999999999999997E-2</v>
      </c>
      <c r="E10" s="2">
        <f t="shared" si="0"/>
        <v>2.9145999999999998E-2</v>
      </c>
      <c r="F10">
        <f>C10-SEIR_params_conf_range_lower!E10</f>
        <v>0.48392999999999997</v>
      </c>
      <c r="G10" s="5">
        <v>0.32400000000000001</v>
      </c>
      <c r="H10" s="5">
        <f>1-SEIR_params_conf_range_lower!G10</f>
        <v>0.69100000000000006</v>
      </c>
      <c r="I10" s="5">
        <f t="shared" si="1"/>
        <v>7.8988941548183256E-2</v>
      </c>
      <c r="J10" s="5">
        <f t="shared" si="2"/>
        <v>5.4581358609794635E-2</v>
      </c>
      <c r="K10" s="5">
        <f>G10*I10</f>
        <v>2.5592417061611375E-2</v>
      </c>
      <c r="L10" s="5">
        <f t="shared" si="3"/>
        <v>5.4141851651326477E-2</v>
      </c>
      <c r="M10" s="5">
        <f t="shared" si="4"/>
        <v>3.7412019491066602E-2</v>
      </c>
      <c r="N10" s="5">
        <f t="shared" si="5"/>
        <v>1.7541959935029779E-2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workbookViewId="0">
      <selection activeCell="A3" sqref="A3"/>
    </sheetView>
  </sheetViews>
  <sheetFormatPr baseColWidth="10" defaultColWidth="8.83203125" defaultRowHeight="15"/>
  <cols>
    <col min="1" max="1" width="14" customWidth="1"/>
    <col min="2" max="2" width="10" bestFit="1" customWidth="1"/>
  </cols>
  <sheetData>
    <row r="1" spans="1:2">
      <c r="B1" t="s">
        <v>18</v>
      </c>
    </row>
    <row r="2" spans="1:2">
      <c r="A2" t="s">
        <v>20</v>
      </c>
      <c r="B2">
        <v>1000000</v>
      </c>
    </row>
    <row r="3" spans="1:2">
      <c r="A3" t="s">
        <v>28</v>
      </c>
      <c r="B3">
        <v>1000000</v>
      </c>
    </row>
    <row r="4" spans="1:2">
      <c r="A4" t="s">
        <v>22</v>
      </c>
      <c r="B4">
        <v>1000000</v>
      </c>
    </row>
    <row r="5" spans="1:2">
      <c r="A5" t="s">
        <v>21</v>
      </c>
      <c r="B5">
        <v>1000000</v>
      </c>
    </row>
    <row r="6" spans="1:2">
      <c r="A6" t="s">
        <v>23</v>
      </c>
      <c r="B6">
        <v>1000000</v>
      </c>
    </row>
    <row r="7" spans="1:2">
      <c r="A7" t="s">
        <v>24</v>
      </c>
      <c r="B7">
        <v>1000000</v>
      </c>
    </row>
    <row r="8" spans="1:2">
      <c r="A8" t="s">
        <v>25</v>
      </c>
      <c r="B8">
        <v>1000000</v>
      </c>
    </row>
    <row r="9" spans="1:2">
      <c r="A9" t="s">
        <v>26</v>
      </c>
      <c r="B9">
        <v>1000000</v>
      </c>
    </row>
    <row r="10" spans="1:2">
      <c r="A10" t="s">
        <v>27</v>
      </c>
      <c r="B10"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C44" sqref="C44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1</v>
      </c>
      <c r="C3">
        <v>0.5</v>
      </c>
      <c r="D3">
        <v>0.5</v>
      </c>
      <c r="E3">
        <v>0</v>
      </c>
      <c r="F3">
        <v>0</v>
      </c>
    </row>
    <row r="4" spans="1:6">
      <c r="A4">
        <v>1</v>
      </c>
      <c r="B4">
        <v>1</v>
      </c>
      <c r="C4">
        <v>1</v>
      </c>
      <c r="D4">
        <v>1</v>
      </c>
      <c r="E4">
        <v>0</v>
      </c>
      <c r="F4">
        <v>0</v>
      </c>
    </row>
    <row r="5" spans="1:6">
      <c r="A5">
        <v>1</v>
      </c>
      <c r="B5">
        <v>1</v>
      </c>
      <c r="C5">
        <v>1</v>
      </c>
      <c r="D5">
        <v>1</v>
      </c>
      <c r="E5">
        <v>0.5</v>
      </c>
      <c r="F5">
        <v>0.5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K29" sqref="K29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0.5</v>
      </c>
      <c r="C3">
        <v>1</v>
      </c>
      <c r="D3">
        <v>0.5</v>
      </c>
      <c r="E3">
        <v>0</v>
      </c>
      <c r="F3">
        <v>0</v>
      </c>
    </row>
    <row r="4" spans="1:6">
      <c r="A4">
        <v>1</v>
      </c>
      <c r="B4">
        <v>1</v>
      </c>
      <c r="C4">
        <v>1</v>
      </c>
      <c r="D4">
        <v>1</v>
      </c>
      <c r="E4">
        <v>0</v>
      </c>
      <c r="F4">
        <v>0</v>
      </c>
    </row>
    <row r="5" spans="1:6">
      <c r="A5">
        <v>1</v>
      </c>
      <c r="B5">
        <v>1</v>
      </c>
      <c r="C5">
        <v>1</v>
      </c>
      <c r="D5">
        <v>1</v>
      </c>
      <c r="E5">
        <v>0.5</v>
      </c>
      <c r="F5">
        <v>0.5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T20" sqref="T20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0.5</v>
      </c>
      <c r="C3">
        <v>1</v>
      </c>
      <c r="D3">
        <v>0.5</v>
      </c>
      <c r="E3">
        <v>0</v>
      </c>
      <c r="F3">
        <v>0</v>
      </c>
    </row>
    <row r="4" spans="1:6">
      <c r="A4">
        <v>1</v>
      </c>
      <c r="B4">
        <v>1</v>
      </c>
      <c r="C4">
        <v>1</v>
      </c>
      <c r="D4">
        <v>1</v>
      </c>
      <c r="E4">
        <v>0</v>
      </c>
      <c r="F4">
        <v>0</v>
      </c>
    </row>
    <row r="5" spans="1:6">
      <c r="A5">
        <v>1</v>
      </c>
      <c r="B5">
        <v>1</v>
      </c>
      <c r="C5">
        <v>1</v>
      </c>
      <c r="D5">
        <v>1</v>
      </c>
      <c r="E5">
        <v>0.5</v>
      </c>
      <c r="F5">
        <v>0.5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DF60-3235-9543-A540-61B50CF0ADFF}">
  <dimension ref="A1:F6"/>
  <sheetViews>
    <sheetView workbookViewId="0">
      <selection activeCell="C43" sqref="C43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0.5</v>
      </c>
      <c r="C3">
        <v>1</v>
      </c>
      <c r="D3">
        <v>0.5</v>
      </c>
      <c r="E3">
        <v>0</v>
      </c>
      <c r="F3">
        <v>0</v>
      </c>
    </row>
    <row r="4" spans="1:6">
      <c r="A4">
        <v>1</v>
      </c>
      <c r="B4">
        <v>1</v>
      </c>
      <c r="C4">
        <v>1</v>
      </c>
      <c r="D4">
        <v>1</v>
      </c>
      <c r="E4">
        <v>0</v>
      </c>
      <c r="F4">
        <v>0</v>
      </c>
    </row>
    <row r="5" spans="1:6">
      <c r="A5">
        <v>1</v>
      </c>
      <c r="B5">
        <v>1</v>
      </c>
      <c r="C5">
        <v>1</v>
      </c>
      <c r="D5">
        <v>1</v>
      </c>
      <c r="E5">
        <v>0.5</v>
      </c>
      <c r="F5">
        <v>0.5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C43" sqref="C43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0.5</v>
      </c>
      <c r="C3">
        <v>1</v>
      </c>
      <c r="D3">
        <v>0.5</v>
      </c>
      <c r="E3">
        <v>0</v>
      </c>
      <c r="F3">
        <v>0</v>
      </c>
    </row>
    <row r="4" spans="1:6">
      <c r="A4">
        <v>1</v>
      </c>
      <c r="B4">
        <v>1</v>
      </c>
      <c r="C4">
        <v>1</v>
      </c>
      <c r="D4">
        <v>1</v>
      </c>
      <c r="E4">
        <v>0</v>
      </c>
      <c r="F4">
        <v>0</v>
      </c>
    </row>
    <row r="5" spans="1:6">
      <c r="A5">
        <v>1</v>
      </c>
      <c r="B5">
        <v>1</v>
      </c>
      <c r="C5">
        <v>1</v>
      </c>
      <c r="D5">
        <v>1</v>
      </c>
      <c r="E5">
        <v>0.5</v>
      </c>
      <c r="F5">
        <v>0.5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F1BC-7B3D-C046-87EB-F6258B35431C}">
  <dimension ref="A1:F6"/>
  <sheetViews>
    <sheetView workbookViewId="0">
      <selection activeCell="C44" sqref="C44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0.5</v>
      </c>
      <c r="C3">
        <v>1</v>
      </c>
      <c r="D3">
        <v>0.5</v>
      </c>
      <c r="E3">
        <v>0</v>
      </c>
      <c r="F3">
        <v>0</v>
      </c>
    </row>
    <row r="4" spans="1:6">
      <c r="A4">
        <v>1</v>
      </c>
      <c r="B4">
        <v>1</v>
      </c>
      <c r="C4">
        <v>1</v>
      </c>
      <c r="D4">
        <v>1</v>
      </c>
      <c r="E4">
        <v>0</v>
      </c>
      <c r="F4">
        <v>0</v>
      </c>
    </row>
    <row r="5" spans="1:6">
      <c r="A5">
        <v>1</v>
      </c>
      <c r="B5">
        <v>1</v>
      </c>
      <c r="C5">
        <v>1</v>
      </c>
      <c r="D5">
        <v>1</v>
      </c>
      <c r="E5">
        <v>0.5</v>
      </c>
      <c r="F5">
        <v>0.5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P31" sqref="P31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0</v>
      </c>
      <c r="C3">
        <v>0</v>
      </c>
      <c r="D3">
        <v>0.5</v>
      </c>
      <c r="E3">
        <v>0.5</v>
      </c>
      <c r="F3">
        <v>0.5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B087-C1D4-ED48-9715-7DE70A23D95F}">
  <dimension ref="A1:F4"/>
  <sheetViews>
    <sheetView workbookViewId="0">
      <selection activeCell="B4" sqref="B4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0</v>
      </c>
      <c r="C3">
        <v>0</v>
      </c>
      <c r="D3">
        <v>0.5</v>
      </c>
      <c r="E3">
        <v>0.5</v>
      </c>
      <c r="F3">
        <v>0.5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age_group_0_9</vt:lpstr>
      <vt:lpstr>age_group_10_19</vt:lpstr>
      <vt:lpstr>age_group_20_29</vt:lpstr>
      <vt:lpstr>age_group_30_39</vt:lpstr>
      <vt:lpstr>age_group_40_49</vt:lpstr>
      <vt:lpstr>age_group_50_59</vt:lpstr>
      <vt:lpstr>age_group_60_69</vt:lpstr>
      <vt:lpstr>age_group_70_79</vt:lpstr>
      <vt:lpstr>age_group_80_plus</vt:lpstr>
      <vt:lpstr>value_working</vt:lpstr>
      <vt:lpstr>fraction_working</vt:lpstr>
      <vt:lpstr>population</vt:lpstr>
      <vt:lpstr>ICU_hospital</vt:lpstr>
      <vt:lpstr>SEIR_params</vt:lpstr>
      <vt:lpstr>SEIR_params_conf_range_lower</vt:lpstr>
      <vt:lpstr>SEIR_params_conf_range_upper</vt:lpstr>
      <vt:lpstr>death_cost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2020-05-08T12:17:00Z</dcterms:created>
  <dcterms:modified xsi:type="dcterms:W3CDTF">2020-06-22T18:57:17Z</dcterms:modified>
</cp:coreProperties>
</file>