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spyroszoumpoulis1/Dropbox (Personal)/Research/COVID/Local_Code/Final_Data/"/>
    </mc:Choice>
  </mc:AlternateContent>
  <xr:revisionPtr revIDLastSave="0" documentId="13_ncr:1_{DE3C2145-ACB5-3241-90DA-1847A9B0CCCF}" xr6:coauthVersionLast="45" xr6:coauthVersionMax="45" xr10:uidLastSave="{00000000-0000-0000-0000-000000000000}"/>
  <bookViews>
    <workbookView xWindow="1080" yWindow="520" windowWidth="27100" windowHeight="16240" tabRatio="920" activeTab="4" xr2:uid="{00000000-000D-0000-FFFF-FFFF00000000}"/>
  </bookViews>
  <sheets>
    <sheet name="population" sheetId="11" r:id="rId1"/>
    <sheet name="contributions_normal" sheetId="9" r:id="rId2"/>
    <sheet name="contributions_April" sheetId="21" r:id="rId3"/>
    <sheet name="contributions_May" sheetId="22" r:id="rId4"/>
    <sheet name="activity_levels_as_%_of_full" sheetId="24" r:id="rId5"/>
    <sheet name="SEIR_params" sheetId="13" r:id="rId6"/>
    <sheet name="SEIR_params_conf_range_lower" sheetId="18" r:id="rId7"/>
    <sheet name="SEIR_params_conf_range_upper" sheetId="19" r:id="rId8"/>
    <sheet name="ICU_hospital" sheetId="12" r:id="rId9"/>
    <sheet name="Testing_capacity" sheetId="23" r:id="rId10"/>
  </sheets>
  <definedNames>
    <definedName name="shadedown">contributions_normal!$C$60</definedName>
    <definedName name="weight_leisure">contributions_normal!$C$64</definedName>
    <definedName name="weight_other">contributions_normal!$C$65</definedName>
    <definedName name="weight_transport">contributions_normal!$C$63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9" l="1"/>
  <c r="N4" i="19"/>
  <c r="N5" i="19"/>
  <c r="N6" i="19"/>
  <c r="N7" i="19"/>
  <c r="N8" i="19"/>
  <c r="N9" i="19"/>
  <c r="N10" i="19"/>
  <c r="N2" i="19"/>
  <c r="K3" i="19"/>
  <c r="K4" i="19"/>
  <c r="K5" i="19"/>
  <c r="K6" i="19"/>
  <c r="K7" i="19"/>
  <c r="K8" i="19"/>
  <c r="K9" i="19"/>
  <c r="K10" i="19"/>
  <c r="K2" i="19"/>
  <c r="N3" i="18"/>
  <c r="N4" i="18"/>
  <c r="N5" i="18"/>
  <c r="N6" i="18"/>
  <c r="N7" i="18"/>
  <c r="N8" i="18"/>
  <c r="N9" i="18"/>
  <c r="N10" i="18"/>
  <c r="N2" i="18"/>
  <c r="K3" i="18"/>
  <c r="K4" i="18"/>
  <c r="K5" i="18"/>
  <c r="K6" i="18"/>
  <c r="K7" i="18"/>
  <c r="K8" i="18"/>
  <c r="K9" i="18"/>
  <c r="K10" i="18"/>
  <c r="K2" i="18"/>
  <c r="K3" i="13"/>
  <c r="K4" i="13"/>
  <c r="K5" i="13"/>
  <c r="K6" i="13"/>
  <c r="K7" i="13"/>
  <c r="K8" i="13"/>
  <c r="K9" i="13"/>
  <c r="K10" i="13"/>
  <c r="K2" i="13"/>
  <c r="N3" i="13"/>
  <c r="N4" i="13"/>
  <c r="N5" i="13"/>
  <c r="N6" i="13"/>
  <c r="N7" i="13"/>
  <c r="N8" i="13"/>
  <c r="N9" i="13"/>
  <c r="N10" i="13"/>
  <c r="N2" i="13"/>
  <c r="C3" i="18" l="1"/>
  <c r="C4" i="18"/>
  <c r="C5" i="18"/>
  <c r="C6" i="18"/>
  <c r="C7" i="18"/>
  <c r="C8" i="18"/>
  <c r="C9" i="18"/>
  <c r="C10" i="18"/>
  <c r="C2" i="18"/>
  <c r="C2" i="19"/>
  <c r="C3" i="19"/>
  <c r="C4" i="19"/>
  <c r="C5" i="19"/>
  <c r="C6" i="19"/>
  <c r="C7" i="19"/>
  <c r="C8" i="19"/>
  <c r="C9" i="19"/>
  <c r="C10" i="19"/>
  <c r="D3" i="19"/>
  <c r="D4" i="19"/>
  <c r="D5" i="19"/>
  <c r="D6" i="19"/>
  <c r="D7" i="19"/>
  <c r="D8" i="19"/>
  <c r="D9" i="19"/>
  <c r="D10" i="19"/>
  <c r="D2" i="19"/>
  <c r="D3" i="18"/>
  <c r="D4" i="18"/>
  <c r="D5" i="18"/>
  <c r="D6" i="18"/>
  <c r="D7" i="18"/>
  <c r="D8" i="18"/>
  <c r="D9" i="18"/>
  <c r="D10" i="18"/>
  <c r="D2" i="18"/>
  <c r="J3" i="19" l="1"/>
  <c r="O3" i="19" s="1"/>
  <c r="J4" i="19"/>
  <c r="O4" i="19" s="1"/>
  <c r="J5" i="19"/>
  <c r="O5" i="19" s="1"/>
  <c r="J6" i="19"/>
  <c r="O6" i="19" s="1"/>
  <c r="J7" i="19"/>
  <c r="O7" i="19" s="1"/>
  <c r="J8" i="19"/>
  <c r="O8" i="19" s="1"/>
  <c r="J9" i="19"/>
  <c r="O9" i="19" s="1"/>
  <c r="J10" i="19"/>
  <c r="L10" i="19" s="1"/>
  <c r="J2" i="19"/>
  <c r="O2" i="19" s="1"/>
  <c r="J3" i="18"/>
  <c r="O3" i="18" s="1"/>
  <c r="J4" i="18"/>
  <c r="O4" i="18" s="1"/>
  <c r="J5" i="18"/>
  <c r="O5" i="18" s="1"/>
  <c r="J6" i="18"/>
  <c r="O6" i="18" s="1"/>
  <c r="J7" i="18"/>
  <c r="O7" i="18" s="1"/>
  <c r="J8" i="18"/>
  <c r="O8" i="18" s="1"/>
  <c r="J9" i="18"/>
  <c r="O9" i="18" s="1"/>
  <c r="J10" i="18"/>
  <c r="L10" i="18" s="1"/>
  <c r="J2" i="18"/>
  <c r="O2" i="18" s="1"/>
  <c r="O3" i="13"/>
  <c r="O4" i="13"/>
  <c r="O5" i="13"/>
  <c r="O6" i="13"/>
  <c r="O7" i="13"/>
  <c r="O8" i="13"/>
  <c r="O9" i="13"/>
  <c r="O10" i="13"/>
  <c r="O2" i="13"/>
  <c r="L3" i="13"/>
  <c r="L4" i="13"/>
  <c r="L5" i="13"/>
  <c r="L6" i="13"/>
  <c r="L7" i="13"/>
  <c r="L8" i="13"/>
  <c r="L9" i="13"/>
  <c r="L10" i="13"/>
  <c r="L2" i="13"/>
  <c r="J3" i="13"/>
  <c r="J4" i="13"/>
  <c r="J5" i="13"/>
  <c r="J6" i="13"/>
  <c r="J7" i="13"/>
  <c r="J8" i="13"/>
  <c r="J9" i="13"/>
  <c r="J10" i="13"/>
  <c r="J2" i="13"/>
  <c r="H3" i="19"/>
  <c r="H4" i="19"/>
  <c r="H5" i="19"/>
  <c r="H6" i="19"/>
  <c r="H7" i="19"/>
  <c r="H8" i="19"/>
  <c r="H9" i="19"/>
  <c r="H10" i="19"/>
  <c r="H2" i="19"/>
  <c r="H3" i="18"/>
  <c r="H4" i="18"/>
  <c r="H5" i="18"/>
  <c r="H6" i="18"/>
  <c r="H7" i="18"/>
  <c r="H8" i="18"/>
  <c r="H9" i="18"/>
  <c r="H10" i="18"/>
  <c r="H2" i="18"/>
  <c r="P3" i="18"/>
  <c r="P10" i="18"/>
  <c r="P2" i="18"/>
  <c r="M7" i="18"/>
  <c r="M4" i="19"/>
  <c r="M9" i="19"/>
  <c r="M10" i="19"/>
  <c r="P7" i="19"/>
  <c r="P2" i="19"/>
  <c r="M6" i="19"/>
  <c r="M8" i="19"/>
  <c r="M5" i="18"/>
  <c r="M4" i="18"/>
  <c r="P6" i="19"/>
  <c r="P8" i="19"/>
  <c r="P9" i="19"/>
  <c r="M5" i="19"/>
  <c r="P4" i="18"/>
  <c r="P9" i="18"/>
  <c r="M8" i="18"/>
  <c r="M9" i="18"/>
  <c r="M10" i="18"/>
  <c r="E10" i="19"/>
  <c r="E9" i="19"/>
  <c r="G9" i="19" s="1"/>
  <c r="E8" i="19"/>
  <c r="G8" i="19" s="1"/>
  <c r="E7" i="19"/>
  <c r="E6" i="19"/>
  <c r="E5" i="19"/>
  <c r="G5" i="19" s="1"/>
  <c r="E4" i="19"/>
  <c r="G4" i="19" s="1"/>
  <c r="E3" i="19"/>
  <c r="E2" i="19"/>
  <c r="G2" i="19" s="1"/>
  <c r="E10" i="18"/>
  <c r="G10" i="18" s="1"/>
  <c r="E9" i="18"/>
  <c r="E8" i="18"/>
  <c r="E7" i="18"/>
  <c r="E6" i="18"/>
  <c r="E5" i="18"/>
  <c r="G5" i="18" s="1"/>
  <c r="E4" i="18"/>
  <c r="E3" i="18"/>
  <c r="E2" i="18"/>
  <c r="P5" i="19"/>
  <c r="P4" i="19"/>
  <c r="P3" i="19"/>
  <c r="M3" i="19"/>
  <c r="P6" i="18"/>
  <c r="M6" i="18"/>
  <c r="G6" i="18"/>
  <c r="P5" i="18"/>
  <c r="M3" i="18"/>
  <c r="P3" i="13"/>
  <c r="P4" i="13"/>
  <c r="P5" i="13"/>
  <c r="P6" i="13"/>
  <c r="P7" i="13"/>
  <c r="P8" i="13"/>
  <c r="P9" i="13"/>
  <c r="P10" i="13"/>
  <c r="P2" i="13"/>
  <c r="M3" i="13"/>
  <c r="M4" i="13"/>
  <c r="M5" i="13"/>
  <c r="M6" i="13"/>
  <c r="M7" i="13"/>
  <c r="M8" i="13"/>
  <c r="M9" i="13"/>
  <c r="M10" i="13"/>
  <c r="M2" i="13"/>
  <c r="L4" i="19" l="1"/>
  <c r="L2" i="19"/>
  <c r="L9" i="19"/>
  <c r="O10" i="19"/>
  <c r="L8" i="19"/>
  <c r="L7" i="19"/>
  <c r="L6" i="19"/>
  <c r="L5" i="18"/>
  <c r="L5" i="19"/>
  <c r="L3" i="19"/>
  <c r="O10" i="18"/>
  <c r="L8" i="18"/>
  <c r="L7" i="18"/>
  <c r="L4" i="18"/>
  <c r="L2" i="18"/>
  <c r="L3" i="18"/>
  <c r="L9" i="18"/>
  <c r="L6" i="18"/>
  <c r="P10" i="19"/>
  <c r="M7" i="19"/>
  <c r="M2" i="19"/>
  <c r="G10" i="19"/>
  <c r="G3" i="19"/>
  <c r="G6" i="19"/>
  <c r="G7" i="19"/>
  <c r="P7" i="18"/>
  <c r="P8" i="18"/>
  <c r="M2" i="18"/>
  <c r="G7" i="18"/>
  <c r="G8" i="18"/>
  <c r="G9" i="18"/>
  <c r="G2" i="18"/>
  <c r="G3" i="18"/>
  <c r="G4" i="18"/>
  <c r="E10" i="13" l="1"/>
  <c r="E9" i="13"/>
  <c r="E8" i="13"/>
  <c r="E7" i="13"/>
  <c r="E6" i="13"/>
  <c r="E5" i="13"/>
  <c r="E4" i="13"/>
  <c r="E3" i="13"/>
  <c r="E2" i="13"/>
  <c r="G10" i="13" l="1"/>
  <c r="H10" i="13" s="1"/>
  <c r="G3" i="13"/>
  <c r="H3" i="13" s="1"/>
  <c r="G4" i="13"/>
  <c r="H4" i="13" s="1"/>
  <c r="G7" i="13"/>
  <c r="H7" i="13" s="1"/>
  <c r="G8" i="13"/>
  <c r="H8" i="13" s="1"/>
  <c r="G9" i="13"/>
  <c r="H9" i="13" s="1"/>
  <c r="G2" i="13"/>
  <c r="H2" i="13" s="1"/>
  <c r="G5" i="13"/>
  <c r="H5" i="13" s="1"/>
  <c r="G6" i="13"/>
  <c r="H6" i="13" s="1"/>
  <c r="K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tc={2A3B9AD6-4410-4883-A004-2E1DBF7B0302}</author>
    <author>tc={52F0ED80-8986-E24B-A1AB-23A522AC9201}</author>
    <author>tc={76DD1E49-01CF-9F4A-AEA8-88EFDD3931B9}</author>
    <author>tc={78B41FA7-695A-3640-B333-A8F4B6ECF265}</author>
    <author>tc={6CC5E804-71F6-B245-A0A6-526DC86E4847}</author>
    <author>tc={FAB066BC-F554-774E-99FE-AFBD352821CE}</author>
    <author>tc={AAE6A714-B7EC-2949-AC31-BBE5E03DDAA0}</author>
    <author>tc={E8177191-FE1D-C743-AB98-FF9B1E929BD1}</author>
  </authors>
  <commentList>
    <comment ref="C1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D1" authorId="1" shapeId="0" xr:uid="{52F0ED80-8986-E24B-A1AB-23A522AC9201}">
      <text>
        <t>[Threaded comment]
Your version of Excel allows you to read this threaded comment; however, any edits to it will get removed if the file is opened in a newer version of Excel. Learn more: https://go.microsoft.com/fwlink/?linkid=870924
Comment:
    Slaje 2020, p. 7 supplement</t>
      </text>
    </comment>
    <comment ref="E1" authorId="2" shapeId="0" xr:uid="{76DD1E49-01CF-9F4A-AEA8-88EFDD3931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F1" authorId="3" shapeId="0" xr:uid="{78B41FA7-695A-3640-B333-A8F4B6ECF26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I1" authorId="4" shapeId="0" xr:uid="{6CC5E804-71F6-B245-A0A6-526DC86E484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J1" authorId="5" shapeId="0" xr:uid="{FAB066BC-F554-774E-99FE-AFBD3528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K1" authorId="6" shapeId="0" xr:uid="{AAE6A714-B7EC-2949-AC31-BBE5E03DDAA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</t>
      </text>
    </comment>
    <comment ref="N1" authorId="7" shapeId="0" xr:uid="{E8177191-FE1D-C743-AB98-FF9B1E929BD1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S5. Note that we are accounting for 20,46 days of mean time spent in the ICU, plus 1,5 days of mean pre-ICU time.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tc={B07E6B55-2928-BC42-B412-479369305A1B}</author>
    <author>tc={E88FAA3B-0505-2944-8698-53D5E3A5D954}</author>
    <author>tc={831DA857-C6FC-2F45-B53B-1B9560BAD3CF}</author>
    <author>tc={ACBB1B72-3919-D044-946A-C4842632E2C5}</author>
    <author>tc={2D83C08B-371A-8148-AE4F-3268486E263F}</author>
    <author>tc={50BC316B-AE4B-594D-80C2-E9B35E99EDCC}</author>
    <author>tc={33CB8B0A-AAF2-FE4F-8D32-6BACEC3AC868}</author>
    <author>tc={16F93E21-4EF1-F64A-B451-6377AFB2F90C}</author>
    <author>tc={DC301EE9-BEA7-C24D-9638-3DD0277828BE}</author>
  </authors>
  <commentList>
    <comment ref="B1" authorId="0" shapeId="0" xr:uid="{B07E6B55-2928-BC42-B412-479369305A1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E1" authorId="1" shapeId="0" xr:uid="{E88FAA3B-0505-2944-8698-53D5E3A5D9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F1" authorId="2" shapeId="0" xr:uid="{831DA857-C6FC-2F45-B53B-1B9560BAD3CF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I1" authorId="3" shapeId="0" xr:uid="{ACBB1B72-3919-D044-946A-C4842632E2C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J1" authorId="4" shapeId="0" xr:uid="{2D83C08B-371A-8148-AE4F-3268486E263F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K1" authorId="5" shapeId="0" xr:uid="{50BC316B-AE4B-594D-80C2-E9B35E99E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</t>
      </text>
    </comment>
    <comment ref="N1" authorId="6" shapeId="0" xr:uid="{33CB8B0A-AAF2-FE4F-8D32-6BACEC3AC868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</t>
      </text>
    </comment>
    <comment ref="C2" authorId="7" shapeId="0" xr:uid="{16F93E21-4EF1-F64A-B451-6377AFB2F90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Stay in “I” compartement calculated as 4 + 0.86/2, where 0.86/2 is half the width of the 95% conf interval for the serial interval reported in Du et al. (2020). Note that the estimated serial interval in Du et al is 3.96 days.</t>
      </text>
    </comment>
    <comment ref="D2" authorId="8" shapeId="0" xr:uid="{DC301EE9-BEA7-C24D-9638-3DD0277828B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Stay in E compartement calculated as 4 + 0.8*0.6, where 0.6 is half the width of the 95% conf interval for the incubation period reported in Bi et al. (2020), and 0.8 accounts for the fact that the stay in compartment E is 4/5 of the mean incubation time in Salje et al. (2020).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tc={D7920145-2DFB-9E4C-8B14-1FB06F24669D}</author>
    <author>tc={38EDD177-FF73-224F-A37E-EC0EEBF1FB2C}</author>
    <author>tc={3FC7D4FE-33A1-104C-A8DB-7584568E9DC6}</author>
    <author>tc={F648BBA4-5D98-DC4C-8843-8ED9BC46087A}</author>
    <author>tc={E2CB9157-51AC-C540-93B7-FA7DDDFA7607}</author>
    <author>tc={0C65A74A-135B-124F-A148-83F234F40BF0}</author>
    <author>tc={3BB9D8F2-8E80-224A-A04F-B6EBF491A825}</author>
    <author>tc={19652A3F-5F98-034A-82C5-C009E0B1CD23}</author>
    <author>tc={634FAF57-4E13-A24E-AC05-3F5D3A7F67C3}</author>
  </authors>
  <commentList>
    <comment ref="B1" authorId="0" shapeId="0" xr:uid="{D7920145-2DFB-9E4C-8B14-1FB06F2466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expressed in units of 1/day. Salje 2020, page 7 supplement</t>
      </text>
    </comment>
    <comment ref="E1" authorId="1" shapeId="0" xr:uid="{38EDD177-FF73-224F-A37E-EC0EEBF1FB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 </t>
      </text>
    </comment>
    <comment ref="F1" authorId="2" shapeId="0" xr:uid="{3FC7D4FE-33A1-104C-A8DB-7584568E9DC6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S1</t>
      </text>
    </comment>
    <comment ref="I1" authorId="3" shapeId="0" xr:uid="{F648BBA4-5D98-DC4C-8843-8ED9BC46087A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J1" authorId="4" shapeId="0" xr:uid="{E2CB9157-51AC-C540-93B7-FA7DDDFA760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S2</t>
      </text>
    </comment>
    <comment ref="K1" authorId="5" shapeId="0" xr:uid="{0C65A74A-135B-124F-A148-83F234F40BF0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</t>
      </text>
    </comment>
    <comment ref="N1" authorId="6" shapeId="0" xr:uid="{3BB9D8F2-8E80-224A-A04F-B6EBF491A82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Salje 2020, Supplement Table S5</t>
      </text>
    </comment>
    <comment ref="C2" authorId="7" shapeId="0" xr:uid="{19652A3F-5F98-034A-82C5-C009E0B1CD23}">
      <text>
        <t>[Threaded comment]
Your version of Excel allows you to read this threaded comment; however, any edits to it will get removed if the file is opened in a newer version of Excel. Learn more: https://go.microsoft.com/fwlink/?linkid=870924
Comment:
    Stay in “I” compartement calculated as 4 - 0.86/2, where 0.86/2 is half the width of the 95% conf interval for the serial interval reported in Du et al. (2020). Note that the estimated serial interval in Du et al is 3.96 days.</t>
      </text>
    </comment>
    <comment ref="D2" authorId="8" shapeId="0" xr:uid="{634FAF57-4E13-A24E-AC05-3F5D3A7F67C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stay in E compartement calculated as 4 - 0.8*0.6, where 0.6 is half the width of the 95% conf interval for the incubation period reported in Bi et al. (2020), and 0.8 accounts for the fact that the stay in compartment E is 4/5 of the mean incubation time in Salje et al. (2020).</t>
      </text>
    </comment>
  </commentList>
</comments>
</file>

<file path=xl/sharedStrings.xml><?xml version="1.0" encoding="utf-8"?>
<sst xmlns="http://schemas.openxmlformats.org/spreadsheetml/2006/main" count="135" uniqueCount="37">
  <si>
    <t>Ile-de-France</t>
  </si>
  <si>
    <t>ICU</t>
  </si>
  <si>
    <t>Hospital</t>
  </si>
  <si>
    <t>mu</t>
  </si>
  <si>
    <t>sigma</t>
  </si>
  <si>
    <t>p_ss</t>
  </si>
  <si>
    <t>p_H</t>
  </si>
  <si>
    <t>p_ICU</t>
  </si>
  <si>
    <t>lambda_HR</t>
  </si>
  <si>
    <t>lambda_HD</t>
  </si>
  <si>
    <t>lambda_ICUR</t>
  </si>
  <si>
    <t>lambda_ICUD</t>
  </si>
  <si>
    <t>TOTAL</t>
  </si>
  <si>
    <t>age_group_0_9</t>
  </si>
  <si>
    <t>age_group_30_39</t>
  </si>
  <si>
    <t>age_group_20_29</t>
  </si>
  <si>
    <t>age_group_40_49</t>
  </si>
  <si>
    <t>age_group_50_59</t>
  </si>
  <si>
    <t>age_group_60_69</t>
  </si>
  <si>
    <t>age_group_70_79</t>
  </si>
  <si>
    <t>age_group_80_plus</t>
  </si>
  <si>
    <t>age_group_10_19</t>
  </si>
  <si>
    <t>p_ICU_cond_ss</t>
  </si>
  <si>
    <t>p_death_cond_ss</t>
  </si>
  <si>
    <t>lambda_H</t>
  </si>
  <si>
    <t>R_0</t>
  </si>
  <si>
    <t>lambda_ICU</t>
  </si>
  <si>
    <t>p_recov_cond_ss</t>
  </si>
  <si>
    <t>M-test</t>
  </si>
  <si>
    <t>A-test</t>
  </si>
  <si>
    <t>Month</t>
  </si>
  <si>
    <t>April</t>
  </si>
  <si>
    <t>May</t>
  </si>
  <si>
    <t>transport</t>
  </si>
  <si>
    <t>leisure</t>
  </si>
  <si>
    <t>other</t>
  </si>
  <si>
    <t>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</si>
</sst>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&quot;€&quot;#,##0.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M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49" fontId="1" fillId="0" borderId="0" xfId="1" applyNumberFormat="1" applyFont="1" applyBorder="1"/>
    <xf numFmtId="0" fontId="2" fillId="0" borderId="0" xfId="0" applyFont="1"/>
    <xf numFmtId="49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165" fontId="1" fillId="0" borderId="1" xfId="0" applyNumberFormat="1" applyFont="1" applyBorder="1"/>
    <xf numFmtId="10" fontId="1" fillId="0" borderId="0" xfId="0" applyNumberFormat="1" applyFont="1"/>
  </cellXfs>
  <cellStyles count="4">
    <cellStyle name="Motif" xfId="2" xr:uid="{00000000-0005-0000-0000-000000000000}"/>
    <cellStyle name="Normal" xfId="0" builtinId="0"/>
    <cellStyle name="Normal 2" xfId="3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NCU Dan" id="{48AE92E2-D8C6-4C8A-8418-B9724683BC8F}" userId="IANCU Dan" providerId="None"/>
  <person displayName="ZOUMPOULIS Spyros" id="{302FD740-4AC2-E547-9F75-2AE3FDB8116A}" userId="S::spyros.zoumpoulis@insead.edu::d72dc488-9f48-4593-a96c-998e1496f2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05-08T15:35:59.26" personId="{48AE92E2-D8C6-4C8A-8418-B9724683BC8F}" id="{2A3B9AD6-4410-4883-A004-2E1DBF7B0302}">
    <text>These values are expressed in units of 1/day. Salje 2020, page 7 supplement</text>
  </threadedComment>
  <threadedComment ref="D1" dT="2020-05-20T16:14:06.10" personId="{302FD740-4AC2-E547-9F75-2AE3FDB8116A}" id="{52F0ED80-8986-E24B-A1AB-23A522AC9201}">
    <text>Slaje 2020, p. 7 supplement</text>
  </threadedComment>
  <threadedComment ref="E1" dT="2020-05-20T16:14:46.61" personId="{302FD740-4AC2-E547-9F75-2AE3FDB8116A}" id="{76DD1E49-01CF-9F4A-AEA8-88EFDD3931B9}">
    <text xml:space="preserve">Salje 2020, supplement Table S1 </text>
  </threadedComment>
  <threadedComment ref="F1" dT="2020-05-20T16:40:37.81" personId="{302FD740-4AC2-E547-9F75-2AE3FDB8116A}" id="{78B41FA7-695A-3640-B333-A8F4B6ECF265}">
    <text>Salje 2020, Supplement Table S1</text>
  </threadedComment>
  <threadedComment ref="I1" dT="2020-05-20T16:59:58.24" personId="{302FD740-4AC2-E547-9F75-2AE3FDB8116A}" id="{6CC5E804-71F6-B245-A0A6-526DC86E4847}">
    <text>Salje 2020, Supplement Table S2</text>
  </threadedComment>
  <threadedComment ref="J1" dT="2020-05-20T16:59:58.24" personId="{302FD740-4AC2-E547-9F75-2AE3FDB8116A}" id="{FAB066BC-F554-774E-99FE-AFBD352821CE}">
    <text>Salje 2020, Supplement Table S2</text>
  </threadedComment>
  <threadedComment ref="K1" dT="2020-06-22T18:05:20.56" personId="{302FD740-4AC2-E547-9F75-2AE3FDB8116A}" id="{AAE6A714-B7EC-2949-AC31-BBE5E03DDAA0}">
    <text>Salje 2020, Supplement Table S5</text>
  </threadedComment>
  <threadedComment ref="N1" dT="2020-06-22T18:05:43.93" personId="{302FD740-4AC2-E547-9F75-2AE3FDB8116A}" id="{E8177191-FE1D-C743-AB98-FF9B1E929BD1}">
    <text>Salje 2020, Supplement Table S5. Note that we are accounting for 20,46 days of mean time spent in the ICU, plus 1,5 days of mean pre-ICU time.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5-08T15:35:59.26" personId="{48AE92E2-D8C6-4C8A-8418-B9724683BC8F}" id="{B07E6B55-2928-BC42-B412-479369305A1B}">
    <text>These values are expressed in units of 1/day. Salje 2020, page 7 supplement</text>
  </threadedComment>
  <threadedComment ref="E1" dT="2020-05-20T16:14:46.61" personId="{302FD740-4AC2-E547-9F75-2AE3FDB8116A}" id="{E88FAA3B-0505-2944-8698-53D5E3A5D954}">
    <text xml:space="preserve">Salje 2020, supplement Table S1 </text>
  </threadedComment>
  <threadedComment ref="F1" dT="2020-05-20T16:40:37.81" personId="{302FD740-4AC2-E547-9F75-2AE3FDB8116A}" id="{831DA857-C6FC-2F45-B53B-1B9560BAD3CF}">
    <text>Salje 2020, Supplement Table S1</text>
  </threadedComment>
  <threadedComment ref="I1" dT="2020-05-20T16:59:58.24" personId="{302FD740-4AC2-E547-9F75-2AE3FDB8116A}" id="{ACBB1B72-3919-D044-946A-C4842632E2C5}">
    <text>Salje 2020, Supplement Table S2</text>
  </threadedComment>
  <threadedComment ref="J1" dT="2020-05-20T16:59:58.24" personId="{302FD740-4AC2-E547-9F75-2AE3FDB8116A}" id="{2D83C08B-371A-8148-AE4F-3268486E263F}">
    <text>Salje 2020, Supplement Table S2</text>
  </threadedComment>
  <threadedComment ref="K1" dT="2020-06-22T18:05:20.56" personId="{302FD740-4AC2-E547-9F75-2AE3FDB8116A}" id="{50BC316B-AE4B-594D-80C2-E9B35E99EDCC}">
    <text>Salje 2020, Supplement Table S5</text>
  </threadedComment>
  <threadedComment ref="N1" dT="2020-06-22T18:05:43.93" personId="{302FD740-4AC2-E547-9F75-2AE3FDB8116A}" id="{33CB8B0A-AAF2-FE4F-8D32-6BACEC3AC868}">
    <text>Salje 2020, Supplement Table S5</text>
  </threadedComment>
  <threadedComment ref="C2" dT="2020-06-23T15:10:19.85" personId="{302FD740-4AC2-E547-9F75-2AE3FDB8116A}" id="{16F93E21-4EF1-F64A-B451-6377AFB2F90C}">
    <text>Stay in “I” compartement calculated as 4 + 0.86/2, where 0.86/2 is half the width of the 95% conf interval for the serial interval reported in Du et al. (2020). Note that the estimated serial interval in Du et al is 3.96 days.</text>
  </threadedComment>
  <threadedComment ref="D2" dT="2020-06-23T14:50:26.35" personId="{302FD740-4AC2-E547-9F75-2AE3FDB8116A}" id="{DC301EE9-BEA7-C24D-9638-3DD0277828BE}">
    <text>Stay in E compartement calculated as 4 + 0.8*0.6, where 0.6 is half the width of the 95% conf interval for the incubation period reported in Bi et al. (2020), and 0.8 accounts for the fact that the stay in compartment E is 4/5 of the mean incubation time in Salje et al. (2020).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0-05-08T15:35:59.26" personId="{48AE92E2-D8C6-4C8A-8418-B9724683BC8F}" id="{D7920145-2DFB-9E4C-8B14-1FB06F24669D}">
    <text>These values are expressed in units of 1/day. Salje 2020, page 7 supplement</text>
  </threadedComment>
  <threadedComment ref="E1" dT="2020-05-20T16:14:46.61" personId="{302FD740-4AC2-E547-9F75-2AE3FDB8116A}" id="{38EDD177-FF73-224F-A37E-EC0EEBF1FB2C}">
    <text xml:space="preserve">Salje 2020, supplement Table S1 </text>
  </threadedComment>
  <threadedComment ref="F1" dT="2020-05-20T16:40:37.81" personId="{302FD740-4AC2-E547-9F75-2AE3FDB8116A}" id="{3FC7D4FE-33A1-104C-A8DB-7584568E9DC6}">
    <text>Salje 2020, Supplement Table S1</text>
  </threadedComment>
  <threadedComment ref="I1" dT="2020-05-20T16:59:58.24" personId="{302FD740-4AC2-E547-9F75-2AE3FDB8116A}" id="{F648BBA4-5D98-DC4C-8843-8ED9BC46087A}">
    <text>Salje 2020, Supplement Table S2</text>
  </threadedComment>
  <threadedComment ref="J1" dT="2020-05-20T16:59:58.24" personId="{302FD740-4AC2-E547-9F75-2AE3FDB8116A}" id="{E2CB9157-51AC-C540-93B7-FA7DDDFA7607}">
    <text>Salje 2020, Supplement Table S2</text>
  </threadedComment>
  <threadedComment ref="K1" dT="2020-06-22T18:05:20.56" personId="{302FD740-4AC2-E547-9F75-2AE3FDB8116A}" id="{0C65A74A-135B-124F-A148-83F234F40BF0}">
    <text>Salje 2020, Supplement Table S5</text>
  </threadedComment>
  <threadedComment ref="N1" dT="2020-06-22T18:05:43.93" personId="{302FD740-4AC2-E547-9F75-2AE3FDB8116A}" id="{3BB9D8F2-8E80-224A-A04F-B6EBF491A825}">
    <text>Salje 2020, Supplement Table S5</text>
  </threadedComment>
  <threadedComment ref="C2" dT="2020-06-23T15:09:29.98" personId="{302FD740-4AC2-E547-9F75-2AE3FDB8116A}" id="{19652A3F-5F98-034A-82C5-C009E0B1CD23}">
    <text>Stay in “I” compartement calculated as 4 - 0.86/2, where 0.86/2 is half the width of the 95% conf interval for the serial interval reported in Du et al. (2020). Note that the estimated serial interval in Du et al is 3.96 days.</text>
  </threadedComment>
  <threadedComment ref="D2" dT="2020-06-23T14:50:26.35" personId="{302FD740-4AC2-E547-9F75-2AE3FDB8116A}" id="{634FAF57-4E13-A24E-AC05-3F5D3A7F67C3}">
    <text>Mean stay in E compartement calculated as 4 - 0.8*0.6, where 0.6 is half the width of the 95% conf interval for the incubation period reported in Bi et al. (2020), and 0.8 accounts for the fact that the stay in compartment E is 4/5 of the mean incubation time in Salje et al. (2020).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"/>
  <sheetViews>
    <sheetView workbookViewId="0">
      <selection activeCell="B2" sqref="B2:J2"/>
    </sheetView>
  </sheetViews>
  <sheetFormatPr baseColWidth="10" defaultColWidth="8.83203125" defaultRowHeight="15"/>
  <cols>
    <col min="1" max="1" width="11.6640625" bestFit="1" customWidth="1"/>
    <col min="2" max="2" width="13" bestFit="1" customWidth="1"/>
    <col min="3" max="3" width="15" bestFit="1" customWidth="1"/>
    <col min="4" max="4" width="14.33203125" bestFit="1" customWidth="1"/>
    <col min="5" max="7" width="14.6640625" bestFit="1" customWidth="1"/>
    <col min="8" max="9" width="14.6640625" customWidth="1"/>
    <col min="10" max="10" width="15.83203125" bestFit="1" customWidth="1"/>
    <col min="11" max="11" width="11.5" customWidth="1"/>
  </cols>
  <sheetData>
    <row r="1" spans="1:11">
      <c r="B1" t="s">
        <v>13</v>
      </c>
      <c r="C1" t="s">
        <v>21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12</v>
      </c>
    </row>
    <row r="2" spans="1:11">
      <c r="A2" s="1" t="s">
        <v>0</v>
      </c>
      <c r="B2" s="2">
        <v>1594856</v>
      </c>
      <c r="C2" s="2">
        <v>1546109</v>
      </c>
      <c r="D2" s="2">
        <v>1651917</v>
      </c>
      <c r="E2" s="2">
        <v>1757848</v>
      </c>
      <c r="F2" s="2">
        <v>1671811</v>
      </c>
      <c r="G2" s="2">
        <v>1538636</v>
      </c>
      <c r="H2" s="2">
        <v>1177841</v>
      </c>
      <c r="I2" s="2">
        <v>792962</v>
      </c>
      <c r="J2" s="2">
        <v>546230</v>
      </c>
      <c r="K2" s="3">
        <f>SUM(A2:G2)</f>
        <v>9761177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1D5E-0C1D-4FD1-B878-D6F6F8282C73}">
  <dimension ref="A1:B2"/>
  <sheetViews>
    <sheetView workbookViewId="0">
      <selection activeCell="G9" sqref="G9"/>
    </sheetView>
  </sheetViews>
  <sheetFormatPr baseColWidth="10" defaultColWidth="8.83203125" defaultRowHeight="15"/>
  <sheetData>
    <row r="1" spans="1:2">
      <c r="A1" t="s">
        <v>28</v>
      </c>
      <c r="B1" t="s">
        <v>29</v>
      </c>
    </row>
    <row r="2" spans="1:2">
      <c r="A2">
        <v>60000</v>
      </c>
      <c r="B2">
        <v>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selection activeCell="F2" sqref="F2"/>
    </sheetView>
  </sheetViews>
  <sheetFormatPr baseColWidth="10" defaultColWidth="8.83203125" defaultRowHeight="15"/>
  <cols>
    <col min="1" max="1" width="31.33203125" customWidth="1"/>
    <col min="2" max="2" width="13" bestFit="1" customWidth="1"/>
    <col min="3" max="3" width="18.6640625" customWidth="1"/>
    <col min="4" max="5" width="14.1640625" customWidth="1"/>
    <col min="6" max="6" width="14.5" customWidth="1"/>
    <col min="7" max="7" width="14.6640625" customWidth="1"/>
    <col min="8" max="8" width="14.83203125" customWidth="1"/>
    <col min="9" max="9" width="14" customWidth="1"/>
    <col min="10" max="10" width="16.5" customWidth="1"/>
  </cols>
  <sheetData>
    <row r="1" spans="1:11">
      <c r="A1" s="1" t="s">
        <v>0</v>
      </c>
      <c r="B1" t="s">
        <v>13</v>
      </c>
      <c r="C1" t="s">
        <v>21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1">
      <c r="A2" t="s">
        <v>36</v>
      </c>
      <c r="B2" s="8">
        <v>0</v>
      </c>
      <c r="C2" s="8">
        <v>2084.7935525488206</v>
      </c>
      <c r="D2" s="8">
        <v>11743.202994850582</v>
      </c>
      <c r="E2" s="8">
        <v>25799.287069376511</v>
      </c>
      <c r="F2" s="8">
        <v>31746.680710033233</v>
      </c>
      <c r="G2" s="8">
        <v>32573.790629672007</v>
      </c>
      <c r="H2" s="8">
        <v>12640.832320738504</v>
      </c>
      <c r="I2" s="8">
        <v>0</v>
      </c>
      <c r="J2" s="9">
        <v>0</v>
      </c>
    </row>
    <row r="3" spans="1:11">
      <c r="A3" s="5" t="s">
        <v>33</v>
      </c>
      <c r="B3" s="6">
        <v>0</v>
      </c>
      <c r="C3" s="6">
        <v>156.93516663281406</v>
      </c>
      <c r="D3" s="6">
        <v>883.98274090339726</v>
      </c>
      <c r="E3" s="6">
        <v>1942.070192173426</v>
      </c>
      <c r="F3" s="6">
        <v>2389.7669009848587</v>
      </c>
      <c r="G3" s="6">
        <v>2452.0285253569555</v>
      </c>
      <c r="H3" s="6">
        <v>951.55279246101918</v>
      </c>
      <c r="I3" s="6">
        <v>0</v>
      </c>
      <c r="J3" s="6">
        <v>0</v>
      </c>
      <c r="K3" s="3"/>
    </row>
    <row r="4" spans="1:11">
      <c r="A4" s="5" t="s">
        <v>34</v>
      </c>
      <c r="B4" s="6">
        <v>0</v>
      </c>
      <c r="C4" s="6">
        <v>258.01498053065899</v>
      </c>
      <c r="D4" s="6">
        <v>1453.3440437685717</v>
      </c>
      <c r="E4" s="6">
        <v>3192.9312822230545</v>
      </c>
      <c r="F4" s="6">
        <v>3928.9833735805632</v>
      </c>
      <c r="G4" s="6">
        <v>4031.3468663836788</v>
      </c>
      <c r="H4" s="6">
        <v>1564.4350497626999</v>
      </c>
      <c r="I4" s="6">
        <v>0</v>
      </c>
      <c r="J4" s="6">
        <v>0</v>
      </c>
    </row>
    <row r="5" spans="1:11">
      <c r="A5" s="5" t="s">
        <v>35</v>
      </c>
      <c r="B5" s="6">
        <v>0</v>
      </c>
      <c r="C5" s="6">
        <v>1669.8434053853475</v>
      </c>
      <c r="D5" s="6">
        <v>9405.8762101786124</v>
      </c>
      <c r="E5" s="6">
        <v>20664.285594980029</v>
      </c>
      <c r="F5" s="6">
        <v>25427.93043546781</v>
      </c>
      <c r="G5" s="6">
        <v>26090.415237931371</v>
      </c>
      <c r="H5" s="6">
        <v>10124.844478514784</v>
      </c>
      <c r="I5" s="6">
        <v>0</v>
      </c>
      <c r="J5" s="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0349-F121-5C46-A9B7-4F25C7CF5490}">
  <dimension ref="A1:K4"/>
  <sheetViews>
    <sheetView workbookViewId="0">
      <selection activeCell="C2" sqref="C2"/>
    </sheetView>
  </sheetViews>
  <sheetFormatPr baseColWidth="10" defaultColWidth="8.83203125" defaultRowHeight="15"/>
  <cols>
    <col min="1" max="1" width="31.33203125" customWidth="1"/>
    <col min="2" max="2" width="13" bestFit="1" customWidth="1"/>
    <col min="3" max="3" width="18.6640625" customWidth="1"/>
    <col min="4" max="5" width="14.1640625" customWidth="1"/>
    <col min="6" max="6" width="14.5" customWidth="1"/>
    <col min="7" max="7" width="14.6640625" customWidth="1"/>
    <col min="8" max="8" width="14.83203125" customWidth="1"/>
    <col min="9" max="9" width="14" customWidth="1"/>
    <col min="10" max="10" width="16.5" customWidth="1"/>
  </cols>
  <sheetData>
    <row r="1" spans="1:11">
      <c r="A1" s="1" t="s">
        <v>0</v>
      </c>
      <c r="B1" t="s">
        <v>13</v>
      </c>
      <c r="C1" t="s">
        <v>21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1">
      <c r="A2" s="5" t="s">
        <v>33</v>
      </c>
      <c r="B2" s="6">
        <v>0</v>
      </c>
      <c r="C2" s="6">
        <v>95.730451646016576</v>
      </c>
      <c r="D2" s="6">
        <v>539.22947195107236</v>
      </c>
      <c r="E2" s="6">
        <v>1184.6628172257899</v>
      </c>
      <c r="F2" s="6">
        <v>1457.7578096007637</v>
      </c>
      <c r="G2" s="6">
        <v>1495.7374004677429</v>
      </c>
      <c r="H2" s="6">
        <v>580.44720340122171</v>
      </c>
      <c r="I2" s="6">
        <v>0</v>
      </c>
      <c r="J2" s="6">
        <v>0</v>
      </c>
      <c r="K2" s="3"/>
    </row>
    <row r="3" spans="1:11">
      <c r="A3" s="5" t="s">
        <v>34</v>
      </c>
      <c r="B3" s="6">
        <v>0</v>
      </c>
      <c r="C3" s="6">
        <v>80.837651580691002</v>
      </c>
      <c r="D3" s="6">
        <v>455.3414658149124</v>
      </c>
      <c r="E3" s="6">
        <v>1000.3646531786013</v>
      </c>
      <c r="F3" s="6">
        <v>1230.9742184992747</v>
      </c>
      <c r="G3" s="6">
        <v>1263.0453189787197</v>
      </c>
      <c r="H3" s="6">
        <v>490.14694888349987</v>
      </c>
      <c r="I3" s="6">
        <v>0</v>
      </c>
      <c r="J3" s="6">
        <v>0</v>
      </c>
    </row>
    <row r="4" spans="1:11">
      <c r="A4" s="5" t="s">
        <v>35</v>
      </c>
      <c r="B4" s="6">
        <v>0</v>
      </c>
      <c r="C4" s="6">
        <v>1043.3301166939621</v>
      </c>
      <c r="D4" s="6">
        <v>5876.8588074340896</v>
      </c>
      <c r="E4" s="6">
        <v>12911.193607542244</v>
      </c>
      <c r="F4" s="6">
        <v>15887.553014230307</v>
      </c>
      <c r="G4" s="6">
        <v>16301.478262569852</v>
      </c>
      <c r="H4" s="6">
        <v>6326.07532970393</v>
      </c>
      <c r="I4" s="6">
        <v>0</v>
      </c>
      <c r="J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9245-18F7-8444-808D-1BC1C3E9AC83}">
  <dimension ref="A1:K4"/>
  <sheetViews>
    <sheetView workbookViewId="0">
      <selection activeCell="H13" sqref="H13"/>
    </sheetView>
  </sheetViews>
  <sheetFormatPr baseColWidth="10" defaultColWidth="8.83203125" defaultRowHeight="15"/>
  <cols>
    <col min="1" max="1" width="31.33203125" customWidth="1"/>
    <col min="2" max="2" width="13" bestFit="1" customWidth="1"/>
    <col min="3" max="3" width="18.6640625" customWidth="1"/>
    <col min="4" max="5" width="14.1640625" customWidth="1"/>
    <col min="6" max="6" width="14.5" customWidth="1"/>
    <col min="7" max="7" width="14.6640625" customWidth="1"/>
    <col min="8" max="8" width="14.83203125" customWidth="1"/>
    <col min="9" max="9" width="14" customWidth="1"/>
    <col min="10" max="10" width="16.5" customWidth="1"/>
  </cols>
  <sheetData>
    <row r="1" spans="1:11">
      <c r="A1" s="1" t="s">
        <v>0</v>
      </c>
      <c r="B1" t="s">
        <v>13</v>
      </c>
      <c r="C1" t="s">
        <v>21</v>
      </c>
      <c r="D1" t="s">
        <v>15</v>
      </c>
      <c r="E1" t="s">
        <v>14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1">
      <c r="A2" s="5" t="s">
        <v>33</v>
      </c>
      <c r="B2" s="6">
        <v>0</v>
      </c>
      <c r="C2" s="6">
        <v>127.11748497257939</v>
      </c>
      <c r="D2" s="6">
        <v>716.02602013175181</v>
      </c>
      <c r="E2" s="6">
        <v>1573.0768556604751</v>
      </c>
      <c r="F2" s="6">
        <v>1935.7111897977356</v>
      </c>
      <c r="G2" s="6">
        <v>1986.143105539134</v>
      </c>
      <c r="H2" s="6">
        <v>770.7577618934256</v>
      </c>
      <c r="I2" s="6">
        <v>0</v>
      </c>
      <c r="J2" s="6">
        <v>0</v>
      </c>
      <c r="K2" s="3"/>
    </row>
    <row r="3" spans="1:11">
      <c r="A3" s="5" t="s">
        <v>34</v>
      </c>
      <c r="B3" s="6">
        <v>0</v>
      </c>
      <c r="C3" s="6">
        <v>109.84541635610839</v>
      </c>
      <c r="D3" s="6">
        <v>618.73609535419644</v>
      </c>
      <c r="E3" s="6">
        <v>1359.335281117751</v>
      </c>
      <c r="F3" s="6">
        <v>1672.6967311725573</v>
      </c>
      <c r="G3" s="6">
        <v>1716.2762181600876</v>
      </c>
      <c r="H3" s="6">
        <v>666.03117016631154</v>
      </c>
      <c r="I3" s="6">
        <v>0</v>
      </c>
      <c r="J3" s="6">
        <v>0</v>
      </c>
    </row>
    <row r="4" spans="1:11">
      <c r="A4" s="5" t="s">
        <v>35</v>
      </c>
      <c r="B4" s="6">
        <v>0</v>
      </c>
      <c r="C4" s="6">
        <v>1257.8508380246899</v>
      </c>
      <c r="D4" s="6">
        <v>7085.208849628264</v>
      </c>
      <c r="E4" s="6">
        <v>15565.884123624683</v>
      </c>
      <c r="F4" s="6">
        <v>19154.217398071331</v>
      </c>
      <c r="G4" s="6">
        <v>19653.250457860016</v>
      </c>
      <c r="H4" s="6">
        <v>7626.7894768434953</v>
      </c>
      <c r="I4" s="6">
        <v>0</v>
      </c>
      <c r="J4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9DA3-F327-BB42-849A-DA2F94E9D73F}">
  <dimension ref="A1:E3"/>
  <sheetViews>
    <sheetView tabSelected="1" zoomScale="99" workbookViewId="0">
      <selection activeCell="I10" sqref="I10"/>
    </sheetView>
  </sheetViews>
  <sheetFormatPr baseColWidth="10" defaultRowHeight="15"/>
  <sheetData>
    <row r="1" spans="1:5">
      <c r="A1" t="s">
        <v>30</v>
      </c>
      <c r="B1" t="s">
        <v>33</v>
      </c>
      <c r="C1" t="s">
        <v>34</v>
      </c>
      <c r="D1" t="s">
        <v>35</v>
      </c>
      <c r="E1" t="s">
        <v>36</v>
      </c>
    </row>
    <row r="2" spans="1:5">
      <c r="A2" t="s">
        <v>31</v>
      </c>
      <c r="B2" s="7">
        <v>0.61</v>
      </c>
      <c r="C2" s="7">
        <v>0.313</v>
      </c>
      <c r="D2" s="7">
        <v>0.625</v>
      </c>
      <c r="E2" s="10">
        <v>0.58514101716654388</v>
      </c>
    </row>
    <row r="3" spans="1:5">
      <c r="A3" t="s">
        <v>32</v>
      </c>
      <c r="B3" s="7">
        <v>0.81</v>
      </c>
      <c r="C3" s="7">
        <v>0.42599999999999999</v>
      </c>
      <c r="D3" s="7">
        <v>0.753</v>
      </c>
      <c r="E3" s="10">
        <v>0.71700804020899467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4"/>
  <sheetViews>
    <sheetView workbookViewId="0">
      <selection activeCell="K11" sqref="K11"/>
    </sheetView>
  </sheetViews>
  <sheetFormatPr baseColWidth="10" defaultColWidth="10.83203125" defaultRowHeight="15"/>
  <cols>
    <col min="1" max="1" width="15.83203125" bestFit="1" customWidth="1"/>
    <col min="2" max="2" width="14.1640625" customWidth="1"/>
    <col min="3" max="3" width="12" customWidth="1"/>
    <col min="4" max="4" width="17.1640625" bestFit="1" customWidth="1"/>
    <col min="5" max="7" width="13.6640625" customWidth="1"/>
    <col min="8" max="8" width="13.33203125" customWidth="1"/>
    <col min="9" max="12" width="14" customWidth="1"/>
    <col min="16" max="16" width="12.1640625" bestFit="1" customWidth="1"/>
    <col min="17" max="17" width="12.33203125" bestFit="1" customWidth="1"/>
  </cols>
  <sheetData>
    <row r="1" spans="1:16">
      <c r="B1" t="s">
        <v>25</v>
      </c>
      <c r="C1" t="s">
        <v>3</v>
      </c>
      <c r="D1" t="s">
        <v>4</v>
      </c>
      <c r="E1" t="s">
        <v>5</v>
      </c>
      <c r="F1" t="s">
        <v>22</v>
      </c>
      <c r="G1" t="s">
        <v>7</v>
      </c>
      <c r="H1" t="s">
        <v>6</v>
      </c>
      <c r="I1" t="s">
        <v>23</v>
      </c>
      <c r="J1" t="s">
        <v>27</v>
      </c>
      <c r="K1" t="s">
        <v>24</v>
      </c>
      <c r="L1" t="s">
        <v>8</v>
      </c>
      <c r="M1" t="s">
        <v>9</v>
      </c>
      <c r="N1" t="s">
        <v>26</v>
      </c>
      <c r="O1" t="s">
        <v>10</v>
      </c>
      <c r="P1" t="s">
        <v>11</v>
      </c>
    </row>
    <row r="2" spans="1:16">
      <c r="A2" t="s">
        <v>13</v>
      </c>
      <c r="B2">
        <v>2.9</v>
      </c>
      <c r="C2">
        <v>0.25</v>
      </c>
      <c r="D2">
        <v>0.25</v>
      </c>
      <c r="E2" s="2">
        <f>0.2*0.01</f>
        <v>2E-3</v>
      </c>
      <c r="F2" s="2">
        <v>0.222</v>
      </c>
      <c r="G2" s="2">
        <f>E2*F2</f>
        <v>4.44E-4</v>
      </c>
      <c r="H2">
        <f>E2-G2</f>
        <v>1.5560000000000001E-3</v>
      </c>
      <c r="I2" s="4">
        <v>6.0000000000000001E-3</v>
      </c>
      <c r="J2" s="4">
        <f>1-I2</f>
        <v>0.99399999999999999</v>
      </c>
      <c r="K2" s="4">
        <f>1/14.94</f>
        <v>6.6934404283801874E-2</v>
      </c>
      <c r="L2" s="4">
        <f>(J2)*K2</f>
        <v>6.6532797858099069E-2</v>
      </c>
      <c r="M2" s="4">
        <f>I2*K2</f>
        <v>4.0160642570281126E-4</v>
      </c>
      <c r="N2" s="4">
        <f>1/(20.46+1.5)</f>
        <v>4.553734061930783E-2</v>
      </c>
      <c r="O2" s="4">
        <f>J2*N2</f>
        <v>4.5264116575591984E-2</v>
      </c>
      <c r="P2" s="4">
        <f>I2*N2</f>
        <v>2.7322404371584699E-4</v>
      </c>
    </row>
    <row r="3" spans="1:16">
      <c r="A3" t="s">
        <v>21</v>
      </c>
      <c r="B3">
        <v>2.9</v>
      </c>
      <c r="C3">
        <v>0.25</v>
      </c>
      <c r="D3">
        <v>0.25</v>
      </c>
      <c r="E3" s="2">
        <f>0.2*0.01</f>
        <v>2E-3</v>
      </c>
      <c r="F3" s="2">
        <v>0.222</v>
      </c>
      <c r="G3" s="2">
        <f t="shared" ref="G3:G10" si="0">E3*F3</f>
        <v>4.44E-4</v>
      </c>
      <c r="H3">
        <f t="shared" ref="H3:H10" si="1">E3-G3</f>
        <v>1.5560000000000001E-3</v>
      </c>
      <c r="I3" s="4">
        <v>6.0000000000000001E-3</v>
      </c>
      <c r="J3" s="4">
        <f t="shared" ref="J3:J10" si="2">1-I3</f>
        <v>0.99399999999999999</v>
      </c>
      <c r="K3" s="4">
        <f t="shared" ref="K3:K10" si="3">1/14.94</f>
        <v>6.6934404283801874E-2</v>
      </c>
      <c r="L3" s="4">
        <f t="shared" ref="L3:L10" si="4">(J3)*K3</f>
        <v>6.6532797858099069E-2</v>
      </c>
      <c r="M3" s="4">
        <f t="shared" ref="M3:M10" si="5">I3*K3</f>
        <v>4.0160642570281126E-4</v>
      </c>
      <c r="N3" s="4">
        <f t="shared" ref="N3:N10" si="6">1/(20.46+1.5)</f>
        <v>4.553734061930783E-2</v>
      </c>
      <c r="O3" s="4">
        <f t="shared" ref="O3:O10" si="7">J3*N3</f>
        <v>4.5264116575591984E-2</v>
      </c>
      <c r="P3" s="4">
        <f t="shared" ref="P3:P10" si="8">I3*N3</f>
        <v>2.7322404371584699E-4</v>
      </c>
    </row>
    <row r="4" spans="1:16">
      <c r="A4" t="s">
        <v>15</v>
      </c>
      <c r="B4">
        <v>2.9</v>
      </c>
      <c r="C4">
        <v>0.25</v>
      </c>
      <c r="D4">
        <v>0.25</v>
      </c>
      <c r="E4">
        <f>0.6*0.01</f>
        <v>6.0000000000000001E-3</v>
      </c>
      <c r="F4">
        <v>0.115</v>
      </c>
      <c r="G4" s="2">
        <f t="shared" si="0"/>
        <v>6.9000000000000008E-4</v>
      </c>
      <c r="H4">
        <f t="shared" si="1"/>
        <v>5.3100000000000005E-3</v>
      </c>
      <c r="I4" s="4">
        <v>1.0999999999999999E-2</v>
      </c>
      <c r="J4" s="4">
        <f t="shared" si="2"/>
        <v>0.98899999999999999</v>
      </c>
      <c r="K4" s="4">
        <f t="shared" si="3"/>
        <v>6.6934404283801874E-2</v>
      </c>
      <c r="L4" s="4">
        <f t="shared" si="4"/>
        <v>6.6198125836680055E-2</v>
      </c>
      <c r="M4" s="4">
        <f t="shared" si="5"/>
        <v>7.3627844712182062E-4</v>
      </c>
      <c r="N4" s="4">
        <f t="shared" si="6"/>
        <v>4.553734061930783E-2</v>
      </c>
      <c r="O4" s="4">
        <f t="shared" si="7"/>
        <v>4.503642987249544E-2</v>
      </c>
      <c r="P4" s="4">
        <f t="shared" si="8"/>
        <v>5.0091074681238605E-4</v>
      </c>
    </row>
    <row r="5" spans="1:16">
      <c r="A5" t="s">
        <v>14</v>
      </c>
      <c r="B5">
        <v>2.9</v>
      </c>
      <c r="C5">
        <v>0.25</v>
      </c>
      <c r="D5">
        <v>0.25</v>
      </c>
      <c r="E5">
        <f>1.3*0.01</f>
        <v>1.3000000000000001E-2</v>
      </c>
      <c r="F5">
        <v>0.159</v>
      </c>
      <c r="G5" s="2">
        <f t="shared" si="0"/>
        <v>2.0670000000000003E-3</v>
      </c>
      <c r="H5">
        <f t="shared" si="1"/>
        <v>1.0933000000000002E-2</v>
      </c>
      <c r="I5" s="4">
        <v>1.9E-2</v>
      </c>
      <c r="J5" s="4">
        <f t="shared" si="2"/>
        <v>0.98099999999999998</v>
      </c>
      <c r="K5" s="4">
        <f t="shared" si="3"/>
        <v>6.6934404283801874E-2</v>
      </c>
      <c r="L5" s="4">
        <f t="shared" si="4"/>
        <v>6.5662650602409639E-2</v>
      </c>
      <c r="M5" s="4">
        <f t="shared" si="5"/>
        <v>1.2717536813922356E-3</v>
      </c>
      <c r="N5" s="4">
        <f t="shared" si="6"/>
        <v>4.553734061930783E-2</v>
      </c>
      <c r="O5" s="4">
        <f t="shared" si="7"/>
        <v>4.4672131147540983E-2</v>
      </c>
      <c r="P5" s="4">
        <f t="shared" si="8"/>
        <v>8.6520947176684871E-4</v>
      </c>
    </row>
    <row r="6" spans="1:16">
      <c r="A6" t="s">
        <v>16</v>
      </c>
      <c r="B6">
        <v>2.9</v>
      </c>
      <c r="C6">
        <v>0.25</v>
      </c>
      <c r="D6">
        <v>0.25</v>
      </c>
      <c r="E6">
        <f>1.7*0.01</f>
        <v>1.7000000000000001E-2</v>
      </c>
      <c r="F6">
        <v>0.222</v>
      </c>
      <c r="G6" s="2">
        <f t="shared" si="0"/>
        <v>3.7740000000000004E-3</v>
      </c>
      <c r="H6">
        <f t="shared" si="1"/>
        <v>1.3226000000000002E-2</v>
      </c>
      <c r="I6" s="4">
        <v>3.3000000000000002E-2</v>
      </c>
      <c r="J6" s="4">
        <f t="shared" si="2"/>
        <v>0.96699999999999997</v>
      </c>
      <c r="K6" s="4">
        <f t="shared" si="3"/>
        <v>6.6934404283801874E-2</v>
      </c>
      <c r="L6" s="4">
        <f t="shared" si="4"/>
        <v>6.4725568942436404E-2</v>
      </c>
      <c r="M6" s="4">
        <f t="shared" si="5"/>
        <v>2.2088353413654621E-3</v>
      </c>
      <c r="N6" s="4">
        <f t="shared" si="6"/>
        <v>4.553734061930783E-2</v>
      </c>
      <c r="O6" s="4">
        <f t="shared" si="7"/>
        <v>4.4034608378870667E-2</v>
      </c>
      <c r="P6" s="4">
        <f t="shared" si="8"/>
        <v>1.5027322404371584E-3</v>
      </c>
    </row>
    <row r="7" spans="1:16">
      <c r="A7" t="s">
        <v>17</v>
      </c>
      <c r="B7">
        <v>2.9</v>
      </c>
      <c r="C7">
        <v>0.25</v>
      </c>
      <c r="D7">
        <v>0.25</v>
      </c>
      <c r="E7">
        <f>3.5*0.01</f>
        <v>3.5000000000000003E-2</v>
      </c>
      <c r="F7">
        <v>0.27600000000000002</v>
      </c>
      <c r="G7" s="2">
        <f t="shared" si="0"/>
        <v>9.6600000000000019E-3</v>
      </c>
      <c r="H7">
        <f t="shared" si="1"/>
        <v>2.5340000000000001E-2</v>
      </c>
      <c r="I7" s="4">
        <v>6.5000000000000002E-2</v>
      </c>
      <c r="J7" s="4">
        <f t="shared" si="2"/>
        <v>0.93500000000000005</v>
      </c>
      <c r="K7" s="4">
        <f t="shared" si="3"/>
        <v>6.6934404283801874E-2</v>
      </c>
      <c r="L7" s="4">
        <f t="shared" si="4"/>
        <v>6.2583668005354753E-2</v>
      </c>
      <c r="M7" s="4">
        <f t="shared" si="5"/>
        <v>4.3507362784471221E-3</v>
      </c>
      <c r="N7" s="4">
        <f t="shared" si="6"/>
        <v>4.553734061930783E-2</v>
      </c>
      <c r="O7" s="4">
        <f t="shared" si="7"/>
        <v>4.2577413479052827E-2</v>
      </c>
      <c r="P7" s="4">
        <f t="shared" si="8"/>
        <v>2.9599271402550092E-3</v>
      </c>
    </row>
    <row r="8" spans="1:16">
      <c r="A8" t="s">
        <v>18</v>
      </c>
      <c r="B8">
        <v>2.9</v>
      </c>
      <c r="C8">
        <v>0.25</v>
      </c>
      <c r="D8">
        <v>0.25</v>
      </c>
      <c r="E8">
        <f>7.1*0.01</f>
        <v>7.0999999999999994E-2</v>
      </c>
      <c r="F8">
        <v>0.308</v>
      </c>
      <c r="G8" s="2">
        <f t="shared" si="0"/>
        <v>2.1867999999999999E-2</v>
      </c>
      <c r="H8">
        <f t="shared" si="1"/>
        <v>4.9131999999999995E-2</v>
      </c>
      <c r="I8" s="4">
        <v>0.126</v>
      </c>
      <c r="J8" s="4">
        <f t="shared" si="2"/>
        <v>0.874</v>
      </c>
      <c r="K8" s="4">
        <f t="shared" si="3"/>
        <v>6.6934404283801874E-2</v>
      </c>
      <c r="L8" s="4">
        <f t="shared" si="4"/>
        <v>5.8500669344042841E-2</v>
      </c>
      <c r="M8" s="4">
        <f t="shared" si="5"/>
        <v>8.4337349397590362E-3</v>
      </c>
      <c r="N8" s="4">
        <f t="shared" si="6"/>
        <v>4.553734061930783E-2</v>
      </c>
      <c r="O8" s="4">
        <f t="shared" si="7"/>
        <v>3.9799635701275045E-2</v>
      </c>
      <c r="P8" s="4">
        <f t="shared" si="8"/>
        <v>5.7377049180327867E-3</v>
      </c>
    </row>
    <row r="9" spans="1:16">
      <c r="A9" t="s">
        <v>19</v>
      </c>
      <c r="B9">
        <v>2.9</v>
      </c>
      <c r="C9">
        <v>0.25</v>
      </c>
      <c r="D9">
        <v>0.25</v>
      </c>
      <c r="E9">
        <f>11.3*0.01</f>
        <v>0.113</v>
      </c>
      <c r="F9">
        <v>0.249</v>
      </c>
      <c r="G9" s="2">
        <f t="shared" si="0"/>
        <v>2.8137000000000002E-2</v>
      </c>
      <c r="H9">
        <f t="shared" si="1"/>
        <v>8.4862999999999994E-2</v>
      </c>
      <c r="I9" s="4">
        <v>0.21</v>
      </c>
      <c r="J9" s="4">
        <f t="shared" si="2"/>
        <v>0.79</v>
      </c>
      <c r="K9" s="4">
        <f t="shared" si="3"/>
        <v>6.6934404283801874E-2</v>
      </c>
      <c r="L9" s="4">
        <f t="shared" si="4"/>
        <v>5.2878179384203486E-2</v>
      </c>
      <c r="M9" s="4">
        <f t="shared" si="5"/>
        <v>1.4056224899598393E-2</v>
      </c>
      <c r="N9" s="4">
        <f t="shared" si="6"/>
        <v>4.553734061930783E-2</v>
      </c>
      <c r="O9" s="4">
        <f t="shared" si="7"/>
        <v>3.5974499089253188E-2</v>
      </c>
      <c r="P9" s="4">
        <f t="shared" si="8"/>
        <v>9.5628415300546433E-3</v>
      </c>
    </row>
    <row r="10" spans="1:16">
      <c r="A10" t="s">
        <v>20</v>
      </c>
      <c r="B10">
        <v>2.9</v>
      </c>
      <c r="C10">
        <v>0.25</v>
      </c>
      <c r="D10">
        <v>0.25</v>
      </c>
      <c r="E10">
        <f>32*0.01</f>
        <v>0.32</v>
      </c>
      <c r="F10">
        <v>5.6000000000000001E-2</v>
      </c>
      <c r="G10" s="2">
        <f t="shared" si="0"/>
        <v>1.7920000000000002E-2</v>
      </c>
      <c r="H10">
        <f t="shared" si="1"/>
        <v>0.30208000000000002</v>
      </c>
      <c r="I10" s="4">
        <v>0.316</v>
      </c>
      <c r="J10" s="4">
        <f t="shared" si="2"/>
        <v>0.68399999999999994</v>
      </c>
      <c r="K10" s="4">
        <f t="shared" si="3"/>
        <v>6.6934404283801874E-2</v>
      </c>
      <c r="L10" s="4">
        <f t="shared" si="4"/>
        <v>4.5783132530120479E-2</v>
      </c>
      <c r="M10" s="4">
        <f t="shared" si="5"/>
        <v>2.1151271753681391E-2</v>
      </c>
      <c r="N10" s="4">
        <f t="shared" si="6"/>
        <v>4.553734061930783E-2</v>
      </c>
      <c r="O10" s="4">
        <f t="shared" si="7"/>
        <v>3.1147540983606552E-2</v>
      </c>
      <c r="P10" s="4">
        <f t="shared" si="8"/>
        <v>1.4389799635701275E-2</v>
      </c>
    </row>
    <row r="14" spans="1:16">
      <c r="D14" s="4"/>
    </row>
    <row r="15" spans="1:16">
      <c r="D15" s="4"/>
    </row>
    <row r="16" spans="1:16">
      <c r="D16" s="4"/>
      <c r="M16" s="4"/>
      <c r="N16" s="4"/>
      <c r="O16" s="4"/>
    </row>
    <row r="17" spans="4:15">
      <c r="D17" s="4"/>
      <c r="M17" s="4"/>
      <c r="N17" s="4"/>
      <c r="O17" s="4"/>
    </row>
    <row r="18" spans="4:15">
      <c r="D18" s="4"/>
      <c r="M18" s="4"/>
      <c r="N18" s="4"/>
      <c r="O18" s="4"/>
    </row>
    <row r="19" spans="4:15">
      <c r="D19" s="4"/>
      <c r="M19" s="4"/>
      <c r="N19" s="4"/>
      <c r="O19" s="4"/>
    </row>
    <row r="20" spans="4:15">
      <c r="D20" s="4"/>
      <c r="M20" s="4"/>
      <c r="N20" s="4"/>
      <c r="O20" s="4"/>
    </row>
    <row r="21" spans="4:15">
      <c r="D21" s="4"/>
      <c r="M21" s="4"/>
      <c r="N21" s="4"/>
      <c r="O21" s="4"/>
    </row>
    <row r="22" spans="4:15">
      <c r="D22" s="4"/>
      <c r="M22" s="4"/>
      <c r="N22" s="4"/>
      <c r="O22" s="4"/>
    </row>
    <row r="23" spans="4:15">
      <c r="M23" s="4"/>
      <c r="N23" s="4"/>
      <c r="O23" s="4"/>
    </row>
    <row r="24" spans="4:15">
      <c r="M24" s="4"/>
      <c r="N24" s="4"/>
      <c r="O24" s="4"/>
    </row>
  </sheetData>
  <phoneticPr fontId="4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7186-BF9A-394D-9CDB-2FA0C2DBB84E}">
  <dimension ref="A1:P10"/>
  <sheetViews>
    <sheetView workbookViewId="0">
      <selection activeCell="K8" sqref="K8"/>
    </sheetView>
  </sheetViews>
  <sheetFormatPr baseColWidth="10" defaultColWidth="10.83203125" defaultRowHeight="15"/>
  <cols>
    <col min="1" max="1" width="15.33203125" customWidth="1"/>
    <col min="6" max="6" width="14.6640625" customWidth="1"/>
    <col min="9" max="10" width="14.33203125" customWidth="1"/>
  </cols>
  <sheetData>
    <row r="1" spans="1:16">
      <c r="B1" t="s">
        <v>25</v>
      </c>
      <c r="C1" t="s">
        <v>3</v>
      </c>
      <c r="D1" t="s">
        <v>4</v>
      </c>
      <c r="E1" t="s">
        <v>5</v>
      </c>
      <c r="F1" t="s">
        <v>22</v>
      </c>
      <c r="G1" t="s">
        <v>7</v>
      </c>
      <c r="H1" t="s">
        <v>6</v>
      </c>
      <c r="I1" t="s">
        <v>23</v>
      </c>
      <c r="J1" t="s">
        <v>27</v>
      </c>
      <c r="K1" t="s">
        <v>24</v>
      </c>
      <c r="L1" t="s">
        <v>8</v>
      </c>
      <c r="M1" t="s">
        <v>9</v>
      </c>
      <c r="N1" t="s">
        <v>26</v>
      </c>
      <c r="O1" t="s">
        <v>10</v>
      </c>
      <c r="P1" t="s">
        <v>11</v>
      </c>
    </row>
    <row r="2" spans="1:16">
      <c r="A2" t="s">
        <v>13</v>
      </c>
      <c r="B2">
        <v>2.8</v>
      </c>
      <c r="C2">
        <f>1/(4+0.86/2)</f>
        <v>0.22573363431151244</v>
      </c>
      <c r="D2">
        <f>1/(4+0.8*0.6)</f>
        <v>0.2232142857142857</v>
      </c>
      <c r="E2" s="2">
        <f>0.1*0.01</f>
        <v>1E-3</v>
      </c>
      <c r="F2" s="2">
        <v>0.192</v>
      </c>
      <c r="G2" s="2">
        <f t="shared" ref="G2:G10" si="0">E2*F2</f>
        <v>1.92E-4</v>
      </c>
      <c r="H2">
        <f>E2-SEIR_params_conf_range_upper!G2</f>
        <v>2.3499999999999997E-4</v>
      </c>
      <c r="I2" s="4">
        <v>3.0000000000000001E-3</v>
      </c>
      <c r="J2" s="4">
        <f>1-SEIR_params_conf_range_upper!I2</f>
        <v>0.98699999999999999</v>
      </c>
      <c r="K2" s="4">
        <f>1/15.32</f>
        <v>6.5274151436031325E-2</v>
      </c>
      <c r="L2" s="4">
        <f>J2*K2</f>
        <v>6.4425587467362919E-2</v>
      </c>
      <c r="M2" s="4">
        <f t="shared" ref="M2:M10" si="1">I2*K2</f>
        <v>1.9582245430809398E-4</v>
      </c>
      <c r="N2" s="4">
        <f>1/(21.1+1.5)</f>
        <v>4.4247787610619468E-2</v>
      </c>
      <c r="O2" s="4">
        <f>J2*N2</f>
        <v>4.3672566371681418E-2</v>
      </c>
      <c r="P2" s="4">
        <f t="shared" ref="P2:P10" si="2">I2*N2</f>
        <v>1.3274336283185842E-4</v>
      </c>
    </row>
    <row r="3" spans="1:16">
      <c r="A3" t="s">
        <v>21</v>
      </c>
      <c r="B3">
        <v>2.8</v>
      </c>
      <c r="C3">
        <f t="shared" ref="C3:C10" si="3">1/(4+0.86/2)</f>
        <v>0.22573363431151244</v>
      </c>
      <c r="D3">
        <f t="shared" ref="D3:D10" si="4">1/(4+0.8*0.6)</f>
        <v>0.2232142857142857</v>
      </c>
      <c r="E3" s="2">
        <f>0.1*0.01</f>
        <v>1E-3</v>
      </c>
      <c r="F3" s="2">
        <v>0.192</v>
      </c>
      <c r="G3" s="2">
        <f t="shared" si="0"/>
        <v>1.92E-4</v>
      </c>
      <c r="H3">
        <f>E3-SEIR_params_conf_range_upper!G3</f>
        <v>2.3499999999999997E-4</v>
      </c>
      <c r="I3" s="4">
        <v>3.0000000000000001E-3</v>
      </c>
      <c r="J3" s="4">
        <f>1-SEIR_params_conf_range_upper!I3</f>
        <v>0.98699999999999999</v>
      </c>
      <c r="K3" s="4">
        <f t="shared" ref="K3:K10" si="5">1/15.32</f>
        <v>6.5274151436031325E-2</v>
      </c>
      <c r="L3" s="4">
        <f t="shared" ref="L3:L10" si="6">J3*K3</f>
        <v>6.4425587467362919E-2</v>
      </c>
      <c r="M3" s="4">
        <f t="shared" si="1"/>
        <v>1.9582245430809398E-4</v>
      </c>
      <c r="N3" s="4">
        <f t="shared" ref="N3:N10" si="7">1/(21.1+1.5)</f>
        <v>4.4247787610619468E-2</v>
      </c>
      <c r="O3" s="4">
        <f t="shared" ref="O3:O10" si="8">J3*N3</f>
        <v>4.3672566371681418E-2</v>
      </c>
      <c r="P3" s="4">
        <f t="shared" si="2"/>
        <v>1.3274336283185842E-4</v>
      </c>
    </row>
    <row r="4" spans="1:16">
      <c r="A4" t="s">
        <v>15</v>
      </c>
      <c r="B4">
        <v>2.8</v>
      </c>
      <c r="C4">
        <f t="shared" si="3"/>
        <v>0.22573363431151244</v>
      </c>
      <c r="D4">
        <f t="shared" si="4"/>
        <v>0.2232142857142857</v>
      </c>
      <c r="E4">
        <f>0.4*0.01</f>
        <v>4.0000000000000001E-3</v>
      </c>
      <c r="F4">
        <v>0.10100000000000001</v>
      </c>
      <c r="G4" s="2">
        <f t="shared" si="0"/>
        <v>4.0400000000000001E-4</v>
      </c>
      <c r="H4">
        <f>E4-SEIR_params_conf_range_upper!G4</f>
        <v>2.6800000000000001E-3</v>
      </c>
      <c r="I4" s="4">
        <v>7.0000000000000001E-3</v>
      </c>
      <c r="J4" s="4">
        <f>1-SEIR_params_conf_range_upper!I4</f>
        <v>0.98399999999999999</v>
      </c>
      <c r="K4" s="4">
        <f t="shared" si="5"/>
        <v>6.5274151436031325E-2</v>
      </c>
      <c r="L4" s="4">
        <f t="shared" si="6"/>
        <v>6.4229765013054829E-2</v>
      </c>
      <c r="M4" s="4">
        <f t="shared" si="1"/>
        <v>4.5691906005221929E-4</v>
      </c>
      <c r="N4" s="4">
        <f t="shared" si="7"/>
        <v>4.4247787610619468E-2</v>
      </c>
      <c r="O4" s="4">
        <f t="shared" si="8"/>
        <v>4.3539823008849558E-2</v>
      </c>
      <c r="P4" s="4">
        <f t="shared" si="2"/>
        <v>3.0973451327433627E-4</v>
      </c>
    </row>
    <row r="5" spans="1:16">
      <c r="A5" t="s">
        <v>14</v>
      </c>
      <c r="B5">
        <v>2.8</v>
      </c>
      <c r="C5">
        <f t="shared" si="3"/>
        <v>0.22573363431151244</v>
      </c>
      <c r="D5">
        <f t="shared" si="4"/>
        <v>0.2232142857142857</v>
      </c>
      <c r="E5">
        <f>0.8*0.01</f>
        <v>8.0000000000000002E-3</v>
      </c>
      <c r="F5">
        <v>0.14599999999999999</v>
      </c>
      <c r="G5" s="2">
        <f t="shared" si="0"/>
        <v>1.168E-3</v>
      </c>
      <c r="H5">
        <f>E5-SEIR_params_conf_range_upper!G5</f>
        <v>4.5400000000000006E-3</v>
      </c>
      <c r="I5" s="4">
        <v>1.4999999999999999E-2</v>
      </c>
      <c r="J5" s="4">
        <f>1-SEIR_params_conf_range_upper!I5</f>
        <v>0.97699999999999998</v>
      </c>
      <c r="K5" s="4">
        <f t="shared" si="5"/>
        <v>6.5274151436031325E-2</v>
      </c>
      <c r="L5" s="4">
        <f t="shared" si="6"/>
        <v>6.3772845953002602E-2</v>
      </c>
      <c r="M5" s="4">
        <f t="shared" si="1"/>
        <v>9.7911227154046988E-4</v>
      </c>
      <c r="N5" s="4">
        <f t="shared" si="7"/>
        <v>4.4247787610619468E-2</v>
      </c>
      <c r="O5" s="4">
        <f t="shared" si="8"/>
        <v>4.323008849557522E-2</v>
      </c>
      <c r="P5" s="4">
        <f t="shared" si="2"/>
        <v>6.6371681415929203E-4</v>
      </c>
    </row>
    <row r="6" spans="1:16">
      <c r="A6" t="s">
        <v>16</v>
      </c>
      <c r="B6">
        <v>2.8</v>
      </c>
      <c r="C6">
        <f t="shared" si="3"/>
        <v>0.22573363431151244</v>
      </c>
      <c r="D6">
        <f t="shared" si="4"/>
        <v>0.2232142857142857</v>
      </c>
      <c r="E6">
        <f>1*0.01</f>
        <v>0.01</v>
      </c>
      <c r="F6">
        <v>0.21</v>
      </c>
      <c r="G6" s="2">
        <f t="shared" si="0"/>
        <v>2.0999999999999999E-3</v>
      </c>
      <c r="H6">
        <f>E6-SEIR_params_conf_range_upper!G6</f>
        <v>3.6549999999999994E-3</v>
      </c>
      <c r="I6" s="4">
        <v>2.9000000000000001E-2</v>
      </c>
      <c r="J6" s="4">
        <f>1-SEIR_params_conf_range_upper!I6</f>
        <v>0.96299999999999997</v>
      </c>
      <c r="K6" s="4">
        <f t="shared" si="5"/>
        <v>6.5274151436031325E-2</v>
      </c>
      <c r="L6" s="4">
        <f t="shared" si="6"/>
        <v>6.2859007832898162E-2</v>
      </c>
      <c r="M6" s="4">
        <f t="shared" si="1"/>
        <v>1.8929503916449086E-3</v>
      </c>
      <c r="N6" s="4">
        <f t="shared" si="7"/>
        <v>4.4247787610619468E-2</v>
      </c>
      <c r="O6" s="4">
        <f t="shared" si="8"/>
        <v>4.2610619469026549E-2</v>
      </c>
      <c r="P6" s="4">
        <f t="shared" si="2"/>
        <v>1.2831858407079647E-3</v>
      </c>
    </row>
    <row r="7" spans="1:16">
      <c r="A7" t="s">
        <v>17</v>
      </c>
      <c r="B7">
        <v>2.8</v>
      </c>
      <c r="C7">
        <f t="shared" si="3"/>
        <v>0.22573363431151244</v>
      </c>
      <c r="D7">
        <f t="shared" si="4"/>
        <v>0.2232142857142857</v>
      </c>
      <c r="E7">
        <f>2.1*0.01</f>
        <v>2.1000000000000001E-2</v>
      </c>
      <c r="F7">
        <v>0.26500000000000001</v>
      </c>
      <c r="G7" s="2">
        <f t="shared" si="0"/>
        <v>5.5650000000000005E-3</v>
      </c>
      <c r="H7">
        <f>E7-SEIR_params_conf_range_upper!G7</f>
        <v>5.5019999999999999E-3</v>
      </c>
      <c r="I7" s="4">
        <v>0.06</v>
      </c>
      <c r="J7" s="4">
        <f>1-SEIR_params_conf_range_upper!I7</f>
        <v>0.92999999999999994</v>
      </c>
      <c r="K7" s="4">
        <f t="shared" si="5"/>
        <v>6.5274151436031325E-2</v>
      </c>
      <c r="L7" s="4">
        <f t="shared" si="6"/>
        <v>6.0704960835509129E-2</v>
      </c>
      <c r="M7" s="4">
        <f t="shared" si="1"/>
        <v>3.9164490861618795E-3</v>
      </c>
      <c r="N7" s="4">
        <f t="shared" si="7"/>
        <v>4.4247787610619468E-2</v>
      </c>
      <c r="O7" s="4">
        <f t="shared" si="8"/>
        <v>4.1150442477876102E-2</v>
      </c>
      <c r="P7" s="4">
        <f t="shared" si="2"/>
        <v>2.6548672566371681E-3</v>
      </c>
    </row>
    <row r="8" spans="1:16">
      <c r="A8" t="s">
        <v>18</v>
      </c>
      <c r="B8">
        <v>2.8</v>
      </c>
      <c r="C8">
        <f t="shared" si="3"/>
        <v>0.22573363431151244</v>
      </c>
      <c r="D8">
        <f t="shared" si="4"/>
        <v>0.2232142857142857</v>
      </c>
      <c r="E8">
        <f>4.2*0.01</f>
        <v>4.2000000000000003E-2</v>
      </c>
      <c r="F8">
        <v>0.29799999999999999</v>
      </c>
      <c r="G8" s="2">
        <f t="shared" si="0"/>
        <v>1.2516000000000001E-2</v>
      </c>
      <c r="H8">
        <f>E8-SEIR_params_conf_range_upper!G8</f>
        <v>7.0199999999999985E-3</v>
      </c>
      <c r="I8" s="4">
        <v>0.12</v>
      </c>
      <c r="J8" s="4">
        <f>1-SEIR_params_conf_range_upper!I8</f>
        <v>0.86799999999999999</v>
      </c>
      <c r="K8" s="4">
        <f t="shared" si="5"/>
        <v>6.5274151436031325E-2</v>
      </c>
      <c r="L8" s="4">
        <f t="shared" si="6"/>
        <v>5.6657963446475189E-2</v>
      </c>
      <c r="M8" s="4">
        <f t="shared" si="1"/>
        <v>7.832898172323759E-3</v>
      </c>
      <c r="N8" s="4">
        <f t="shared" si="7"/>
        <v>4.4247787610619468E-2</v>
      </c>
      <c r="O8" s="4">
        <f t="shared" si="8"/>
        <v>3.8407079646017701E-2</v>
      </c>
      <c r="P8" s="4">
        <f t="shared" si="2"/>
        <v>5.3097345132743362E-3</v>
      </c>
    </row>
    <row r="9" spans="1:16">
      <c r="A9" t="s">
        <v>19</v>
      </c>
      <c r="B9">
        <v>2.8</v>
      </c>
      <c r="C9">
        <f t="shared" si="3"/>
        <v>0.22573363431151244</v>
      </c>
      <c r="D9">
        <f t="shared" si="4"/>
        <v>0.2232142857142857</v>
      </c>
      <c r="E9">
        <f>6.7*0.01</f>
        <v>6.7000000000000004E-2</v>
      </c>
      <c r="F9">
        <v>0.24099999999999999</v>
      </c>
      <c r="G9" s="2">
        <f t="shared" si="0"/>
        <v>1.6147000000000002E-2</v>
      </c>
      <c r="H9">
        <f>E9-SEIR_params_conf_range_upper!G9</f>
        <v>2.1850000000000001E-2</v>
      </c>
      <c r="I9" s="4">
        <v>0.20300000000000001</v>
      </c>
      <c r="J9" s="4">
        <f>1-SEIR_params_conf_range_upper!I9</f>
        <v>0.78200000000000003</v>
      </c>
      <c r="K9" s="4">
        <f t="shared" si="5"/>
        <v>6.5274151436031325E-2</v>
      </c>
      <c r="L9" s="4">
        <f t="shared" si="6"/>
        <v>5.1044386422976498E-2</v>
      </c>
      <c r="M9" s="4">
        <f t="shared" si="1"/>
        <v>1.325065274151436E-2</v>
      </c>
      <c r="N9" s="4">
        <f t="shared" si="7"/>
        <v>4.4247787610619468E-2</v>
      </c>
      <c r="O9" s="4">
        <f t="shared" si="8"/>
        <v>3.4601769911504425E-2</v>
      </c>
      <c r="P9" s="4">
        <f t="shared" si="2"/>
        <v>8.9823008849557531E-3</v>
      </c>
    </row>
    <row r="10" spans="1:16">
      <c r="A10" t="s">
        <v>20</v>
      </c>
      <c r="B10">
        <v>2.8</v>
      </c>
      <c r="C10">
        <f t="shared" si="3"/>
        <v>0.22573363431151244</v>
      </c>
      <c r="D10">
        <f t="shared" si="4"/>
        <v>0.2232142857142857</v>
      </c>
      <c r="E10">
        <f>19*0.01</f>
        <v>0.19</v>
      </c>
      <c r="F10">
        <v>5.2999999999999999E-2</v>
      </c>
      <c r="G10" s="2">
        <f t="shared" si="0"/>
        <v>1.0069999999999999E-2</v>
      </c>
      <c r="H10">
        <f>E10-SEIR_params_conf_range_upper!G10</f>
        <v>0.160854</v>
      </c>
      <c r="I10" s="4">
        <v>0.309</v>
      </c>
      <c r="J10" s="4">
        <f>1-SEIR_params_conf_range_upper!I10</f>
        <v>0.67599999999999993</v>
      </c>
      <c r="K10" s="4">
        <f t="shared" si="5"/>
        <v>6.5274151436031325E-2</v>
      </c>
      <c r="L10" s="4">
        <f t="shared" si="6"/>
        <v>4.4125326370757174E-2</v>
      </c>
      <c r="M10" s="4">
        <f t="shared" si="1"/>
        <v>2.0169712793733679E-2</v>
      </c>
      <c r="N10" s="4">
        <f t="shared" si="7"/>
        <v>4.4247787610619468E-2</v>
      </c>
      <c r="O10" s="4">
        <f t="shared" si="8"/>
        <v>2.9911504424778759E-2</v>
      </c>
      <c r="P10" s="4">
        <f t="shared" si="2"/>
        <v>1.3672566371681415E-2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9733-2BDF-1F4C-9F7A-A2DE1ED41394}">
  <dimension ref="A1:P10"/>
  <sheetViews>
    <sheetView workbookViewId="0">
      <selection activeCell="K4" sqref="K4"/>
    </sheetView>
  </sheetViews>
  <sheetFormatPr baseColWidth="10" defaultColWidth="10.83203125" defaultRowHeight="15"/>
  <cols>
    <col min="1" max="1" width="16.33203125" customWidth="1"/>
    <col min="5" max="5" width="10.33203125" customWidth="1"/>
    <col min="6" max="6" width="12.33203125" customWidth="1"/>
    <col min="9" max="10" width="14.83203125" customWidth="1"/>
  </cols>
  <sheetData>
    <row r="1" spans="1:16">
      <c r="B1" t="s">
        <v>25</v>
      </c>
      <c r="C1" t="s">
        <v>3</v>
      </c>
      <c r="D1" t="s">
        <v>4</v>
      </c>
      <c r="E1" t="s">
        <v>5</v>
      </c>
      <c r="F1" t="s">
        <v>22</v>
      </c>
      <c r="G1" t="s">
        <v>7</v>
      </c>
      <c r="H1" t="s">
        <v>6</v>
      </c>
      <c r="I1" t="s">
        <v>23</v>
      </c>
      <c r="J1" t="s">
        <v>27</v>
      </c>
      <c r="K1" t="s">
        <v>24</v>
      </c>
      <c r="L1" t="s">
        <v>8</v>
      </c>
      <c r="M1" t="s">
        <v>9</v>
      </c>
      <c r="N1" t="s">
        <v>26</v>
      </c>
      <c r="O1" t="s">
        <v>10</v>
      </c>
      <c r="P1" t="s">
        <v>11</v>
      </c>
    </row>
    <row r="2" spans="1:16">
      <c r="A2" t="s">
        <v>13</v>
      </c>
      <c r="B2">
        <v>2.99</v>
      </c>
      <c r="C2">
        <f>1/(4-(0.86/2))</f>
        <v>0.28011204481792717</v>
      </c>
      <c r="D2">
        <f>1/(4-0.8*0.6)</f>
        <v>0.28409090909090912</v>
      </c>
      <c r="E2" s="2">
        <f>0.3*0.01</f>
        <v>3.0000000000000001E-3</v>
      </c>
      <c r="F2" s="2">
        <v>0.255</v>
      </c>
      <c r="G2" s="2">
        <f>E2*F2</f>
        <v>7.6500000000000005E-4</v>
      </c>
      <c r="H2">
        <f>E2-SEIR_params_conf_range_lower!G2</f>
        <v>2.8080000000000002E-3</v>
      </c>
      <c r="I2" s="4">
        <v>1.2999999999999999E-2</v>
      </c>
      <c r="J2" s="4">
        <f>1-SEIR_params_conf_range_lower!I2</f>
        <v>0.997</v>
      </c>
      <c r="K2" s="4">
        <f>1/14.55</f>
        <v>6.8728522336769751E-2</v>
      </c>
      <c r="L2" s="4">
        <f>J2*K2</f>
        <v>6.852233676975944E-2</v>
      </c>
      <c r="M2" s="4">
        <f t="shared" ref="M2:M10" si="0">I2*K2</f>
        <v>8.9347079037800669E-4</v>
      </c>
      <c r="N2" s="4">
        <f>1/(19.88+1.5)</f>
        <v>4.6772684752104776E-2</v>
      </c>
      <c r="O2" s="4">
        <f>J2*N2</f>
        <v>4.6632366697848461E-2</v>
      </c>
      <c r="P2" s="4">
        <f>I2*N2</f>
        <v>6.0804490177736206E-4</v>
      </c>
    </row>
    <row r="3" spans="1:16">
      <c r="A3" t="s">
        <v>21</v>
      </c>
      <c r="B3">
        <v>2.99</v>
      </c>
      <c r="C3">
        <f t="shared" ref="C3:C10" si="1">1/(4-(0.86/2))</f>
        <v>0.28011204481792717</v>
      </c>
      <c r="D3">
        <f t="shared" ref="D3:D10" si="2">1/(4-0.8*0.6)</f>
        <v>0.28409090909090912</v>
      </c>
      <c r="E3" s="2">
        <f>0.3*0.01</f>
        <v>3.0000000000000001E-3</v>
      </c>
      <c r="F3" s="2">
        <v>0.255</v>
      </c>
      <c r="G3" s="2">
        <f t="shared" ref="G3:G10" si="3">E3*F3</f>
        <v>7.6500000000000005E-4</v>
      </c>
      <c r="H3">
        <f>E3-SEIR_params_conf_range_lower!G3</f>
        <v>2.8080000000000002E-3</v>
      </c>
      <c r="I3" s="4">
        <v>1.2999999999999999E-2</v>
      </c>
      <c r="J3" s="4">
        <f>1-SEIR_params_conf_range_lower!I3</f>
        <v>0.997</v>
      </c>
      <c r="K3" s="4">
        <f t="shared" ref="K3:K10" si="4">1/14.55</f>
        <v>6.8728522336769751E-2</v>
      </c>
      <c r="L3" s="4">
        <f t="shared" ref="L3:L10" si="5">J3*K3</f>
        <v>6.852233676975944E-2</v>
      </c>
      <c r="M3" s="4">
        <f t="shared" si="0"/>
        <v>8.9347079037800669E-4</v>
      </c>
      <c r="N3" s="4">
        <f t="shared" ref="N3:N10" si="6">1/(19.88+1.5)</f>
        <v>4.6772684752104776E-2</v>
      </c>
      <c r="O3" s="4">
        <f t="shared" ref="O3:O10" si="7">J3*N3</f>
        <v>4.6632366697848461E-2</v>
      </c>
      <c r="P3" s="4">
        <f t="shared" ref="P3:P10" si="8">I3*N3</f>
        <v>6.0804490177736206E-4</v>
      </c>
    </row>
    <row r="4" spans="1:16">
      <c r="A4" t="s">
        <v>15</v>
      </c>
      <c r="B4">
        <v>2.99</v>
      </c>
      <c r="C4">
        <f t="shared" si="1"/>
        <v>0.28011204481792717</v>
      </c>
      <c r="D4">
        <f t="shared" si="2"/>
        <v>0.28409090909090912</v>
      </c>
      <c r="E4">
        <f>1*0.01</f>
        <v>0.01</v>
      </c>
      <c r="F4">
        <v>0.13200000000000001</v>
      </c>
      <c r="G4" s="2">
        <f t="shared" si="3"/>
        <v>1.32E-3</v>
      </c>
      <c r="H4">
        <f>E4-SEIR_params_conf_range_lower!G4</f>
        <v>9.5960000000000004E-3</v>
      </c>
      <c r="I4" s="4">
        <v>1.6E-2</v>
      </c>
      <c r="J4" s="4">
        <f>1-SEIR_params_conf_range_lower!I4</f>
        <v>0.99299999999999999</v>
      </c>
      <c r="K4" s="4">
        <f t="shared" si="4"/>
        <v>6.8728522336769751E-2</v>
      </c>
      <c r="L4" s="4">
        <f t="shared" si="5"/>
        <v>6.8247422680412367E-2</v>
      </c>
      <c r="M4" s="4">
        <f t="shared" si="0"/>
        <v>1.0996563573883161E-3</v>
      </c>
      <c r="N4" s="4">
        <f t="shared" si="6"/>
        <v>4.6772684752104776E-2</v>
      </c>
      <c r="O4" s="4">
        <f t="shared" si="7"/>
        <v>4.6445275958840043E-2</v>
      </c>
      <c r="P4" s="4">
        <f t="shared" si="8"/>
        <v>7.4836295603367641E-4</v>
      </c>
    </row>
    <row r="5" spans="1:16">
      <c r="A5" t="s">
        <v>14</v>
      </c>
      <c r="B5">
        <v>2.99</v>
      </c>
      <c r="C5">
        <f t="shared" si="1"/>
        <v>0.28011204481792717</v>
      </c>
      <c r="D5">
        <f t="shared" si="2"/>
        <v>0.28409090909090912</v>
      </c>
      <c r="E5">
        <f>2*0.01</f>
        <v>0.02</v>
      </c>
      <c r="F5">
        <v>0.17299999999999999</v>
      </c>
      <c r="G5" s="2">
        <f t="shared" si="3"/>
        <v>3.46E-3</v>
      </c>
      <c r="H5">
        <f>E5-SEIR_params_conf_range_lower!G5</f>
        <v>1.8832000000000002E-2</v>
      </c>
      <c r="I5" s="4">
        <v>2.3E-2</v>
      </c>
      <c r="J5" s="4">
        <f>1-SEIR_params_conf_range_lower!I5</f>
        <v>0.98499999999999999</v>
      </c>
      <c r="K5" s="4">
        <f t="shared" si="4"/>
        <v>6.8728522336769751E-2</v>
      </c>
      <c r="L5" s="4">
        <f t="shared" si="5"/>
        <v>6.7697594501718208E-2</v>
      </c>
      <c r="M5" s="4">
        <f t="shared" si="0"/>
        <v>1.5807560137457042E-3</v>
      </c>
      <c r="N5" s="4">
        <f t="shared" si="6"/>
        <v>4.6772684752104776E-2</v>
      </c>
      <c r="O5" s="4">
        <f t="shared" si="7"/>
        <v>4.6071094480823201E-2</v>
      </c>
      <c r="P5" s="4">
        <f t="shared" si="8"/>
        <v>1.0757717492984099E-3</v>
      </c>
    </row>
    <row r="6" spans="1:16">
      <c r="A6" t="s">
        <v>16</v>
      </c>
      <c r="B6">
        <v>2.99</v>
      </c>
      <c r="C6">
        <f t="shared" si="1"/>
        <v>0.28011204481792717</v>
      </c>
      <c r="D6">
        <f t="shared" si="2"/>
        <v>0.28409090909090912</v>
      </c>
      <c r="E6">
        <f>2.7*0.01</f>
        <v>2.7000000000000003E-2</v>
      </c>
      <c r="F6">
        <v>0.23499999999999999</v>
      </c>
      <c r="G6" s="2">
        <f t="shared" si="3"/>
        <v>6.3450000000000008E-3</v>
      </c>
      <c r="H6">
        <f>E6-SEIR_params_conf_range_lower!G6</f>
        <v>2.4900000000000002E-2</v>
      </c>
      <c r="I6" s="4">
        <v>3.6999999999999998E-2</v>
      </c>
      <c r="J6" s="4">
        <f>1-SEIR_params_conf_range_lower!I6</f>
        <v>0.97099999999999997</v>
      </c>
      <c r="K6" s="4">
        <f t="shared" si="4"/>
        <v>6.8728522336769751E-2</v>
      </c>
      <c r="L6" s="4">
        <f t="shared" si="5"/>
        <v>6.6735395189003427E-2</v>
      </c>
      <c r="M6" s="4">
        <f t="shared" si="0"/>
        <v>2.5429553264604806E-3</v>
      </c>
      <c r="N6" s="4">
        <f t="shared" si="6"/>
        <v>4.6772684752104776E-2</v>
      </c>
      <c r="O6" s="4">
        <f t="shared" si="7"/>
        <v>4.5416276894293735E-2</v>
      </c>
      <c r="P6" s="4">
        <f t="shared" si="8"/>
        <v>1.7305893358278766E-3</v>
      </c>
    </row>
    <row r="7" spans="1:16">
      <c r="A7" t="s">
        <v>17</v>
      </c>
      <c r="B7">
        <v>2.99</v>
      </c>
      <c r="C7">
        <f t="shared" si="1"/>
        <v>0.28011204481792717</v>
      </c>
      <c r="D7">
        <f t="shared" si="2"/>
        <v>0.28409090909090912</v>
      </c>
      <c r="E7">
        <f>5.4*0.01</f>
        <v>5.4000000000000006E-2</v>
      </c>
      <c r="F7">
        <v>0.28699999999999998</v>
      </c>
      <c r="G7" s="2">
        <f t="shared" si="3"/>
        <v>1.5498000000000001E-2</v>
      </c>
      <c r="H7">
        <f>E7-SEIR_params_conf_range_lower!G7</f>
        <v>4.8435000000000006E-2</v>
      </c>
      <c r="I7" s="4">
        <v>7.0000000000000007E-2</v>
      </c>
      <c r="J7" s="4">
        <f>1-SEIR_params_conf_range_lower!I7</f>
        <v>0.94</v>
      </c>
      <c r="K7" s="4">
        <f t="shared" si="4"/>
        <v>6.8728522336769751E-2</v>
      </c>
      <c r="L7" s="4">
        <f t="shared" si="5"/>
        <v>6.4604810996563566E-2</v>
      </c>
      <c r="M7" s="4">
        <f t="shared" si="0"/>
        <v>4.8109965635738834E-3</v>
      </c>
      <c r="N7" s="4">
        <f t="shared" si="6"/>
        <v>4.6772684752104776E-2</v>
      </c>
      <c r="O7" s="4">
        <f t="shared" si="7"/>
        <v>4.3966323666978488E-2</v>
      </c>
      <c r="P7" s="4">
        <f t="shared" si="8"/>
        <v>3.2740879326473345E-3</v>
      </c>
    </row>
    <row r="8" spans="1:16">
      <c r="A8" t="s">
        <v>18</v>
      </c>
      <c r="B8">
        <v>2.99</v>
      </c>
      <c r="C8">
        <f t="shared" si="1"/>
        <v>0.28011204481792717</v>
      </c>
      <c r="D8">
        <f t="shared" si="2"/>
        <v>0.28409090909090912</v>
      </c>
      <c r="E8">
        <f>11*0.01</f>
        <v>0.11</v>
      </c>
      <c r="F8">
        <v>0.318</v>
      </c>
      <c r="G8" s="2">
        <f t="shared" si="3"/>
        <v>3.4980000000000004E-2</v>
      </c>
      <c r="H8">
        <f>E8-SEIR_params_conf_range_lower!G8</f>
        <v>9.7484000000000001E-2</v>
      </c>
      <c r="I8" s="4">
        <v>0.13200000000000001</v>
      </c>
      <c r="J8" s="4">
        <f>1-SEIR_params_conf_range_lower!I8</f>
        <v>0.88</v>
      </c>
      <c r="K8" s="4">
        <f t="shared" si="4"/>
        <v>6.8728522336769751E-2</v>
      </c>
      <c r="L8" s="4">
        <f t="shared" si="5"/>
        <v>6.0481099656357382E-2</v>
      </c>
      <c r="M8" s="4">
        <f t="shared" si="0"/>
        <v>9.0721649484536079E-3</v>
      </c>
      <c r="N8" s="4">
        <f t="shared" si="6"/>
        <v>4.6772684752104776E-2</v>
      </c>
      <c r="O8" s="4">
        <f t="shared" si="7"/>
        <v>4.1159962581852207E-2</v>
      </c>
      <c r="P8" s="4">
        <f t="shared" si="8"/>
        <v>6.1739943872778308E-3</v>
      </c>
    </row>
    <row r="9" spans="1:16">
      <c r="A9" t="s">
        <v>19</v>
      </c>
      <c r="B9">
        <v>2.99</v>
      </c>
      <c r="C9">
        <f t="shared" si="1"/>
        <v>0.28011204481792717</v>
      </c>
      <c r="D9">
        <f t="shared" si="2"/>
        <v>0.28409090909090912</v>
      </c>
      <c r="E9">
        <f>17.5*0.01</f>
        <v>0.17500000000000002</v>
      </c>
      <c r="F9">
        <v>0.25800000000000001</v>
      </c>
      <c r="G9" s="2">
        <f t="shared" si="3"/>
        <v>4.5150000000000003E-2</v>
      </c>
      <c r="H9">
        <f>E9-SEIR_params_conf_range_lower!G9</f>
        <v>0.15885300000000002</v>
      </c>
      <c r="I9" s="4">
        <v>0.218</v>
      </c>
      <c r="J9" s="4">
        <f>1-SEIR_params_conf_range_lower!I9</f>
        <v>0.79699999999999993</v>
      </c>
      <c r="K9" s="4">
        <f t="shared" si="4"/>
        <v>6.8728522336769751E-2</v>
      </c>
      <c r="L9" s="4">
        <f t="shared" si="5"/>
        <v>5.4776632302405488E-2</v>
      </c>
      <c r="M9" s="4">
        <f t="shared" si="0"/>
        <v>1.4982817869415806E-2</v>
      </c>
      <c r="N9" s="4">
        <f t="shared" si="6"/>
        <v>4.6772684752104776E-2</v>
      </c>
      <c r="O9" s="4">
        <f t="shared" si="7"/>
        <v>3.72778297474275E-2</v>
      </c>
      <c r="P9" s="4">
        <f t="shared" si="8"/>
        <v>1.0196445275958841E-2</v>
      </c>
    </row>
    <row r="10" spans="1:16">
      <c r="A10" t="s">
        <v>20</v>
      </c>
      <c r="B10">
        <v>2.99</v>
      </c>
      <c r="C10">
        <f t="shared" si="1"/>
        <v>0.28011204481792717</v>
      </c>
      <c r="D10">
        <f t="shared" si="2"/>
        <v>0.28409090909090912</v>
      </c>
      <c r="E10">
        <f>49.4*0.01</f>
        <v>0.49399999999999999</v>
      </c>
      <c r="F10">
        <v>5.8999999999999997E-2</v>
      </c>
      <c r="G10" s="2">
        <f t="shared" si="3"/>
        <v>2.9145999999999998E-2</v>
      </c>
      <c r="H10">
        <f>E10-SEIR_params_conf_range_lower!G10</f>
        <v>0.48392999999999997</v>
      </c>
      <c r="I10" s="4">
        <v>0.32400000000000001</v>
      </c>
      <c r="J10" s="4">
        <f>1-SEIR_params_conf_range_lower!I10</f>
        <v>0.69100000000000006</v>
      </c>
      <c r="K10" s="4">
        <f t="shared" si="4"/>
        <v>6.8728522336769751E-2</v>
      </c>
      <c r="L10" s="4">
        <f t="shared" si="5"/>
        <v>4.74914089347079E-2</v>
      </c>
      <c r="M10" s="4">
        <f t="shared" si="0"/>
        <v>2.2268041237113401E-2</v>
      </c>
      <c r="N10" s="4">
        <f t="shared" si="6"/>
        <v>4.6772684752104776E-2</v>
      </c>
      <c r="O10" s="4">
        <f t="shared" si="7"/>
        <v>3.2319925163704404E-2</v>
      </c>
      <c r="P10" s="4">
        <f t="shared" si="8"/>
        <v>1.5154349859681948E-2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C6" sqref="C6"/>
    </sheetView>
  </sheetViews>
  <sheetFormatPr baseColWidth="10" defaultColWidth="8.83203125" defaultRowHeight="15"/>
  <cols>
    <col min="1" max="1" width="11.6640625" bestFit="1" customWidth="1"/>
    <col min="2" max="2" width="13" bestFit="1" customWidth="1"/>
    <col min="3" max="3" width="15" bestFit="1" customWidth="1"/>
  </cols>
  <sheetData>
    <row r="1" spans="1:3">
      <c r="B1" t="s">
        <v>1</v>
      </c>
      <c r="C1" t="s">
        <v>2</v>
      </c>
    </row>
    <row r="2" spans="1:3">
      <c r="A2" s="1" t="s">
        <v>0</v>
      </c>
      <c r="B2">
        <v>2500</v>
      </c>
      <c r="C2">
        <v>20000000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population</vt:lpstr>
      <vt:lpstr>contributions_normal</vt:lpstr>
      <vt:lpstr>contributions_April</vt:lpstr>
      <vt:lpstr>contributions_May</vt:lpstr>
      <vt:lpstr>activity_levels_as_%_of_full</vt:lpstr>
      <vt:lpstr>SEIR_params</vt:lpstr>
      <vt:lpstr>SEIR_params_conf_range_lower</vt:lpstr>
      <vt:lpstr>SEIR_params_conf_range_upper</vt:lpstr>
      <vt:lpstr>ICU_hospital</vt:lpstr>
      <vt:lpstr>Testing_capacity</vt:lpstr>
      <vt:lpstr>shadedown</vt:lpstr>
      <vt:lpstr>weight_leisure</vt:lpstr>
      <vt:lpstr>weight_other</vt:lpstr>
      <vt:lpstr>weight_transport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2020-05-08T12:17:00Z</dcterms:created>
  <dcterms:modified xsi:type="dcterms:W3CDTF">2020-07-29T16:54:41Z</dcterms:modified>
</cp:coreProperties>
</file>